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xel\Downloads\"/>
    </mc:Choice>
  </mc:AlternateContent>
  <xr:revisionPtr revIDLastSave="0" documentId="13_ncr:1_{9B3AB14D-0B36-49EE-AB18-4F9CB5E6B1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gari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1" i="2" l="1"/>
  <c r="G5001" i="2"/>
  <c r="F5001" i="2"/>
  <c r="E5001" i="2"/>
  <c r="D5001" i="2"/>
  <c r="C5001" i="2"/>
  <c r="B5001" i="2"/>
  <c r="A5001" i="2"/>
  <c r="H5000" i="2"/>
  <c r="G5000" i="2"/>
  <c r="F5000" i="2"/>
  <c r="E5000" i="2"/>
  <c r="D5000" i="2"/>
  <c r="C5000" i="2"/>
  <c r="B5000" i="2"/>
  <c r="A5000" i="2"/>
  <c r="H4999" i="2"/>
  <c r="G4999" i="2"/>
  <c r="F4999" i="2"/>
  <c r="E4999" i="2"/>
  <c r="D4999" i="2"/>
  <c r="C4999" i="2"/>
  <c r="B4999" i="2"/>
  <c r="A4999" i="2"/>
  <c r="H4998" i="2"/>
  <c r="G4998" i="2"/>
  <c r="F4998" i="2"/>
  <c r="E4998" i="2"/>
  <c r="D4998" i="2"/>
  <c r="C4998" i="2"/>
  <c r="B4998" i="2"/>
  <c r="A4998" i="2"/>
  <c r="H4997" i="2"/>
  <c r="G4997" i="2"/>
  <c r="F4997" i="2"/>
  <c r="E4997" i="2"/>
  <c r="D4997" i="2"/>
  <c r="C4997" i="2"/>
  <c r="B4997" i="2"/>
  <c r="A4997" i="2"/>
  <c r="H4996" i="2"/>
  <c r="G4996" i="2"/>
  <c r="F4996" i="2"/>
  <c r="E4996" i="2"/>
  <c r="D4996" i="2"/>
  <c r="C4996" i="2"/>
  <c r="B4996" i="2"/>
  <c r="A4996" i="2"/>
  <c r="H4995" i="2"/>
  <c r="G4995" i="2"/>
  <c r="F4995" i="2"/>
  <c r="E4995" i="2"/>
  <c r="D4995" i="2"/>
  <c r="C4995" i="2"/>
  <c r="B4995" i="2"/>
  <c r="A4995" i="2"/>
  <c r="H4994" i="2"/>
  <c r="G4994" i="2"/>
  <c r="F4994" i="2"/>
  <c r="E4994" i="2"/>
  <c r="D4994" i="2"/>
  <c r="C4994" i="2"/>
  <c r="B4994" i="2"/>
  <c r="A4994" i="2"/>
  <c r="H4993" i="2"/>
  <c r="G4993" i="2"/>
  <c r="F4993" i="2"/>
  <c r="E4993" i="2"/>
  <c r="D4993" i="2"/>
  <c r="C4993" i="2"/>
  <c r="B4993" i="2"/>
  <c r="A4993" i="2"/>
  <c r="H4992" i="2"/>
  <c r="G4992" i="2"/>
  <c r="F4992" i="2"/>
  <c r="E4992" i="2"/>
  <c r="D4992" i="2"/>
  <c r="C4992" i="2"/>
  <c r="B4992" i="2"/>
  <c r="A4992" i="2"/>
  <c r="H4991" i="2"/>
  <c r="G4991" i="2"/>
  <c r="F4991" i="2"/>
  <c r="E4991" i="2"/>
  <c r="D4991" i="2"/>
  <c r="C4991" i="2"/>
  <c r="B4991" i="2"/>
  <c r="A4991" i="2"/>
  <c r="H4990" i="2"/>
  <c r="G4990" i="2"/>
  <c r="F4990" i="2"/>
  <c r="E4990" i="2"/>
  <c r="D4990" i="2"/>
  <c r="C4990" i="2"/>
  <c r="B4990" i="2"/>
  <c r="A4990" i="2"/>
  <c r="H4989" i="2"/>
  <c r="G4989" i="2"/>
  <c r="F4989" i="2"/>
  <c r="E4989" i="2"/>
  <c r="D4989" i="2"/>
  <c r="C4989" i="2"/>
  <c r="B4989" i="2"/>
  <c r="A4989" i="2"/>
  <c r="H4988" i="2"/>
  <c r="G4988" i="2"/>
  <c r="F4988" i="2"/>
  <c r="E4988" i="2"/>
  <c r="D4988" i="2"/>
  <c r="C4988" i="2"/>
  <c r="B4988" i="2"/>
  <c r="A4988" i="2"/>
  <c r="H4987" i="2"/>
  <c r="G4987" i="2"/>
  <c r="F4987" i="2"/>
  <c r="E4987" i="2"/>
  <c r="D4987" i="2"/>
  <c r="C4987" i="2"/>
  <c r="B4987" i="2"/>
  <c r="A4987" i="2"/>
  <c r="H4986" i="2"/>
  <c r="G4986" i="2"/>
  <c r="F4986" i="2"/>
  <c r="E4986" i="2"/>
  <c r="D4986" i="2"/>
  <c r="C4986" i="2"/>
  <c r="B4986" i="2"/>
  <c r="A4986" i="2"/>
  <c r="H4985" i="2"/>
  <c r="G4985" i="2"/>
  <c r="F4985" i="2"/>
  <c r="E4985" i="2"/>
  <c r="D4985" i="2"/>
  <c r="C4985" i="2"/>
  <c r="B4985" i="2"/>
  <c r="A4985" i="2"/>
  <c r="H4984" i="2"/>
  <c r="G4984" i="2"/>
  <c r="F4984" i="2"/>
  <c r="E4984" i="2"/>
  <c r="D4984" i="2"/>
  <c r="C4984" i="2"/>
  <c r="B4984" i="2"/>
  <c r="A4984" i="2"/>
  <c r="H4983" i="2"/>
  <c r="G4983" i="2"/>
  <c r="F4983" i="2"/>
  <c r="E4983" i="2"/>
  <c r="D4983" i="2"/>
  <c r="C4983" i="2"/>
  <c r="B4983" i="2"/>
  <c r="A4983" i="2"/>
  <c r="H4982" i="2"/>
  <c r="G4982" i="2"/>
  <c r="F4982" i="2"/>
  <c r="E4982" i="2"/>
  <c r="D4982" i="2"/>
  <c r="C4982" i="2"/>
  <c r="B4982" i="2"/>
  <c r="A4982" i="2"/>
  <c r="H4981" i="2"/>
  <c r="G4981" i="2"/>
  <c r="F4981" i="2"/>
  <c r="E4981" i="2"/>
  <c r="D4981" i="2"/>
  <c r="C4981" i="2"/>
  <c r="B4981" i="2"/>
  <c r="A4981" i="2"/>
  <c r="H4980" i="2"/>
  <c r="G4980" i="2"/>
  <c r="F4980" i="2"/>
  <c r="E4980" i="2"/>
  <c r="D4980" i="2"/>
  <c r="C4980" i="2"/>
  <c r="B4980" i="2"/>
  <c r="A4980" i="2"/>
  <c r="H4979" i="2"/>
  <c r="G4979" i="2"/>
  <c r="F4979" i="2"/>
  <c r="E4979" i="2"/>
  <c r="D4979" i="2"/>
  <c r="C4979" i="2"/>
  <c r="B4979" i="2"/>
  <c r="A4979" i="2"/>
  <c r="H4978" i="2"/>
  <c r="G4978" i="2"/>
  <c r="F4978" i="2"/>
  <c r="E4978" i="2"/>
  <c r="D4978" i="2"/>
  <c r="C4978" i="2"/>
  <c r="B4978" i="2"/>
  <c r="A4978" i="2"/>
  <c r="H4977" i="2"/>
  <c r="G4977" i="2"/>
  <c r="F4977" i="2"/>
  <c r="E4977" i="2"/>
  <c r="D4977" i="2"/>
  <c r="C4977" i="2"/>
  <c r="B4977" i="2"/>
  <c r="A4977" i="2"/>
  <c r="H4976" i="2"/>
  <c r="G4976" i="2"/>
  <c r="F4976" i="2"/>
  <c r="E4976" i="2"/>
  <c r="D4976" i="2"/>
  <c r="C4976" i="2"/>
  <c r="B4976" i="2"/>
  <c r="A4976" i="2"/>
  <c r="H4975" i="2"/>
  <c r="G4975" i="2"/>
  <c r="F4975" i="2"/>
  <c r="E4975" i="2"/>
  <c r="D4975" i="2"/>
  <c r="C4975" i="2"/>
  <c r="B4975" i="2"/>
  <c r="A4975" i="2"/>
  <c r="H4974" i="2"/>
  <c r="G4974" i="2"/>
  <c r="F4974" i="2"/>
  <c r="E4974" i="2"/>
  <c r="D4974" i="2"/>
  <c r="C4974" i="2"/>
  <c r="B4974" i="2"/>
  <c r="A4974" i="2"/>
  <c r="H4973" i="2"/>
  <c r="G4973" i="2"/>
  <c r="F4973" i="2"/>
  <c r="E4973" i="2"/>
  <c r="D4973" i="2"/>
  <c r="C4973" i="2"/>
  <c r="B4973" i="2"/>
  <c r="A4973" i="2"/>
  <c r="H4972" i="2"/>
  <c r="G4972" i="2"/>
  <c r="F4972" i="2"/>
  <c r="E4972" i="2"/>
  <c r="D4972" i="2"/>
  <c r="C4972" i="2"/>
  <c r="B4972" i="2"/>
  <c r="A4972" i="2"/>
  <c r="H4971" i="2"/>
  <c r="G4971" i="2"/>
  <c r="F4971" i="2"/>
  <c r="E4971" i="2"/>
  <c r="D4971" i="2"/>
  <c r="C4971" i="2"/>
  <c r="B4971" i="2"/>
  <c r="A4971" i="2"/>
  <c r="H4970" i="2"/>
  <c r="G4970" i="2"/>
  <c r="F4970" i="2"/>
  <c r="E4970" i="2"/>
  <c r="D4970" i="2"/>
  <c r="C4970" i="2"/>
  <c r="B4970" i="2"/>
  <c r="A4970" i="2"/>
  <c r="H4969" i="2"/>
  <c r="G4969" i="2"/>
  <c r="F4969" i="2"/>
  <c r="E4969" i="2"/>
  <c r="D4969" i="2"/>
  <c r="C4969" i="2"/>
  <c r="B4969" i="2"/>
  <c r="A4969" i="2"/>
  <c r="H4968" i="2"/>
  <c r="G4968" i="2"/>
  <c r="F4968" i="2"/>
  <c r="E4968" i="2"/>
  <c r="D4968" i="2"/>
  <c r="C4968" i="2"/>
  <c r="B4968" i="2"/>
  <c r="A4968" i="2"/>
  <c r="H4967" i="2"/>
  <c r="G4967" i="2"/>
  <c r="F4967" i="2"/>
  <c r="E4967" i="2"/>
  <c r="D4967" i="2"/>
  <c r="C4967" i="2"/>
  <c r="B4967" i="2"/>
  <c r="A4967" i="2"/>
  <c r="H4966" i="2"/>
  <c r="G4966" i="2"/>
  <c r="F4966" i="2"/>
  <c r="E4966" i="2"/>
  <c r="D4966" i="2"/>
  <c r="C4966" i="2"/>
  <c r="B4966" i="2"/>
  <c r="A4966" i="2"/>
  <c r="H4965" i="2"/>
  <c r="G4965" i="2"/>
  <c r="F4965" i="2"/>
  <c r="E4965" i="2"/>
  <c r="D4965" i="2"/>
  <c r="C4965" i="2"/>
  <c r="B4965" i="2"/>
  <c r="A4965" i="2"/>
  <c r="H4964" i="2"/>
  <c r="G4964" i="2"/>
  <c r="F4964" i="2"/>
  <c r="E4964" i="2"/>
  <c r="D4964" i="2"/>
  <c r="C4964" i="2"/>
  <c r="B4964" i="2"/>
  <c r="A4964" i="2"/>
  <c r="H4963" i="2"/>
  <c r="G4963" i="2"/>
  <c r="F4963" i="2"/>
  <c r="E4963" i="2"/>
  <c r="D4963" i="2"/>
  <c r="C4963" i="2"/>
  <c r="B4963" i="2"/>
  <c r="A4963" i="2"/>
  <c r="H4962" i="2"/>
  <c r="G4962" i="2"/>
  <c r="F4962" i="2"/>
  <c r="E4962" i="2"/>
  <c r="D4962" i="2"/>
  <c r="C4962" i="2"/>
  <c r="B4962" i="2"/>
  <c r="A4962" i="2"/>
  <c r="H4961" i="2"/>
  <c r="G4961" i="2"/>
  <c r="F4961" i="2"/>
  <c r="E4961" i="2"/>
  <c r="D4961" i="2"/>
  <c r="C4961" i="2"/>
  <c r="B4961" i="2"/>
  <c r="A4961" i="2"/>
  <c r="H4960" i="2"/>
  <c r="G4960" i="2"/>
  <c r="F4960" i="2"/>
  <c r="E4960" i="2"/>
  <c r="D4960" i="2"/>
  <c r="C4960" i="2"/>
  <c r="B4960" i="2"/>
  <c r="A4960" i="2"/>
  <c r="H4959" i="2"/>
  <c r="G4959" i="2"/>
  <c r="F4959" i="2"/>
  <c r="E4959" i="2"/>
  <c r="D4959" i="2"/>
  <c r="C4959" i="2"/>
  <c r="B4959" i="2"/>
  <c r="A4959" i="2"/>
  <c r="H4958" i="2"/>
  <c r="G4958" i="2"/>
  <c r="F4958" i="2"/>
  <c r="E4958" i="2"/>
  <c r="D4958" i="2"/>
  <c r="C4958" i="2"/>
  <c r="B4958" i="2"/>
  <c r="A4958" i="2"/>
  <c r="H4957" i="2"/>
  <c r="G4957" i="2"/>
  <c r="F4957" i="2"/>
  <c r="E4957" i="2"/>
  <c r="D4957" i="2"/>
  <c r="C4957" i="2"/>
  <c r="B4957" i="2"/>
  <c r="A4957" i="2"/>
  <c r="H4956" i="2"/>
  <c r="G4956" i="2"/>
  <c r="F4956" i="2"/>
  <c r="E4956" i="2"/>
  <c r="D4956" i="2"/>
  <c r="C4956" i="2"/>
  <c r="B4956" i="2"/>
  <c r="A4956" i="2"/>
  <c r="H4955" i="2"/>
  <c r="G4955" i="2"/>
  <c r="F4955" i="2"/>
  <c r="E4955" i="2"/>
  <c r="D4955" i="2"/>
  <c r="C4955" i="2"/>
  <c r="B4955" i="2"/>
  <c r="A4955" i="2"/>
  <c r="H4954" i="2"/>
  <c r="G4954" i="2"/>
  <c r="F4954" i="2"/>
  <c r="E4954" i="2"/>
  <c r="D4954" i="2"/>
  <c r="C4954" i="2"/>
  <c r="B4954" i="2"/>
  <c r="A4954" i="2"/>
  <c r="H4953" i="2"/>
  <c r="G4953" i="2"/>
  <c r="F4953" i="2"/>
  <c r="E4953" i="2"/>
  <c r="D4953" i="2"/>
  <c r="C4953" i="2"/>
  <c r="B4953" i="2"/>
  <c r="A4953" i="2"/>
  <c r="H4952" i="2"/>
  <c r="G4952" i="2"/>
  <c r="F4952" i="2"/>
  <c r="E4952" i="2"/>
  <c r="D4952" i="2"/>
  <c r="C4952" i="2"/>
  <c r="B4952" i="2"/>
  <c r="A4952" i="2"/>
  <c r="H4951" i="2"/>
  <c r="G4951" i="2"/>
  <c r="F4951" i="2"/>
  <c r="E4951" i="2"/>
  <c r="D4951" i="2"/>
  <c r="C4951" i="2"/>
  <c r="B4951" i="2"/>
  <c r="A4951" i="2"/>
  <c r="H4950" i="2"/>
  <c r="G4950" i="2"/>
  <c r="F4950" i="2"/>
  <c r="E4950" i="2"/>
  <c r="D4950" i="2"/>
  <c r="C4950" i="2"/>
  <c r="B4950" i="2"/>
  <c r="A4950" i="2"/>
  <c r="H4949" i="2"/>
  <c r="G4949" i="2"/>
  <c r="F4949" i="2"/>
  <c r="E4949" i="2"/>
  <c r="D4949" i="2"/>
  <c r="C4949" i="2"/>
  <c r="B4949" i="2"/>
  <c r="A4949" i="2"/>
  <c r="H4948" i="2"/>
  <c r="G4948" i="2"/>
  <c r="F4948" i="2"/>
  <c r="E4948" i="2"/>
  <c r="D4948" i="2"/>
  <c r="C4948" i="2"/>
  <c r="B4948" i="2"/>
  <c r="A4948" i="2"/>
  <c r="H4947" i="2"/>
  <c r="G4947" i="2"/>
  <c r="F4947" i="2"/>
  <c r="E4947" i="2"/>
  <c r="D4947" i="2"/>
  <c r="C4947" i="2"/>
  <c r="B4947" i="2"/>
  <c r="A4947" i="2"/>
  <c r="H4946" i="2"/>
  <c r="G4946" i="2"/>
  <c r="F4946" i="2"/>
  <c r="E4946" i="2"/>
  <c r="D4946" i="2"/>
  <c r="C4946" i="2"/>
  <c r="B4946" i="2"/>
  <c r="A4946" i="2"/>
  <c r="H4945" i="2"/>
  <c r="G4945" i="2"/>
  <c r="F4945" i="2"/>
  <c r="E4945" i="2"/>
  <c r="D4945" i="2"/>
  <c r="C4945" i="2"/>
  <c r="B4945" i="2"/>
  <c r="A4945" i="2"/>
  <c r="H4944" i="2"/>
  <c r="G4944" i="2"/>
  <c r="F4944" i="2"/>
  <c r="E4944" i="2"/>
  <c r="D4944" i="2"/>
  <c r="C4944" i="2"/>
  <c r="B4944" i="2"/>
  <c r="A4944" i="2"/>
  <c r="H4943" i="2"/>
  <c r="G4943" i="2"/>
  <c r="F4943" i="2"/>
  <c r="E4943" i="2"/>
  <c r="D4943" i="2"/>
  <c r="C4943" i="2"/>
  <c r="B4943" i="2"/>
  <c r="A4943" i="2"/>
  <c r="H4942" i="2"/>
  <c r="G4942" i="2"/>
  <c r="F4942" i="2"/>
  <c r="E4942" i="2"/>
  <c r="D4942" i="2"/>
  <c r="C4942" i="2"/>
  <c r="B4942" i="2"/>
  <c r="A4942" i="2"/>
  <c r="H4941" i="2"/>
  <c r="G4941" i="2"/>
  <c r="F4941" i="2"/>
  <c r="E4941" i="2"/>
  <c r="D4941" i="2"/>
  <c r="C4941" i="2"/>
  <c r="B4941" i="2"/>
  <c r="A4941" i="2"/>
  <c r="H4940" i="2"/>
  <c r="G4940" i="2"/>
  <c r="F4940" i="2"/>
  <c r="E4940" i="2"/>
  <c r="D4940" i="2"/>
  <c r="C4940" i="2"/>
  <c r="B4940" i="2"/>
  <c r="A4940" i="2"/>
  <c r="H4939" i="2"/>
  <c r="G4939" i="2"/>
  <c r="F4939" i="2"/>
  <c r="E4939" i="2"/>
  <c r="D4939" i="2"/>
  <c r="C4939" i="2"/>
  <c r="B4939" i="2"/>
  <c r="A4939" i="2"/>
  <c r="H4938" i="2"/>
  <c r="G4938" i="2"/>
  <c r="F4938" i="2"/>
  <c r="E4938" i="2"/>
  <c r="D4938" i="2"/>
  <c r="C4938" i="2"/>
  <c r="B4938" i="2"/>
  <c r="A4938" i="2"/>
  <c r="H4937" i="2"/>
  <c r="G4937" i="2"/>
  <c r="F4937" i="2"/>
  <c r="E4937" i="2"/>
  <c r="D4937" i="2"/>
  <c r="C4937" i="2"/>
  <c r="B4937" i="2"/>
  <c r="A4937" i="2"/>
  <c r="H4936" i="2"/>
  <c r="G4936" i="2"/>
  <c r="F4936" i="2"/>
  <c r="E4936" i="2"/>
  <c r="D4936" i="2"/>
  <c r="C4936" i="2"/>
  <c r="B4936" i="2"/>
  <c r="A4936" i="2"/>
  <c r="H4935" i="2"/>
  <c r="G4935" i="2"/>
  <c r="F4935" i="2"/>
  <c r="E4935" i="2"/>
  <c r="D4935" i="2"/>
  <c r="C4935" i="2"/>
  <c r="B4935" i="2"/>
  <c r="A4935" i="2"/>
  <c r="H4934" i="2"/>
  <c r="G4934" i="2"/>
  <c r="F4934" i="2"/>
  <c r="E4934" i="2"/>
  <c r="D4934" i="2"/>
  <c r="C4934" i="2"/>
  <c r="B4934" i="2"/>
  <c r="A4934" i="2"/>
  <c r="H4933" i="2"/>
  <c r="G4933" i="2"/>
  <c r="F4933" i="2"/>
  <c r="E4933" i="2"/>
  <c r="D4933" i="2"/>
  <c r="C4933" i="2"/>
  <c r="B4933" i="2"/>
  <c r="A4933" i="2"/>
  <c r="H4932" i="2"/>
  <c r="G4932" i="2"/>
  <c r="F4932" i="2"/>
  <c r="E4932" i="2"/>
  <c r="D4932" i="2"/>
  <c r="C4932" i="2"/>
  <c r="B4932" i="2"/>
  <c r="A4932" i="2"/>
  <c r="H4931" i="2"/>
  <c r="G4931" i="2"/>
  <c r="F4931" i="2"/>
  <c r="E4931" i="2"/>
  <c r="D4931" i="2"/>
  <c r="C4931" i="2"/>
  <c r="B4931" i="2"/>
  <c r="A4931" i="2"/>
  <c r="H4930" i="2"/>
  <c r="G4930" i="2"/>
  <c r="F4930" i="2"/>
  <c r="E4930" i="2"/>
  <c r="D4930" i="2"/>
  <c r="C4930" i="2"/>
  <c r="B4930" i="2"/>
  <c r="A4930" i="2"/>
  <c r="H4929" i="2"/>
  <c r="G4929" i="2"/>
  <c r="F4929" i="2"/>
  <c r="E4929" i="2"/>
  <c r="D4929" i="2"/>
  <c r="C4929" i="2"/>
  <c r="B4929" i="2"/>
  <c r="A4929" i="2"/>
  <c r="H4928" i="2"/>
  <c r="G4928" i="2"/>
  <c r="F4928" i="2"/>
  <c r="E4928" i="2"/>
  <c r="D4928" i="2"/>
  <c r="C4928" i="2"/>
  <c r="B4928" i="2"/>
  <c r="A4928" i="2"/>
  <c r="H4927" i="2"/>
  <c r="G4927" i="2"/>
  <c r="F4927" i="2"/>
  <c r="E4927" i="2"/>
  <c r="D4927" i="2"/>
  <c r="C4927" i="2"/>
  <c r="B4927" i="2"/>
  <c r="A4927" i="2"/>
  <c r="H4926" i="2"/>
  <c r="G4926" i="2"/>
  <c r="F4926" i="2"/>
  <c r="E4926" i="2"/>
  <c r="D4926" i="2"/>
  <c r="C4926" i="2"/>
  <c r="B4926" i="2"/>
  <c r="A4926" i="2"/>
  <c r="H4925" i="2"/>
  <c r="G4925" i="2"/>
  <c r="F4925" i="2"/>
  <c r="E4925" i="2"/>
  <c r="D4925" i="2"/>
  <c r="C4925" i="2"/>
  <c r="B4925" i="2"/>
  <c r="A4925" i="2"/>
  <c r="H4924" i="2"/>
  <c r="G4924" i="2"/>
  <c r="F4924" i="2"/>
  <c r="E4924" i="2"/>
  <c r="D4924" i="2"/>
  <c r="C4924" i="2"/>
  <c r="B4924" i="2"/>
  <c r="A4924" i="2"/>
  <c r="H4923" i="2"/>
  <c r="G4923" i="2"/>
  <c r="F4923" i="2"/>
  <c r="E4923" i="2"/>
  <c r="D4923" i="2"/>
  <c r="C4923" i="2"/>
  <c r="B4923" i="2"/>
  <c r="A4923" i="2"/>
  <c r="H4922" i="2"/>
  <c r="G4922" i="2"/>
  <c r="F4922" i="2"/>
  <c r="E4922" i="2"/>
  <c r="D4922" i="2"/>
  <c r="C4922" i="2"/>
  <c r="B4922" i="2"/>
  <c r="A4922" i="2"/>
  <c r="H4921" i="2"/>
  <c r="G4921" i="2"/>
  <c r="F4921" i="2"/>
  <c r="E4921" i="2"/>
  <c r="D4921" i="2"/>
  <c r="C4921" i="2"/>
  <c r="B4921" i="2"/>
  <c r="A4921" i="2"/>
  <c r="H4920" i="2"/>
  <c r="G4920" i="2"/>
  <c r="F4920" i="2"/>
  <c r="E4920" i="2"/>
  <c r="D4920" i="2"/>
  <c r="C4920" i="2"/>
  <c r="B4920" i="2"/>
  <c r="A4920" i="2"/>
  <c r="H4919" i="2"/>
  <c r="G4919" i="2"/>
  <c r="F4919" i="2"/>
  <c r="E4919" i="2"/>
  <c r="D4919" i="2"/>
  <c r="C4919" i="2"/>
  <c r="B4919" i="2"/>
  <c r="A4919" i="2"/>
  <c r="H4918" i="2"/>
  <c r="G4918" i="2"/>
  <c r="F4918" i="2"/>
  <c r="E4918" i="2"/>
  <c r="D4918" i="2"/>
  <c r="C4918" i="2"/>
  <c r="B4918" i="2"/>
  <c r="A4918" i="2"/>
  <c r="H4917" i="2"/>
  <c r="G4917" i="2"/>
  <c r="F4917" i="2"/>
  <c r="E4917" i="2"/>
  <c r="D4917" i="2"/>
  <c r="C4917" i="2"/>
  <c r="B4917" i="2"/>
  <c r="A4917" i="2"/>
  <c r="H4916" i="2"/>
  <c r="G4916" i="2"/>
  <c r="F4916" i="2"/>
  <c r="E4916" i="2"/>
  <c r="D4916" i="2"/>
  <c r="C4916" i="2"/>
  <c r="B4916" i="2"/>
  <c r="A4916" i="2"/>
  <c r="H4915" i="2"/>
  <c r="G4915" i="2"/>
  <c r="F4915" i="2"/>
  <c r="E4915" i="2"/>
  <c r="D4915" i="2"/>
  <c r="C4915" i="2"/>
  <c r="B4915" i="2"/>
  <c r="A4915" i="2"/>
  <c r="H4914" i="2"/>
  <c r="G4914" i="2"/>
  <c r="F4914" i="2"/>
  <c r="E4914" i="2"/>
  <c r="D4914" i="2"/>
  <c r="C4914" i="2"/>
  <c r="B4914" i="2"/>
  <c r="A4914" i="2"/>
  <c r="H4913" i="2"/>
  <c r="G4913" i="2"/>
  <c r="F4913" i="2"/>
  <c r="E4913" i="2"/>
  <c r="D4913" i="2"/>
  <c r="C4913" i="2"/>
  <c r="B4913" i="2"/>
  <c r="A4913" i="2"/>
  <c r="H4912" i="2"/>
  <c r="G4912" i="2"/>
  <c r="F4912" i="2"/>
  <c r="E4912" i="2"/>
  <c r="D4912" i="2"/>
  <c r="C4912" i="2"/>
  <c r="B4912" i="2"/>
  <c r="A4912" i="2"/>
  <c r="H4911" i="2"/>
  <c r="G4911" i="2"/>
  <c r="F4911" i="2"/>
  <c r="E4911" i="2"/>
  <c r="D4911" i="2"/>
  <c r="C4911" i="2"/>
  <c r="B4911" i="2"/>
  <c r="A4911" i="2"/>
  <c r="H4910" i="2"/>
  <c r="G4910" i="2"/>
  <c r="F4910" i="2"/>
  <c r="E4910" i="2"/>
  <c r="D4910" i="2"/>
  <c r="C4910" i="2"/>
  <c r="B4910" i="2"/>
  <c r="A4910" i="2"/>
  <c r="H4909" i="2"/>
  <c r="G4909" i="2"/>
  <c r="F4909" i="2"/>
  <c r="E4909" i="2"/>
  <c r="D4909" i="2"/>
  <c r="C4909" i="2"/>
  <c r="B4909" i="2"/>
  <c r="A4909" i="2"/>
  <c r="H4908" i="2"/>
  <c r="G4908" i="2"/>
  <c r="F4908" i="2"/>
  <c r="E4908" i="2"/>
  <c r="D4908" i="2"/>
  <c r="C4908" i="2"/>
  <c r="B4908" i="2"/>
  <c r="A4908" i="2"/>
  <c r="H4907" i="2"/>
  <c r="G4907" i="2"/>
  <c r="F4907" i="2"/>
  <c r="E4907" i="2"/>
  <c r="D4907" i="2"/>
  <c r="C4907" i="2"/>
  <c r="B4907" i="2"/>
  <c r="A4907" i="2"/>
  <c r="H4906" i="2"/>
  <c r="G4906" i="2"/>
  <c r="F4906" i="2"/>
  <c r="E4906" i="2"/>
  <c r="D4906" i="2"/>
  <c r="C4906" i="2"/>
  <c r="B4906" i="2"/>
  <c r="A4906" i="2"/>
  <c r="H4905" i="2"/>
  <c r="G4905" i="2"/>
  <c r="F4905" i="2"/>
  <c r="E4905" i="2"/>
  <c r="D4905" i="2"/>
  <c r="C4905" i="2"/>
  <c r="B4905" i="2"/>
  <c r="A4905" i="2"/>
  <c r="H4904" i="2"/>
  <c r="G4904" i="2"/>
  <c r="F4904" i="2"/>
  <c r="E4904" i="2"/>
  <c r="D4904" i="2"/>
  <c r="C4904" i="2"/>
  <c r="B4904" i="2"/>
  <c r="A4904" i="2"/>
  <c r="H4903" i="2"/>
  <c r="G4903" i="2"/>
  <c r="F4903" i="2"/>
  <c r="E4903" i="2"/>
  <c r="D4903" i="2"/>
  <c r="C4903" i="2"/>
  <c r="B4903" i="2"/>
  <c r="A4903" i="2"/>
  <c r="H4902" i="2"/>
  <c r="G4902" i="2"/>
  <c r="F4902" i="2"/>
  <c r="E4902" i="2"/>
  <c r="D4902" i="2"/>
  <c r="C4902" i="2"/>
  <c r="B4902" i="2"/>
  <c r="A4902" i="2"/>
  <c r="H4901" i="2"/>
  <c r="G4901" i="2"/>
  <c r="F4901" i="2"/>
  <c r="E4901" i="2"/>
  <c r="D4901" i="2"/>
  <c r="C4901" i="2"/>
  <c r="B4901" i="2"/>
  <c r="A4901" i="2"/>
  <c r="H4900" i="2"/>
  <c r="G4900" i="2"/>
  <c r="F4900" i="2"/>
  <c r="E4900" i="2"/>
  <c r="D4900" i="2"/>
  <c r="C4900" i="2"/>
  <c r="B4900" i="2"/>
  <c r="A4900" i="2"/>
  <c r="H4899" i="2"/>
  <c r="G4899" i="2"/>
  <c r="F4899" i="2"/>
  <c r="E4899" i="2"/>
  <c r="D4899" i="2"/>
  <c r="C4899" i="2"/>
  <c r="B4899" i="2"/>
  <c r="A4899" i="2"/>
  <c r="H4898" i="2"/>
  <c r="G4898" i="2"/>
  <c r="F4898" i="2"/>
  <c r="E4898" i="2"/>
  <c r="D4898" i="2"/>
  <c r="C4898" i="2"/>
  <c r="B4898" i="2"/>
  <c r="A4898" i="2"/>
  <c r="H4897" i="2"/>
  <c r="G4897" i="2"/>
  <c r="F4897" i="2"/>
  <c r="E4897" i="2"/>
  <c r="D4897" i="2"/>
  <c r="C4897" i="2"/>
  <c r="B4897" i="2"/>
  <c r="A4897" i="2"/>
  <c r="H4896" i="2"/>
  <c r="G4896" i="2"/>
  <c r="F4896" i="2"/>
  <c r="E4896" i="2"/>
  <c r="D4896" i="2"/>
  <c r="C4896" i="2"/>
  <c r="B4896" i="2"/>
  <c r="A4896" i="2"/>
  <c r="H4895" i="2"/>
  <c r="G4895" i="2"/>
  <c r="F4895" i="2"/>
  <c r="E4895" i="2"/>
  <c r="D4895" i="2"/>
  <c r="C4895" i="2"/>
  <c r="B4895" i="2"/>
  <c r="A4895" i="2"/>
  <c r="H4894" i="2"/>
  <c r="G4894" i="2"/>
  <c r="F4894" i="2"/>
  <c r="E4894" i="2"/>
  <c r="D4894" i="2"/>
  <c r="C4894" i="2"/>
  <c r="B4894" i="2"/>
  <c r="A4894" i="2"/>
  <c r="H4893" i="2"/>
  <c r="G4893" i="2"/>
  <c r="F4893" i="2"/>
  <c r="E4893" i="2"/>
  <c r="D4893" i="2"/>
  <c r="C4893" i="2"/>
  <c r="B4893" i="2"/>
  <c r="A4893" i="2"/>
  <c r="H4892" i="2"/>
  <c r="G4892" i="2"/>
  <c r="F4892" i="2"/>
  <c r="E4892" i="2"/>
  <c r="D4892" i="2"/>
  <c r="C4892" i="2"/>
  <c r="B4892" i="2"/>
  <c r="A4892" i="2"/>
  <c r="H4891" i="2"/>
  <c r="G4891" i="2"/>
  <c r="F4891" i="2"/>
  <c r="E4891" i="2"/>
  <c r="D4891" i="2"/>
  <c r="C4891" i="2"/>
  <c r="B4891" i="2"/>
  <c r="A4891" i="2"/>
  <c r="H4890" i="2"/>
  <c r="G4890" i="2"/>
  <c r="F4890" i="2"/>
  <c r="E4890" i="2"/>
  <c r="D4890" i="2"/>
  <c r="C4890" i="2"/>
  <c r="B4890" i="2"/>
  <c r="A4890" i="2"/>
  <c r="H4889" i="2"/>
  <c r="G4889" i="2"/>
  <c r="F4889" i="2"/>
  <c r="E4889" i="2"/>
  <c r="D4889" i="2"/>
  <c r="C4889" i="2"/>
  <c r="B4889" i="2"/>
  <c r="A4889" i="2"/>
  <c r="H4888" i="2"/>
  <c r="G4888" i="2"/>
  <c r="F4888" i="2"/>
  <c r="E4888" i="2"/>
  <c r="D4888" i="2"/>
  <c r="C4888" i="2"/>
  <c r="B4888" i="2"/>
  <c r="A4888" i="2"/>
  <c r="H4887" i="2"/>
  <c r="G4887" i="2"/>
  <c r="F4887" i="2"/>
  <c r="E4887" i="2"/>
  <c r="D4887" i="2"/>
  <c r="C4887" i="2"/>
  <c r="B4887" i="2"/>
  <c r="A4887" i="2"/>
  <c r="H4886" i="2"/>
  <c r="G4886" i="2"/>
  <c r="F4886" i="2"/>
  <c r="E4886" i="2"/>
  <c r="D4886" i="2"/>
  <c r="C4886" i="2"/>
  <c r="B4886" i="2"/>
  <c r="A4886" i="2"/>
  <c r="H4885" i="2"/>
  <c r="G4885" i="2"/>
  <c r="F4885" i="2"/>
  <c r="E4885" i="2"/>
  <c r="D4885" i="2"/>
  <c r="C4885" i="2"/>
  <c r="B4885" i="2"/>
  <c r="A4885" i="2"/>
  <c r="H4884" i="2"/>
  <c r="G4884" i="2"/>
  <c r="F4884" i="2"/>
  <c r="E4884" i="2"/>
  <c r="D4884" i="2"/>
  <c r="C4884" i="2"/>
  <c r="B4884" i="2"/>
  <c r="A4884" i="2"/>
  <c r="H4883" i="2"/>
  <c r="G4883" i="2"/>
  <c r="F4883" i="2"/>
  <c r="E4883" i="2"/>
  <c r="D4883" i="2"/>
  <c r="C4883" i="2"/>
  <c r="B4883" i="2"/>
  <c r="A4883" i="2"/>
  <c r="H4882" i="2"/>
  <c r="G4882" i="2"/>
  <c r="F4882" i="2"/>
  <c r="E4882" i="2"/>
  <c r="D4882" i="2"/>
  <c r="C4882" i="2"/>
  <c r="B4882" i="2"/>
  <c r="A4882" i="2"/>
  <c r="H4881" i="2"/>
  <c r="G4881" i="2"/>
  <c r="F4881" i="2"/>
  <c r="E4881" i="2"/>
  <c r="D4881" i="2"/>
  <c r="C4881" i="2"/>
  <c r="B4881" i="2"/>
  <c r="A4881" i="2"/>
  <c r="H4880" i="2"/>
  <c r="G4880" i="2"/>
  <c r="F4880" i="2"/>
  <c r="E4880" i="2"/>
  <c r="D4880" i="2"/>
  <c r="C4880" i="2"/>
  <c r="B4880" i="2"/>
  <c r="A4880" i="2"/>
  <c r="H4879" i="2"/>
  <c r="G4879" i="2"/>
  <c r="F4879" i="2"/>
  <c r="E4879" i="2"/>
  <c r="D4879" i="2"/>
  <c r="C4879" i="2"/>
  <c r="B4879" i="2"/>
  <c r="A4879" i="2"/>
  <c r="H4878" i="2"/>
  <c r="G4878" i="2"/>
  <c r="F4878" i="2"/>
  <c r="E4878" i="2"/>
  <c r="D4878" i="2"/>
  <c r="C4878" i="2"/>
  <c r="B4878" i="2"/>
  <c r="A4878" i="2"/>
  <c r="H4877" i="2"/>
  <c r="G4877" i="2"/>
  <c r="F4877" i="2"/>
  <c r="E4877" i="2"/>
  <c r="D4877" i="2"/>
  <c r="C4877" i="2"/>
  <c r="B4877" i="2"/>
  <c r="A4877" i="2"/>
  <c r="H4876" i="2"/>
  <c r="G4876" i="2"/>
  <c r="F4876" i="2"/>
  <c r="E4876" i="2"/>
  <c r="D4876" i="2"/>
  <c r="C4876" i="2"/>
  <c r="B4876" i="2"/>
  <c r="A4876" i="2"/>
  <c r="H4875" i="2"/>
  <c r="G4875" i="2"/>
  <c r="F4875" i="2"/>
  <c r="E4875" i="2"/>
  <c r="D4875" i="2"/>
  <c r="C4875" i="2"/>
  <c r="B4875" i="2"/>
  <c r="A4875" i="2"/>
  <c r="H4874" i="2"/>
  <c r="G4874" i="2"/>
  <c r="F4874" i="2"/>
  <c r="E4874" i="2"/>
  <c r="D4874" i="2"/>
  <c r="C4874" i="2"/>
  <c r="B4874" i="2"/>
  <c r="A4874" i="2"/>
  <c r="H4873" i="2"/>
  <c r="G4873" i="2"/>
  <c r="F4873" i="2"/>
  <c r="E4873" i="2"/>
  <c r="D4873" i="2"/>
  <c r="C4873" i="2"/>
  <c r="B4873" i="2"/>
  <c r="A4873" i="2"/>
  <c r="H4872" i="2"/>
  <c r="G4872" i="2"/>
  <c r="F4872" i="2"/>
  <c r="E4872" i="2"/>
  <c r="D4872" i="2"/>
  <c r="C4872" i="2"/>
  <c r="B4872" i="2"/>
  <c r="A4872" i="2"/>
  <c r="H4871" i="2"/>
  <c r="G4871" i="2"/>
  <c r="F4871" i="2"/>
  <c r="E4871" i="2"/>
  <c r="D4871" i="2"/>
  <c r="C4871" i="2"/>
  <c r="B4871" i="2"/>
  <c r="A4871" i="2"/>
  <c r="H4870" i="2"/>
  <c r="G4870" i="2"/>
  <c r="F4870" i="2"/>
  <c r="E4870" i="2"/>
  <c r="D4870" i="2"/>
  <c r="C4870" i="2"/>
  <c r="B4870" i="2"/>
  <c r="A4870" i="2"/>
  <c r="H4869" i="2"/>
  <c r="G4869" i="2"/>
  <c r="F4869" i="2"/>
  <c r="E4869" i="2"/>
  <c r="D4869" i="2"/>
  <c r="C4869" i="2"/>
  <c r="B4869" i="2"/>
  <c r="A4869" i="2"/>
  <c r="H4868" i="2"/>
  <c r="G4868" i="2"/>
  <c r="F4868" i="2"/>
  <c r="E4868" i="2"/>
  <c r="D4868" i="2"/>
  <c r="C4868" i="2"/>
  <c r="B4868" i="2"/>
  <c r="A4868" i="2"/>
  <c r="H4867" i="2"/>
  <c r="G4867" i="2"/>
  <c r="F4867" i="2"/>
  <c r="E4867" i="2"/>
  <c r="D4867" i="2"/>
  <c r="C4867" i="2"/>
  <c r="B4867" i="2"/>
  <c r="A4867" i="2"/>
  <c r="H4866" i="2"/>
  <c r="G4866" i="2"/>
  <c r="F4866" i="2"/>
  <c r="E4866" i="2"/>
  <c r="D4866" i="2"/>
  <c r="C4866" i="2"/>
  <c r="B4866" i="2"/>
  <c r="A4866" i="2"/>
  <c r="H4865" i="2"/>
  <c r="G4865" i="2"/>
  <c r="F4865" i="2"/>
  <c r="E4865" i="2"/>
  <c r="D4865" i="2"/>
  <c r="C4865" i="2"/>
  <c r="B4865" i="2"/>
  <c r="A4865" i="2"/>
  <c r="H4864" i="2"/>
  <c r="G4864" i="2"/>
  <c r="F4864" i="2"/>
  <c r="E4864" i="2"/>
  <c r="D4864" i="2"/>
  <c r="C4864" i="2"/>
  <c r="B4864" i="2"/>
  <c r="A4864" i="2"/>
  <c r="H4863" i="2"/>
  <c r="G4863" i="2"/>
  <c r="F4863" i="2"/>
  <c r="E4863" i="2"/>
  <c r="D4863" i="2"/>
  <c r="C4863" i="2"/>
  <c r="B4863" i="2"/>
  <c r="A4863" i="2"/>
  <c r="H4862" i="2"/>
  <c r="G4862" i="2"/>
  <c r="F4862" i="2"/>
  <c r="E4862" i="2"/>
  <c r="D4862" i="2"/>
  <c r="C4862" i="2"/>
  <c r="B4862" i="2"/>
  <c r="A4862" i="2"/>
  <c r="H4861" i="2"/>
  <c r="G4861" i="2"/>
  <c r="F4861" i="2"/>
  <c r="E4861" i="2"/>
  <c r="D4861" i="2"/>
  <c r="C4861" i="2"/>
  <c r="B4861" i="2"/>
  <c r="A4861" i="2"/>
  <c r="H4860" i="2"/>
  <c r="G4860" i="2"/>
  <c r="F4860" i="2"/>
  <c r="E4860" i="2"/>
  <c r="D4860" i="2"/>
  <c r="C4860" i="2"/>
  <c r="B4860" i="2"/>
  <c r="A4860" i="2"/>
  <c r="H4859" i="2"/>
  <c r="G4859" i="2"/>
  <c r="F4859" i="2"/>
  <c r="E4859" i="2"/>
  <c r="D4859" i="2"/>
  <c r="C4859" i="2"/>
  <c r="B4859" i="2"/>
  <c r="A4859" i="2"/>
  <c r="H4858" i="2"/>
  <c r="G4858" i="2"/>
  <c r="F4858" i="2"/>
  <c r="E4858" i="2"/>
  <c r="D4858" i="2"/>
  <c r="C4858" i="2"/>
  <c r="B4858" i="2"/>
  <c r="A4858" i="2"/>
  <c r="H4857" i="2"/>
  <c r="G4857" i="2"/>
  <c r="F4857" i="2"/>
  <c r="E4857" i="2"/>
  <c r="D4857" i="2"/>
  <c r="C4857" i="2"/>
  <c r="B4857" i="2"/>
  <c r="A4857" i="2"/>
  <c r="H4856" i="2"/>
  <c r="G4856" i="2"/>
  <c r="F4856" i="2"/>
  <c r="E4856" i="2"/>
  <c r="D4856" i="2"/>
  <c r="C4856" i="2"/>
  <c r="B4856" i="2"/>
  <c r="A4856" i="2"/>
  <c r="H4855" i="2"/>
  <c r="G4855" i="2"/>
  <c r="F4855" i="2"/>
  <c r="E4855" i="2"/>
  <c r="D4855" i="2"/>
  <c r="C4855" i="2"/>
  <c r="B4855" i="2"/>
  <c r="A4855" i="2"/>
  <c r="H4854" i="2"/>
  <c r="G4854" i="2"/>
  <c r="F4854" i="2"/>
  <c r="E4854" i="2"/>
  <c r="D4854" i="2"/>
  <c r="C4854" i="2"/>
  <c r="B4854" i="2"/>
  <c r="A4854" i="2"/>
  <c r="H4853" i="2"/>
  <c r="G4853" i="2"/>
  <c r="F4853" i="2"/>
  <c r="E4853" i="2"/>
  <c r="D4853" i="2"/>
  <c r="C4853" i="2"/>
  <c r="B4853" i="2"/>
  <c r="A4853" i="2"/>
  <c r="H4852" i="2"/>
  <c r="G4852" i="2"/>
  <c r="F4852" i="2"/>
  <c r="E4852" i="2"/>
  <c r="D4852" i="2"/>
  <c r="C4852" i="2"/>
  <c r="B4852" i="2"/>
  <c r="A4852" i="2"/>
  <c r="H4851" i="2"/>
  <c r="G4851" i="2"/>
  <c r="F4851" i="2"/>
  <c r="E4851" i="2"/>
  <c r="D4851" i="2"/>
  <c r="C4851" i="2"/>
  <c r="B4851" i="2"/>
  <c r="A4851" i="2"/>
  <c r="H4850" i="2"/>
  <c r="G4850" i="2"/>
  <c r="F4850" i="2"/>
  <c r="E4850" i="2"/>
  <c r="D4850" i="2"/>
  <c r="C4850" i="2"/>
  <c r="B4850" i="2"/>
  <c r="A4850" i="2"/>
  <c r="H4849" i="2"/>
  <c r="G4849" i="2"/>
  <c r="F4849" i="2"/>
  <c r="E4849" i="2"/>
  <c r="D4849" i="2"/>
  <c r="C4849" i="2"/>
  <c r="B4849" i="2"/>
  <c r="A4849" i="2"/>
  <c r="H4848" i="2"/>
  <c r="G4848" i="2"/>
  <c r="F4848" i="2"/>
  <c r="E4848" i="2"/>
  <c r="D4848" i="2"/>
  <c r="C4848" i="2"/>
  <c r="B4848" i="2"/>
  <c r="A4848" i="2"/>
  <c r="H4847" i="2"/>
  <c r="G4847" i="2"/>
  <c r="F4847" i="2"/>
  <c r="E4847" i="2"/>
  <c r="D4847" i="2"/>
  <c r="C4847" i="2"/>
  <c r="B4847" i="2"/>
  <c r="A4847" i="2"/>
  <c r="H4846" i="2"/>
  <c r="G4846" i="2"/>
  <c r="F4846" i="2"/>
  <c r="E4846" i="2"/>
  <c r="D4846" i="2"/>
  <c r="C4846" i="2"/>
  <c r="B4846" i="2"/>
  <c r="A4846" i="2"/>
  <c r="H4845" i="2"/>
  <c r="G4845" i="2"/>
  <c r="F4845" i="2"/>
  <c r="E4845" i="2"/>
  <c r="D4845" i="2"/>
  <c r="C4845" i="2"/>
  <c r="B4845" i="2"/>
  <c r="A4845" i="2"/>
  <c r="H4844" i="2"/>
  <c r="G4844" i="2"/>
  <c r="F4844" i="2"/>
  <c r="E4844" i="2"/>
  <c r="D4844" i="2"/>
  <c r="C4844" i="2"/>
  <c r="B4844" i="2"/>
  <c r="A4844" i="2"/>
  <c r="H4843" i="2"/>
  <c r="G4843" i="2"/>
  <c r="F4843" i="2"/>
  <c r="E4843" i="2"/>
  <c r="D4843" i="2"/>
  <c r="C4843" i="2"/>
  <c r="B4843" i="2"/>
  <c r="A4843" i="2"/>
  <c r="H4842" i="2"/>
  <c r="G4842" i="2"/>
  <c r="F4842" i="2"/>
  <c r="E4842" i="2"/>
  <c r="D4842" i="2"/>
  <c r="C4842" i="2"/>
  <c r="B4842" i="2"/>
  <c r="A4842" i="2"/>
  <c r="H4841" i="2"/>
  <c r="G4841" i="2"/>
  <c r="F4841" i="2"/>
  <c r="E4841" i="2"/>
  <c r="D4841" i="2"/>
  <c r="C4841" i="2"/>
  <c r="B4841" i="2"/>
  <c r="A4841" i="2"/>
  <c r="H4840" i="2"/>
  <c r="G4840" i="2"/>
  <c r="F4840" i="2"/>
  <c r="E4840" i="2"/>
  <c r="D4840" i="2"/>
  <c r="C4840" i="2"/>
  <c r="B4840" i="2"/>
  <c r="A4840" i="2"/>
  <c r="H4839" i="2"/>
  <c r="G4839" i="2"/>
  <c r="F4839" i="2"/>
  <c r="E4839" i="2"/>
  <c r="D4839" i="2"/>
  <c r="C4839" i="2"/>
  <c r="B4839" i="2"/>
  <c r="A4839" i="2"/>
  <c r="H4838" i="2"/>
  <c r="G4838" i="2"/>
  <c r="F4838" i="2"/>
  <c r="E4838" i="2"/>
  <c r="D4838" i="2"/>
  <c r="C4838" i="2"/>
  <c r="B4838" i="2"/>
  <c r="A4838" i="2"/>
  <c r="H4837" i="2"/>
  <c r="G4837" i="2"/>
  <c r="F4837" i="2"/>
  <c r="E4837" i="2"/>
  <c r="D4837" i="2"/>
  <c r="C4837" i="2"/>
  <c r="B4837" i="2"/>
  <c r="A4837" i="2"/>
  <c r="H4836" i="2"/>
  <c r="G4836" i="2"/>
  <c r="F4836" i="2"/>
  <c r="E4836" i="2"/>
  <c r="D4836" i="2"/>
  <c r="C4836" i="2"/>
  <c r="B4836" i="2"/>
  <c r="A4836" i="2"/>
  <c r="H4835" i="2"/>
  <c r="G4835" i="2"/>
  <c r="F4835" i="2"/>
  <c r="E4835" i="2"/>
  <c r="D4835" i="2"/>
  <c r="C4835" i="2"/>
  <c r="B4835" i="2"/>
  <c r="A4835" i="2"/>
  <c r="H4834" i="2"/>
  <c r="G4834" i="2"/>
  <c r="F4834" i="2"/>
  <c r="E4834" i="2"/>
  <c r="D4834" i="2"/>
  <c r="C4834" i="2"/>
  <c r="B4834" i="2"/>
  <c r="A4834" i="2"/>
  <c r="H4833" i="2"/>
  <c r="G4833" i="2"/>
  <c r="F4833" i="2"/>
  <c r="E4833" i="2"/>
  <c r="D4833" i="2"/>
  <c r="C4833" i="2"/>
  <c r="B4833" i="2"/>
  <c r="A4833" i="2"/>
  <c r="H4832" i="2"/>
  <c r="G4832" i="2"/>
  <c r="F4832" i="2"/>
  <c r="E4832" i="2"/>
  <c r="D4832" i="2"/>
  <c r="C4832" i="2"/>
  <c r="B4832" i="2"/>
  <c r="A4832" i="2"/>
  <c r="H4831" i="2"/>
  <c r="G4831" i="2"/>
  <c r="F4831" i="2"/>
  <c r="E4831" i="2"/>
  <c r="D4831" i="2"/>
  <c r="C4831" i="2"/>
  <c r="B4831" i="2"/>
  <c r="A4831" i="2"/>
  <c r="H4830" i="2"/>
  <c r="G4830" i="2"/>
  <c r="F4830" i="2"/>
  <c r="E4830" i="2"/>
  <c r="D4830" i="2"/>
  <c r="C4830" i="2"/>
  <c r="B4830" i="2"/>
  <c r="A4830" i="2"/>
  <c r="H4829" i="2"/>
  <c r="G4829" i="2"/>
  <c r="F4829" i="2"/>
  <c r="E4829" i="2"/>
  <c r="D4829" i="2"/>
  <c r="C4829" i="2"/>
  <c r="B4829" i="2"/>
  <c r="A4829" i="2"/>
  <c r="H4828" i="2"/>
  <c r="G4828" i="2"/>
  <c r="F4828" i="2"/>
  <c r="E4828" i="2"/>
  <c r="D4828" i="2"/>
  <c r="C4828" i="2"/>
  <c r="B4828" i="2"/>
  <c r="A4828" i="2"/>
  <c r="H4827" i="2"/>
  <c r="G4827" i="2"/>
  <c r="F4827" i="2"/>
  <c r="E4827" i="2"/>
  <c r="D4827" i="2"/>
  <c r="C4827" i="2"/>
  <c r="B4827" i="2"/>
  <c r="A4827" i="2"/>
  <c r="H4826" i="2"/>
  <c r="G4826" i="2"/>
  <c r="F4826" i="2"/>
  <c r="E4826" i="2"/>
  <c r="D4826" i="2"/>
  <c r="C4826" i="2"/>
  <c r="B4826" i="2"/>
  <c r="A4826" i="2"/>
  <c r="H4825" i="2"/>
  <c r="G4825" i="2"/>
  <c r="F4825" i="2"/>
  <c r="E4825" i="2"/>
  <c r="D4825" i="2"/>
  <c r="C4825" i="2"/>
  <c r="B4825" i="2"/>
  <c r="A4825" i="2"/>
  <c r="H4824" i="2"/>
  <c r="G4824" i="2"/>
  <c r="F4824" i="2"/>
  <c r="E4824" i="2"/>
  <c r="D4824" i="2"/>
  <c r="C4824" i="2"/>
  <c r="B4824" i="2"/>
  <c r="A4824" i="2"/>
  <c r="H4823" i="2"/>
  <c r="G4823" i="2"/>
  <c r="F4823" i="2"/>
  <c r="E4823" i="2"/>
  <c r="D4823" i="2"/>
  <c r="C4823" i="2"/>
  <c r="B4823" i="2"/>
  <c r="A4823" i="2"/>
  <c r="H4822" i="2"/>
  <c r="G4822" i="2"/>
  <c r="F4822" i="2"/>
  <c r="E4822" i="2"/>
  <c r="D4822" i="2"/>
  <c r="C4822" i="2"/>
  <c r="B4822" i="2"/>
  <c r="A4822" i="2"/>
  <c r="H4821" i="2"/>
  <c r="G4821" i="2"/>
  <c r="F4821" i="2"/>
  <c r="E4821" i="2"/>
  <c r="D4821" i="2"/>
  <c r="C4821" i="2"/>
  <c r="B4821" i="2"/>
  <c r="A4821" i="2"/>
  <c r="H4820" i="2"/>
  <c r="G4820" i="2"/>
  <c r="F4820" i="2"/>
  <c r="E4820" i="2"/>
  <c r="D4820" i="2"/>
  <c r="C4820" i="2"/>
  <c r="B4820" i="2"/>
  <c r="A4820" i="2"/>
  <c r="H4819" i="2"/>
  <c r="G4819" i="2"/>
  <c r="F4819" i="2"/>
  <c r="E4819" i="2"/>
  <c r="D4819" i="2"/>
  <c r="C4819" i="2"/>
  <c r="B4819" i="2"/>
  <c r="A4819" i="2"/>
  <c r="H4818" i="2"/>
  <c r="G4818" i="2"/>
  <c r="F4818" i="2"/>
  <c r="E4818" i="2"/>
  <c r="D4818" i="2"/>
  <c r="C4818" i="2"/>
  <c r="B4818" i="2"/>
  <c r="A4818" i="2"/>
  <c r="H4817" i="2"/>
  <c r="G4817" i="2"/>
  <c r="F4817" i="2"/>
  <c r="E4817" i="2"/>
  <c r="D4817" i="2"/>
  <c r="C4817" i="2"/>
  <c r="B4817" i="2"/>
  <c r="A4817" i="2"/>
  <c r="H4816" i="2"/>
  <c r="G4816" i="2"/>
  <c r="F4816" i="2"/>
  <c r="E4816" i="2"/>
  <c r="D4816" i="2"/>
  <c r="C4816" i="2"/>
  <c r="B4816" i="2"/>
  <c r="A4816" i="2"/>
  <c r="H4815" i="2"/>
  <c r="G4815" i="2"/>
  <c r="F4815" i="2"/>
  <c r="E4815" i="2"/>
  <c r="D4815" i="2"/>
  <c r="C4815" i="2"/>
  <c r="B4815" i="2"/>
  <c r="A4815" i="2"/>
  <c r="H4814" i="2"/>
  <c r="G4814" i="2"/>
  <c r="F4814" i="2"/>
  <c r="E4814" i="2"/>
  <c r="D4814" i="2"/>
  <c r="C4814" i="2"/>
  <c r="B4814" i="2"/>
  <c r="A4814" i="2"/>
  <c r="H4813" i="2"/>
  <c r="G4813" i="2"/>
  <c r="F4813" i="2"/>
  <c r="E4813" i="2"/>
  <c r="D4813" i="2"/>
  <c r="C4813" i="2"/>
  <c r="B4813" i="2"/>
  <c r="A4813" i="2"/>
  <c r="H4812" i="2"/>
  <c r="G4812" i="2"/>
  <c r="F4812" i="2"/>
  <c r="E4812" i="2"/>
  <c r="D4812" i="2"/>
  <c r="C4812" i="2"/>
  <c r="B4812" i="2"/>
  <c r="A4812" i="2"/>
  <c r="H4811" i="2"/>
  <c r="G4811" i="2"/>
  <c r="F4811" i="2"/>
  <c r="E4811" i="2"/>
  <c r="D4811" i="2"/>
  <c r="C4811" i="2"/>
  <c r="B4811" i="2"/>
  <c r="A4811" i="2"/>
  <c r="H4810" i="2"/>
  <c r="G4810" i="2"/>
  <c r="F4810" i="2"/>
  <c r="E4810" i="2"/>
  <c r="D4810" i="2"/>
  <c r="C4810" i="2"/>
  <c r="B4810" i="2"/>
  <c r="A4810" i="2"/>
  <c r="H4809" i="2"/>
  <c r="G4809" i="2"/>
  <c r="F4809" i="2"/>
  <c r="E4809" i="2"/>
  <c r="D4809" i="2"/>
  <c r="C4809" i="2"/>
  <c r="B4809" i="2"/>
  <c r="A4809" i="2"/>
  <c r="H4808" i="2"/>
  <c r="G4808" i="2"/>
  <c r="F4808" i="2"/>
  <c r="E4808" i="2"/>
  <c r="D4808" i="2"/>
  <c r="C4808" i="2"/>
  <c r="B4808" i="2"/>
  <c r="A4808" i="2"/>
  <c r="H4807" i="2"/>
  <c r="G4807" i="2"/>
  <c r="F4807" i="2"/>
  <c r="E4807" i="2"/>
  <c r="D4807" i="2"/>
  <c r="C4807" i="2"/>
  <c r="B4807" i="2"/>
  <c r="A4807" i="2"/>
  <c r="H4806" i="2"/>
  <c r="G4806" i="2"/>
  <c r="F4806" i="2"/>
  <c r="E4806" i="2"/>
  <c r="D4806" i="2"/>
  <c r="C4806" i="2"/>
  <c r="B4806" i="2"/>
  <c r="A4806" i="2"/>
  <c r="H4805" i="2"/>
  <c r="G4805" i="2"/>
  <c r="F4805" i="2"/>
  <c r="E4805" i="2"/>
  <c r="D4805" i="2"/>
  <c r="C4805" i="2"/>
  <c r="B4805" i="2"/>
  <c r="A4805" i="2"/>
  <c r="H4804" i="2"/>
  <c r="G4804" i="2"/>
  <c r="F4804" i="2"/>
  <c r="E4804" i="2"/>
  <c r="D4804" i="2"/>
  <c r="C4804" i="2"/>
  <c r="B4804" i="2"/>
  <c r="A4804" i="2"/>
  <c r="H4803" i="2"/>
  <c r="G4803" i="2"/>
  <c r="F4803" i="2"/>
  <c r="E4803" i="2"/>
  <c r="D4803" i="2"/>
  <c r="C4803" i="2"/>
  <c r="B4803" i="2"/>
  <c r="A4803" i="2"/>
  <c r="H4802" i="2"/>
  <c r="G4802" i="2"/>
  <c r="F4802" i="2"/>
  <c r="E4802" i="2"/>
  <c r="D4802" i="2"/>
  <c r="C4802" i="2"/>
  <c r="B4802" i="2"/>
  <c r="A4802" i="2"/>
  <c r="H4801" i="2"/>
  <c r="G4801" i="2"/>
  <c r="F4801" i="2"/>
  <c r="E4801" i="2"/>
  <c r="D4801" i="2"/>
  <c r="C4801" i="2"/>
  <c r="B4801" i="2"/>
  <c r="A4801" i="2"/>
  <c r="H4800" i="2"/>
  <c r="G4800" i="2"/>
  <c r="F4800" i="2"/>
  <c r="E4800" i="2"/>
  <c r="D4800" i="2"/>
  <c r="C4800" i="2"/>
  <c r="B4800" i="2"/>
  <c r="A4800" i="2"/>
  <c r="H4799" i="2"/>
  <c r="G4799" i="2"/>
  <c r="F4799" i="2"/>
  <c r="E4799" i="2"/>
  <c r="D4799" i="2"/>
  <c r="C4799" i="2"/>
  <c r="B4799" i="2"/>
  <c r="A4799" i="2"/>
  <c r="H4798" i="2"/>
  <c r="G4798" i="2"/>
  <c r="F4798" i="2"/>
  <c r="E4798" i="2"/>
  <c r="D4798" i="2"/>
  <c r="C4798" i="2"/>
  <c r="B4798" i="2"/>
  <c r="A4798" i="2"/>
  <c r="H4797" i="2"/>
  <c r="G4797" i="2"/>
  <c r="F4797" i="2"/>
  <c r="E4797" i="2"/>
  <c r="D4797" i="2"/>
  <c r="C4797" i="2"/>
  <c r="B4797" i="2"/>
  <c r="A4797" i="2"/>
  <c r="H4796" i="2"/>
  <c r="G4796" i="2"/>
  <c r="F4796" i="2"/>
  <c r="E4796" i="2"/>
  <c r="D4796" i="2"/>
  <c r="C4796" i="2"/>
  <c r="B4796" i="2"/>
  <c r="A4796" i="2"/>
  <c r="H4795" i="2"/>
  <c r="G4795" i="2"/>
  <c r="F4795" i="2"/>
  <c r="E4795" i="2"/>
  <c r="D4795" i="2"/>
  <c r="C4795" i="2"/>
  <c r="B4795" i="2"/>
  <c r="A4795" i="2"/>
  <c r="H4794" i="2"/>
  <c r="G4794" i="2"/>
  <c r="F4794" i="2"/>
  <c r="E4794" i="2"/>
  <c r="D4794" i="2"/>
  <c r="C4794" i="2"/>
  <c r="B4794" i="2"/>
  <c r="A4794" i="2"/>
  <c r="H4793" i="2"/>
  <c r="G4793" i="2"/>
  <c r="F4793" i="2"/>
  <c r="E4793" i="2"/>
  <c r="D4793" i="2"/>
  <c r="C4793" i="2"/>
  <c r="B4793" i="2"/>
  <c r="A4793" i="2"/>
  <c r="H4792" i="2"/>
  <c r="G4792" i="2"/>
  <c r="F4792" i="2"/>
  <c r="E4792" i="2"/>
  <c r="D4792" i="2"/>
  <c r="C4792" i="2"/>
  <c r="B4792" i="2"/>
  <c r="A4792" i="2"/>
  <c r="H4791" i="2"/>
  <c r="G4791" i="2"/>
  <c r="F4791" i="2"/>
  <c r="E4791" i="2"/>
  <c r="D4791" i="2"/>
  <c r="C4791" i="2"/>
  <c r="B4791" i="2"/>
  <c r="A4791" i="2"/>
  <c r="H4790" i="2"/>
  <c r="G4790" i="2"/>
  <c r="F4790" i="2"/>
  <c r="E4790" i="2"/>
  <c r="D4790" i="2"/>
  <c r="C4790" i="2"/>
  <c r="B4790" i="2"/>
  <c r="A4790" i="2"/>
  <c r="H4789" i="2"/>
  <c r="G4789" i="2"/>
  <c r="F4789" i="2"/>
  <c r="E4789" i="2"/>
  <c r="D4789" i="2"/>
  <c r="C4789" i="2"/>
  <c r="B4789" i="2"/>
  <c r="A4789" i="2"/>
  <c r="H4788" i="2"/>
  <c r="G4788" i="2"/>
  <c r="F4788" i="2"/>
  <c r="E4788" i="2"/>
  <c r="D4788" i="2"/>
  <c r="C4788" i="2"/>
  <c r="B4788" i="2"/>
  <c r="A4788" i="2"/>
  <c r="H4787" i="2"/>
  <c r="G4787" i="2"/>
  <c r="F4787" i="2"/>
  <c r="E4787" i="2"/>
  <c r="D4787" i="2"/>
  <c r="C4787" i="2"/>
  <c r="B4787" i="2"/>
  <c r="A4787" i="2"/>
  <c r="H4786" i="2"/>
  <c r="G4786" i="2"/>
  <c r="F4786" i="2"/>
  <c r="E4786" i="2"/>
  <c r="D4786" i="2"/>
  <c r="C4786" i="2"/>
  <c r="B4786" i="2"/>
  <c r="A4786" i="2"/>
  <c r="H4785" i="2"/>
  <c r="G4785" i="2"/>
  <c r="F4785" i="2"/>
  <c r="E4785" i="2"/>
  <c r="D4785" i="2"/>
  <c r="C4785" i="2"/>
  <c r="B4785" i="2"/>
  <c r="A4785" i="2"/>
  <c r="H4784" i="2"/>
  <c r="G4784" i="2"/>
  <c r="F4784" i="2"/>
  <c r="E4784" i="2"/>
  <c r="D4784" i="2"/>
  <c r="C4784" i="2"/>
  <c r="B4784" i="2"/>
  <c r="A4784" i="2"/>
  <c r="H4783" i="2"/>
  <c r="G4783" i="2"/>
  <c r="F4783" i="2"/>
  <c r="E4783" i="2"/>
  <c r="D4783" i="2"/>
  <c r="C4783" i="2"/>
  <c r="B4783" i="2"/>
  <c r="A4783" i="2"/>
  <c r="H4782" i="2"/>
  <c r="G4782" i="2"/>
  <c r="F4782" i="2"/>
  <c r="E4782" i="2"/>
  <c r="D4782" i="2"/>
  <c r="C4782" i="2"/>
  <c r="B4782" i="2"/>
  <c r="A4782" i="2"/>
  <c r="H4781" i="2"/>
  <c r="G4781" i="2"/>
  <c r="F4781" i="2"/>
  <c r="E4781" i="2"/>
  <c r="D4781" i="2"/>
  <c r="C4781" i="2"/>
  <c r="B4781" i="2"/>
  <c r="A4781" i="2"/>
  <c r="H4780" i="2"/>
  <c r="G4780" i="2"/>
  <c r="F4780" i="2"/>
  <c r="E4780" i="2"/>
  <c r="D4780" i="2"/>
  <c r="C4780" i="2"/>
  <c r="B4780" i="2"/>
  <c r="A4780" i="2"/>
  <c r="H4779" i="2"/>
  <c r="G4779" i="2"/>
  <c r="F4779" i="2"/>
  <c r="E4779" i="2"/>
  <c r="D4779" i="2"/>
  <c r="C4779" i="2"/>
  <c r="B4779" i="2"/>
  <c r="A4779" i="2"/>
  <c r="H4778" i="2"/>
  <c r="G4778" i="2"/>
  <c r="F4778" i="2"/>
  <c r="E4778" i="2"/>
  <c r="D4778" i="2"/>
  <c r="C4778" i="2"/>
  <c r="B4778" i="2"/>
  <c r="A4778" i="2"/>
  <c r="H4777" i="2"/>
  <c r="G4777" i="2"/>
  <c r="F4777" i="2"/>
  <c r="E4777" i="2"/>
  <c r="D4777" i="2"/>
  <c r="C4777" i="2"/>
  <c r="B4777" i="2"/>
  <c r="A4777" i="2"/>
  <c r="H4776" i="2"/>
  <c r="G4776" i="2"/>
  <c r="F4776" i="2"/>
  <c r="E4776" i="2"/>
  <c r="D4776" i="2"/>
  <c r="C4776" i="2"/>
  <c r="B4776" i="2"/>
  <c r="A4776" i="2"/>
  <c r="H4775" i="2"/>
  <c r="G4775" i="2"/>
  <c r="F4775" i="2"/>
  <c r="E4775" i="2"/>
  <c r="D4775" i="2"/>
  <c r="C4775" i="2"/>
  <c r="B4775" i="2"/>
  <c r="A4775" i="2"/>
  <c r="H4774" i="2"/>
  <c r="G4774" i="2"/>
  <c r="F4774" i="2"/>
  <c r="E4774" i="2"/>
  <c r="D4774" i="2"/>
  <c r="C4774" i="2"/>
  <c r="B4774" i="2"/>
  <c r="A4774" i="2"/>
  <c r="H4773" i="2"/>
  <c r="G4773" i="2"/>
  <c r="F4773" i="2"/>
  <c r="E4773" i="2"/>
  <c r="D4773" i="2"/>
  <c r="C4773" i="2"/>
  <c r="B4773" i="2"/>
  <c r="A4773" i="2"/>
  <c r="H4772" i="2"/>
  <c r="G4772" i="2"/>
  <c r="F4772" i="2"/>
  <c r="E4772" i="2"/>
  <c r="D4772" i="2"/>
  <c r="C4772" i="2"/>
  <c r="B4772" i="2"/>
  <c r="A4772" i="2"/>
  <c r="H4771" i="2"/>
  <c r="G4771" i="2"/>
  <c r="F4771" i="2"/>
  <c r="E4771" i="2"/>
  <c r="D4771" i="2"/>
  <c r="C4771" i="2"/>
  <c r="B4771" i="2"/>
  <c r="A4771" i="2"/>
  <c r="H4770" i="2"/>
  <c r="G4770" i="2"/>
  <c r="F4770" i="2"/>
  <c r="E4770" i="2"/>
  <c r="D4770" i="2"/>
  <c r="C4770" i="2"/>
  <c r="B4770" i="2"/>
  <c r="A4770" i="2"/>
  <c r="H4769" i="2"/>
  <c r="G4769" i="2"/>
  <c r="F4769" i="2"/>
  <c r="E4769" i="2"/>
  <c r="D4769" i="2"/>
  <c r="C4769" i="2"/>
  <c r="B4769" i="2"/>
  <c r="A4769" i="2"/>
  <c r="H4768" i="2"/>
  <c r="G4768" i="2"/>
  <c r="F4768" i="2"/>
  <c r="E4768" i="2"/>
  <c r="D4768" i="2"/>
  <c r="C4768" i="2"/>
  <c r="B4768" i="2"/>
  <c r="A4768" i="2"/>
  <c r="H4767" i="2"/>
  <c r="G4767" i="2"/>
  <c r="F4767" i="2"/>
  <c r="E4767" i="2"/>
  <c r="D4767" i="2"/>
  <c r="C4767" i="2"/>
  <c r="B4767" i="2"/>
  <c r="A4767" i="2"/>
  <c r="H4766" i="2"/>
  <c r="G4766" i="2"/>
  <c r="F4766" i="2"/>
  <c r="E4766" i="2"/>
  <c r="D4766" i="2"/>
  <c r="C4766" i="2"/>
  <c r="B4766" i="2"/>
  <c r="A4766" i="2"/>
  <c r="H4765" i="2"/>
  <c r="G4765" i="2"/>
  <c r="F4765" i="2"/>
  <c r="E4765" i="2"/>
  <c r="D4765" i="2"/>
  <c r="C4765" i="2"/>
  <c r="B4765" i="2"/>
  <c r="A4765" i="2"/>
  <c r="H4764" i="2"/>
  <c r="G4764" i="2"/>
  <c r="F4764" i="2"/>
  <c r="E4764" i="2"/>
  <c r="D4764" i="2"/>
  <c r="C4764" i="2"/>
  <c r="B4764" i="2"/>
  <c r="A4764" i="2"/>
  <c r="H4763" i="2"/>
  <c r="G4763" i="2"/>
  <c r="F4763" i="2"/>
  <c r="E4763" i="2"/>
  <c r="D4763" i="2"/>
  <c r="C4763" i="2"/>
  <c r="B4763" i="2"/>
  <c r="A4763" i="2"/>
  <c r="H4762" i="2"/>
  <c r="G4762" i="2"/>
  <c r="F4762" i="2"/>
  <c r="E4762" i="2"/>
  <c r="D4762" i="2"/>
  <c r="C4762" i="2"/>
  <c r="B4762" i="2"/>
  <c r="A4762" i="2"/>
  <c r="H4761" i="2"/>
  <c r="G4761" i="2"/>
  <c r="F4761" i="2"/>
  <c r="E4761" i="2"/>
  <c r="D4761" i="2"/>
  <c r="C4761" i="2"/>
  <c r="B4761" i="2"/>
  <c r="A4761" i="2"/>
  <c r="H4760" i="2"/>
  <c r="G4760" i="2"/>
  <c r="F4760" i="2"/>
  <c r="E4760" i="2"/>
  <c r="D4760" i="2"/>
  <c r="C4760" i="2"/>
  <c r="B4760" i="2"/>
  <c r="A4760" i="2"/>
  <c r="H4759" i="2"/>
  <c r="G4759" i="2"/>
  <c r="F4759" i="2"/>
  <c r="E4759" i="2"/>
  <c r="D4759" i="2"/>
  <c r="C4759" i="2"/>
  <c r="B4759" i="2"/>
  <c r="A4759" i="2"/>
  <c r="H4758" i="2"/>
  <c r="G4758" i="2"/>
  <c r="F4758" i="2"/>
  <c r="E4758" i="2"/>
  <c r="D4758" i="2"/>
  <c r="C4758" i="2"/>
  <c r="B4758" i="2"/>
  <c r="A4758" i="2"/>
  <c r="H4757" i="2"/>
  <c r="G4757" i="2"/>
  <c r="F4757" i="2"/>
  <c r="E4757" i="2"/>
  <c r="D4757" i="2"/>
  <c r="C4757" i="2"/>
  <c r="B4757" i="2"/>
  <c r="A4757" i="2"/>
  <c r="H4756" i="2"/>
  <c r="G4756" i="2"/>
  <c r="F4756" i="2"/>
  <c r="E4756" i="2"/>
  <c r="D4756" i="2"/>
  <c r="C4756" i="2"/>
  <c r="B4756" i="2"/>
  <c r="A4756" i="2"/>
  <c r="H4755" i="2"/>
  <c r="G4755" i="2"/>
  <c r="F4755" i="2"/>
  <c r="E4755" i="2"/>
  <c r="D4755" i="2"/>
  <c r="C4755" i="2"/>
  <c r="B4755" i="2"/>
  <c r="A4755" i="2"/>
  <c r="H4754" i="2"/>
  <c r="G4754" i="2"/>
  <c r="F4754" i="2"/>
  <c r="E4754" i="2"/>
  <c r="D4754" i="2"/>
  <c r="C4754" i="2"/>
  <c r="B4754" i="2"/>
  <c r="A4754" i="2"/>
  <c r="H4753" i="2"/>
  <c r="G4753" i="2"/>
  <c r="F4753" i="2"/>
  <c r="E4753" i="2"/>
  <c r="D4753" i="2"/>
  <c r="C4753" i="2"/>
  <c r="B4753" i="2"/>
  <c r="A4753" i="2"/>
  <c r="H4752" i="2"/>
  <c r="G4752" i="2"/>
  <c r="F4752" i="2"/>
  <c r="E4752" i="2"/>
  <c r="D4752" i="2"/>
  <c r="C4752" i="2"/>
  <c r="B4752" i="2"/>
  <c r="A4752" i="2"/>
  <c r="H4751" i="2"/>
  <c r="G4751" i="2"/>
  <c r="F4751" i="2"/>
  <c r="E4751" i="2"/>
  <c r="D4751" i="2"/>
  <c r="C4751" i="2"/>
  <c r="B4751" i="2"/>
  <c r="A4751" i="2"/>
  <c r="H4750" i="2"/>
  <c r="G4750" i="2"/>
  <c r="F4750" i="2"/>
  <c r="E4750" i="2"/>
  <c r="D4750" i="2"/>
  <c r="C4750" i="2"/>
  <c r="B4750" i="2"/>
  <c r="A4750" i="2"/>
  <c r="H4749" i="2"/>
  <c r="G4749" i="2"/>
  <c r="F4749" i="2"/>
  <c r="E4749" i="2"/>
  <c r="D4749" i="2"/>
  <c r="C4749" i="2"/>
  <c r="B4749" i="2"/>
  <c r="A4749" i="2"/>
  <c r="H4748" i="2"/>
  <c r="G4748" i="2"/>
  <c r="F4748" i="2"/>
  <c r="E4748" i="2"/>
  <c r="D4748" i="2"/>
  <c r="C4748" i="2"/>
  <c r="B4748" i="2"/>
  <c r="A4748" i="2"/>
  <c r="H4747" i="2"/>
  <c r="G4747" i="2"/>
  <c r="F4747" i="2"/>
  <c r="E4747" i="2"/>
  <c r="D4747" i="2"/>
  <c r="C4747" i="2"/>
  <c r="B4747" i="2"/>
  <c r="A4747" i="2"/>
  <c r="H4746" i="2"/>
  <c r="G4746" i="2"/>
  <c r="F4746" i="2"/>
  <c r="E4746" i="2"/>
  <c r="D4746" i="2"/>
  <c r="C4746" i="2"/>
  <c r="B4746" i="2"/>
  <c r="A4746" i="2"/>
  <c r="H4745" i="2"/>
  <c r="G4745" i="2"/>
  <c r="F4745" i="2"/>
  <c r="E4745" i="2"/>
  <c r="D4745" i="2"/>
  <c r="C4745" i="2"/>
  <c r="B4745" i="2"/>
  <c r="A4745" i="2"/>
  <c r="H4744" i="2"/>
  <c r="G4744" i="2"/>
  <c r="F4744" i="2"/>
  <c r="E4744" i="2"/>
  <c r="D4744" i="2"/>
  <c r="C4744" i="2"/>
  <c r="B4744" i="2"/>
  <c r="A4744" i="2"/>
  <c r="H4743" i="2"/>
  <c r="G4743" i="2"/>
  <c r="F4743" i="2"/>
  <c r="E4743" i="2"/>
  <c r="D4743" i="2"/>
  <c r="C4743" i="2"/>
  <c r="B4743" i="2"/>
  <c r="A4743" i="2"/>
  <c r="H4742" i="2"/>
  <c r="G4742" i="2"/>
  <c r="F4742" i="2"/>
  <c r="E4742" i="2"/>
  <c r="D4742" i="2"/>
  <c r="C4742" i="2"/>
  <c r="B4742" i="2"/>
  <c r="A4742" i="2"/>
  <c r="H4741" i="2"/>
  <c r="G4741" i="2"/>
  <c r="F4741" i="2"/>
  <c r="E4741" i="2"/>
  <c r="D4741" i="2"/>
  <c r="C4741" i="2"/>
  <c r="B4741" i="2"/>
  <c r="A4741" i="2"/>
  <c r="H4740" i="2"/>
  <c r="G4740" i="2"/>
  <c r="F4740" i="2"/>
  <c r="E4740" i="2"/>
  <c r="D4740" i="2"/>
  <c r="C4740" i="2"/>
  <c r="B4740" i="2"/>
  <c r="A4740" i="2"/>
  <c r="H4739" i="2"/>
  <c r="G4739" i="2"/>
  <c r="F4739" i="2"/>
  <c r="E4739" i="2"/>
  <c r="D4739" i="2"/>
  <c r="C4739" i="2"/>
  <c r="B4739" i="2"/>
  <c r="A4739" i="2"/>
  <c r="H4738" i="2"/>
  <c r="G4738" i="2"/>
  <c r="F4738" i="2"/>
  <c r="E4738" i="2"/>
  <c r="D4738" i="2"/>
  <c r="C4738" i="2"/>
  <c r="B4738" i="2"/>
  <c r="A4738" i="2"/>
  <c r="H4737" i="2"/>
  <c r="G4737" i="2"/>
  <c r="F4737" i="2"/>
  <c r="E4737" i="2"/>
  <c r="D4737" i="2"/>
  <c r="C4737" i="2"/>
  <c r="B4737" i="2"/>
  <c r="A4737" i="2"/>
  <c r="H4736" i="2"/>
  <c r="G4736" i="2"/>
  <c r="F4736" i="2"/>
  <c r="E4736" i="2"/>
  <c r="D4736" i="2"/>
  <c r="C4736" i="2"/>
  <c r="B4736" i="2"/>
  <c r="A4736" i="2"/>
  <c r="H4735" i="2"/>
  <c r="G4735" i="2"/>
  <c r="F4735" i="2"/>
  <c r="E4735" i="2"/>
  <c r="D4735" i="2"/>
  <c r="C4735" i="2"/>
  <c r="B4735" i="2"/>
  <c r="A4735" i="2"/>
  <c r="H4734" i="2"/>
  <c r="G4734" i="2"/>
  <c r="F4734" i="2"/>
  <c r="E4734" i="2"/>
  <c r="D4734" i="2"/>
  <c r="C4734" i="2"/>
  <c r="B4734" i="2"/>
  <c r="A4734" i="2"/>
  <c r="H4733" i="2"/>
  <c r="G4733" i="2"/>
  <c r="F4733" i="2"/>
  <c r="E4733" i="2"/>
  <c r="D4733" i="2"/>
  <c r="C4733" i="2"/>
  <c r="B4733" i="2"/>
  <c r="A4733" i="2"/>
  <c r="H4732" i="2"/>
  <c r="G4732" i="2"/>
  <c r="F4732" i="2"/>
  <c r="E4732" i="2"/>
  <c r="D4732" i="2"/>
  <c r="C4732" i="2"/>
  <c r="B4732" i="2"/>
  <c r="A4732" i="2"/>
  <c r="H4731" i="2"/>
  <c r="G4731" i="2"/>
  <c r="F4731" i="2"/>
  <c r="E4731" i="2"/>
  <c r="D4731" i="2"/>
  <c r="C4731" i="2"/>
  <c r="B4731" i="2"/>
  <c r="A4731" i="2"/>
  <c r="H4730" i="2"/>
  <c r="G4730" i="2"/>
  <c r="F4730" i="2"/>
  <c r="E4730" i="2"/>
  <c r="D4730" i="2"/>
  <c r="C4730" i="2"/>
  <c r="B4730" i="2"/>
  <c r="A4730" i="2"/>
  <c r="H4729" i="2"/>
  <c r="G4729" i="2"/>
  <c r="F4729" i="2"/>
  <c r="E4729" i="2"/>
  <c r="D4729" i="2"/>
  <c r="C4729" i="2"/>
  <c r="B4729" i="2"/>
  <c r="A4729" i="2"/>
  <c r="H4728" i="2"/>
  <c r="G4728" i="2"/>
  <c r="F4728" i="2"/>
  <c r="E4728" i="2"/>
  <c r="D4728" i="2"/>
  <c r="C4728" i="2"/>
  <c r="B4728" i="2"/>
  <c r="A4728" i="2"/>
  <c r="H4727" i="2"/>
  <c r="G4727" i="2"/>
  <c r="F4727" i="2"/>
  <c r="E4727" i="2"/>
  <c r="D4727" i="2"/>
  <c r="C4727" i="2"/>
  <c r="B4727" i="2"/>
  <c r="A4727" i="2"/>
  <c r="H4726" i="2"/>
  <c r="G4726" i="2"/>
  <c r="F4726" i="2"/>
  <c r="E4726" i="2"/>
  <c r="D4726" i="2"/>
  <c r="C4726" i="2"/>
  <c r="B4726" i="2"/>
  <c r="A4726" i="2"/>
  <c r="H4725" i="2"/>
  <c r="G4725" i="2"/>
  <c r="F4725" i="2"/>
  <c r="E4725" i="2"/>
  <c r="D4725" i="2"/>
  <c r="C4725" i="2"/>
  <c r="B4725" i="2"/>
  <c r="A4725" i="2"/>
  <c r="H4724" i="2"/>
  <c r="G4724" i="2"/>
  <c r="F4724" i="2"/>
  <c r="E4724" i="2"/>
  <c r="D4724" i="2"/>
  <c r="C4724" i="2"/>
  <c r="B4724" i="2"/>
  <c r="A4724" i="2"/>
  <c r="H4723" i="2"/>
  <c r="G4723" i="2"/>
  <c r="F4723" i="2"/>
  <c r="E4723" i="2"/>
  <c r="D4723" i="2"/>
  <c r="C4723" i="2"/>
  <c r="B4723" i="2"/>
  <c r="A4723" i="2"/>
  <c r="H4722" i="2"/>
  <c r="G4722" i="2"/>
  <c r="F4722" i="2"/>
  <c r="E4722" i="2"/>
  <c r="D4722" i="2"/>
  <c r="C4722" i="2"/>
  <c r="B4722" i="2"/>
  <c r="A4722" i="2"/>
  <c r="H4721" i="2"/>
  <c r="G4721" i="2"/>
  <c r="F4721" i="2"/>
  <c r="E4721" i="2"/>
  <c r="D4721" i="2"/>
  <c r="C4721" i="2"/>
  <c r="B4721" i="2"/>
  <c r="A4721" i="2"/>
  <c r="H4720" i="2"/>
  <c r="G4720" i="2"/>
  <c r="F4720" i="2"/>
  <c r="E4720" i="2"/>
  <c r="D4720" i="2"/>
  <c r="C4720" i="2"/>
  <c r="B4720" i="2"/>
  <c r="A4720" i="2"/>
  <c r="H4719" i="2"/>
  <c r="G4719" i="2"/>
  <c r="F4719" i="2"/>
  <c r="E4719" i="2"/>
  <c r="D4719" i="2"/>
  <c r="C4719" i="2"/>
  <c r="B4719" i="2"/>
  <c r="A4719" i="2"/>
  <c r="H4718" i="2"/>
  <c r="G4718" i="2"/>
  <c r="F4718" i="2"/>
  <c r="E4718" i="2"/>
  <c r="D4718" i="2"/>
  <c r="C4718" i="2"/>
  <c r="B4718" i="2"/>
  <c r="A4718" i="2"/>
  <c r="H4717" i="2"/>
  <c r="G4717" i="2"/>
  <c r="F4717" i="2"/>
  <c r="E4717" i="2"/>
  <c r="D4717" i="2"/>
  <c r="C4717" i="2"/>
  <c r="B4717" i="2"/>
  <c r="A4717" i="2"/>
  <c r="H4716" i="2"/>
  <c r="G4716" i="2"/>
  <c r="F4716" i="2"/>
  <c r="E4716" i="2"/>
  <c r="D4716" i="2"/>
  <c r="C4716" i="2"/>
  <c r="B4716" i="2"/>
  <c r="A4716" i="2"/>
  <c r="H4715" i="2"/>
  <c r="G4715" i="2"/>
  <c r="F4715" i="2"/>
  <c r="E4715" i="2"/>
  <c r="D4715" i="2"/>
  <c r="C4715" i="2"/>
  <c r="B4715" i="2"/>
  <c r="A4715" i="2"/>
  <c r="H4714" i="2"/>
  <c r="G4714" i="2"/>
  <c r="F4714" i="2"/>
  <c r="E4714" i="2"/>
  <c r="D4714" i="2"/>
  <c r="C4714" i="2"/>
  <c r="B4714" i="2"/>
  <c r="A4714" i="2"/>
  <c r="H4713" i="2"/>
  <c r="G4713" i="2"/>
  <c r="F4713" i="2"/>
  <c r="E4713" i="2"/>
  <c r="D4713" i="2"/>
  <c r="C4713" i="2"/>
  <c r="B4713" i="2"/>
  <c r="A4713" i="2"/>
  <c r="H4712" i="2"/>
  <c r="G4712" i="2"/>
  <c r="F4712" i="2"/>
  <c r="E4712" i="2"/>
  <c r="D4712" i="2"/>
  <c r="C4712" i="2"/>
  <c r="B4712" i="2"/>
  <c r="A4712" i="2"/>
  <c r="H4711" i="2"/>
  <c r="G4711" i="2"/>
  <c r="F4711" i="2"/>
  <c r="E4711" i="2"/>
  <c r="D4711" i="2"/>
  <c r="C4711" i="2"/>
  <c r="B4711" i="2"/>
  <c r="A4711" i="2"/>
  <c r="H4710" i="2"/>
  <c r="G4710" i="2"/>
  <c r="F4710" i="2"/>
  <c r="E4710" i="2"/>
  <c r="D4710" i="2"/>
  <c r="C4710" i="2"/>
  <c r="B4710" i="2"/>
  <c r="A4710" i="2"/>
  <c r="H4709" i="2"/>
  <c r="G4709" i="2"/>
  <c r="F4709" i="2"/>
  <c r="E4709" i="2"/>
  <c r="D4709" i="2"/>
  <c r="C4709" i="2"/>
  <c r="B4709" i="2"/>
  <c r="A4709" i="2"/>
  <c r="H4708" i="2"/>
  <c r="G4708" i="2"/>
  <c r="F4708" i="2"/>
  <c r="E4708" i="2"/>
  <c r="D4708" i="2"/>
  <c r="C4708" i="2"/>
  <c r="B4708" i="2"/>
  <c r="A4708" i="2"/>
  <c r="H4707" i="2"/>
  <c r="G4707" i="2"/>
  <c r="F4707" i="2"/>
  <c r="E4707" i="2"/>
  <c r="D4707" i="2"/>
  <c r="C4707" i="2"/>
  <c r="B4707" i="2"/>
  <c r="A4707" i="2"/>
  <c r="H4706" i="2"/>
  <c r="G4706" i="2"/>
  <c r="F4706" i="2"/>
  <c r="E4706" i="2"/>
  <c r="D4706" i="2"/>
  <c r="C4706" i="2"/>
  <c r="B4706" i="2"/>
  <c r="A4706" i="2"/>
  <c r="H4705" i="2"/>
  <c r="G4705" i="2"/>
  <c r="F4705" i="2"/>
  <c r="E4705" i="2"/>
  <c r="D4705" i="2"/>
  <c r="C4705" i="2"/>
  <c r="B4705" i="2"/>
  <c r="A4705" i="2"/>
  <c r="H4704" i="2"/>
  <c r="G4704" i="2"/>
  <c r="F4704" i="2"/>
  <c r="E4704" i="2"/>
  <c r="D4704" i="2"/>
  <c r="C4704" i="2"/>
  <c r="B4704" i="2"/>
  <c r="A4704" i="2"/>
  <c r="H4703" i="2"/>
  <c r="G4703" i="2"/>
  <c r="F4703" i="2"/>
  <c r="E4703" i="2"/>
  <c r="D4703" i="2"/>
  <c r="C4703" i="2"/>
  <c r="B4703" i="2"/>
  <c r="A4703" i="2"/>
  <c r="H4702" i="2"/>
  <c r="G4702" i="2"/>
  <c r="F4702" i="2"/>
  <c r="E4702" i="2"/>
  <c r="D4702" i="2"/>
  <c r="C4702" i="2"/>
  <c r="B4702" i="2"/>
  <c r="A4702" i="2"/>
  <c r="H4701" i="2"/>
  <c r="G4701" i="2"/>
  <c r="F4701" i="2"/>
  <c r="E4701" i="2"/>
  <c r="D4701" i="2"/>
  <c r="C4701" i="2"/>
  <c r="B4701" i="2"/>
  <c r="A4701" i="2"/>
  <c r="H4700" i="2"/>
  <c r="G4700" i="2"/>
  <c r="F4700" i="2"/>
  <c r="E4700" i="2"/>
  <c r="D4700" i="2"/>
  <c r="C4700" i="2"/>
  <c r="B4700" i="2"/>
  <c r="A4700" i="2"/>
  <c r="H4699" i="2"/>
  <c r="G4699" i="2"/>
  <c r="F4699" i="2"/>
  <c r="E4699" i="2"/>
  <c r="D4699" i="2"/>
  <c r="C4699" i="2"/>
  <c r="B4699" i="2"/>
  <c r="A4699" i="2"/>
  <c r="H4698" i="2"/>
  <c r="G4698" i="2"/>
  <c r="F4698" i="2"/>
  <c r="E4698" i="2"/>
  <c r="D4698" i="2"/>
  <c r="C4698" i="2"/>
  <c r="B4698" i="2"/>
  <c r="A4698" i="2"/>
  <c r="H4697" i="2"/>
  <c r="G4697" i="2"/>
  <c r="F4697" i="2"/>
  <c r="E4697" i="2"/>
  <c r="D4697" i="2"/>
  <c r="C4697" i="2"/>
  <c r="B4697" i="2"/>
  <c r="A4697" i="2"/>
  <c r="H4696" i="2"/>
  <c r="G4696" i="2"/>
  <c r="F4696" i="2"/>
  <c r="E4696" i="2"/>
  <c r="D4696" i="2"/>
  <c r="C4696" i="2"/>
  <c r="B4696" i="2"/>
  <c r="A4696" i="2"/>
  <c r="H4695" i="2"/>
  <c r="G4695" i="2"/>
  <c r="F4695" i="2"/>
  <c r="E4695" i="2"/>
  <c r="D4695" i="2"/>
  <c r="C4695" i="2"/>
  <c r="B4695" i="2"/>
  <c r="A4695" i="2"/>
  <c r="H4694" i="2"/>
  <c r="G4694" i="2"/>
  <c r="F4694" i="2"/>
  <c r="E4694" i="2"/>
  <c r="D4694" i="2"/>
  <c r="C4694" i="2"/>
  <c r="B4694" i="2"/>
  <c r="A4694" i="2"/>
  <c r="H4693" i="2"/>
  <c r="G4693" i="2"/>
  <c r="F4693" i="2"/>
  <c r="E4693" i="2"/>
  <c r="D4693" i="2"/>
  <c r="C4693" i="2"/>
  <c r="B4693" i="2"/>
  <c r="A4693" i="2"/>
  <c r="H4692" i="2"/>
  <c r="G4692" i="2"/>
  <c r="F4692" i="2"/>
  <c r="E4692" i="2"/>
  <c r="D4692" i="2"/>
  <c r="C4692" i="2"/>
  <c r="B4692" i="2"/>
  <c r="A4692" i="2"/>
  <c r="H4691" i="2"/>
  <c r="G4691" i="2"/>
  <c r="F4691" i="2"/>
  <c r="E4691" i="2"/>
  <c r="D4691" i="2"/>
  <c r="C4691" i="2"/>
  <c r="B4691" i="2"/>
  <c r="A4691" i="2"/>
  <c r="H4690" i="2"/>
  <c r="G4690" i="2"/>
  <c r="F4690" i="2"/>
  <c r="E4690" i="2"/>
  <c r="D4690" i="2"/>
  <c r="C4690" i="2"/>
  <c r="B4690" i="2"/>
  <c r="A4690" i="2"/>
  <c r="H4689" i="2"/>
  <c r="G4689" i="2"/>
  <c r="F4689" i="2"/>
  <c r="E4689" i="2"/>
  <c r="D4689" i="2"/>
  <c r="C4689" i="2"/>
  <c r="B4689" i="2"/>
  <c r="A4689" i="2"/>
  <c r="H4688" i="2"/>
  <c r="G4688" i="2"/>
  <c r="F4688" i="2"/>
  <c r="E4688" i="2"/>
  <c r="D4688" i="2"/>
  <c r="C4688" i="2"/>
  <c r="B4688" i="2"/>
  <c r="A4688" i="2"/>
  <c r="H4687" i="2"/>
  <c r="G4687" i="2"/>
  <c r="F4687" i="2"/>
  <c r="E4687" i="2"/>
  <c r="D4687" i="2"/>
  <c r="C4687" i="2"/>
  <c r="B4687" i="2"/>
  <c r="A4687" i="2"/>
  <c r="H4686" i="2"/>
  <c r="G4686" i="2"/>
  <c r="F4686" i="2"/>
  <c r="E4686" i="2"/>
  <c r="D4686" i="2"/>
  <c r="C4686" i="2"/>
  <c r="B4686" i="2"/>
  <c r="A4686" i="2"/>
  <c r="H4685" i="2"/>
  <c r="G4685" i="2"/>
  <c r="F4685" i="2"/>
  <c r="E4685" i="2"/>
  <c r="D4685" i="2"/>
  <c r="C4685" i="2"/>
  <c r="B4685" i="2"/>
  <c r="A4685" i="2"/>
  <c r="H4684" i="2"/>
  <c r="G4684" i="2"/>
  <c r="F4684" i="2"/>
  <c r="E4684" i="2"/>
  <c r="D4684" i="2"/>
  <c r="C4684" i="2"/>
  <c r="B4684" i="2"/>
  <c r="A4684" i="2"/>
  <c r="H4683" i="2"/>
  <c r="G4683" i="2"/>
  <c r="F4683" i="2"/>
  <c r="E4683" i="2"/>
  <c r="D4683" i="2"/>
  <c r="C4683" i="2"/>
  <c r="B4683" i="2"/>
  <c r="A4683" i="2"/>
  <c r="H4682" i="2"/>
  <c r="G4682" i="2"/>
  <c r="F4682" i="2"/>
  <c r="E4682" i="2"/>
  <c r="D4682" i="2"/>
  <c r="C4682" i="2"/>
  <c r="B4682" i="2"/>
  <c r="A4682" i="2"/>
  <c r="H4681" i="2"/>
  <c r="G4681" i="2"/>
  <c r="F4681" i="2"/>
  <c r="E4681" i="2"/>
  <c r="D4681" i="2"/>
  <c r="C4681" i="2"/>
  <c r="B4681" i="2"/>
  <c r="A4681" i="2"/>
  <c r="H4680" i="2"/>
  <c r="G4680" i="2"/>
  <c r="F4680" i="2"/>
  <c r="E4680" i="2"/>
  <c r="D4680" i="2"/>
  <c r="C4680" i="2"/>
  <c r="B4680" i="2"/>
  <c r="A4680" i="2"/>
  <c r="H4679" i="2"/>
  <c r="G4679" i="2"/>
  <c r="F4679" i="2"/>
  <c r="E4679" i="2"/>
  <c r="D4679" i="2"/>
  <c r="C4679" i="2"/>
  <c r="B4679" i="2"/>
  <c r="A4679" i="2"/>
  <c r="H4678" i="2"/>
  <c r="G4678" i="2"/>
  <c r="F4678" i="2"/>
  <c r="E4678" i="2"/>
  <c r="D4678" i="2"/>
  <c r="C4678" i="2"/>
  <c r="B4678" i="2"/>
  <c r="A4678" i="2"/>
  <c r="H4677" i="2"/>
  <c r="G4677" i="2"/>
  <c r="F4677" i="2"/>
  <c r="E4677" i="2"/>
  <c r="D4677" i="2"/>
  <c r="C4677" i="2"/>
  <c r="B4677" i="2"/>
  <c r="A4677" i="2"/>
  <c r="H4676" i="2"/>
  <c r="G4676" i="2"/>
  <c r="F4676" i="2"/>
  <c r="E4676" i="2"/>
  <c r="D4676" i="2"/>
  <c r="C4676" i="2"/>
  <c r="B4676" i="2"/>
  <c r="A4676" i="2"/>
  <c r="H4675" i="2"/>
  <c r="G4675" i="2"/>
  <c r="F4675" i="2"/>
  <c r="E4675" i="2"/>
  <c r="D4675" i="2"/>
  <c r="C4675" i="2"/>
  <c r="B4675" i="2"/>
  <c r="A4675" i="2"/>
  <c r="H4674" i="2"/>
  <c r="G4674" i="2"/>
  <c r="F4674" i="2"/>
  <c r="E4674" i="2"/>
  <c r="D4674" i="2"/>
  <c r="C4674" i="2"/>
  <c r="B4674" i="2"/>
  <c r="A4674" i="2"/>
  <c r="H4673" i="2"/>
  <c r="G4673" i="2"/>
  <c r="F4673" i="2"/>
  <c r="E4673" i="2"/>
  <c r="D4673" i="2"/>
  <c r="C4673" i="2"/>
  <c r="B4673" i="2"/>
  <c r="A4673" i="2"/>
  <c r="H4672" i="2"/>
  <c r="G4672" i="2"/>
  <c r="F4672" i="2"/>
  <c r="E4672" i="2"/>
  <c r="D4672" i="2"/>
  <c r="C4672" i="2"/>
  <c r="B4672" i="2"/>
  <c r="A4672" i="2"/>
  <c r="H4671" i="2"/>
  <c r="G4671" i="2"/>
  <c r="F4671" i="2"/>
  <c r="E4671" i="2"/>
  <c r="D4671" i="2"/>
  <c r="C4671" i="2"/>
  <c r="B4671" i="2"/>
  <c r="A4671" i="2"/>
  <c r="H4670" i="2"/>
  <c r="G4670" i="2"/>
  <c r="F4670" i="2"/>
  <c r="E4670" i="2"/>
  <c r="D4670" i="2"/>
  <c r="C4670" i="2"/>
  <c r="B4670" i="2"/>
  <c r="A4670" i="2"/>
  <c r="H4669" i="2"/>
  <c r="G4669" i="2"/>
  <c r="F4669" i="2"/>
  <c r="E4669" i="2"/>
  <c r="D4669" i="2"/>
  <c r="C4669" i="2"/>
  <c r="B4669" i="2"/>
  <c r="A4669" i="2"/>
  <c r="H4668" i="2"/>
  <c r="G4668" i="2"/>
  <c r="F4668" i="2"/>
  <c r="E4668" i="2"/>
  <c r="D4668" i="2"/>
  <c r="C4668" i="2"/>
  <c r="B4668" i="2"/>
  <c r="A4668" i="2"/>
  <c r="H4667" i="2"/>
  <c r="G4667" i="2"/>
  <c r="F4667" i="2"/>
  <c r="E4667" i="2"/>
  <c r="D4667" i="2"/>
  <c r="C4667" i="2"/>
  <c r="B4667" i="2"/>
  <c r="A4667" i="2"/>
  <c r="H4666" i="2"/>
  <c r="G4666" i="2"/>
  <c r="F4666" i="2"/>
  <c r="E4666" i="2"/>
  <c r="D4666" i="2"/>
  <c r="C4666" i="2"/>
  <c r="B4666" i="2"/>
  <c r="A4666" i="2"/>
  <c r="H4665" i="2"/>
  <c r="G4665" i="2"/>
  <c r="F4665" i="2"/>
  <c r="E4665" i="2"/>
  <c r="D4665" i="2"/>
  <c r="C4665" i="2"/>
  <c r="B4665" i="2"/>
  <c r="A4665" i="2"/>
  <c r="H4664" i="2"/>
  <c r="G4664" i="2"/>
  <c r="F4664" i="2"/>
  <c r="E4664" i="2"/>
  <c r="D4664" i="2"/>
  <c r="C4664" i="2"/>
  <c r="B4664" i="2"/>
  <c r="A4664" i="2"/>
  <c r="H4663" i="2"/>
  <c r="G4663" i="2"/>
  <c r="F4663" i="2"/>
  <c r="E4663" i="2"/>
  <c r="D4663" i="2"/>
  <c r="C4663" i="2"/>
  <c r="B4663" i="2"/>
  <c r="A4663" i="2"/>
  <c r="H4662" i="2"/>
  <c r="G4662" i="2"/>
  <c r="F4662" i="2"/>
  <c r="E4662" i="2"/>
  <c r="D4662" i="2"/>
  <c r="C4662" i="2"/>
  <c r="B4662" i="2"/>
  <c r="A4662" i="2"/>
  <c r="H4661" i="2"/>
  <c r="G4661" i="2"/>
  <c r="F4661" i="2"/>
  <c r="E4661" i="2"/>
  <c r="D4661" i="2"/>
  <c r="C4661" i="2"/>
  <c r="B4661" i="2"/>
  <c r="A4661" i="2"/>
  <c r="H4660" i="2"/>
  <c r="G4660" i="2"/>
  <c r="F4660" i="2"/>
  <c r="E4660" i="2"/>
  <c r="D4660" i="2"/>
  <c r="C4660" i="2"/>
  <c r="B4660" i="2"/>
  <c r="A4660" i="2"/>
  <c r="H4659" i="2"/>
  <c r="G4659" i="2"/>
  <c r="F4659" i="2"/>
  <c r="E4659" i="2"/>
  <c r="D4659" i="2"/>
  <c r="C4659" i="2"/>
  <c r="B4659" i="2"/>
  <c r="A4659" i="2"/>
  <c r="H4658" i="2"/>
  <c r="G4658" i="2"/>
  <c r="F4658" i="2"/>
  <c r="E4658" i="2"/>
  <c r="D4658" i="2"/>
  <c r="C4658" i="2"/>
  <c r="B4658" i="2"/>
  <c r="A4658" i="2"/>
  <c r="H4657" i="2"/>
  <c r="G4657" i="2"/>
  <c r="F4657" i="2"/>
  <c r="E4657" i="2"/>
  <c r="D4657" i="2"/>
  <c r="C4657" i="2"/>
  <c r="B4657" i="2"/>
  <c r="A4657" i="2"/>
  <c r="H4656" i="2"/>
  <c r="G4656" i="2"/>
  <c r="F4656" i="2"/>
  <c r="E4656" i="2"/>
  <c r="D4656" i="2"/>
  <c r="C4656" i="2"/>
  <c r="B4656" i="2"/>
  <c r="A4656" i="2"/>
  <c r="H4655" i="2"/>
  <c r="G4655" i="2"/>
  <c r="F4655" i="2"/>
  <c r="E4655" i="2"/>
  <c r="D4655" i="2"/>
  <c r="C4655" i="2"/>
  <c r="B4655" i="2"/>
  <c r="A4655" i="2"/>
  <c r="H4654" i="2"/>
  <c r="G4654" i="2"/>
  <c r="F4654" i="2"/>
  <c r="E4654" i="2"/>
  <c r="D4654" i="2"/>
  <c r="C4654" i="2"/>
  <c r="B4654" i="2"/>
  <c r="A4654" i="2"/>
  <c r="H4653" i="2"/>
  <c r="G4653" i="2"/>
  <c r="F4653" i="2"/>
  <c r="E4653" i="2"/>
  <c r="D4653" i="2"/>
  <c r="C4653" i="2"/>
  <c r="B4653" i="2"/>
  <c r="A4653" i="2"/>
  <c r="H4652" i="2"/>
  <c r="G4652" i="2"/>
  <c r="F4652" i="2"/>
  <c r="E4652" i="2"/>
  <c r="D4652" i="2"/>
  <c r="C4652" i="2"/>
  <c r="B4652" i="2"/>
  <c r="A4652" i="2"/>
  <c r="H4651" i="2"/>
  <c r="G4651" i="2"/>
  <c r="F4651" i="2"/>
  <c r="E4651" i="2"/>
  <c r="D4651" i="2"/>
  <c r="C4651" i="2"/>
  <c r="B4651" i="2"/>
  <c r="A4651" i="2"/>
  <c r="H4650" i="2"/>
  <c r="G4650" i="2"/>
  <c r="F4650" i="2"/>
  <c r="E4650" i="2"/>
  <c r="D4650" i="2"/>
  <c r="C4650" i="2"/>
  <c r="B4650" i="2"/>
  <c r="A4650" i="2"/>
  <c r="H4649" i="2"/>
  <c r="G4649" i="2"/>
  <c r="F4649" i="2"/>
  <c r="E4649" i="2"/>
  <c r="D4649" i="2"/>
  <c r="C4649" i="2"/>
  <c r="B4649" i="2"/>
  <c r="A4649" i="2"/>
  <c r="H4648" i="2"/>
  <c r="G4648" i="2"/>
  <c r="F4648" i="2"/>
  <c r="E4648" i="2"/>
  <c r="D4648" i="2"/>
  <c r="C4648" i="2"/>
  <c r="B4648" i="2"/>
  <c r="A4648" i="2"/>
  <c r="H4647" i="2"/>
  <c r="G4647" i="2"/>
  <c r="F4647" i="2"/>
  <c r="E4647" i="2"/>
  <c r="D4647" i="2"/>
  <c r="C4647" i="2"/>
  <c r="B4647" i="2"/>
  <c r="A4647" i="2"/>
  <c r="H4646" i="2"/>
  <c r="G4646" i="2"/>
  <c r="F4646" i="2"/>
  <c r="E4646" i="2"/>
  <c r="D4646" i="2"/>
  <c r="C4646" i="2"/>
  <c r="B4646" i="2"/>
  <c r="A4646" i="2"/>
  <c r="H4645" i="2"/>
  <c r="G4645" i="2"/>
  <c r="F4645" i="2"/>
  <c r="E4645" i="2"/>
  <c r="D4645" i="2"/>
  <c r="C4645" i="2"/>
  <c r="B4645" i="2"/>
  <c r="A4645" i="2"/>
  <c r="H4644" i="2"/>
  <c r="G4644" i="2"/>
  <c r="F4644" i="2"/>
  <c r="E4644" i="2"/>
  <c r="D4644" i="2"/>
  <c r="C4644" i="2"/>
  <c r="B4644" i="2"/>
  <c r="A4644" i="2"/>
  <c r="H4643" i="2"/>
  <c r="G4643" i="2"/>
  <c r="F4643" i="2"/>
  <c r="E4643" i="2"/>
  <c r="D4643" i="2"/>
  <c r="C4643" i="2"/>
  <c r="B4643" i="2"/>
  <c r="A4643" i="2"/>
  <c r="H4642" i="2"/>
  <c r="G4642" i="2"/>
  <c r="F4642" i="2"/>
  <c r="E4642" i="2"/>
  <c r="D4642" i="2"/>
  <c r="C4642" i="2"/>
  <c r="B4642" i="2"/>
  <c r="A4642" i="2"/>
  <c r="H4641" i="2"/>
  <c r="G4641" i="2"/>
  <c r="F4641" i="2"/>
  <c r="E4641" i="2"/>
  <c r="D4641" i="2"/>
  <c r="C4641" i="2"/>
  <c r="B4641" i="2"/>
  <c r="A4641" i="2"/>
  <c r="H4640" i="2"/>
  <c r="G4640" i="2"/>
  <c r="F4640" i="2"/>
  <c r="E4640" i="2"/>
  <c r="D4640" i="2"/>
  <c r="C4640" i="2"/>
  <c r="B4640" i="2"/>
  <c r="A4640" i="2"/>
  <c r="H4639" i="2"/>
  <c r="G4639" i="2"/>
  <c r="F4639" i="2"/>
  <c r="E4639" i="2"/>
  <c r="D4639" i="2"/>
  <c r="C4639" i="2"/>
  <c r="B4639" i="2"/>
  <c r="A4639" i="2"/>
  <c r="H4638" i="2"/>
  <c r="G4638" i="2"/>
  <c r="F4638" i="2"/>
  <c r="E4638" i="2"/>
  <c r="D4638" i="2"/>
  <c r="C4638" i="2"/>
  <c r="B4638" i="2"/>
  <c r="A4638" i="2"/>
  <c r="H4637" i="2"/>
  <c r="G4637" i="2"/>
  <c r="F4637" i="2"/>
  <c r="E4637" i="2"/>
  <c r="D4637" i="2"/>
  <c r="C4637" i="2"/>
  <c r="B4637" i="2"/>
  <c r="A4637" i="2"/>
  <c r="H4636" i="2"/>
  <c r="G4636" i="2"/>
  <c r="F4636" i="2"/>
  <c r="E4636" i="2"/>
  <c r="D4636" i="2"/>
  <c r="C4636" i="2"/>
  <c r="B4636" i="2"/>
  <c r="A4636" i="2"/>
  <c r="H4635" i="2"/>
  <c r="G4635" i="2"/>
  <c r="F4635" i="2"/>
  <c r="E4635" i="2"/>
  <c r="D4635" i="2"/>
  <c r="C4635" i="2"/>
  <c r="B4635" i="2"/>
  <c r="A4635" i="2"/>
  <c r="H4634" i="2"/>
  <c r="G4634" i="2"/>
  <c r="F4634" i="2"/>
  <c r="E4634" i="2"/>
  <c r="D4634" i="2"/>
  <c r="C4634" i="2"/>
  <c r="B4634" i="2"/>
  <c r="A4634" i="2"/>
  <c r="H4633" i="2"/>
  <c r="G4633" i="2"/>
  <c r="F4633" i="2"/>
  <c r="E4633" i="2"/>
  <c r="D4633" i="2"/>
  <c r="C4633" i="2"/>
  <c r="B4633" i="2"/>
  <c r="A4633" i="2"/>
  <c r="H4632" i="2"/>
  <c r="G4632" i="2"/>
  <c r="F4632" i="2"/>
  <c r="E4632" i="2"/>
  <c r="D4632" i="2"/>
  <c r="C4632" i="2"/>
  <c r="B4632" i="2"/>
  <c r="A4632" i="2"/>
  <c r="H4631" i="2"/>
  <c r="G4631" i="2"/>
  <c r="F4631" i="2"/>
  <c r="E4631" i="2"/>
  <c r="D4631" i="2"/>
  <c r="C4631" i="2"/>
  <c r="B4631" i="2"/>
  <c r="A4631" i="2"/>
  <c r="H4630" i="2"/>
  <c r="G4630" i="2"/>
  <c r="F4630" i="2"/>
  <c r="E4630" i="2"/>
  <c r="D4630" i="2"/>
  <c r="C4630" i="2"/>
  <c r="B4630" i="2"/>
  <c r="A4630" i="2"/>
  <c r="H4629" i="2"/>
  <c r="G4629" i="2"/>
  <c r="F4629" i="2"/>
  <c r="E4629" i="2"/>
  <c r="D4629" i="2"/>
  <c r="C4629" i="2"/>
  <c r="B4629" i="2"/>
  <c r="A4629" i="2"/>
  <c r="H4628" i="2"/>
  <c r="G4628" i="2"/>
  <c r="F4628" i="2"/>
  <c r="E4628" i="2"/>
  <c r="D4628" i="2"/>
  <c r="C4628" i="2"/>
  <c r="B4628" i="2"/>
  <c r="A4628" i="2"/>
  <c r="H4627" i="2"/>
  <c r="G4627" i="2"/>
  <c r="F4627" i="2"/>
  <c r="E4627" i="2"/>
  <c r="D4627" i="2"/>
  <c r="C4627" i="2"/>
  <c r="B4627" i="2"/>
  <c r="A4627" i="2"/>
  <c r="H4626" i="2"/>
  <c r="G4626" i="2"/>
  <c r="F4626" i="2"/>
  <c r="E4626" i="2"/>
  <c r="D4626" i="2"/>
  <c r="C4626" i="2"/>
  <c r="B4626" i="2"/>
  <c r="A4626" i="2"/>
  <c r="H4625" i="2"/>
  <c r="G4625" i="2"/>
  <c r="F4625" i="2"/>
  <c r="E4625" i="2"/>
  <c r="D4625" i="2"/>
  <c r="C4625" i="2"/>
  <c r="B4625" i="2"/>
  <c r="A4625" i="2"/>
  <c r="H4624" i="2"/>
  <c r="G4624" i="2"/>
  <c r="F4624" i="2"/>
  <c r="E4624" i="2"/>
  <c r="D4624" i="2"/>
  <c r="C4624" i="2"/>
  <c r="B4624" i="2"/>
  <c r="A4624" i="2"/>
  <c r="H4623" i="2"/>
  <c r="G4623" i="2"/>
  <c r="F4623" i="2"/>
  <c r="E4623" i="2"/>
  <c r="D4623" i="2"/>
  <c r="C4623" i="2"/>
  <c r="B4623" i="2"/>
  <c r="A4623" i="2"/>
  <c r="H4622" i="2"/>
  <c r="G4622" i="2"/>
  <c r="F4622" i="2"/>
  <c r="E4622" i="2"/>
  <c r="D4622" i="2"/>
  <c r="C4622" i="2"/>
  <c r="B4622" i="2"/>
  <c r="A4622" i="2"/>
  <c r="H4621" i="2"/>
  <c r="G4621" i="2"/>
  <c r="F4621" i="2"/>
  <c r="E4621" i="2"/>
  <c r="D4621" i="2"/>
  <c r="C4621" i="2"/>
  <c r="B4621" i="2"/>
  <c r="A4621" i="2"/>
  <c r="H4620" i="2"/>
  <c r="G4620" i="2"/>
  <c r="F4620" i="2"/>
  <c r="E4620" i="2"/>
  <c r="D4620" i="2"/>
  <c r="C4620" i="2"/>
  <c r="B4620" i="2"/>
  <c r="A4620" i="2"/>
  <c r="H4619" i="2"/>
  <c r="G4619" i="2"/>
  <c r="F4619" i="2"/>
  <c r="E4619" i="2"/>
  <c r="D4619" i="2"/>
  <c r="C4619" i="2"/>
  <c r="B4619" i="2"/>
  <c r="A4619" i="2"/>
  <c r="H4618" i="2"/>
  <c r="G4618" i="2"/>
  <c r="F4618" i="2"/>
  <c r="E4618" i="2"/>
  <c r="D4618" i="2"/>
  <c r="C4618" i="2"/>
  <c r="B4618" i="2"/>
  <c r="A4618" i="2"/>
  <c r="H4617" i="2"/>
  <c r="G4617" i="2"/>
  <c r="F4617" i="2"/>
  <c r="E4617" i="2"/>
  <c r="D4617" i="2"/>
  <c r="C4617" i="2"/>
  <c r="B4617" i="2"/>
  <c r="A4617" i="2"/>
  <c r="H4616" i="2"/>
  <c r="G4616" i="2"/>
  <c r="F4616" i="2"/>
  <c r="E4616" i="2"/>
  <c r="D4616" i="2"/>
  <c r="C4616" i="2"/>
  <c r="B4616" i="2"/>
  <c r="A4616" i="2"/>
  <c r="H4615" i="2"/>
  <c r="G4615" i="2"/>
  <c r="F4615" i="2"/>
  <c r="E4615" i="2"/>
  <c r="D4615" i="2"/>
  <c r="C4615" i="2"/>
  <c r="B4615" i="2"/>
  <c r="A4615" i="2"/>
  <c r="H4614" i="2"/>
  <c r="G4614" i="2"/>
  <c r="F4614" i="2"/>
  <c r="E4614" i="2"/>
  <c r="D4614" i="2"/>
  <c r="C4614" i="2"/>
  <c r="B4614" i="2"/>
  <c r="A4614" i="2"/>
  <c r="H4613" i="2"/>
  <c r="G4613" i="2"/>
  <c r="F4613" i="2"/>
  <c r="E4613" i="2"/>
  <c r="D4613" i="2"/>
  <c r="C4613" i="2"/>
  <c r="B4613" i="2"/>
  <c r="A4613" i="2"/>
  <c r="H4612" i="2"/>
  <c r="G4612" i="2"/>
  <c r="F4612" i="2"/>
  <c r="E4612" i="2"/>
  <c r="D4612" i="2"/>
  <c r="C4612" i="2"/>
  <c r="B4612" i="2"/>
  <c r="A4612" i="2"/>
  <c r="H4611" i="2"/>
  <c r="G4611" i="2"/>
  <c r="F4611" i="2"/>
  <c r="E4611" i="2"/>
  <c r="D4611" i="2"/>
  <c r="C4611" i="2"/>
  <c r="B4611" i="2"/>
  <c r="A4611" i="2"/>
  <c r="H4610" i="2"/>
  <c r="G4610" i="2"/>
  <c r="F4610" i="2"/>
  <c r="E4610" i="2"/>
  <c r="D4610" i="2"/>
  <c r="C4610" i="2"/>
  <c r="B4610" i="2"/>
  <c r="A4610" i="2"/>
  <c r="H4609" i="2"/>
  <c r="G4609" i="2"/>
  <c r="F4609" i="2"/>
  <c r="E4609" i="2"/>
  <c r="D4609" i="2"/>
  <c r="C4609" i="2"/>
  <c r="B4609" i="2"/>
  <c r="A4609" i="2"/>
  <c r="H4608" i="2"/>
  <c r="G4608" i="2"/>
  <c r="F4608" i="2"/>
  <c r="E4608" i="2"/>
  <c r="D4608" i="2"/>
  <c r="C4608" i="2"/>
  <c r="B4608" i="2"/>
  <c r="A4608" i="2"/>
  <c r="H4607" i="2"/>
  <c r="G4607" i="2"/>
  <c r="F4607" i="2"/>
  <c r="E4607" i="2"/>
  <c r="D4607" i="2"/>
  <c r="C4607" i="2"/>
  <c r="B4607" i="2"/>
  <c r="A4607" i="2"/>
  <c r="H4606" i="2"/>
  <c r="G4606" i="2"/>
  <c r="F4606" i="2"/>
  <c r="E4606" i="2"/>
  <c r="D4606" i="2"/>
  <c r="C4606" i="2"/>
  <c r="B4606" i="2"/>
  <c r="A4606" i="2"/>
  <c r="H4605" i="2"/>
  <c r="G4605" i="2"/>
  <c r="F4605" i="2"/>
  <c r="E4605" i="2"/>
  <c r="D4605" i="2"/>
  <c r="C4605" i="2"/>
  <c r="B4605" i="2"/>
  <c r="A4605" i="2"/>
  <c r="H4604" i="2"/>
  <c r="G4604" i="2"/>
  <c r="F4604" i="2"/>
  <c r="E4604" i="2"/>
  <c r="D4604" i="2"/>
  <c r="C4604" i="2"/>
  <c r="B4604" i="2"/>
  <c r="A4604" i="2"/>
  <c r="H4603" i="2"/>
  <c r="G4603" i="2"/>
  <c r="F4603" i="2"/>
  <c r="E4603" i="2"/>
  <c r="D4603" i="2"/>
  <c r="C4603" i="2"/>
  <c r="B4603" i="2"/>
  <c r="A4603" i="2"/>
  <c r="H4602" i="2"/>
  <c r="G4602" i="2"/>
  <c r="F4602" i="2"/>
  <c r="E4602" i="2"/>
  <c r="D4602" i="2"/>
  <c r="C4602" i="2"/>
  <c r="B4602" i="2"/>
  <c r="A4602" i="2"/>
  <c r="H4601" i="2"/>
  <c r="G4601" i="2"/>
  <c r="F4601" i="2"/>
  <c r="E4601" i="2"/>
  <c r="D4601" i="2"/>
  <c r="C4601" i="2"/>
  <c r="B4601" i="2"/>
  <c r="A4601" i="2"/>
  <c r="H4600" i="2"/>
  <c r="G4600" i="2"/>
  <c r="F4600" i="2"/>
  <c r="E4600" i="2"/>
  <c r="D4600" i="2"/>
  <c r="C4600" i="2"/>
  <c r="B4600" i="2"/>
  <c r="A4600" i="2"/>
  <c r="H4599" i="2"/>
  <c r="G4599" i="2"/>
  <c r="F4599" i="2"/>
  <c r="E4599" i="2"/>
  <c r="D4599" i="2"/>
  <c r="C4599" i="2"/>
  <c r="B4599" i="2"/>
  <c r="A4599" i="2"/>
  <c r="H4598" i="2"/>
  <c r="G4598" i="2"/>
  <c r="F4598" i="2"/>
  <c r="E4598" i="2"/>
  <c r="D4598" i="2"/>
  <c r="C4598" i="2"/>
  <c r="B4598" i="2"/>
  <c r="A4598" i="2"/>
  <c r="H4597" i="2"/>
  <c r="G4597" i="2"/>
  <c r="F4597" i="2"/>
  <c r="E4597" i="2"/>
  <c r="D4597" i="2"/>
  <c r="C4597" i="2"/>
  <c r="B4597" i="2"/>
  <c r="A4597" i="2"/>
  <c r="H4596" i="2"/>
  <c r="G4596" i="2"/>
  <c r="F4596" i="2"/>
  <c r="E4596" i="2"/>
  <c r="D4596" i="2"/>
  <c r="C4596" i="2"/>
  <c r="B4596" i="2"/>
  <c r="A4596" i="2"/>
  <c r="H4595" i="2"/>
  <c r="G4595" i="2"/>
  <c r="F4595" i="2"/>
  <c r="E4595" i="2"/>
  <c r="D4595" i="2"/>
  <c r="C4595" i="2"/>
  <c r="B4595" i="2"/>
  <c r="A4595" i="2"/>
  <c r="H4594" i="2"/>
  <c r="G4594" i="2"/>
  <c r="F4594" i="2"/>
  <c r="E4594" i="2"/>
  <c r="D4594" i="2"/>
  <c r="C4594" i="2"/>
  <c r="B4594" i="2"/>
  <c r="A4594" i="2"/>
  <c r="H4593" i="2"/>
  <c r="G4593" i="2"/>
  <c r="F4593" i="2"/>
  <c r="E4593" i="2"/>
  <c r="D4593" i="2"/>
  <c r="C4593" i="2"/>
  <c r="B4593" i="2"/>
  <c r="A4593" i="2"/>
  <c r="H4592" i="2"/>
  <c r="G4592" i="2"/>
  <c r="F4592" i="2"/>
  <c r="E4592" i="2"/>
  <c r="D4592" i="2"/>
  <c r="C4592" i="2"/>
  <c r="B4592" i="2"/>
  <c r="A4592" i="2"/>
  <c r="H4591" i="2"/>
  <c r="G4591" i="2"/>
  <c r="F4591" i="2"/>
  <c r="E4591" i="2"/>
  <c r="D4591" i="2"/>
  <c r="C4591" i="2"/>
  <c r="B4591" i="2"/>
  <c r="A4591" i="2"/>
  <c r="H4590" i="2"/>
  <c r="G4590" i="2"/>
  <c r="F4590" i="2"/>
  <c r="E4590" i="2"/>
  <c r="D4590" i="2"/>
  <c r="C4590" i="2"/>
  <c r="B4590" i="2"/>
  <c r="A4590" i="2"/>
  <c r="H4589" i="2"/>
  <c r="G4589" i="2"/>
  <c r="F4589" i="2"/>
  <c r="E4589" i="2"/>
  <c r="D4589" i="2"/>
  <c r="C4589" i="2"/>
  <c r="B4589" i="2"/>
  <c r="A4589" i="2"/>
  <c r="H4588" i="2"/>
  <c r="G4588" i="2"/>
  <c r="F4588" i="2"/>
  <c r="E4588" i="2"/>
  <c r="D4588" i="2"/>
  <c r="C4588" i="2"/>
  <c r="B4588" i="2"/>
  <c r="A4588" i="2"/>
  <c r="H4587" i="2"/>
  <c r="G4587" i="2"/>
  <c r="F4587" i="2"/>
  <c r="E4587" i="2"/>
  <c r="D4587" i="2"/>
  <c r="C4587" i="2"/>
  <c r="B4587" i="2"/>
  <c r="A4587" i="2"/>
  <c r="H4586" i="2"/>
  <c r="G4586" i="2"/>
  <c r="F4586" i="2"/>
  <c r="E4586" i="2"/>
  <c r="D4586" i="2"/>
  <c r="C4586" i="2"/>
  <c r="B4586" i="2"/>
  <c r="A4586" i="2"/>
  <c r="H4585" i="2"/>
  <c r="G4585" i="2"/>
  <c r="F4585" i="2"/>
  <c r="E4585" i="2"/>
  <c r="D4585" i="2"/>
  <c r="C4585" i="2"/>
  <c r="B4585" i="2"/>
  <c r="A4585" i="2"/>
  <c r="H4584" i="2"/>
  <c r="G4584" i="2"/>
  <c r="F4584" i="2"/>
  <c r="E4584" i="2"/>
  <c r="D4584" i="2"/>
  <c r="C4584" i="2"/>
  <c r="B4584" i="2"/>
  <c r="A4584" i="2"/>
  <c r="H4583" i="2"/>
  <c r="G4583" i="2"/>
  <c r="F4583" i="2"/>
  <c r="E4583" i="2"/>
  <c r="D4583" i="2"/>
  <c r="C4583" i="2"/>
  <c r="B4583" i="2"/>
  <c r="A4583" i="2"/>
  <c r="H4582" i="2"/>
  <c r="G4582" i="2"/>
  <c r="F4582" i="2"/>
  <c r="E4582" i="2"/>
  <c r="D4582" i="2"/>
  <c r="C4582" i="2"/>
  <c r="B4582" i="2"/>
  <c r="A4582" i="2"/>
  <c r="H4581" i="2"/>
  <c r="G4581" i="2"/>
  <c r="F4581" i="2"/>
  <c r="E4581" i="2"/>
  <c r="D4581" i="2"/>
  <c r="C4581" i="2"/>
  <c r="B4581" i="2"/>
  <c r="A4581" i="2"/>
  <c r="H4580" i="2"/>
  <c r="G4580" i="2"/>
  <c r="F4580" i="2"/>
  <c r="E4580" i="2"/>
  <c r="D4580" i="2"/>
  <c r="C4580" i="2"/>
  <c r="B4580" i="2"/>
  <c r="A4580" i="2"/>
  <c r="H4579" i="2"/>
  <c r="G4579" i="2"/>
  <c r="F4579" i="2"/>
  <c r="E4579" i="2"/>
  <c r="D4579" i="2"/>
  <c r="C4579" i="2"/>
  <c r="B4579" i="2"/>
  <c r="A4579" i="2"/>
  <c r="H4578" i="2"/>
  <c r="G4578" i="2"/>
  <c r="F4578" i="2"/>
  <c r="E4578" i="2"/>
  <c r="D4578" i="2"/>
  <c r="C4578" i="2"/>
  <c r="B4578" i="2"/>
  <c r="A4578" i="2"/>
  <c r="H4577" i="2"/>
  <c r="G4577" i="2"/>
  <c r="F4577" i="2"/>
  <c r="E4577" i="2"/>
  <c r="D4577" i="2"/>
  <c r="C4577" i="2"/>
  <c r="B4577" i="2"/>
  <c r="A4577" i="2"/>
  <c r="H4576" i="2"/>
  <c r="G4576" i="2"/>
  <c r="F4576" i="2"/>
  <c r="E4576" i="2"/>
  <c r="D4576" i="2"/>
  <c r="C4576" i="2"/>
  <c r="B4576" i="2"/>
  <c r="A4576" i="2"/>
  <c r="H4575" i="2"/>
  <c r="G4575" i="2"/>
  <c r="F4575" i="2"/>
  <c r="E4575" i="2"/>
  <c r="D4575" i="2"/>
  <c r="C4575" i="2"/>
  <c r="B4575" i="2"/>
  <c r="A4575" i="2"/>
  <c r="H4574" i="2"/>
  <c r="G4574" i="2"/>
  <c r="F4574" i="2"/>
  <c r="E4574" i="2"/>
  <c r="D4574" i="2"/>
  <c r="C4574" i="2"/>
  <c r="B4574" i="2"/>
  <c r="A4574" i="2"/>
  <c r="H4573" i="2"/>
  <c r="G4573" i="2"/>
  <c r="F4573" i="2"/>
  <c r="E4573" i="2"/>
  <c r="D4573" i="2"/>
  <c r="C4573" i="2"/>
  <c r="B4573" i="2"/>
  <c r="A4573" i="2"/>
  <c r="H4572" i="2"/>
  <c r="G4572" i="2"/>
  <c r="F4572" i="2"/>
  <c r="E4572" i="2"/>
  <c r="D4572" i="2"/>
  <c r="C4572" i="2"/>
  <c r="B4572" i="2"/>
  <c r="A4572" i="2"/>
  <c r="H4571" i="2"/>
  <c r="G4571" i="2"/>
  <c r="F4571" i="2"/>
  <c r="E4571" i="2"/>
  <c r="D4571" i="2"/>
  <c r="C4571" i="2"/>
  <c r="B4571" i="2"/>
  <c r="A4571" i="2"/>
  <c r="H4570" i="2"/>
  <c r="G4570" i="2"/>
  <c r="F4570" i="2"/>
  <c r="E4570" i="2"/>
  <c r="D4570" i="2"/>
  <c r="C4570" i="2"/>
  <c r="B4570" i="2"/>
  <c r="A4570" i="2"/>
  <c r="H4569" i="2"/>
  <c r="G4569" i="2"/>
  <c r="F4569" i="2"/>
  <c r="E4569" i="2"/>
  <c r="D4569" i="2"/>
  <c r="C4569" i="2"/>
  <c r="B4569" i="2"/>
  <c r="A4569" i="2"/>
  <c r="H4568" i="2"/>
  <c r="G4568" i="2"/>
  <c r="F4568" i="2"/>
  <c r="E4568" i="2"/>
  <c r="D4568" i="2"/>
  <c r="C4568" i="2"/>
  <c r="B4568" i="2"/>
  <c r="A4568" i="2"/>
  <c r="H4567" i="2"/>
  <c r="G4567" i="2"/>
  <c r="F4567" i="2"/>
  <c r="E4567" i="2"/>
  <c r="D4567" i="2"/>
  <c r="C4567" i="2"/>
  <c r="B4567" i="2"/>
  <c r="A4567" i="2"/>
  <c r="H4566" i="2"/>
  <c r="G4566" i="2"/>
  <c r="F4566" i="2"/>
  <c r="E4566" i="2"/>
  <c r="D4566" i="2"/>
  <c r="C4566" i="2"/>
  <c r="B4566" i="2"/>
  <c r="A4566" i="2"/>
  <c r="H4565" i="2"/>
  <c r="G4565" i="2"/>
  <c r="F4565" i="2"/>
  <c r="E4565" i="2"/>
  <c r="D4565" i="2"/>
  <c r="C4565" i="2"/>
  <c r="B4565" i="2"/>
  <c r="A4565" i="2"/>
  <c r="H4564" i="2"/>
  <c r="G4564" i="2"/>
  <c r="F4564" i="2"/>
  <c r="E4564" i="2"/>
  <c r="D4564" i="2"/>
  <c r="C4564" i="2"/>
  <c r="B4564" i="2"/>
  <c r="A4564" i="2"/>
  <c r="H4563" i="2"/>
  <c r="G4563" i="2"/>
  <c r="F4563" i="2"/>
  <c r="E4563" i="2"/>
  <c r="D4563" i="2"/>
  <c r="C4563" i="2"/>
  <c r="B4563" i="2"/>
  <c r="A4563" i="2"/>
  <c r="H4562" i="2"/>
  <c r="G4562" i="2"/>
  <c r="F4562" i="2"/>
  <c r="E4562" i="2"/>
  <c r="D4562" i="2"/>
  <c r="C4562" i="2"/>
  <c r="B4562" i="2"/>
  <c r="A4562" i="2"/>
  <c r="H4561" i="2"/>
  <c r="G4561" i="2"/>
  <c r="F4561" i="2"/>
  <c r="E4561" i="2"/>
  <c r="D4561" i="2"/>
  <c r="C4561" i="2"/>
  <c r="B4561" i="2"/>
  <c r="A4561" i="2"/>
  <c r="H4560" i="2"/>
  <c r="G4560" i="2"/>
  <c r="F4560" i="2"/>
  <c r="E4560" i="2"/>
  <c r="D4560" i="2"/>
  <c r="C4560" i="2"/>
  <c r="B4560" i="2"/>
  <c r="A4560" i="2"/>
  <c r="H4559" i="2"/>
  <c r="G4559" i="2"/>
  <c r="F4559" i="2"/>
  <c r="E4559" i="2"/>
  <c r="D4559" i="2"/>
  <c r="C4559" i="2"/>
  <c r="B4559" i="2"/>
  <c r="A4559" i="2"/>
  <c r="H4558" i="2"/>
  <c r="G4558" i="2"/>
  <c r="F4558" i="2"/>
  <c r="E4558" i="2"/>
  <c r="D4558" i="2"/>
  <c r="C4558" i="2"/>
  <c r="B4558" i="2"/>
  <c r="A4558" i="2"/>
  <c r="H4557" i="2"/>
  <c r="G4557" i="2"/>
  <c r="F4557" i="2"/>
  <c r="E4557" i="2"/>
  <c r="D4557" i="2"/>
  <c r="C4557" i="2"/>
  <c r="B4557" i="2"/>
  <c r="A4557" i="2"/>
  <c r="H4556" i="2"/>
  <c r="G4556" i="2"/>
  <c r="F4556" i="2"/>
  <c r="E4556" i="2"/>
  <c r="D4556" i="2"/>
  <c r="C4556" i="2"/>
  <c r="B4556" i="2"/>
  <c r="A4556" i="2"/>
  <c r="H4555" i="2"/>
  <c r="G4555" i="2"/>
  <c r="F4555" i="2"/>
  <c r="E4555" i="2"/>
  <c r="D4555" i="2"/>
  <c r="C4555" i="2"/>
  <c r="B4555" i="2"/>
  <c r="A4555" i="2"/>
  <c r="H4554" i="2"/>
  <c r="G4554" i="2"/>
  <c r="F4554" i="2"/>
  <c r="E4554" i="2"/>
  <c r="D4554" i="2"/>
  <c r="C4554" i="2"/>
  <c r="B4554" i="2"/>
  <c r="A4554" i="2"/>
  <c r="H4553" i="2"/>
  <c r="G4553" i="2"/>
  <c r="F4553" i="2"/>
  <c r="E4553" i="2"/>
  <c r="D4553" i="2"/>
  <c r="C4553" i="2"/>
  <c r="B4553" i="2"/>
  <c r="A4553" i="2"/>
  <c r="H4552" i="2"/>
  <c r="G4552" i="2"/>
  <c r="F4552" i="2"/>
  <c r="E4552" i="2"/>
  <c r="D4552" i="2"/>
  <c r="C4552" i="2"/>
  <c r="B4552" i="2"/>
  <c r="A4552" i="2"/>
  <c r="H4551" i="2"/>
  <c r="G4551" i="2"/>
  <c r="F4551" i="2"/>
  <c r="E4551" i="2"/>
  <c r="D4551" i="2"/>
  <c r="C4551" i="2"/>
  <c r="B4551" i="2"/>
  <c r="A4551" i="2"/>
  <c r="H4550" i="2"/>
  <c r="G4550" i="2"/>
  <c r="F4550" i="2"/>
  <c r="E4550" i="2"/>
  <c r="D4550" i="2"/>
  <c r="C4550" i="2"/>
  <c r="B4550" i="2"/>
  <c r="A4550" i="2"/>
  <c r="H4549" i="2"/>
  <c r="G4549" i="2"/>
  <c r="F4549" i="2"/>
  <c r="E4549" i="2"/>
  <c r="D4549" i="2"/>
  <c r="C4549" i="2"/>
  <c r="B4549" i="2"/>
  <c r="A4549" i="2"/>
  <c r="H4548" i="2"/>
  <c r="G4548" i="2"/>
  <c r="F4548" i="2"/>
  <c r="E4548" i="2"/>
  <c r="D4548" i="2"/>
  <c r="C4548" i="2"/>
  <c r="B4548" i="2"/>
  <c r="A4548" i="2"/>
  <c r="H4547" i="2"/>
  <c r="G4547" i="2"/>
  <c r="F4547" i="2"/>
  <c r="E4547" i="2"/>
  <c r="D4547" i="2"/>
  <c r="C4547" i="2"/>
  <c r="B4547" i="2"/>
  <c r="A4547" i="2"/>
  <c r="H4546" i="2"/>
  <c r="G4546" i="2"/>
  <c r="F4546" i="2"/>
  <c r="E4546" i="2"/>
  <c r="D4546" i="2"/>
  <c r="C4546" i="2"/>
  <c r="B4546" i="2"/>
  <c r="A4546" i="2"/>
  <c r="H4545" i="2"/>
  <c r="G4545" i="2"/>
  <c r="F4545" i="2"/>
  <c r="E4545" i="2"/>
  <c r="D4545" i="2"/>
  <c r="C4545" i="2"/>
  <c r="B4545" i="2"/>
  <c r="A4545" i="2"/>
  <c r="H4544" i="2"/>
  <c r="G4544" i="2"/>
  <c r="F4544" i="2"/>
  <c r="E4544" i="2"/>
  <c r="D4544" i="2"/>
  <c r="C4544" i="2"/>
  <c r="B4544" i="2"/>
  <c r="A4544" i="2"/>
  <c r="H4543" i="2"/>
  <c r="G4543" i="2"/>
  <c r="F4543" i="2"/>
  <c r="E4543" i="2"/>
  <c r="D4543" i="2"/>
  <c r="C4543" i="2"/>
  <c r="B4543" i="2"/>
  <c r="A4543" i="2"/>
  <c r="H4542" i="2"/>
  <c r="G4542" i="2"/>
  <c r="F4542" i="2"/>
  <c r="E4542" i="2"/>
  <c r="D4542" i="2"/>
  <c r="C4542" i="2"/>
  <c r="B4542" i="2"/>
  <c r="A4542" i="2"/>
  <c r="H4541" i="2"/>
  <c r="G4541" i="2"/>
  <c r="F4541" i="2"/>
  <c r="E4541" i="2"/>
  <c r="D4541" i="2"/>
  <c r="C4541" i="2"/>
  <c r="B4541" i="2"/>
  <c r="A4541" i="2"/>
  <c r="H4540" i="2"/>
  <c r="G4540" i="2"/>
  <c r="F4540" i="2"/>
  <c r="E4540" i="2"/>
  <c r="D4540" i="2"/>
  <c r="C4540" i="2"/>
  <c r="B4540" i="2"/>
  <c r="A4540" i="2"/>
  <c r="H4539" i="2"/>
  <c r="G4539" i="2"/>
  <c r="F4539" i="2"/>
  <c r="E4539" i="2"/>
  <c r="D4539" i="2"/>
  <c r="C4539" i="2"/>
  <c r="B4539" i="2"/>
  <c r="A4539" i="2"/>
  <c r="H4538" i="2"/>
  <c r="G4538" i="2"/>
  <c r="F4538" i="2"/>
  <c r="E4538" i="2"/>
  <c r="D4538" i="2"/>
  <c r="C4538" i="2"/>
  <c r="B4538" i="2"/>
  <c r="A4538" i="2"/>
  <c r="H4537" i="2"/>
  <c r="G4537" i="2"/>
  <c r="F4537" i="2"/>
  <c r="E4537" i="2"/>
  <c r="D4537" i="2"/>
  <c r="C4537" i="2"/>
  <c r="B4537" i="2"/>
  <c r="A4537" i="2"/>
  <c r="H4536" i="2"/>
  <c r="G4536" i="2"/>
  <c r="F4536" i="2"/>
  <c r="E4536" i="2"/>
  <c r="D4536" i="2"/>
  <c r="C4536" i="2"/>
  <c r="B4536" i="2"/>
  <c r="A4536" i="2"/>
  <c r="H4535" i="2"/>
  <c r="G4535" i="2"/>
  <c r="F4535" i="2"/>
  <c r="E4535" i="2"/>
  <c r="D4535" i="2"/>
  <c r="C4535" i="2"/>
  <c r="B4535" i="2"/>
  <c r="A4535" i="2"/>
  <c r="H4534" i="2"/>
  <c r="G4534" i="2"/>
  <c r="F4534" i="2"/>
  <c r="E4534" i="2"/>
  <c r="D4534" i="2"/>
  <c r="C4534" i="2"/>
  <c r="B4534" i="2"/>
  <c r="A4534" i="2"/>
  <c r="H4533" i="2"/>
  <c r="G4533" i="2"/>
  <c r="F4533" i="2"/>
  <c r="E4533" i="2"/>
  <c r="D4533" i="2"/>
  <c r="C4533" i="2"/>
  <c r="B4533" i="2"/>
  <c r="A4533" i="2"/>
  <c r="H4532" i="2"/>
  <c r="G4532" i="2"/>
  <c r="F4532" i="2"/>
  <c r="E4532" i="2"/>
  <c r="D4532" i="2"/>
  <c r="C4532" i="2"/>
  <c r="B4532" i="2"/>
  <c r="A4532" i="2"/>
  <c r="H4531" i="2"/>
  <c r="G4531" i="2"/>
  <c r="F4531" i="2"/>
  <c r="E4531" i="2"/>
  <c r="D4531" i="2"/>
  <c r="C4531" i="2"/>
  <c r="B4531" i="2"/>
  <c r="A4531" i="2"/>
  <c r="H4530" i="2"/>
  <c r="G4530" i="2"/>
  <c r="F4530" i="2"/>
  <c r="E4530" i="2"/>
  <c r="D4530" i="2"/>
  <c r="C4530" i="2"/>
  <c r="B4530" i="2"/>
  <c r="A4530" i="2"/>
  <c r="H4529" i="2"/>
  <c r="G4529" i="2"/>
  <c r="F4529" i="2"/>
  <c r="E4529" i="2"/>
  <c r="D4529" i="2"/>
  <c r="C4529" i="2"/>
  <c r="B4529" i="2"/>
  <c r="A4529" i="2"/>
  <c r="H4528" i="2"/>
  <c r="G4528" i="2"/>
  <c r="F4528" i="2"/>
  <c r="E4528" i="2"/>
  <c r="D4528" i="2"/>
  <c r="C4528" i="2"/>
  <c r="B4528" i="2"/>
  <c r="A4528" i="2"/>
  <c r="H4527" i="2"/>
  <c r="G4527" i="2"/>
  <c r="F4527" i="2"/>
  <c r="E4527" i="2"/>
  <c r="D4527" i="2"/>
  <c r="C4527" i="2"/>
  <c r="B4527" i="2"/>
  <c r="A4527" i="2"/>
  <c r="H4526" i="2"/>
  <c r="G4526" i="2"/>
  <c r="F4526" i="2"/>
  <c r="E4526" i="2"/>
  <c r="D4526" i="2"/>
  <c r="C4526" i="2"/>
  <c r="B4526" i="2"/>
  <c r="A4526" i="2"/>
  <c r="H4525" i="2"/>
  <c r="G4525" i="2"/>
  <c r="F4525" i="2"/>
  <c r="E4525" i="2"/>
  <c r="D4525" i="2"/>
  <c r="C4525" i="2"/>
  <c r="B4525" i="2"/>
  <c r="A4525" i="2"/>
  <c r="H4524" i="2"/>
  <c r="G4524" i="2"/>
  <c r="F4524" i="2"/>
  <c r="E4524" i="2"/>
  <c r="D4524" i="2"/>
  <c r="C4524" i="2"/>
  <c r="B4524" i="2"/>
  <c r="A4524" i="2"/>
  <c r="H4523" i="2"/>
  <c r="G4523" i="2"/>
  <c r="F4523" i="2"/>
  <c r="E4523" i="2"/>
  <c r="D4523" i="2"/>
  <c r="C4523" i="2"/>
  <c r="B4523" i="2"/>
  <c r="A4523" i="2"/>
  <c r="H4522" i="2"/>
  <c r="G4522" i="2"/>
  <c r="F4522" i="2"/>
  <c r="E4522" i="2"/>
  <c r="D4522" i="2"/>
  <c r="C4522" i="2"/>
  <c r="B4522" i="2"/>
  <c r="A4522" i="2"/>
  <c r="H4521" i="2"/>
  <c r="G4521" i="2"/>
  <c r="F4521" i="2"/>
  <c r="E4521" i="2"/>
  <c r="D4521" i="2"/>
  <c r="C4521" i="2"/>
  <c r="B4521" i="2"/>
  <c r="A4521" i="2"/>
  <c r="H4520" i="2"/>
  <c r="G4520" i="2"/>
  <c r="F4520" i="2"/>
  <c r="E4520" i="2"/>
  <c r="D4520" i="2"/>
  <c r="C4520" i="2"/>
  <c r="B4520" i="2"/>
  <c r="A4520" i="2"/>
  <c r="H4519" i="2"/>
  <c r="G4519" i="2"/>
  <c r="F4519" i="2"/>
  <c r="E4519" i="2"/>
  <c r="D4519" i="2"/>
  <c r="C4519" i="2"/>
  <c r="B4519" i="2"/>
  <c r="A4519" i="2"/>
  <c r="H4518" i="2"/>
  <c r="G4518" i="2"/>
  <c r="F4518" i="2"/>
  <c r="E4518" i="2"/>
  <c r="D4518" i="2"/>
  <c r="C4518" i="2"/>
  <c r="B4518" i="2"/>
  <c r="A4518" i="2"/>
  <c r="H4517" i="2"/>
  <c r="G4517" i="2"/>
  <c r="F4517" i="2"/>
  <c r="E4517" i="2"/>
  <c r="D4517" i="2"/>
  <c r="C4517" i="2"/>
  <c r="B4517" i="2"/>
  <c r="A4517" i="2"/>
  <c r="H4516" i="2"/>
  <c r="G4516" i="2"/>
  <c r="F4516" i="2"/>
  <c r="E4516" i="2"/>
  <c r="D4516" i="2"/>
  <c r="C4516" i="2"/>
  <c r="B4516" i="2"/>
  <c r="A4516" i="2"/>
  <c r="H4515" i="2"/>
  <c r="G4515" i="2"/>
  <c r="F4515" i="2"/>
  <c r="E4515" i="2"/>
  <c r="D4515" i="2"/>
  <c r="C4515" i="2"/>
  <c r="B4515" i="2"/>
  <c r="A4515" i="2"/>
  <c r="H4514" i="2"/>
  <c r="G4514" i="2"/>
  <c r="F4514" i="2"/>
  <c r="E4514" i="2"/>
  <c r="D4514" i="2"/>
  <c r="C4514" i="2"/>
  <c r="B4514" i="2"/>
  <c r="A4514" i="2"/>
  <c r="H4513" i="2"/>
  <c r="G4513" i="2"/>
  <c r="F4513" i="2"/>
  <c r="E4513" i="2"/>
  <c r="D4513" i="2"/>
  <c r="C4513" i="2"/>
  <c r="B4513" i="2"/>
  <c r="A4513" i="2"/>
  <c r="H4512" i="2"/>
  <c r="G4512" i="2"/>
  <c r="F4512" i="2"/>
  <c r="E4512" i="2"/>
  <c r="D4512" i="2"/>
  <c r="C4512" i="2"/>
  <c r="B4512" i="2"/>
  <c r="A4512" i="2"/>
  <c r="H4511" i="2"/>
  <c r="G4511" i="2"/>
  <c r="F4511" i="2"/>
  <c r="E4511" i="2"/>
  <c r="D4511" i="2"/>
  <c r="C4511" i="2"/>
  <c r="B4511" i="2"/>
  <c r="A4511" i="2"/>
  <c r="H4510" i="2"/>
  <c r="G4510" i="2"/>
  <c r="F4510" i="2"/>
  <c r="E4510" i="2"/>
  <c r="D4510" i="2"/>
  <c r="C4510" i="2"/>
  <c r="B4510" i="2"/>
  <c r="A4510" i="2"/>
  <c r="H4509" i="2"/>
  <c r="G4509" i="2"/>
  <c r="F4509" i="2"/>
  <c r="E4509" i="2"/>
  <c r="D4509" i="2"/>
  <c r="C4509" i="2"/>
  <c r="B4509" i="2"/>
  <c r="A4509" i="2"/>
  <c r="H4508" i="2"/>
  <c r="G4508" i="2"/>
  <c r="F4508" i="2"/>
  <c r="E4508" i="2"/>
  <c r="D4508" i="2"/>
  <c r="C4508" i="2"/>
  <c r="B4508" i="2"/>
  <c r="A4508" i="2"/>
  <c r="H4507" i="2"/>
  <c r="G4507" i="2"/>
  <c r="F4507" i="2"/>
  <c r="E4507" i="2"/>
  <c r="D4507" i="2"/>
  <c r="C4507" i="2"/>
  <c r="B4507" i="2"/>
  <c r="A4507" i="2"/>
  <c r="H4506" i="2"/>
  <c r="G4506" i="2"/>
  <c r="F4506" i="2"/>
  <c r="E4506" i="2"/>
  <c r="D4506" i="2"/>
  <c r="C4506" i="2"/>
  <c r="B4506" i="2"/>
  <c r="A4506" i="2"/>
  <c r="H4505" i="2"/>
  <c r="G4505" i="2"/>
  <c r="F4505" i="2"/>
  <c r="E4505" i="2"/>
  <c r="D4505" i="2"/>
  <c r="C4505" i="2"/>
  <c r="B4505" i="2"/>
  <c r="A4505" i="2"/>
  <c r="H4504" i="2"/>
  <c r="G4504" i="2"/>
  <c r="F4504" i="2"/>
  <c r="E4504" i="2"/>
  <c r="D4504" i="2"/>
  <c r="C4504" i="2"/>
  <c r="B4504" i="2"/>
  <c r="A4504" i="2"/>
  <c r="H4503" i="2"/>
  <c r="G4503" i="2"/>
  <c r="F4503" i="2"/>
  <c r="E4503" i="2"/>
  <c r="D4503" i="2"/>
  <c r="C4503" i="2"/>
  <c r="B4503" i="2"/>
  <c r="A4503" i="2"/>
  <c r="H4502" i="2"/>
  <c r="G4502" i="2"/>
  <c r="F4502" i="2"/>
  <c r="E4502" i="2"/>
  <c r="D4502" i="2"/>
  <c r="C4502" i="2"/>
  <c r="B4502" i="2"/>
  <c r="A4502" i="2"/>
  <c r="H4501" i="2"/>
  <c r="G4501" i="2"/>
  <c r="F4501" i="2"/>
  <c r="E4501" i="2"/>
  <c r="D4501" i="2"/>
  <c r="C4501" i="2"/>
  <c r="B4501" i="2"/>
  <c r="A4501" i="2"/>
  <c r="H4500" i="2"/>
  <c r="G4500" i="2"/>
  <c r="F4500" i="2"/>
  <c r="E4500" i="2"/>
  <c r="D4500" i="2"/>
  <c r="C4500" i="2"/>
  <c r="B4500" i="2"/>
  <c r="A4500" i="2"/>
  <c r="H4499" i="2"/>
  <c r="G4499" i="2"/>
  <c r="F4499" i="2"/>
  <c r="E4499" i="2"/>
  <c r="D4499" i="2"/>
  <c r="C4499" i="2"/>
  <c r="B4499" i="2"/>
  <c r="A4499" i="2"/>
  <c r="H4498" i="2"/>
  <c r="G4498" i="2"/>
  <c r="F4498" i="2"/>
  <c r="E4498" i="2"/>
  <c r="D4498" i="2"/>
  <c r="C4498" i="2"/>
  <c r="B4498" i="2"/>
  <c r="A4498" i="2"/>
  <c r="H4497" i="2"/>
  <c r="G4497" i="2"/>
  <c r="F4497" i="2"/>
  <c r="E4497" i="2"/>
  <c r="D4497" i="2"/>
  <c r="C4497" i="2"/>
  <c r="B4497" i="2"/>
  <c r="A4497" i="2"/>
  <c r="H4496" i="2"/>
  <c r="G4496" i="2"/>
  <c r="F4496" i="2"/>
  <c r="E4496" i="2"/>
  <c r="D4496" i="2"/>
  <c r="C4496" i="2"/>
  <c r="B4496" i="2"/>
  <c r="A4496" i="2"/>
  <c r="H4495" i="2"/>
  <c r="G4495" i="2"/>
  <c r="F4495" i="2"/>
  <c r="E4495" i="2"/>
  <c r="D4495" i="2"/>
  <c r="C4495" i="2"/>
  <c r="B4495" i="2"/>
  <c r="A4495" i="2"/>
  <c r="H4494" i="2"/>
  <c r="G4494" i="2"/>
  <c r="F4494" i="2"/>
  <c r="E4494" i="2"/>
  <c r="D4494" i="2"/>
  <c r="C4494" i="2"/>
  <c r="B4494" i="2"/>
  <c r="A4494" i="2"/>
  <c r="H4493" i="2"/>
  <c r="G4493" i="2"/>
  <c r="F4493" i="2"/>
  <c r="E4493" i="2"/>
  <c r="D4493" i="2"/>
  <c r="C4493" i="2"/>
  <c r="B4493" i="2"/>
  <c r="A4493" i="2"/>
  <c r="H4492" i="2"/>
  <c r="G4492" i="2"/>
  <c r="F4492" i="2"/>
  <c r="E4492" i="2"/>
  <c r="D4492" i="2"/>
  <c r="C4492" i="2"/>
  <c r="B4492" i="2"/>
  <c r="A4492" i="2"/>
  <c r="H4491" i="2"/>
  <c r="G4491" i="2"/>
  <c r="F4491" i="2"/>
  <c r="E4491" i="2"/>
  <c r="D4491" i="2"/>
  <c r="C4491" i="2"/>
  <c r="B4491" i="2"/>
  <c r="A4491" i="2"/>
  <c r="H4490" i="2"/>
  <c r="G4490" i="2"/>
  <c r="F4490" i="2"/>
  <c r="E4490" i="2"/>
  <c r="D4490" i="2"/>
  <c r="C4490" i="2"/>
  <c r="B4490" i="2"/>
  <c r="A4490" i="2"/>
  <c r="H4489" i="2"/>
  <c r="G4489" i="2"/>
  <c r="F4489" i="2"/>
  <c r="E4489" i="2"/>
  <c r="D4489" i="2"/>
  <c r="C4489" i="2"/>
  <c r="B4489" i="2"/>
  <c r="A4489" i="2"/>
  <c r="H4488" i="2"/>
  <c r="G4488" i="2"/>
  <c r="F4488" i="2"/>
  <c r="E4488" i="2"/>
  <c r="D4488" i="2"/>
  <c r="C4488" i="2"/>
  <c r="B4488" i="2"/>
  <c r="A4488" i="2"/>
  <c r="H4487" i="2"/>
  <c r="G4487" i="2"/>
  <c r="F4487" i="2"/>
  <c r="E4487" i="2"/>
  <c r="D4487" i="2"/>
  <c r="C4487" i="2"/>
  <c r="B4487" i="2"/>
  <c r="A4487" i="2"/>
  <c r="H4486" i="2"/>
  <c r="G4486" i="2"/>
  <c r="F4486" i="2"/>
  <c r="E4486" i="2"/>
  <c r="D4486" i="2"/>
  <c r="C4486" i="2"/>
  <c r="B4486" i="2"/>
  <c r="A4486" i="2"/>
  <c r="H4485" i="2"/>
  <c r="G4485" i="2"/>
  <c r="F4485" i="2"/>
  <c r="E4485" i="2"/>
  <c r="D4485" i="2"/>
  <c r="C4485" i="2"/>
  <c r="B4485" i="2"/>
  <c r="A4485" i="2"/>
  <c r="H4484" i="2"/>
  <c r="G4484" i="2"/>
  <c r="F4484" i="2"/>
  <c r="E4484" i="2"/>
  <c r="D4484" i="2"/>
  <c r="C4484" i="2"/>
  <c r="B4484" i="2"/>
  <c r="A4484" i="2"/>
  <c r="H4483" i="2"/>
  <c r="G4483" i="2"/>
  <c r="F4483" i="2"/>
  <c r="E4483" i="2"/>
  <c r="D4483" i="2"/>
  <c r="C4483" i="2"/>
  <c r="B4483" i="2"/>
  <c r="A4483" i="2"/>
  <c r="H4482" i="2"/>
  <c r="G4482" i="2"/>
  <c r="F4482" i="2"/>
  <c r="E4482" i="2"/>
  <c r="D4482" i="2"/>
  <c r="C4482" i="2"/>
  <c r="B4482" i="2"/>
  <c r="A4482" i="2"/>
  <c r="H4481" i="2"/>
  <c r="G4481" i="2"/>
  <c r="F4481" i="2"/>
  <c r="E4481" i="2"/>
  <c r="D4481" i="2"/>
  <c r="C4481" i="2"/>
  <c r="B4481" i="2"/>
  <c r="A4481" i="2"/>
  <c r="H4480" i="2"/>
  <c r="G4480" i="2"/>
  <c r="F4480" i="2"/>
  <c r="E4480" i="2"/>
  <c r="D4480" i="2"/>
  <c r="C4480" i="2"/>
  <c r="B4480" i="2"/>
  <c r="A4480" i="2"/>
  <c r="H4479" i="2"/>
  <c r="G4479" i="2"/>
  <c r="F4479" i="2"/>
  <c r="E4479" i="2"/>
  <c r="D4479" i="2"/>
  <c r="C4479" i="2"/>
  <c r="B4479" i="2"/>
  <c r="A4479" i="2"/>
  <c r="H4478" i="2"/>
  <c r="G4478" i="2"/>
  <c r="F4478" i="2"/>
  <c r="E4478" i="2"/>
  <c r="D4478" i="2"/>
  <c r="C4478" i="2"/>
  <c r="B4478" i="2"/>
  <c r="A4478" i="2"/>
  <c r="H4477" i="2"/>
  <c r="G4477" i="2"/>
  <c r="F4477" i="2"/>
  <c r="E4477" i="2"/>
  <c r="D4477" i="2"/>
  <c r="C4477" i="2"/>
  <c r="B4477" i="2"/>
  <c r="A4477" i="2"/>
  <c r="H4476" i="2"/>
  <c r="G4476" i="2"/>
  <c r="F4476" i="2"/>
  <c r="E4476" i="2"/>
  <c r="D4476" i="2"/>
  <c r="C4476" i="2"/>
  <c r="B4476" i="2"/>
  <c r="A4476" i="2"/>
  <c r="H4475" i="2"/>
  <c r="G4475" i="2"/>
  <c r="F4475" i="2"/>
  <c r="E4475" i="2"/>
  <c r="D4475" i="2"/>
  <c r="C4475" i="2"/>
  <c r="B4475" i="2"/>
  <c r="A4475" i="2"/>
  <c r="H4474" i="2"/>
  <c r="G4474" i="2"/>
  <c r="F4474" i="2"/>
  <c r="E4474" i="2"/>
  <c r="D4474" i="2"/>
  <c r="C4474" i="2"/>
  <c r="B4474" i="2"/>
  <c r="A4474" i="2"/>
  <c r="H4473" i="2"/>
  <c r="G4473" i="2"/>
  <c r="F4473" i="2"/>
  <c r="E4473" i="2"/>
  <c r="D4473" i="2"/>
  <c r="C4473" i="2"/>
  <c r="B4473" i="2"/>
  <c r="A4473" i="2"/>
  <c r="H4472" i="2"/>
  <c r="G4472" i="2"/>
  <c r="F4472" i="2"/>
  <c r="E4472" i="2"/>
  <c r="D4472" i="2"/>
  <c r="C4472" i="2"/>
  <c r="B4472" i="2"/>
  <c r="A4472" i="2"/>
  <c r="H4471" i="2"/>
  <c r="G4471" i="2"/>
  <c r="F4471" i="2"/>
  <c r="E4471" i="2"/>
  <c r="D4471" i="2"/>
  <c r="C4471" i="2"/>
  <c r="B4471" i="2"/>
  <c r="A4471" i="2"/>
  <c r="H4470" i="2"/>
  <c r="G4470" i="2"/>
  <c r="F4470" i="2"/>
  <c r="E4470" i="2"/>
  <c r="D4470" i="2"/>
  <c r="C4470" i="2"/>
  <c r="B4470" i="2"/>
  <c r="A4470" i="2"/>
  <c r="H4469" i="2"/>
  <c r="G4469" i="2"/>
  <c r="F4469" i="2"/>
  <c r="E4469" i="2"/>
  <c r="D4469" i="2"/>
  <c r="C4469" i="2"/>
  <c r="B4469" i="2"/>
  <c r="A4469" i="2"/>
  <c r="H4468" i="2"/>
  <c r="G4468" i="2"/>
  <c r="F4468" i="2"/>
  <c r="E4468" i="2"/>
  <c r="D4468" i="2"/>
  <c r="C4468" i="2"/>
  <c r="B4468" i="2"/>
  <c r="A4468" i="2"/>
  <c r="H4467" i="2"/>
  <c r="G4467" i="2"/>
  <c r="F4467" i="2"/>
  <c r="E4467" i="2"/>
  <c r="D4467" i="2"/>
  <c r="C4467" i="2"/>
  <c r="B4467" i="2"/>
  <c r="A4467" i="2"/>
  <c r="H4466" i="2"/>
  <c r="G4466" i="2"/>
  <c r="F4466" i="2"/>
  <c r="E4466" i="2"/>
  <c r="D4466" i="2"/>
  <c r="C4466" i="2"/>
  <c r="B4466" i="2"/>
  <c r="A4466" i="2"/>
  <c r="H4465" i="2"/>
  <c r="G4465" i="2"/>
  <c r="F4465" i="2"/>
  <c r="E4465" i="2"/>
  <c r="D4465" i="2"/>
  <c r="C4465" i="2"/>
  <c r="B4465" i="2"/>
  <c r="A4465" i="2"/>
  <c r="H4464" i="2"/>
  <c r="G4464" i="2"/>
  <c r="F4464" i="2"/>
  <c r="E4464" i="2"/>
  <c r="D4464" i="2"/>
  <c r="C4464" i="2"/>
  <c r="B4464" i="2"/>
  <c r="A4464" i="2"/>
  <c r="H4463" i="2"/>
  <c r="G4463" i="2"/>
  <c r="F4463" i="2"/>
  <c r="E4463" i="2"/>
  <c r="D4463" i="2"/>
  <c r="C4463" i="2"/>
  <c r="B4463" i="2"/>
  <c r="A4463" i="2"/>
  <c r="H4462" i="2"/>
  <c r="G4462" i="2"/>
  <c r="F4462" i="2"/>
  <c r="E4462" i="2"/>
  <c r="D4462" i="2"/>
  <c r="C4462" i="2"/>
  <c r="B4462" i="2"/>
  <c r="A4462" i="2"/>
  <c r="H4461" i="2"/>
  <c r="G4461" i="2"/>
  <c r="F4461" i="2"/>
  <c r="E4461" i="2"/>
  <c r="D4461" i="2"/>
  <c r="C4461" i="2"/>
  <c r="B4461" i="2"/>
  <c r="A4461" i="2"/>
  <c r="H4460" i="2"/>
  <c r="G4460" i="2"/>
  <c r="F4460" i="2"/>
  <c r="E4460" i="2"/>
  <c r="D4460" i="2"/>
  <c r="C4460" i="2"/>
  <c r="B4460" i="2"/>
  <c r="A4460" i="2"/>
  <c r="H4459" i="2"/>
  <c r="G4459" i="2"/>
  <c r="F4459" i="2"/>
  <c r="E4459" i="2"/>
  <c r="D4459" i="2"/>
  <c r="C4459" i="2"/>
  <c r="B4459" i="2"/>
  <c r="A4459" i="2"/>
  <c r="H4458" i="2"/>
  <c r="G4458" i="2"/>
  <c r="F4458" i="2"/>
  <c r="E4458" i="2"/>
  <c r="D4458" i="2"/>
  <c r="C4458" i="2"/>
  <c r="B4458" i="2"/>
  <c r="A4458" i="2"/>
  <c r="H4457" i="2"/>
  <c r="G4457" i="2"/>
  <c r="F4457" i="2"/>
  <c r="E4457" i="2"/>
  <c r="D4457" i="2"/>
  <c r="C4457" i="2"/>
  <c r="B4457" i="2"/>
  <c r="A4457" i="2"/>
  <c r="H4456" i="2"/>
  <c r="G4456" i="2"/>
  <c r="F4456" i="2"/>
  <c r="E4456" i="2"/>
  <c r="D4456" i="2"/>
  <c r="C4456" i="2"/>
  <c r="B4456" i="2"/>
  <c r="A4456" i="2"/>
  <c r="H4455" i="2"/>
  <c r="G4455" i="2"/>
  <c r="F4455" i="2"/>
  <c r="E4455" i="2"/>
  <c r="D4455" i="2"/>
  <c r="C4455" i="2"/>
  <c r="B4455" i="2"/>
  <c r="A4455" i="2"/>
  <c r="H4454" i="2"/>
  <c r="G4454" i="2"/>
  <c r="F4454" i="2"/>
  <c r="E4454" i="2"/>
  <c r="D4454" i="2"/>
  <c r="C4454" i="2"/>
  <c r="B4454" i="2"/>
  <c r="A4454" i="2"/>
  <c r="H4453" i="2"/>
  <c r="G4453" i="2"/>
  <c r="F4453" i="2"/>
  <c r="E4453" i="2"/>
  <c r="D4453" i="2"/>
  <c r="C4453" i="2"/>
  <c r="B4453" i="2"/>
  <c r="A4453" i="2"/>
  <c r="H4452" i="2"/>
  <c r="G4452" i="2"/>
  <c r="F4452" i="2"/>
  <c r="E4452" i="2"/>
  <c r="D4452" i="2"/>
  <c r="C4452" i="2"/>
  <c r="B4452" i="2"/>
  <c r="A4452" i="2"/>
  <c r="H4451" i="2"/>
  <c r="G4451" i="2"/>
  <c r="F4451" i="2"/>
  <c r="E4451" i="2"/>
  <c r="D4451" i="2"/>
  <c r="C4451" i="2"/>
  <c r="B4451" i="2"/>
  <c r="A4451" i="2"/>
  <c r="H4450" i="2"/>
  <c r="G4450" i="2"/>
  <c r="F4450" i="2"/>
  <c r="E4450" i="2"/>
  <c r="D4450" i="2"/>
  <c r="C4450" i="2"/>
  <c r="B4450" i="2"/>
  <c r="A4450" i="2"/>
  <c r="H4449" i="2"/>
  <c r="G4449" i="2"/>
  <c r="F4449" i="2"/>
  <c r="E4449" i="2"/>
  <c r="D4449" i="2"/>
  <c r="C4449" i="2"/>
  <c r="B4449" i="2"/>
  <c r="A4449" i="2"/>
  <c r="H4448" i="2"/>
  <c r="G4448" i="2"/>
  <c r="F4448" i="2"/>
  <c r="E4448" i="2"/>
  <c r="D4448" i="2"/>
  <c r="C4448" i="2"/>
  <c r="B4448" i="2"/>
  <c r="A4448" i="2"/>
  <c r="H4447" i="2"/>
  <c r="G4447" i="2"/>
  <c r="F4447" i="2"/>
  <c r="E4447" i="2"/>
  <c r="D4447" i="2"/>
  <c r="C4447" i="2"/>
  <c r="B4447" i="2"/>
  <c r="A4447" i="2"/>
  <c r="H4446" i="2"/>
  <c r="G4446" i="2"/>
  <c r="F4446" i="2"/>
  <c r="E4446" i="2"/>
  <c r="D4446" i="2"/>
  <c r="C4446" i="2"/>
  <c r="B4446" i="2"/>
  <c r="A4446" i="2"/>
  <c r="H4445" i="2"/>
  <c r="G4445" i="2"/>
  <c r="F4445" i="2"/>
  <c r="E4445" i="2"/>
  <c r="D4445" i="2"/>
  <c r="C4445" i="2"/>
  <c r="B4445" i="2"/>
  <c r="A4445" i="2"/>
  <c r="H4444" i="2"/>
  <c r="G4444" i="2"/>
  <c r="F4444" i="2"/>
  <c r="E4444" i="2"/>
  <c r="D4444" i="2"/>
  <c r="C4444" i="2"/>
  <c r="B4444" i="2"/>
  <c r="A4444" i="2"/>
  <c r="H4443" i="2"/>
  <c r="G4443" i="2"/>
  <c r="F4443" i="2"/>
  <c r="E4443" i="2"/>
  <c r="D4443" i="2"/>
  <c r="C4443" i="2"/>
  <c r="B4443" i="2"/>
  <c r="A4443" i="2"/>
  <c r="H4442" i="2"/>
  <c r="G4442" i="2"/>
  <c r="F4442" i="2"/>
  <c r="E4442" i="2"/>
  <c r="D4442" i="2"/>
  <c r="C4442" i="2"/>
  <c r="B4442" i="2"/>
  <c r="A4442" i="2"/>
  <c r="H4441" i="2"/>
  <c r="G4441" i="2"/>
  <c r="F4441" i="2"/>
  <c r="E4441" i="2"/>
  <c r="D4441" i="2"/>
  <c r="C4441" i="2"/>
  <c r="B4441" i="2"/>
  <c r="A4441" i="2"/>
  <c r="H4440" i="2"/>
  <c r="G4440" i="2"/>
  <c r="F4440" i="2"/>
  <c r="E4440" i="2"/>
  <c r="D4440" i="2"/>
  <c r="C4440" i="2"/>
  <c r="B4440" i="2"/>
  <c r="A4440" i="2"/>
  <c r="H4439" i="2"/>
  <c r="G4439" i="2"/>
  <c r="F4439" i="2"/>
  <c r="E4439" i="2"/>
  <c r="D4439" i="2"/>
  <c r="C4439" i="2"/>
  <c r="B4439" i="2"/>
  <c r="A4439" i="2"/>
  <c r="H4438" i="2"/>
  <c r="G4438" i="2"/>
  <c r="F4438" i="2"/>
  <c r="E4438" i="2"/>
  <c r="D4438" i="2"/>
  <c r="C4438" i="2"/>
  <c r="B4438" i="2"/>
  <c r="A4438" i="2"/>
  <c r="H4437" i="2"/>
  <c r="G4437" i="2"/>
  <c r="F4437" i="2"/>
  <c r="E4437" i="2"/>
  <c r="D4437" i="2"/>
  <c r="C4437" i="2"/>
  <c r="B4437" i="2"/>
  <c r="A4437" i="2"/>
  <c r="H4436" i="2"/>
  <c r="G4436" i="2"/>
  <c r="F4436" i="2"/>
  <c r="E4436" i="2"/>
  <c r="D4436" i="2"/>
  <c r="C4436" i="2"/>
  <c r="B4436" i="2"/>
  <c r="A4436" i="2"/>
  <c r="H4435" i="2"/>
  <c r="G4435" i="2"/>
  <c r="F4435" i="2"/>
  <c r="E4435" i="2"/>
  <c r="D4435" i="2"/>
  <c r="C4435" i="2"/>
  <c r="B4435" i="2"/>
  <c r="A4435" i="2"/>
  <c r="H4434" i="2"/>
  <c r="G4434" i="2"/>
  <c r="F4434" i="2"/>
  <c r="E4434" i="2"/>
  <c r="D4434" i="2"/>
  <c r="C4434" i="2"/>
  <c r="B4434" i="2"/>
  <c r="A4434" i="2"/>
  <c r="H4433" i="2"/>
  <c r="G4433" i="2"/>
  <c r="F4433" i="2"/>
  <c r="E4433" i="2"/>
  <c r="D4433" i="2"/>
  <c r="C4433" i="2"/>
  <c r="B4433" i="2"/>
  <c r="A4433" i="2"/>
  <c r="H4432" i="2"/>
  <c r="G4432" i="2"/>
  <c r="F4432" i="2"/>
  <c r="E4432" i="2"/>
  <c r="D4432" i="2"/>
  <c r="C4432" i="2"/>
  <c r="B4432" i="2"/>
  <c r="A4432" i="2"/>
  <c r="H4431" i="2"/>
  <c r="G4431" i="2"/>
  <c r="F4431" i="2"/>
  <c r="E4431" i="2"/>
  <c r="D4431" i="2"/>
  <c r="C4431" i="2"/>
  <c r="B4431" i="2"/>
  <c r="A4431" i="2"/>
  <c r="H4430" i="2"/>
  <c r="G4430" i="2"/>
  <c r="F4430" i="2"/>
  <c r="E4430" i="2"/>
  <c r="D4430" i="2"/>
  <c r="C4430" i="2"/>
  <c r="B4430" i="2"/>
  <c r="A4430" i="2"/>
  <c r="H4429" i="2"/>
  <c r="G4429" i="2"/>
  <c r="F4429" i="2"/>
  <c r="E4429" i="2"/>
  <c r="D4429" i="2"/>
  <c r="C4429" i="2"/>
  <c r="B4429" i="2"/>
  <c r="A4429" i="2"/>
  <c r="H4428" i="2"/>
  <c r="G4428" i="2"/>
  <c r="F4428" i="2"/>
  <c r="E4428" i="2"/>
  <c r="D4428" i="2"/>
  <c r="C4428" i="2"/>
  <c r="B4428" i="2"/>
  <c r="A4428" i="2"/>
  <c r="H4427" i="2"/>
  <c r="G4427" i="2"/>
  <c r="F4427" i="2"/>
  <c r="E4427" i="2"/>
  <c r="D4427" i="2"/>
  <c r="C4427" i="2"/>
  <c r="B4427" i="2"/>
  <c r="A4427" i="2"/>
  <c r="H4426" i="2"/>
  <c r="G4426" i="2"/>
  <c r="F4426" i="2"/>
  <c r="E4426" i="2"/>
  <c r="D4426" i="2"/>
  <c r="C4426" i="2"/>
  <c r="B4426" i="2"/>
  <c r="A4426" i="2"/>
  <c r="H4425" i="2"/>
  <c r="G4425" i="2"/>
  <c r="F4425" i="2"/>
  <c r="E4425" i="2"/>
  <c r="D4425" i="2"/>
  <c r="C4425" i="2"/>
  <c r="B4425" i="2"/>
  <c r="A4425" i="2"/>
  <c r="H4424" i="2"/>
  <c r="G4424" i="2"/>
  <c r="F4424" i="2"/>
  <c r="E4424" i="2"/>
  <c r="D4424" i="2"/>
  <c r="C4424" i="2"/>
  <c r="B4424" i="2"/>
  <c r="A4424" i="2"/>
  <c r="H4423" i="2"/>
  <c r="G4423" i="2"/>
  <c r="F4423" i="2"/>
  <c r="E4423" i="2"/>
  <c r="D4423" i="2"/>
  <c r="C4423" i="2"/>
  <c r="B4423" i="2"/>
  <c r="A4423" i="2"/>
  <c r="H4422" i="2"/>
  <c r="G4422" i="2"/>
  <c r="F4422" i="2"/>
  <c r="E4422" i="2"/>
  <c r="D4422" i="2"/>
  <c r="C4422" i="2"/>
  <c r="B4422" i="2"/>
  <c r="A4422" i="2"/>
  <c r="H4421" i="2"/>
  <c r="G4421" i="2"/>
  <c r="F4421" i="2"/>
  <c r="E4421" i="2"/>
  <c r="D4421" i="2"/>
  <c r="C4421" i="2"/>
  <c r="B4421" i="2"/>
  <c r="A4421" i="2"/>
  <c r="H4420" i="2"/>
  <c r="G4420" i="2"/>
  <c r="F4420" i="2"/>
  <c r="E4420" i="2"/>
  <c r="D4420" i="2"/>
  <c r="C4420" i="2"/>
  <c r="B4420" i="2"/>
  <c r="A4420" i="2"/>
  <c r="H4419" i="2"/>
  <c r="G4419" i="2"/>
  <c r="F4419" i="2"/>
  <c r="E4419" i="2"/>
  <c r="D4419" i="2"/>
  <c r="C4419" i="2"/>
  <c r="B4419" i="2"/>
  <c r="A4419" i="2"/>
  <c r="H4418" i="2"/>
  <c r="G4418" i="2"/>
  <c r="F4418" i="2"/>
  <c r="E4418" i="2"/>
  <c r="D4418" i="2"/>
  <c r="C4418" i="2"/>
  <c r="B4418" i="2"/>
  <c r="A4418" i="2"/>
  <c r="H4417" i="2"/>
  <c r="G4417" i="2"/>
  <c r="F4417" i="2"/>
  <c r="E4417" i="2"/>
  <c r="D4417" i="2"/>
  <c r="C4417" i="2"/>
  <c r="B4417" i="2"/>
  <c r="A4417" i="2"/>
  <c r="H4416" i="2"/>
  <c r="G4416" i="2"/>
  <c r="F4416" i="2"/>
  <c r="E4416" i="2"/>
  <c r="D4416" i="2"/>
  <c r="C4416" i="2"/>
  <c r="B4416" i="2"/>
  <c r="A4416" i="2"/>
  <c r="H4415" i="2"/>
  <c r="G4415" i="2"/>
  <c r="F4415" i="2"/>
  <c r="E4415" i="2"/>
  <c r="D4415" i="2"/>
  <c r="C4415" i="2"/>
  <c r="B4415" i="2"/>
  <c r="A4415" i="2"/>
  <c r="H4414" i="2"/>
  <c r="G4414" i="2"/>
  <c r="F4414" i="2"/>
  <c r="E4414" i="2"/>
  <c r="D4414" i="2"/>
  <c r="C4414" i="2"/>
  <c r="B4414" i="2"/>
  <c r="A4414" i="2"/>
  <c r="H4413" i="2"/>
  <c r="G4413" i="2"/>
  <c r="F4413" i="2"/>
  <c r="E4413" i="2"/>
  <c r="D4413" i="2"/>
  <c r="C4413" i="2"/>
  <c r="B4413" i="2"/>
  <c r="A4413" i="2"/>
  <c r="H4412" i="2"/>
  <c r="G4412" i="2"/>
  <c r="F4412" i="2"/>
  <c r="E4412" i="2"/>
  <c r="D4412" i="2"/>
  <c r="C4412" i="2"/>
  <c r="B4412" i="2"/>
  <c r="A4412" i="2"/>
  <c r="H4411" i="2"/>
  <c r="G4411" i="2"/>
  <c r="F4411" i="2"/>
  <c r="E4411" i="2"/>
  <c r="D4411" i="2"/>
  <c r="C4411" i="2"/>
  <c r="B4411" i="2"/>
  <c r="A4411" i="2"/>
  <c r="H4410" i="2"/>
  <c r="G4410" i="2"/>
  <c r="F4410" i="2"/>
  <c r="E4410" i="2"/>
  <c r="D4410" i="2"/>
  <c r="C4410" i="2"/>
  <c r="B4410" i="2"/>
  <c r="A4410" i="2"/>
  <c r="H4409" i="2"/>
  <c r="G4409" i="2"/>
  <c r="F4409" i="2"/>
  <c r="E4409" i="2"/>
  <c r="D4409" i="2"/>
  <c r="C4409" i="2"/>
  <c r="B4409" i="2"/>
  <c r="A4409" i="2"/>
  <c r="H4408" i="2"/>
  <c r="G4408" i="2"/>
  <c r="F4408" i="2"/>
  <c r="E4408" i="2"/>
  <c r="D4408" i="2"/>
  <c r="C4408" i="2"/>
  <c r="B4408" i="2"/>
  <c r="A4408" i="2"/>
  <c r="H4407" i="2"/>
  <c r="G4407" i="2"/>
  <c r="F4407" i="2"/>
  <c r="E4407" i="2"/>
  <c r="D4407" i="2"/>
  <c r="C4407" i="2"/>
  <c r="B4407" i="2"/>
  <c r="A4407" i="2"/>
  <c r="H4406" i="2"/>
  <c r="G4406" i="2"/>
  <c r="F4406" i="2"/>
  <c r="E4406" i="2"/>
  <c r="D4406" i="2"/>
  <c r="C4406" i="2"/>
  <c r="B4406" i="2"/>
  <c r="A4406" i="2"/>
  <c r="H4405" i="2"/>
  <c r="G4405" i="2"/>
  <c r="F4405" i="2"/>
  <c r="E4405" i="2"/>
  <c r="D4405" i="2"/>
  <c r="C4405" i="2"/>
  <c r="B4405" i="2"/>
  <c r="A4405" i="2"/>
  <c r="H4404" i="2"/>
  <c r="G4404" i="2"/>
  <c r="F4404" i="2"/>
  <c r="E4404" i="2"/>
  <c r="D4404" i="2"/>
  <c r="C4404" i="2"/>
  <c r="B4404" i="2"/>
  <c r="A4404" i="2"/>
  <c r="H4403" i="2"/>
  <c r="G4403" i="2"/>
  <c r="F4403" i="2"/>
  <c r="E4403" i="2"/>
  <c r="D4403" i="2"/>
  <c r="C4403" i="2"/>
  <c r="B4403" i="2"/>
  <c r="A4403" i="2"/>
  <c r="H4402" i="2"/>
  <c r="G4402" i="2"/>
  <c r="F4402" i="2"/>
  <c r="E4402" i="2"/>
  <c r="D4402" i="2"/>
  <c r="C4402" i="2"/>
  <c r="B4402" i="2"/>
  <c r="A4402" i="2"/>
  <c r="H4401" i="2"/>
  <c r="G4401" i="2"/>
  <c r="F4401" i="2"/>
  <c r="E4401" i="2"/>
  <c r="D4401" i="2"/>
  <c r="C4401" i="2"/>
  <c r="B4401" i="2"/>
  <c r="A4401" i="2"/>
  <c r="H4400" i="2"/>
  <c r="G4400" i="2"/>
  <c r="F4400" i="2"/>
  <c r="E4400" i="2"/>
  <c r="D4400" i="2"/>
  <c r="C4400" i="2"/>
  <c r="B4400" i="2"/>
  <c r="A4400" i="2"/>
  <c r="H4399" i="2"/>
  <c r="G4399" i="2"/>
  <c r="F4399" i="2"/>
  <c r="E4399" i="2"/>
  <c r="D4399" i="2"/>
  <c r="C4399" i="2"/>
  <c r="B4399" i="2"/>
  <c r="A4399" i="2"/>
  <c r="H4398" i="2"/>
  <c r="G4398" i="2"/>
  <c r="F4398" i="2"/>
  <c r="E4398" i="2"/>
  <c r="D4398" i="2"/>
  <c r="C4398" i="2"/>
  <c r="B4398" i="2"/>
  <c r="A4398" i="2"/>
  <c r="H4397" i="2"/>
  <c r="G4397" i="2"/>
  <c r="F4397" i="2"/>
  <c r="E4397" i="2"/>
  <c r="D4397" i="2"/>
  <c r="C4397" i="2"/>
  <c r="B4397" i="2"/>
  <c r="A4397" i="2"/>
  <c r="H4396" i="2"/>
  <c r="G4396" i="2"/>
  <c r="F4396" i="2"/>
  <c r="E4396" i="2"/>
  <c r="D4396" i="2"/>
  <c r="C4396" i="2"/>
  <c r="B4396" i="2"/>
  <c r="A4396" i="2"/>
  <c r="H4395" i="2"/>
  <c r="G4395" i="2"/>
  <c r="F4395" i="2"/>
  <c r="E4395" i="2"/>
  <c r="D4395" i="2"/>
  <c r="C4395" i="2"/>
  <c r="B4395" i="2"/>
  <c r="A4395" i="2"/>
  <c r="H4394" i="2"/>
  <c r="G4394" i="2"/>
  <c r="F4394" i="2"/>
  <c r="E4394" i="2"/>
  <c r="D4394" i="2"/>
  <c r="C4394" i="2"/>
  <c r="B4394" i="2"/>
  <c r="A4394" i="2"/>
  <c r="H4393" i="2"/>
  <c r="G4393" i="2"/>
  <c r="F4393" i="2"/>
  <c r="E4393" i="2"/>
  <c r="D4393" i="2"/>
  <c r="C4393" i="2"/>
  <c r="B4393" i="2"/>
  <c r="A4393" i="2"/>
  <c r="H4392" i="2"/>
  <c r="G4392" i="2"/>
  <c r="F4392" i="2"/>
  <c r="E4392" i="2"/>
  <c r="D4392" i="2"/>
  <c r="C4392" i="2"/>
  <c r="B4392" i="2"/>
  <c r="A4392" i="2"/>
  <c r="H4391" i="2"/>
  <c r="G4391" i="2"/>
  <c r="F4391" i="2"/>
  <c r="E4391" i="2"/>
  <c r="D4391" i="2"/>
  <c r="C4391" i="2"/>
  <c r="B4391" i="2"/>
  <c r="A4391" i="2"/>
  <c r="H4390" i="2"/>
  <c r="G4390" i="2"/>
  <c r="F4390" i="2"/>
  <c r="E4390" i="2"/>
  <c r="D4390" i="2"/>
  <c r="C4390" i="2"/>
  <c r="B4390" i="2"/>
  <c r="A4390" i="2"/>
  <c r="H4389" i="2"/>
  <c r="G4389" i="2"/>
  <c r="F4389" i="2"/>
  <c r="E4389" i="2"/>
  <c r="D4389" i="2"/>
  <c r="C4389" i="2"/>
  <c r="B4389" i="2"/>
  <c r="A4389" i="2"/>
  <c r="H4388" i="2"/>
  <c r="G4388" i="2"/>
  <c r="F4388" i="2"/>
  <c r="E4388" i="2"/>
  <c r="D4388" i="2"/>
  <c r="C4388" i="2"/>
  <c r="B4388" i="2"/>
  <c r="A4388" i="2"/>
  <c r="H4387" i="2"/>
  <c r="G4387" i="2"/>
  <c r="F4387" i="2"/>
  <c r="E4387" i="2"/>
  <c r="D4387" i="2"/>
  <c r="C4387" i="2"/>
  <c r="B4387" i="2"/>
  <c r="A4387" i="2"/>
  <c r="H4386" i="2"/>
  <c r="G4386" i="2"/>
  <c r="F4386" i="2"/>
  <c r="E4386" i="2"/>
  <c r="D4386" i="2"/>
  <c r="C4386" i="2"/>
  <c r="B4386" i="2"/>
  <c r="A4386" i="2"/>
  <c r="H4385" i="2"/>
  <c r="G4385" i="2"/>
  <c r="F4385" i="2"/>
  <c r="E4385" i="2"/>
  <c r="D4385" i="2"/>
  <c r="C4385" i="2"/>
  <c r="B4385" i="2"/>
  <c r="A4385" i="2"/>
  <c r="H4384" i="2"/>
  <c r="G4384" i="2"/>
  <c r="F4384" i="2"/>
  <c r="E4384" i="2"/>
  <c r="D4384" i="2"/>
  <c r="C4384" i="2"/>
  <c r="B4384" i="2"/>
  <c r="A4384" i="2"/>
  <c r="H4383" i="2"/>
  <c r="G4383" i="2"/>
  <c r="F4383" i="2"/>
  <c r="E4383" i="2"/>
  <c r="D4383" i="2"/>
  <c r="C4383" i="2"/>
  <c r="B4383" i="2"/>
  <c r="A4383" i="2"/>
  <c r="H4382" i="2"/>
  <c r="G4382" i="2"/>
  <c r="F4382" i="2"/>
  <c r="E4382" i="2"/>
  <c r="D4382" i="2"/>
  <c r="C4382" i="2"/>
  <c r="B4382" i="2"/>
  <c r="A4382" i="2"/>
  <c r="H4381" i="2"/>
  <c r="G4381" i="2"/>
  <c r="F4381" i="2"/>
  <c r="E4381" i="2"/>
  <c r="D4381" i="2"/>
  <c r="C4381" i="2"/>
  <c r="B4381" i="2"/>
  <c r="A4381" i="2"/>
  <c r="H4380" i="2"/>
  <c r="G4380" i="2"/>
  <c r="F4380" i="2"/>
  <c r="E4380" i="2"/>
  <c r="D4380" i="2"/>
  <c r="C4380" i="2"/>
  <c r="B4380" i="2"/>
  <c r="A4380" i="2"/>
  <c r="H4379" i="2"/>
  <c r="G4379" i="2"/>
  <c r="F4379" i="2"/>
  <c r="E4379" i="2"/>
  <c r="D4379" i="2"/>
  <c r="C4379" i="2"/>
  <c r="B4379" i="2"/>
  <c r="A4379" i="2"/>
  <c r="H4378" i="2"/>
  <c r="G4378" i="2"/>
  <c r="F4378" i="2"/>
  <c r="E4378" i="2"/>
  <c r="D4378" i="2"/>
  <c r="C4378" i="2"/>
  <c r="B4378" i="2"/>
  <c r="A4378" i="2"/>
  <c r="H4377" i="2"/>
  <c r="G4377" i="2"/>
  <c r="F4377" i="2"/>
  <c r="E4377" i="2"/>
  <c r="D4377" i="2"/>
  <c r="C4377" i="2"/>
  <c r="B4377" i="2"/>
  <c r="A4377" i="2"/>
  <c r="H4376" i="2"/>
  <c r="G4376" i="2"/>
  <c r="F4376" i="2"/>
  <c r="E4376" i="2"/>
  <c r="D4376" i="2"/>
  <c r="C4376" i="2"/>
  <c r="B4376" i="2"/>
  <c r="A4376" i="2"/>
  <c r="H4375" i="2"/>
  <c r="G4375" i="2"/>
  <c r="F4375" i="2"/>
  <c r="E4375" i="2"/>
  <c r="D4375" i="2"/>
  <c r="C4375" i="2"/>
  <c r="B4375" i="2"/>
  <c r="A4375" i="2"/>
  <c r="H4374" i="2"/>
  <c r="G4374" i="2"/>
  <c r="F4374" i="2"/>
  <c r="E4374" i="2"/>
  <c r="D4374" i="2"/>
  <c r="C4374" i="2"/>
  <c r="B4374" i="2"/>
  <c r="A4374" i="2"/>
  <c r="H4373" i="2"/>
  <c r="G4373" i="2"/>
  <c r="F4373" i="2"/>
  <c r="E4373" i="2"/>
  <c r="D4373" i="2"/>
  <c r="C4373" i="2"/>
  <c r="B4373" i="2"/>
  <c r="A4373" i="2"/>
  <c r="H4372" i="2"/>
  <c r="G4372" i="2"/>
  <c r="F4372" i="2"/>
  <c r="E4372" i="2"/>
  <c r="D4372" i="2"/>
  <c r="C4372" i="2"/>
  <c r="B4372" i="2"/>
  <c r="A4372" i="2"/>
  <c r="H4371" i="2"/>
  <c r="G4371" i="2"/>
  <c r="F4371" i="2"/>
  <c r="E4371" i="2"/>
  <c r="D4371" i="2"/>
  <c r="C4371" i="2"/>
  <c r="B4371" i="2"/>
  <c r="A4371" i="2"/>
  <c r="H4370" i="2"/>
  <c r="G4370" i="2"/>
  <c r="F4370" i="2"/>
  <c r="E4370" i="2"/>
  <c r="D4370" i="2"/>
  <c r="C4370" i="2"/>
  <c r="B4370" i="2"/>
  <c r="A4370" i="2"/>
  <c r="H4369" i="2"/>
  <c r="G4369" i="2"/>
  <c r="F4369" i="2"/>
  <c r="E4369" i="2"/>
  <c r="D4369" i="2"/>
  <c r="C4369" i="2"/>
  <c r="B4369" i="2"/>
  <c r="A4369" i="2"/>
  <c r="H4368" i="2"/>
  <c r="G4368" i="2"/>
  <c r="F4368" i="2"/>
  <c r="E4368" i="2"/>
  <c r="D4368" i="2"/>
  <c r="C4368" i="2"/>
  <c r="B4368" i="2"/>
  <c r="A4368" i="2"/>
  <c r="H4367" i="2"/>
  <c r="G4367" i="2"/>
  <c r="F4367" i="2"/>
  <c r="E4367" i="2"/>
  <c r="D4367" i="2"/>
  <c r="C4367" i="2"/>
  <c r="B4367" i="2"/>
  <c r="A4367" i="2"/>
  <c r="H4366" i="2"/>
  <c r="G4366" i="2"/>
  <c r="F4366" i="2"/>
  <c r="E4366" i="2"/>
  <c r="D4366" i="2"/>
  <c r="C4366" i="2"/>
  <c r="B4366" i="2"/>
  <c r="A4366" i="2"/>
  <c r="H4365" i="2"/>
  <c r="G4365" i="2"/>
  <c r="F4365" i="2"/>
  <c r="E4365" i="2"/>
  <c r="D4365" i="2"/>
  <c r="C4365" i="2"/>
  <c r="B4365" i="2"/>
  <c r="A4365" i="2"/>
  <c r="H4364" i="2"/>
  <c r="G4364" i="2"/>
  <c r="F4364" i="2"/>
  <c r="E4364" i="2"/>
  <c r="D4364" i="2"/>
  <c r="C4364" i="2"/>
  <c r="B4364" i="2"/>
  <c r="A4364" i="2"/>
  <c r="H4363" i="2"/>
  <c r="G4363" i="2"/>
  <c r="F4363" i="2"/>
  <c r="E4363" i="2"/>
  <c r="D4363" i="2"/>
  <c r="C4363" i="2"/>
  <c r="B4363" i="2"/>
  <c r="A4363" i="2"/>
  <c r="H4362" i="2"/>
  <c r="G4362" i="2"/>
  <c r="F4362" i="2"/>
  <c r="E4362" i="2"/>
  <c r="D4362" i="2"/>
  <c r="C4362" i="2"/>
  <c r="B4362" i="2"/>
  <c r="A4362" i="2"/>
  <c r="H4361" i="2"/>
  <c r="G4361" i="2"/>
  <c r="F4361" i="2"/>
  <c r="E4361" i="2"/>
  <c r="D4361" i="2"/>
  <c r="C4361" i="2"/>
  <c r="B4361" i="2"/>
  <c r="A4361" i="2"/>
  <c r="H4360" i="2"/>
  <c r="G4360" i="2"/>
  <c r="F4360" i="2"/>
  <c r="E4360" i="2"/>
  <c r="D4360" i="2"/>
  <c r="C4360" i="2"/>
  <c r="B4360" i="2"/>
  <c r="A4360" i="2"/>
  <c r="H4359" i="2"/>
  <c r="G4359" i="2"/>
  <c r="F4359" i="2"/>
  <c r="E4359" i="2"/>
  <c r="D4359" i="2"/>
  <c r="C4359" i="2"/>
  <c r="B4359" i="2"/>
  <c r="A4359" i="2"/>
  <c r="H4358" i="2"/>
  <c r="G4358" i="2"/>
  <c r="F4358" i="2"/>
  <c r="E4358" i="2"/>
  <c r="D4358" i="2"/>
  <c r="C4358" i="2"/>
  <c r="B4358" i="2"/>
  <c r="A4358" i="2"/>
  <c r="H4357" i="2"/>
  <c r="G4357" i="2"/>
  <c r="F4357" i="2"/>
  <c r="E4357" i="2"/>
  <c r="D4357" i="2"/>
  <c r="C4357" i="2"/>
  <c r="B4357" i="2"/>
  <c r="A4357" i="2"/>
  <c r="H4356" i="2"/>
  <c r="G4356" i="2"/>
  <c r="F4356" i="2"/>
  <c r="E4356" i="2"/>
  <c r="D4356" i="2"/>
  <c r="C4356" i="2"/>
  <c r="B4356" i="2"/>
  <c r="A4356" i="2"/>
  <c r="H4355" i="2"/>
  <c r="G4355" i="2"/>
  <c r="F4355" i="2"/>
  <c r="E4355" i="2"/>
  <c r="D4355" i="2"/>
  <c r="C4355" i="2"/>
  <c r="B4355" i="2"/>
  <c r="A4355" i="2"/>
  <c r="H4354" i="2"/>
  <c r="G4354" i="2"/>
  <c r="F4354" i="2"/>
  <c r="E4354" i="2"/>
  <c r="D4354" i="2"/>
  <c r="C4354" i="2"/>
  <c r="B4354" i="2"/>
  <c r="A4354" i="2"/>
  <c r="H4353" i="2"/>
  <c r="G4353" i="2"/>
  <c r="F4353" i="2"/>
  <c r="E4353" i="2"/>
  <c r="D4353" i="2"/>
  <c r="C4353" i="2"/>
  <c r="B4353" i="2"/>
  <c r="A4353" i="2"/>
  <c r="H4352" i="2"/>
  <c r="G4352" i="2"/>
  <c r="F4352" i="2"/>
  <c r="E4352" i="2"/>
  <c r="D4352" i="2"/>
  <c r="C4352" i="2"/>
  <c r="B4352" i="2"/>
  <c r="A4352" i="2"/>
  <c r="H4351" i="2"/>
  <c r="G4351" i="2"/>
  <c r="F4351" i="2"/>
  <c r="E4351" i="2"/>
  <c r="D4351" i="2"/>
  <c r="C4351" i="2"/>
  <c r="B4351" i="2"/>
  <c r="A4351" i="2"/>
  <c r="H4350" i="2"/>
  <c r="G4350" i="2"/>
  <c r="F4350" i="2"/>
  <c r="E4350" i="2"/>
  <c r="D4350" i="2"/>
  <c r="C4350" i="2"/>
  <c r="B4350" i="2"/>
  <c r="A4350" i="2"/>
  <c r="H4349" i="2"/>
  <c r="G4349" i="2"/>
  <c r="F4349" i="2"/>
  <c r="E4349" i="2"/>
  <c r="D4349" i="2"/>
  <c r="C4349" i="2"/>
  <c r="B4349" i="2"/>
  <c r="A4349" i="2"/>
  <c r="H4348" i="2"/>
  <c r="G4348" i="2"/>
  <c r="F4348" i="2"/>
  <c r="E4348" i="2"/>
  <c r="D4348" i="2"/>
  <c r="C4348" i="2"/>
  <c r="B4348" i="2"/>
  <c r="A4348" i="2"/>
  <c r="H4347" i="2"/>
  <c r="G4347" i="2"/>
  <c r="F4347" i="2"/>
  <c r="E4347" i="2"/>
  <c r="D4347" i="2"/>
  <c r="C4347" i="2"/>
  <c r="B4347" i="2"/>
  <c r="A4347" i="2"/>
  <c r="H4346" i="2"/>
  <c r="G4346" i="2"/>
  <c r="F4346" i="2"/>
  <c r="E4346" i="2"/>
  <c r="D4346" i="2"/>
  <c r="C4346" i="2"/>
  <c r="B4346" i="2"/>
  <c r="A4346" i="2"/>
  <c r="H4345" i="2"/>
  <c r="G4345" i="2"/>
  <c r="F4345" i="2"/>
  <c r="E4345" i="2"/>
  <c r="D4345" i="2"/>
  <c r="C4345" i="2"/>
  <c r="B4345" i="2"/>
  <c r="A4345" i="2"/>
  <c r="H4344" i="2"/>
  <c r="G4344" i="2"/>
  <c r="F4344" i="2"/>
  <c r="E4344" i="2"/>
  <c r="D4344" i="2"/>
  <c r="C4344" i="2"/>
  <c r="B4344" i="2"/>
  <c r="A4344" i="2"/>
  <c r="H4343" i="2"/>
  <c r="G4343" i="2"/>
  <c r="F4343" i="2"/>
  <c r="E4343" i="2"/>
  <c r="D4343" i="2"/>
  <c r="C4343" i="2"/>
  <c r="B4343" i="2"/>
  <c r="A4343" i="2"/>
  <c r="H4342" i="2"/>
  <c r="G4342" i="2"/>
  <c r="F4342" i="2"/>
  <c r="E4342" i="2"/>
  <c r="D4342" i="2"/>
  <c r="C4342" i="2"/>
  <c r="B4342" i="2"/>
  <c r="A4342" i="2"/>
  <c r="H4341" i="2"/>
  <c r="G4341" i="2"/>
  <c r="F4341" i="2"/>
  <c r="E4341" i="2"/>
  <c r="D4341" i="2"/>
  <c r="C4341" i="2"/>
  <c r="B4341" i="2"/>
  <c r="A4341" i="2"/>
  <c r="H4340" i="2"/>
  <c r="G4340" i="2"/>
  <c r="F4340" i="2"/>
  <c r="E4340" i="2"/>
  <c r="D4340" i="2"/>
  <c r="C4340" i="2"/>
  <c r="B4340" i="2"/>
  <c r="A4340" i="2"/>
  <c r="H4339" i="2"/>
  <c r="G4339" i="2"/>
  <c r="F4339" i="2"/>
  <c r="E4339" i="2"/>
  <c r="D4339" i="2"/>
  <c r="C4339" i="2"/>
  <c r="B4339" i="2"/>
  <c r="A4339" i="2"/>
  <c r="H4338" i="2"/>
  <c r="G4338" i="2"/>
  <c r="F4338" i="2"/>
  <c r="E4338" i="2"/>
  <c r="D4338" i="2"/>
  <c r="C4338" i="2"/>
  <c r="B4338" i="2"/>
  <c r="A4338" i="2"/>
  <c r="H4337" i="2"/>
  <c r="G4337" i="2"/>
  <c r="F4337" i="2"/>
  <c r="E4337" i="2"/>
  <c r="D4337" i="2"/>
  <c r="C4337" i="2"/>
  <c r="B4337" i="2"/>
  <c r="A4337" i="2"/>
  <c r="H4336" i="2"/>
  <c r="G4336" i="2"/>
  <c r="F4336" i="2"/>
  <c r="E4336" i="2"/>
  <c r="D4336" i="2"/>
  <c r="C4336" i="2"/>
  <c r="B4336" i="2"/>
  <c r="A4336" i="2"/>
  <c r="H4335" i="2"/>
  <c r="G4335" i="2"/>
  <c r="F4335" i="2"/>
  <c r="E4335" i="2"/>
  <c r="D4335" i="2"/>
  <c r="C4335" i="2"/>
  <c r="B4335" i="2"/>
  <c r="A4335" i="2"/>
  <c r="H4334" i="2"/>
  <c r="G4334" i="2"/>
  <c r="F4334" i="2"/>
  <c r="E4334" i="2"/>
  <c r="D4334" i="2"/>
  <c r="C4334" i="2"/>
  <c r="B4334" i="2"/>
  <c r="A4334" i="2"/>
  <c r="H4333" i="2"/>
  <c r="G4333" i="2"/>
  <c r="F4333" i="2"/>
  <c r="E4333" i="2"/>
  <c r="D4333" i="2"/>
  <c r="C4333" i="2"/>
  <c r="B4333" i="2"/>
  <c r="A4333" i="2"/>
  <c r="H4332" i="2"/>
  <c r="G4332" i="2"/>
  <c r="F4332" i="2"/>
  <c r="E4332" i="2"/>
  <c r="D4332" i="2"/>
  <c r="C4332" i="2"/>
  <c r="B4332" i="2"/>
  <c r="A4332" i="2"/>
  <c r="H4331" i="2"/>
  <c r="G4331" i="2"/>
  <c r="F4331" i="2"/>
  <c r="E4331" i="2"/>
  <c r="D4331" i="2"/>
  <c r="C4331" i="2"/>
  <c r="B4331" i="2"/>
  <c r="A4331" i="2"/>
  <c r="H4330" i="2"/>
  <c r="G4330" i="2"/>
  <c r="F4330" i="2"/>
  <c r="E4330" i="2"/>
  <c r="D4330" i="2"/>
  <c r="C4330" i="2"/>
  <c r="B4330" i="2"/>
  <c r="A4330" i="2"/>
  <c r="H4329" i="2"/>
  <c r="G4329" i="2"/>
  <c r="F4329" i="2"/>
  <c r="E4329" i="2"/>
  <c r="D4329" i="2"/>
  <c r="C4329" i="2"/>
  <c r="B4329" i="2"/>
  <c r="A4329" i="2"/>
  <c r="H4328" i="2"/>
  <c r="G4328" i="2"/>
  <c r="F4328" i="2"/>
  <c r="E4328" i="2"/>
  <c r="D4328" i="2"/>
  <c r="C4328" i="2"/>
  <c r="B4328" i="2"/>
  <c r="A4328" i="2"/>
  <c r="H4327" i="2"/>
  <c r="G4327" i="2"/>
  <c r="F4327" i="2"/>
  <c r="E4327" i="2"/>
  <c r="D4327" i="2"/>
  <c r="C4327" i="2"/>
  <c r="B4327" i="2"/>
  <c r="A4327" i="2"/>
  <c r="H4326" i="2"/>
  <c r="G4326" i="2"/>
  <c r="F4326" i="2"/>
  <c r="E4326" i="2"/>
  <c r="D4326" i="2"/>
  <c r="C4326" i="2"/>
  <c r="B4326" i="2"/>
  <c r="A4326" i="2"/>
  <c r="H4325" i="2"/>
  <c r="G4325" i="2"/>
  <c r="F4325" i="2"/>
  <c r="E4325" i="2"/>
  <c r="D4325" i="2"/>
  <c r="C4325" i="2"/>
  <c r="B4325" i="2"/>
  <c r="A4325" i="2"/>
  <c r="H4324" i="2"/>
  <c r="G4324" i="2"/>
  <c r="F4324" i="2"/>
  <c r="E4324" i="2"/>
  <c r="D4324" i="2"/>
  <c r="C4324" i="2"/>
  <c r="B4324" i="2"/>
  <c r="A4324" i="2"/>
  <c r="H4323" i="2"/>
  <c r="G4323" i="2"/>
  <c r="F4323" i="2"/>
  <c r="E4323" i="2"/>
  <c r="D4323" i="2"/>
  <c r="C4323" i="2"/>
  <c r="B4323" i="2"/>
  <c r="A4323" i="2"/>
  <c r="H4322" i="2"/>
  <c r="G4322" i="2"/>
  <c r="F4322" i="2"/>
  <c r="E4322" i="2"/>
  <c r="D4322" i="2"/>
  <c r="C4322" i="2"/>
  <c r="B4322" i="2"/>
  <c r="A4322" i="2"/>
  <c r="H4321" i="2"/>
  <c r="G4321" i="2"/>
  <c r="F4321" i="2"/>
  <c r="E4321" i="2"/>
  <c r="D4321" i="2"/>
  <c r="C4321" i="2"/>
  <c r="B4321" i="2"/>
  <c r="A4321" i="2"/>
  <c r="H4320" i="2"/>
  <c r="G4320" i="2"/>
  <c r="F4320" i="2"/>
  <c r="E4320" i="2"/>
  <c r="D4320" i="2"/>
  <c r="C4320" i="2"/>
  <c r="B4320" i="2"/>
  <c r="A4320" i="2"/>
  <c r="H4319" i="2"/>
  <c r="G4319" i="2"/>
  <c r="F4319" i="2"/>
  <c r="E4319" i="2"/>
  <c r="D4319" i="2"/>
  <c r="C4319" i="2"/>
  <c r="B4319" i="2"/>
  <c r="A4319" i="2"/>
  <c r="H4318" i="2"/>
  <c r="G4318" i="2"/>
  <c r="F4318" i="2"/>
  <c r="E4318" i="2"/>
  <c r="D4318" i="2"/>
  <c r="C4318" i="2"/>
  <c r="B4318" i="2"/>
  <c r="A4318" i="2"/>
  <c r="H4317" i="2"/>
  <c r="G4317" i="2"/>
  <c r="F4317" i="2"/>
  <c r="E4317" i="2"/>
  <c r="D4317" i="2"/>
  <c r="C4317" i="2"/>
  <c r="B4317" i="2"/>
  <c r="A4317" i="2"/>
  <c r="H4316" i="2"/>
  <c r="G4316" i="2"/>
  <c r="F4316" i="2"/>
  <c r="E4316" i="2"/>
  <c r="D4316" i="2"/>
  <c r="C4316" i="2"/>
  <c r="B4316" i="2"/>
  <c r="A4316" i="2"/>
  <c r="H4315" i="2"/>
  <c r="G4315" i="2"/>
  <c r="F4315" i="2"/>
  <c r="E4315" i="2"/>
  <c r="D4315" i="2"/>
  <c r="C4315" i="2"/>
  <c r="B4315" i="2"/>
  <c r="A4315" i="2"/>
  <c r="H4314" i="2"/>
  <c r="G4314" i="2"/>
  <c r="F4314" i="2"/>
  <c r="E4314" i="2"/>
  <c r="D4314" i="2"/>
  <c r="C4314" i="2"/>
  <c r="B4314" i="2"/>
  <c r="A4314" i="2"/>
  <c r="H4313" i="2"/>
  <c r="G4313" i="2"/>
  <c r="F4313" i="2"/>
  <c r="E4313" i="2"/>
  <c r="D4313" i="2"/>
  <c r="C4313" i="2"/>
  <c r="B4313" i="2"/>
  <c r="A4313" i="2"/>
  <c r="H4312" i="2"/>
  <c r="G4312" i="2"/>
  <c r="F4312" i="2"/>
  <c r="E4312" i="2"/>
  <c r="D4312" i="2"/>
  <c r="C4312" i="2"/>
  <c r="B4312" i="2"/>
  <c r="A4312" i="2"/>
  <c r="H4311" i="2"/>
  <c r="G4311" i="2"/>
  <c r="F4311" i="2"/>
  <c r="E4311" i="2"/>
  <c r="D4311" i="2"/>
  <c r="C4311" i="2"/>
  <c r="B4311" i="2"/>
  <c r="A4311" i="2"/>
  <c r="H4310" i="2"/>
  <c r="G4310" i="2"/>
  <c r="F4310" i="2"/>
  <c r="E4310" i="2"/>
  <c r="D4310" i="2"/>
  <c r="C4310" i="2"/>
  <c r="B4310" i="2"/>
  <c r="A4310" i="2"/>
  <c r="H4309" i="2"/>
  <c r="G4309" i="2"/>
  <c r="F4309" i="2"/>
  <c r="E4309" i="2"/>
  <c r="D4309" i="2"/>
  <c r="C4309" i="2"/>
  <c r="B4309" i="2"/>
  <c r="A4309" i="2"/>
  <c r="H4308" i="2"/>
  <c r="G4308" i="2"/>
  <c r="F4308" i="2"/>
  <c r="E4308" i="2"/>
  <c r="D4308" i="2"/>
  <c r="C4308" i="2"/>
  <c r="B4308" i="2"/>
  <c r="A4308" i="2"/>
  <c r="H4307" i="2"/>
  <c r="G4307" i="2"/>
  <c r="F4307" i="2"/>
  <c r="E4307" i="2"/>
  <c r="D4307" i="2"/>
  <c r="C4307" i="2"/>
  <c r="B4307" i="2"/>
  <c r="A4307" i="2"/>
  <c r="H4306" i="2"/>
  <c r="G4306" i="2"/>
  <c r="F4306" i="2"/>
  <c r="E4306" i="2"/>
  <c r="D4306" i="2"/>
  <c r="C4306" i="2"/>
  <c r="B4306" i="2"/>
  <c r="A4306" i="2"/>
  <c r="H4305" i="2"/>
  <c r="G4305" i="2"/>
  <c r="F4305" i="2"/>
  <c r="E4305" i="2"/>
  <c r="D4305" i="2"/>
  <c r="C4305" i="2"/>
  <c r="B4305" i="2"/>
  <c r="A4305" i="2"/>
  <c r="H4304" i="2"/>
  <c r="G4304" i="2"/>
  <c r="F4304" i="2"/>
  <c r="E4304" i="2"/>
  <c r="D4304" i="2"/>
  <c r="C4304" i="2"/>
  <c r="B4304" i="2"/>
  <c r="A4304" i="2"/>
  <c r="H4303" i="2"/>
  <c r="G4303" i="2"/>
  <c r="F4303" i="2"/>
  <c r="E4303" i="2"/>
  <c r="D4303" i="2"/>
  <c r="C4303" i="2"/>
  <c r="B4303" i="2"/>
  <c r="A4303" i="2"/>
  <c r="H4302" i="2"/>
  <c r="G4302" i="2"/>
  <c r="F4302" i="2"/>
  <c r="E4302" i="2"/>
  <c r="D4302" i="2"/>
  <c r="C4302" i="2"/>
  <c r="B4302" i="2"/>
  <c r="A4302" i="2"/>
  <c r="H4301" i="2"/>
  <c r="G4301" i="2"/>
  <c r="F4301" i="2"/>
  <c r="E4301" i="2"/>
  <c r="D4301" i="2"/>
  <c r="C4301" i="2"/>
  <c r="B4301" i="2"/>
  <c r="A4301" i="2"/>
  <c r="H4300" i="2"/>
  <c r="G4300" i="2"/>
  <c r="F4300" i="2"/>
  <c r="E4300" i="2"/>
  <c r="D4300" i="2"/>
  <c r="C4300" i="2"/>
  <c r="B4300" i="2"/>
  <c r="A4300" i="2"/>
  <c r="H4299" i="2"/>
  <c r="G4299" i="2"/>
  <c r="F4299" i="2"/>
  <c r="E4299" i="2"/>
  <c r="D4299" i="2"/>
  <c r="C4299" i="2"/>
  <c r="B4299" i="2"/>
  <c r="A4299" i="2"/>
  <c r="H4298" i="2"/>
  <c r="G4298" i="2"/>
  <c r="F4298" i="2"/>
  <c r="E4298" i="2"/>
  <c r="D4298" i="2"/>
  <c r="C4298" i="2"/>
  <c r="B4298" i="2"/>
  <c r="A4298" i="2"/>
  <c r="H4297" i="2"/>
  <c r="G4297" i="2"/>
  <c r="F4297" i="2"/>
  <c r="E4297" i="2"/>
  <c r="D4297" i="2"/>
  <c r="C4297" i="2"/>
  <c r="B4297" i="2"/>
  <c r="A4297" i="2"/>
  <c r="H4296" i="2"/>
  <c r="G4296" i="2"/>
  <c r="F4296" i="2"/>
  <c r="E4296" i="2"/>
  <c r="D4296" i="2"/>
  <c r="C4296" i="2"/>
  <c r="B4296" i="2"/>
  <c r="A4296" i="2"/>
  <c r="H4295" i="2"/>
  <c r="G4295" i="2"/>
  <c r="F4295" i="2"/>
  <c r="E4295" i="2"/>
  <c r="D4295" i="2"/>
  <c r="C4295" i="2"/>
  <c r="B4295" i="2"/>
  <c r="A4295" i="2"/>
  <c r="H4294" i="2"/>
  <c r="G4294" i="2"/>
  <c r="F4294" i="2"/>
  <c r="E4294" i="2"/>
  <c r="D4294" i="2"/>
  <c r="C4294" i="2"/>
  <c r="B4294" i="2"/>
  <c r="A4294" i="2"/>
  <c r="H4293" i="2"/>
  <c r="G4293" i="2"/>
  <c r="F4293" i="2"/>
  <c r="E4293" i="2"/>
  <c r="D4293" i="2"/>
  <c r="C4293" i="2"/>
  <c r="B4293" i="2"/>
  <c r="A4293" i="2"/>
  <c r="H4292" i="2"/>
  <c r="G4292" i="2"/>
  <c r="F4292" i="2"/>
  <c r="E4292" i="2"/>
  <c r="D4292" i="2"/>
  <c r="C4292" i="2"/>
  <c r="B4292" i="2"/>
  <c r="A4292" i="2"/>
  <c r="H4291" i="2"/>
  <c r="G4291" i="2"/>
  <c r="F4291" i="2"/>
  <c r="E4291" i="2"/>
  <c r="D4291" i="2"/>
  <c r="C4291" i="2"/>
  <c r="B4291" i="2"/>
  <c r="A4291" i="2"/>
  <c r="H4290" i="2"/>
  <c r="G4290" i="2"/>
  <c r="F4290" i="2"/>
  <c r="E4290" i="2"/>
  <c r="D4290" i="2"/>
  <c r="C4290" i="2"/>
  <c r="B4290" i="2"/>
  <c r="A4290" i="2"/>
  <c r="H4289" i="2"/>
  <c r="G4289" i="2"/>
  <c r="F4289" i="2"/>
  <c r="E4289" i="2"/>
  <c r="D4289" i="2"/>
  <c r="C4289" i="2"/>
  <c r="B4289" i="2"/>
  <c r="A4289" i="2"/>
  <c r="H4288" i="2"/>
  <c r="G4288" i="2"/>
  <c r="F4288" i="2"/>
  <c r="E4288" i="2"/>
  <c r="D4288" i="2"/>
  <c r="C4288" i="2"/>
  <c r="B4288" i="2"/>
  <c r="A4288" i="2"/>
  <c r="H4287" i="2"/>
  <c r="G4287" i="2"/>
  <c r="F4287" i="2"/>
  <c r="E4287" i="2"/>
  <c r="D4287" i="2"/>
  <c r="C4287" i="2"/>
  <c r="B4287" i="2"/>
  <c r="A4287" i="2"/>
  <c r="H4286" i="2"/>
  <c r="G4286" i="2"/>
  <c r="F4286" i="2"/>
  <c r="E4286" i="2"/>
  <c r="D4286" i="2"/>
  <c r="C4286" i="2"/>
  <c r="B4286" i="2"/>
  <c r="A4286" i="2"/>
  <c r="H4285" i="2"/>
  <c r="G4285" i="2"/>
  <c r="F4285" i="2"/>
  <c r="E4285" i="2"/>
  <c r="D4285" i="2"/>
  <c r="C4285" i="2"/>
  <c r="B4285" i="2"/>
  <c r="A4285" i="2"/>
  <c r="H4284" i="2"/>
  <c r="G4284" i="2"/>
  <c r="F4284" i="2"/>
  <c r="E4284" i="2"/>
  <c r="D4284" i="2"/>
  <c r="C4284" i="2"/>
  <c r="B4284" i="2"/>
  <c r="A4284" i="2"/>
  <c r="H4283" i="2"/>
  <c r="G4283" i="2"/>
  <c r="F4283" i="2"/>
  <c r="E4283" i="2"/>
  <c r="D4283" i="2"/>
  <c r="C4283" i="2"/>
  <c r="B4283" i="2"/>
  <c r="A4283" i="2"/>
  <c r="H4282" i="2"/>
  <c r="G4282" i="2"/>
  <c r="F4282" i="2"/>
  <c r="E4282" i="2"/>
  <c r="D4282" i="2"/>
  <c r="C4282" i="2"/>
  <c r="B4282" i="2"/>
  <c r="A4282" i="2"/>
  <c r="H4281" i="2"/>
  <c r="G4281" i="2"/>
  <c r="F4281" i="2"/>
  <c r="E4281" i="2"/>
  <c r="D4281" i="2"/>
  <c r="C4281" i="2"/>
  <c r="B4281" i="2"/>
  <c r="A4281" i="2"/>
  <c r="H4280" i="2"/>
  <c r="G4280" i="2"/>
  <c r="F4280" i="2"/>
  <c r="E4280" i="2"/>
  <c r="D4280" i="2"/>
  <c r="C4280" i="2"/>
  <c r="B4280" i="2"/>
  <c r="A4280" i="2"/>
  <c r="H4279" i="2"/>
  <c r="G4279" i="2"/>
  <c r="F4279" i="2"/>
  <c r="E4279" i="2"/>
  <c r="D4279" i="2"/>
  <c r="C4279" i="2"/>
  <c r="B4279" i="2"/>
  <c r="A4279" i="2"/>
  <c r="H4278" i="2"/>
  <c r="G4278" i="2"/>
  <c r="F4278" i="2"/>
  <c r="E4278" i="2"/>
  <c r="D4278" i="2"/>
  <c r="C4278" i="2"/>
  <c r="B4278" i="2"/>
  <c r="A4278" i="2"/>
  <c r="H4277" i="2"/>
  <c r="G4277" i="2"/>
  <c r="F4277" i="2"/>
  <c r="E4277" i="2"/>
  <c r="D4277" i="2"/>
  <c r="C4277" i="2"/>
  <c r="B4277" i="2"/>
  <c r="A4277" i="2"/>
  <c r="H4276" i="2"/>
  <c r="G4276" i="2"/>
  <c r="F4276" i="2"/>
  <c r="E4276" i="2"/>
  <c r="D4276" i="2"/>
  <c r="C4276" i="2"/>
  <c r="B4276" i="2"/>
  <c r="A4276" i="2"/>
  <c r="H4275" i="2"/>
  <c r="G4275" i="2"/>
  <c r="F4275" i="2"/>
  <c r="E4275" i="2"/>
  <c r="D4275" i="2"/>
  <c r="C4275" i="2"/>
  <c r="B4275" i="2"/>
  <c r="A4275" i="2"/>
  <c r="H4274" i="2"/>
  <c r="G4274" i="2"/>
  <c r="F4274" i="2"/>
  <c r="E4274" i="2"/>
  <c r="D4274" i="2"/>
  <c r="C4274" i="2"/>
  <c r="B4274" i="2"/>
  <c r="A4274" i="2"/>
  <c r="H4273" i="2"/>
  <c r="G4273" i="2"/>
  <c r="F4273" i="2"/>
  <c r="E4273" i="2"/>
  <c r="D4273" i="2"/>
  <c r="C4273" i="2"/>
  <c r="B4273" i="2"/>
  <c r="A4273" i="2"/>
  <c r="H4272" i="2"/>
  <c r="G4272" i="2"/>
  <c r="F4272" i="2"/>
  <c r="E4272" i="2"/>
  <c r="D4272" i="2"/>
  <c r="C4272" i="2"/>
  <c r="B4272" i="2"/>
  <c r="A4272" i="2"/>
  <c r="H4271" i="2"/>
  <c r="G4271" i="2"/>
  <c r="F4271" i="2"/>
  <c r="E4271" i="2"/>
  <c r="D4271" i="2"/>
  <c r="C4271" i="2"/>
  <c r="B4271" i="2"/>
  <c r="A4271" i="2"/>
  <c r="H4270" i="2"/>
  <c r="G4270" i="2"/>
  <c r="F4270" i="2"/>
  <c r="E4270" i="2"/>
  <c r="D4270" i="2"/>
  <c r="C4270" i="2"/>
  <c r="B4270" i="2"/>
  <c r="A4270" i="2"/>
  <c r="H4269" i="2"/>
  <c r="G4269" i="2"/>
  <c r="F4269" i="2"/>
  <c r="E4269" i="2"/>
  <c r="D4269" i="2"/>
  <c r="C4269" i="2"/>
  <c r="B4269" i="2"/>
  <c r="A4269" i="2"/>
  <c r="H4268" i="2"/>
  <c r="G4268" i="2"/>
  <c r="F4268" i="2"/>
  <c r="E4268" i="2"/>
  <c r="D4268" i="2"/>
  <c r="C4268" i="2"/>
  <c r="B4268" i="2"/>
  <c r="A4268" i="2"/>
  <c r="H4267" i="2"/>
  <c r="G4267" i="2"/>
  <c r="F4267" i="2"/>
  <c r="E4267" i="2"/>
  <c r="D4267" i="2"/>
  <c r="C4267" i="2"/>
  <c r="B4267" i="2"/>
  <c r="A4267" i="2"/>
  <c r="H4266" i="2"/>
  <c r="G4266" i="2"/>
  <c r="F4266" i="2"/>
  <c r="E4266" i="2"/>
  <c r="D4266" i="2"/>
  <c r="C4266" i="2"/>
  <c r="B4266" i="2"/>
  <c r="A4266" i="2"/>
  <c r="H4265" i="2"/>
  <c r="G4265" i="2"/>
  <c r="F4265" i="2"/>
  <c r="E4265" i="2"/>
  <c r="D4265" i="2"/>
  <c r="C4265" i="2"/>
  <c r="B4265" i="2"/>
  <c r="A4265" i="2"/>
  <c r="H4264" i="2"/>
  <c r="G4264" i="2"/>
  <c r="F4264" i="2"/>
  <c r="E4264" i="2"/>
  <c r="D4264" i="2"/>
  <c r="C4264" i="2"/>
  <c r="B4264" i="2"/>
  <c r="A4264" i="2"/>
  <c r="H4263" i="2"/>
  <c r="G4263" i="2"/>
  <c r="F4263" i="2"/>
  <c r="E4263" i="2"/>
  <c r="D4263" i="2"/>
  <c r="C4263" i="2"/>
  <c r="B4263" i="2"/>
  <c r="A4263" i="2"/>
  <c r="H4262" i="2"/>
  <c r="G4262" i="2"/>
  <c r="F4262" i="2"/>
  <c r="E4262" i="2"/>
  <c r="D4262" i="2"/>
  <c r="C4262" i="2"/>
  <c r="B4262" i="2"/>
  <c r="A4262" i="2"/>
  <c r="H4261" i="2"/>
  <c r="G4261" i="2"/>
  <c r="F4261" i="2"/>
  <c r="E4261" i="2"/>
  <c r="D4261" i="2"/>
  <c r="C4261" i="2"/>
  <c r="B4261" i="2"/>
  <c r="A4261" i="2"/>
  <c r="H4260" i="2"/>
  <c r="G4260" i="2"/>
  <c r="F4260" i="2"/>
  <c r="E4260" i="2"/>
  <c r="D4260" i="2"/>
  <c r="C4260" i="2"/>
  <c r="B4260" i="2"/>
  <c r="A4260" i="2"/>
  <c r="H4259" i="2"/>
  <c r="G4259" i="2"/>
  <c r="F4259" i="2"/>
  <c r="E4259" i="2"/>
  <c r="D4259" i="2"/>
  <c r="C4259" i="2"/>
  <c r="B4259" i="2"/>
  <c r="A4259" i="2"/>
  <c r="H4258" i="2"/>
  <c r="G4258" i="2"/>
  <c r="F4258" i="2"/>
  <c r="E4258" i="2"/>
  <c r="D4258" i="2"/>
  <c r="C4258" i="2"/>
  <c r="B4258" i="2"/>
  <c r="A4258" i="2"/>
  <c r="H4257" i="2"/>
  <c r="G4257" i="2"/>
  <c r="F4257" i="2"/>
  <c r="E4257" i="2"/>
  <c r="D4257" i="2"/>
  <c r="C4257" i="2"/>
  <c r="B4257" i="2"/>
  <c r="A4257" i="2"/>
  <c r="H4256" i="2"/>
  <c r="G4256" i="2"/>
  <c r="F4256" i="2"/>
  <c r="E4256" i="2"/>
  <c r="D4256" i="2"/>
  <c r="C4256" i="2"/>
  <c r="B4256" i="2"/>
  <c r="A4256" i="2"/>
  <c r="H4255" i="2"/>
  <c r="G4255" i="2"/>
  <c r="F4255" i="2"/>
  <c r="E4255" i="2"/>
  <c r="D4255" i="2"/>
  <c r="C4255" i="2"/>
  <c r="B4255" i="2"/>
  <c r="A4255" i="2"/>
  <c r="H4254" i="2"/>
  <c r="G4254" i="2"/>
  <c r="F4254" i="2"/>
  <c r="E4254" i="2"/>
  <c r="D4254" i="2"/>
  <c r="C4254" i="2"/>
  <c r="B4254" i="2"/>
  <c r="A4254" i="2"/>
  <c r="H4253" i="2"/>
  <c r="G4253" i="2"/>
  <c r="F4253" i="2"/>
  <c r="E4253" i="2"/>
  <c r="D4253" i="2"/>
  <c r="C4253" i="2"/>
  <c r="B4253" i="2"/>
  <c r="A4253" i="2"/>
  <c r="H4252" i="2"/>
  <c r="G4252" i="2"/>
  <c r="F4252" i="2"/>
  <c r="E4252" i="2"/>
  <c r="D4252" i="2"/>
  <c r="C4252" i="2"/>
  <c r="B4252" i="2"/>
  <c r="A4252" i="2"/>
  <c r="H4251" i="2"/>
  <c r="G4251" i="2"/>
  <c r="F4251" i="2"/>
  <c r="E4251" i="2"/>
  <c r="D4251" i="2"/>
  <c r="C4251" i="2"/>
  <c r="B4251" i="2"/>
  <c r="A4251" i="2"/>
  <c r="H4250" i="2"/>
  <c r="G4250" i="2"/>
  <c r="F4250" i="2"/>
  <c r="E4250" i="2"/>
  <c r="D4250" i="2"/>
  <c r="C4250" i="2"/>
  <c r="B4250" i="2"/>
  <c r="A4250" i="2"/>
  <c r="H4249" i="2"/>
  <c r="G4249" i="2"/>
  <c r="F4249" i="2"/>
  <c r="E4249" i="2"/>
  <c r="D4249" i="2"/>
  <c r="C4249" i="2"/>
  <c r="B4249" i="2"/>
  <c r="A4249" i="2"/>
  <c r="H4248" i="2"/>
  <c r="G4248" i="2"/>
  <c r="F4248" i="2"/>
  <c r="E4248" i="2"/>
  <c r="D4248" i="2"/>
  <c r="C4248" i="2"/>
  <c r="B4248" i="2"/>
  <c r="A4248" i="2"/>
  <c r="H4247" i="2"/>
  <c r="G4247" i="2"/>
  <c r="F4247" i="2"/>
  <c r="E4247" i="2"/>
  <c r="D4247" i="2"/>
  <c r="C4247" i="2"/>
  <c r="B4247" i="2"/>
  <c r="A4247" i="2"/>
  <c r="H4246" i="2"/>
  <c r="G4246" i="2"/>
  <c r="F4246" i="2"/>
  <c r="E4246" i="2"/>
  <c r="D4246" i="2"/>
  <c r="C4246" i="2"/>
  <c r="B4246" i="2"/>
  <c r="A4246" i="2"/>
  <c r="H4245" i="2"/>
  <c r="G4245" i="2"/>
  <c r="F4245" i="2"/>
  <c r="E4245" i="2"/>
  <c r="D4245" i="2"/>
  <c r="C4245" i="2"/>
  <c r="B4245" i="2"/>
  <c r="A4245" i="2"/>
  <c r="H4244" i="2"/>
  <c r="G4244" i="2"/>
  <c r="F4244" i="2"/>
  <c r="E4244" i="2"/>
  <c r="D4244" i="2"/>
  <c r="C4244" i="2"/>
  <c r="B4244" i="2"/>
  <c r="A4244" i="2"/>
  <c r="H4243" i="2"/>
  <c r="G4243" i="2"/>
  <c r="F4243" i="2"/>
  <c r="E4243" i="2"/>
  <c r="D4243" i="2"/>
  <c r="C4243" i="2"/>
  <c r="B4243" i="2"/>
  <c r="A4243" i="2"/>
  <c r="H4242" i="2"/>
  <c r="G4242" i="2"/>
  <c r="F4242" i="2"/>
  <c r="E4242" i="2"/>
  <c r="D4242" i="2"/>
  <c r="C4242" i="2"/>
  <c r="B4242" i="2"/>
  <c r="A4242" i="2"/>
  <c r="H4241" i="2"/>
  <c r="G4241" i="2"/>
  <c r="F4241" i="2"/>
  <c r="E4241" i="2"/>
  <c r="D4241" i="2"/>
  <c r="C4241" i="2"/>
  <c r="B4241" i="2"/>
  <c r="A4241" i="2"/>
  <c r="H4240" i="2"/>
  <c r="G4240" i="2"/>
  <c r="F4240" i="2"/>
  <c r="E4240" i="2"/>
  <c r="D4240" i="2"/>
  <c r="C4240" i="2"/>
  <c r="B4240" i="2"/>
  <c r="A4240" i="2"/>
  <c r="H4239" i="2"/>
  <c r="G4239" i="2"/>
  <c r="F4239" i="2"/>
  <c r="E4239" i="2"/>
  <c r="D4239" i="2"/>
  <c r="C4239" i="2"/>
  <c r="B4239" i="2"/>
  <c r="A4239" i="2"/>
  <c r="H4238" i="2"/>
  <c r="G4238" i="2"/>
  <c r="F4238" i="2"/>
  <c r="E4238" i="2"/>
  <c r="D4238" i="2"/>
  <c r="C4238" i="2"/>
  <c r="B4238" i="2"/>
  <c r="A4238" i="2"/>
  <c r="H4237" i="2"/>
  <c r="G4237" i="2"/>
  <c r="F4237" i="2"/>
  <c r="E4237" i="2"/>
  <c r="D4237" i="2"/>
  <c r="C4237" i="2"/>
  <c r="B4237" i="2"/>
  <c r="A4237" i="2"/>
  <c r="H4236" i="2"/>
  <c r="G4236" i="2"/>
  <c r="F4236" i="2"/>
  <c r="E4236" i="2"/>
  <c r="D4236" i="2"/>
  <c r="C4236" i="2"/>
  <c r="B4236" i="2"/>
  <c r="A4236" i="2"/>
  <c r="H4235" i="2"/>
  <c r="G4235" i="2"/>
  <c r="F4235" i="2"/>
  <c r="E4235" i="2"/>
  <c r="D4235" i="2"/>
  <c r="C4235" i="2"/>
  <c r="B4235" i="2"/>
  <c r="A4235" i="2"/>
  <c r="H4234" i="2"/>
  <c r="G4234" i="2"/>
  <c r="F4234" i="2"/>
  <c r="E4234" i="2"/>
  <c r="D4234" i="2"/>
  <c r="C4234" i="2"/>
  <c r="B4234" i="2"/>
  <c r="A4234" i="2"/>
  <c r="H4233" i="2"/>
  <c r="G4233" i="2"/>
  <c r="F4233" i="2"/>
  <c r="E4233" i="2"/>
  <c r="D4233" i="2"/>
  <c r="C4233" i="2"/>
  <c r="B4233" i="2"/>
  <c r="A4233" i="2"/>
  <c r="H4232" i="2"/>
  <c r="G4232" i="2"/>
  <c r="F4232" i="2"/>
  <c r="E4232" i="2"/>
  <c r="D4232" i="2"/>
  <c r="C4232" i="2"/>
  <c r="B4232" i="2"/>
  <c r="A4232" i="2"/>
  <c r="H4231" i="2"/>
  <c r="G4231" i="2"/>
  <c r="F4231" i="2"/>
  <c r="E4231" i="2"/>
  <c r="D4231" i="2"/>
  <c r="C4231" i="2"/>
  <c r="B4231" i="2"/>
  <c r="A4231" i="2"/>
  <c r="H4230" i="2"/>
  <c r="G4230" i="2"/>
  <c r="F4230" i="2"/>
  <c r="E4230" i="2"/>
  <c r="D4230" i="2"/>
  <c r="C4230" i="2"/>
  <c r="B4230" i="2"/>
  <c r="A4230" i="2"/>
  <c r="H4229" i="2"/>
  <c r="G4229" i="2"/>
  <c r="F4229" i="2"/>
  <c r="E4229" i="2"/>
  <c r="D4229" i="2"/>
  <c r="C4229" i="2"/>
  <c r="B4229" i="2"/>
  <c r="A4229" i="2"/>
  <c r="H4228" i="2"/>
  <c r="G4228" i="2"/>
  <c r="F4228" i="2"/>
  <c r="E4228" i="2"/>
  <c r="D4228" i="2"/>
  <c r="C4228" i="2"/>
  <c r="B4228" i="2"/>
  <c r="A4228" i="2"/>
  <c r="H4227" i="2"/>
  <c r="G4227" i="2"/>
  <c r="F4227" i="2"/>
  <c r="E4227" i="2"/>
  <c r="D4227" i="2"/>
  <c r="C4227" i="2"/>
  <c r="B4227" i="2"/>
  <c r="A4227" i="2"/>
  <c r="H4226" i="2"/>
  <c r="G4226" i="2"/>
  <c r="F4226" i="2"/>
  <c r="E4226" i="2"/>
  <c r="D4226" i="2"/>
  <c r="C4226" i="2"/>
  <c r="B4226" i="2"/>
  <c r="A4226" i="2"/>
  <c r="H4225" i="2"/>
  <c r="G4225" i="2"/>
  <c r="F4225" i="2"/>
  <c r="E4225" i="2"/>
  <c r="D4225" i="2"/>
  <c r="C4225" i="2"/>
  <c r="B4225" i="2"/>
  <c r="A4225" i="2"/>
  <c r="H4224" i="2"/>
  <c r="G4224" i="2"/>
  <c r="F4224" i="2"/>
  <c r="E4224" i="2"/>
  <c r="D4224" i="2"/>
  <c r="C4224" i="2"/>
  <c r="B4224" i="2"/>
  <c r="A4224" i="2"/>
  <c r="H4223" i="2"/>
  <c r="G4223" i="2"/>
  <c r="F4223" i="2"/>
  <c r="E4223" i="2"/>
  <c r="D4223" i="2"/>
  <c r="C4223" i="2"/>
  <c r="B4223" i="2"/>
  <c r="A4223" i="2"/>
  <c r="H4222" i="2"/>
  <c r="G4222" i="2"/>
  <c r="F4222" i="2"/>
  <c r="E4222" i="2"/>
  <c r="D4222" i="2"/>
  <c r="C4222" i="2"/>
  <c r="B4222" i="2"/>
  <c r="A4222" i="2"/>
  <c r="H4221" i="2"/>
  <c r="G4221" i="2"/>
  <c r="F4221" i="2"/>
  <c r="E4221" i="2"/>
  <c r="D4221" i="2"/>
  <c r="C4221" i="2"/>
  <c r="B4221" i="2"/>
  <c r="A4221" i="2"/>
  <c r="H4220" i="2"/>
  <c r="G4220" i="2"/>
  <c r="F4220" i="2"/>
  <c r="E4220" i="2"/>
  <c r="D4220" i="2"/>
  <c r="C4220" i="2"/>
  <c r="B4220" i="2"/>
  <c r="A4220" i="2"/>
  <c r="H4219" i="2"/>
  <c r="G4219" i="2"/>
  <c r="F4219" i="2"/>
  <c r="E4219" i="2"/>
  <c r="D4219" i="2"/>
  <c r="C4219" i="2"/>
  <c r="B4219" i="2"/>
  <c r="A4219" i="2"/>
  <c r="H4218" i="2"/>
  <c r="G4218" i="2"/>
  <c r="F4218" i="2"/>
  <c r="E4218" i="2"/>
  <c r="D4218" i="2"/>
  <c r="C4218" i="2"/>
  <c r="B4218" i="2"/>
  <c r="A4218" i="2"/>
  <c r="H4217" i="2"/>
  <c r="G4217" i="2"/>
  <c r="F4217" i="2"/>
  <c r="E4217" i="2"/>
  <c r="D4217" i="2"/>
  <c r="C4217" i="2"/>
  <c r="B4217" i="2"/>
  <c r="A4217" i="2"/>
  <c r="H4216" i="2"/>
  <c r="G4216" i="2"/>
  <c r="F4216" i="2"/>
  <c r="E4216" i="2"/>
  <c r="D4216" i="2"/>
  <c r="C4216" i="2"/>
  <c r="B4216" i="2"/>
  <c r="A4216" i="2"/>
  <c r="H4215" i="2"/>
  <c r="G4215" i="2"/>
  <c r="F4215" i="2"/>
  <c r="E4215" i="2"/>
  <c r="D4215" i="2"/>
  <c r="C4215" i="2"/>
  <c r="B4215" i="2"/>
  <c r="A4215" i="2"/>
  <c r="H4214" i="2"/>
  <c r="G4214" i="2"/>
  <c r="F4214" i="2"/>
  <c r="E4214" i="2"/>
  <c r="D4214" i="2"/>
  <c r="C4214" i="2"/>
  <c r="B4214" i="2"/>
  <c r="A4214" i="2"/>
  <c r="H4213" i="2"/>
  <c r="G4213" i="2"/>
  <c r="F4213" i="2"/>
  <c r="E4213" i="2"/>
  <c r="D4213" i="2"/>
  <c r="C4213" i="2"/>
  <c r="B4213" i="2"/>
  <c r="A4213" i="2"/>
  <c r="H4212" i="2"/>
  <c r="G4212" i="2"/>
  <c r="F4212" i="2"/>
  <c r="E4212" i="2"/>
  <c r="D4212" i="2"/>
  <c r="C4212" i="2"/>
  <c r="B4212" i="2"/>
  <c r="A4212" i="2"/>
  <c r="H4211" i="2"/>
  <c r="G4211" i="2"/>
  <c r="F4211" i="2"/>
  <c r="E4211" i="2"/>
  <c r="D4211" i="2"/>
  <c r="C4211" i="2"/>
  <c r="B4211" i="2"/>
  <c r="A4211" i="2"/>
  <c r="H4210" i="2"/>
  <c r="G4210" i="2"/>
  <c r="F4210" i="2"/>
  <c r="E4210" i="2"/>
  <c r="D4210" i="2"/>
  <c r="C4210" i="2"/>
  <c r="B4210" i="2"/>
  <c r="A4210" i="2"/>
  <c r="H4209" i="2"/>
  <c r="G4209" i="2"/>
  <c r="F4209" i="2"/>
  <c r="E4209" i="2"/>
  <c r="D4209" i="2"/>
  <c r="C4209" i="2"/>
  <c r="B4209" i="2"/>
  <c r="A4209" i="2"/>
  <c r="H4208" i="2"/>
  <c r="G4208" i="2"/>
  <c r="F4208" i="2"/>
  <c r="E4208" i="2"/>
  <c r="D4208" i="2"/>
  <c r="C4208" i="2"/>
  <c r="B4208" i="2"/>
  <c r="A4208" i="2"/>
  <c r="H4207" i="2"/>
  <c r="G4207" i="2"/>
  <c r="F4207" i="2"/>
  <c r="E4207" i="2"/>
  <c r="D4207" i="2"/>
  <c r="C4207" i="2"/>
  <c r="B4207" i="2"/>
  <c r="A4207" i="2"/>
  <c r="H4206" i="2"/>
  <c r="G4206" i="2"/>
  <c r="F4206" i="2"/>
  <c r="E4206" i="2"/>
  <c r="D4206" i="2"/>
  <c r="C4206" i="2"/>
  <c r="B4206" i="2"/>
  <c r="A4206" i="2"/>
  <c r="H4205" i="2"/>
  <c r="G4205" i="2"/>
  <c r="F4205" i="2"/>
  <c r="E4205" i="2"/>
  <c r="D4205" i="2"/>
  <c r="C4205" i="2"/>
  <c r="B4205" i="2"/>
  <c r="A4205" i="2"/>
  <c r="H4204" i="2"/>
  <c r="G4204" i="2"/>
  <c r="F4204" i="2"/>
  <c r="E4204" i="2"/>
  <c r="D4204" i="2"/>
  <c r="C4204" i="2"/>
  <c r="B4204" i="2"/>
  <c r="A4204" i="2"/>
  <c r="H4203" i="2"/>
  <c r="G4203" i="2"/>
  <c r="F4203" i="2"/>
  <c r="E4203" i="2"/>
  <c r="D4203" i="2"/>
  <c r="C4203" i="2"/>
  <c r="B4203" i="2"/>
  <c r="A4203" i="2"/>
  <c r="H4202" i="2"/>
  <c r="G4202" i="2"/>
  <c r="F4202" i="2"/>
  <c r="E4202" i="2"/>
  <c r="D4202" i="2"/>
  <c r="C4202" i="2"/>
  <c r="B4202" i="2"/>
  <c r="A4202" i="2"/>
  <c r="H4201" i="2"/>
  <c r="G4201" i="2"/>
  <c r="F4201" i="2"/>
  <c r="E4201" i="2"/>
  <c r="D4201" i="2"/>
  <c r="C4201" i="2"/>
  <c r="B4201" i="2"/>
  <c r="A4201" i="2"/>
  <c r="H4200" i="2"/>
  <c r="G4200" i="2"/>
  <c r="F4200" i="2"/>
  <c r="E4200" i="2"/>
  <c r="D4200" i="2"/>
  <c r="C4200" i="2"/>
  <c r="B4200" i="2"/>
  <c r="A4200" i="2"/>
  <c r="H4199" i="2"/>
  <c r="G4199" i="2"/>
  <c r="F4199" i="2"/>
  <c r="E4199" i="2"/>
  <c r="D4199" i="2"/>
  <c r="C4199" i="2"/>
  <c r="B4199" i="2"/>
  <c r="A4199" i="2"/>
  <c r="H4198" i="2"/>
  <c r="G4198" i="2"/>
  <c r="F4198" i="2"/>
  <c r="E4198" i="2"/>
  <c r="D4198" i="2"/>
  <c r="C4198" i="2"/>
  <c r="B4198" i="2"/>
  <c r="A4198" i="2"/>
  <c r="H4197" i="2"/>
  <c r="G4197" i="2"/>
  <c r="F4197" i="2"/>
  <c r="E4197" i="2"/>
  <c r="D4197" i="2"/>
  <c r="C4197" i="2"/>
  <c r="B4197" i="2"/>
  <c r="A4197" i="2"/>
  <c r="H4196" i="2"/>
  <c r="G4196" i="2"/>
  <c r="F4196" i="2"/>
  <c r="E4196" i="2"/>
  <c r="D4196" i="2"/>
  <c r="C4196" i="2"/>
  <c r="B4196" i="2"/>
  <c r="A4196" i="2"/>
  <c r="H4195" i="2"/>
  <c r="G4195" i="2"/>
  <c r="F4195" i="2"/>
  <c r="E4195" i="2"/>
  <c r="D4195" i="2"/>
  <c r="C4195" i="2"/>
  <c r="B4195" i="2"/>
  <c r="A4195" i="2"/>
  <c r="H4194" i="2"/>
  <c r="G4194" i="2"/>
  <c r="F4194" i="2"/>
  <c r="E4194" i="2"/>
  <c r="D4194" i="2"/>
  <c r="C4194" i="2"/>
  <c r="B4194" i="2"/>
  <c r="A4194" i="2"/>
  <c r="H4193" i="2"/>
  <c r="G4193" i="2"/>
  <c r="F4193" i="2"/>
  <c r="E4193" i="2"/>
  <c r="D4193" i="2"/>
  <c r="C4193" i="2"/>
  <c r="B4193" i="2"/>
  <c r="A4193" i="2"/>
  <c r="H4192" i="2"/>
  <c r="G4192" i="2"/>
  <c r="F4192" i="2"/>
  <c r="E4192" i="2"/>
  <c r="D4192" i="2"/>
  <c r="C4192" i="2"/>
  <c r="B4192" i="2"/>
  <c r="A4192" i="2"/>
  <c r="H4191" i="2"/>
  <c r="G4191" i="2"/>
  <c r="F4191" i="2"/>
  <c r="E4191" i="2"/>
  <c r="D4191" i="2"/>
  <c r="C4191" i="2"/>
  <c r="B4191" i="2"/>
  <c r="A4191" i="2"/>
  <c r="H4190" i="2"/>
  <c r="G4190" i="2"/>
  <c r="F4190" i="2"/>
  <c r="E4190" i="2"/>
  <c r="D4190" i="2"/>
  <c r="C4190" i="2"/>
  <c r="B4190" i="2"/>
  <c r="A4190" i="2"/>
  <c r="H4189" i="2"/>
  <c r="G4189" i="2"/>
  <c r="F4189" i="2"/>
  <c r="E4189" i="2"/>
  <c r="D4189" i="2"/>
  <c r="C4189" i="2"/>
  <c r="B4189" i="2"/>
  <c r="A4189" i="2"/>
  <c r="H4188" i="2"/>
  <c r="G4188" i="2"/>
  <c r="F4188" i="2"/>
  <c r="E4188" i="2"/>
  <c r="D4188" i="2"/>
  <c r="C4188" i="2"/>
  <c r="B4188" i="2"/>
  <c r="A4188" i="2"/>
  <c r="H4187" i="2"/>
  <c r="G4187" i="2"/>
  <c r="F4187" i="2"/>
  <c r="E4187" i="2"/>
  <c r="D4187" i="2"/>
  <c r="C4187" i="2"/>
  <c r="B4187" i="2"/>
  <c r="A4187" i="2"/>
  <c r="H4186" i="2"/>
  <c r="G4186" i="2"/>
  <c r="F4186" i="2"/>
  <c r="E4186" i="2"/>
  <c r="D4186" i="2"/>
  <c r="C4186" i="2"/>
  <c r="B4186" i="2"/>
  <c r="A4186" i="2"/>
  <c r="H4185" i="2"/>
  <c r="G4185" i="2"/>
  <c r="F4185" i="2"/>
  <c r="E4185" i="2"/>
  <c r="D4185" i="2"/>
  <c r="C4185" i="2"/>
  <c r="B4185" i="2"/>
  <c r="A4185" i="2"/>
  <c r="H4184" i="2"/>
  <c r="G4184" i="2"/>
  <c r="F4184" i="2"/>
  <c r="E4184" i="2"/>
  <c r="D4184" i="2"/>
  <c r="C4184" i="2"/>
  <c r="B4184" i="2"/>
  <c r="A4184" i="2"/>
  <c r="H4183" i="2"/>
  <c r="G4183" i="2"/>
  <c r="F4183" i="2"/>
  <c r="E4183" i="2"/>
  <c r="D4183" i="2"/>
  <c r="C4183" i="2"/>
  <c r="B4183" i="2"/>
  <c r="A4183" i="2"/>
  <c r="H4182" i="2"/>
  <c r="G4182" i="2"/>
  <c r="F4182" i="2"/>
  <c r="E4182" i="2"/>
  <c r="D4182" i="2"/>
  <c r="C4182" i="2"/>
  <c r="B4182" i="2"/>
  <c r="A4182" i="2"/>
  <c r="H4181" i="2"/>
  <c r="G4181" i="2"/>
  <c r="F4181" i="2"/>
  <c r="E4181" i="2"/>
  <c r="D4181" i="2"/>
  <c r="C4181" i="2"/>
  <c r="B4181" i="2"/>
  <c r="A4181" i="2"/>
  <c r="H4180" i="2"/>
  <c r="G4180" i="2"/>
  <c r="F4180" i="2"/>
  <c r="E4180" i="2"/>
  <c r="D4180" i="2"/>
  <c r="C4180" i="2"/>
  <c r="B4180" i="2"/>
  <c r="A4180" i="2"/>
  <c r="H4179" i="2"/>
  <c r="G4179" i="2"/>
  <c r="F4179" i="2"/>
  <c r="E4179" i="2"/>
  <c r="D4179" i="2"/>
  <c r="C4179" i="2"/>
  <c r="B4179" i="2"/>
  <c r="A4179" i="2"/>
  <c r="H4178" i="2"/>
  <c r="G4178" i="2"/>
  <c r="F4178" i="2"/>
  <c r="E4178" i="2"/>
  <c r="D4178" i="2"/>
  <c r="C4178" i="2"/>
  <c r="B4178" i="2"/>
  <c r="A4178" i="2"/>
  <c r="H4177" i="2"/>
  <c r="G4177" i="2"/>
  <c r="F4177" i="2"/>
  <c r="E4177" i="2"/>
  <c r="D4177" i="2"/>
  <c r="C4177" i="2"/>
  <c r="B4177" i="2"/>
  <c r="A4177" i="2"/>
  <c r="H4176" i="2"/>
  <c r="G4176" i="2"/>
  <c r="F4176" i="2"/>
  <c r="E4176" i="2"/>
  <c r="D4176" i="2"/>
  <c r="C4176" i="2"/>
  <c r="B4176" i="2"/>
  <c r="A4176" i="2"/>
  <c r="H4175" i="2"/>
  <c r="G4175" i="2"/>
  <c r="F4175" i="2"/>
  <c r="E4175" i="2"/>
  <c r="D4175" i="2"/>
  <c r="C4175" i="2"/>
  <c r="B4175" i="2"/>
  <c r="A4175" i="2"/>
  <c r="H4174" i="2"/>
  <c r="G4174" i="2"/>
  <c r="F4174" i="2"/>
  <c r="E4174" i="2"/>
  <c r="D4174" i="2"/>
  <c r="C4174" i="2"/>
  <c r="B4174" i="2"/>
  <c r="A4174" i="2"/>
  <c r="H4173" i="2"/>
  <c r="G4173" i="2"/>
  <c r="F4173" i="2"/>
  <c r="E4173" i="2"/>
  <c r="D4173" i="2"/>
  <c r="C4173" i="2"/>
  <c r="B4173" i="2"/>
  <c r="A4173" i="2"/>
  <c r="H4172" i="2"/>
  <c r="G4172" i="2"/>
  <c r="F4172" i="2"/>
  <c r="E4172" i="2"/>
  <c r="D4172" i="2"/>
  <c r="C4172" i="2"/>
  <c r="B4172" i="2"/>
  <c r="A4172" i="2"/>
  <c r="H4171" i="2"/>
  <c r="G4171" i="2"/>
  <c r="F4171" i="2"/>
  <c r="E4171" i="2"/>
  <c r="D4171" i="2"/>
  <c r="C4171" i="2"/>
  <c r="B4171" i="2"/>
  <c r="A4171" i="2"/>
  <c r="H4170" i="2"/>
  <c r="G4170" i="2"/>
  <c r="F4170" i="2"/>
  <c r="E4170" i="2"/>
  <c r="D4170" i="2"/>
  <c r="C4170" i="2"/>
  <c r="B4170" i="2"/>
  <c r="A4170" i="2"/>
  <c r="H4169" i="2"/>
  <c r="G4169" i="2"/>
  <c r="F4169" i="2"/>
  <c r="E4169" i="2"/>
  <c r="D4169" i="2"/>
  <c r="C4169" i="2"/>
  <c r="B4169" i="2"/>
  <c r="A4169" i="2"/>
  <c r="H4168" i="2"/>
  <c r="G4168" i="2"/>
  <c r="F4168" i="2"/>
  <c r="E4168" i="2"/>
  <c r="D4168" i="2"/>
  <c r="C4168" i="2"/>
  <c r="B4168" i="2"/>
  <c r="A4168" i="2"/>
  <c r="H4167" i="2"/>
  <c r="G4167" i="2"/>
  <c r="F4167" i="2"/>
  <c r="E4167" i="2"/>
  <c r="D4167" i="2"/>
  <c r="C4167" i="2"/>
  <c r="B4167" i="2"/>
  <c r="A4167" i="2"/>
  <c r="H4166" i="2"/>
  <c r="G4166" i="2"/>
  <c r="F4166" i="2"/>
  <c r="E4166" i="2"/>
  <c r="D4166" i="2"/>
  <c r="C4166" i="2"/>
  <c r="B4166" i="2"/>
  <c r="A4166" i="2"/>
  <c r="H4165" i="2"/>
  <c r="G4165" i="2"/>
  <c r="F4165" i="2"/>
  <c r="E4165" i="2"/>
  <c r="D4165" i="2"/>
  <c r="C4165" i="2"/>
  <c r="B4165" i="2"/>
  <c r="A4165" i="2"/>
  <c r="H4164" i="2"/>
  <c r="G4164" i="2"/>
  <c r="F4164" i="2"/>
  <c r="E4164" i="2"/>
  <c r="D4164" i="2"/>
  <c r="C4164" i="2"/>
  <c r="B4164" i="2"/>
  <c r="A4164" i="2"/>
  <c r="H4163" i="2"/>
  <c r="G4163" i="2"/>
  <c r="F4163" i="2"/>
  <c r="E4163" i="2"/>
  <c r="D4163" i="2"/>
  <c r="C4163" i="2"/>
  <c r="B4163" i="2"/>
  <c r="A4163" i="2"/>
  <c r="H4162" i="2"/>
  <c r="G4162" i="2"/>
  <c r="F4162" i="2"/>
  <c r="E4162" i="2"/>
  <c r="D4162" i="2"/>
  <c r="C4162" i="2"/>
  <c r="B4162" i="2"/>
  <c r="A4162" i="2"/>
  <c r="H4161" i="2"/>
  <c r="G4161" i="2"/>
  <c r="F4161" i="2"/>
  <c r="E4161" i="2"/>
  <c r="D4161" i="2"/>
  <c r="C4161" i="2"/>
  <c r="B4161" i="2"/>
  <c r="A4161" i="2"/>
  <c r="H4160" i="2"/>
  <c r="G4160" i="2"/>
  <c r="F4160" i="2"/>
  <c r="E4160" i="2"/>
  <c r="D4160" i="2"/>
  <c r="C4160" i="2"/>
  <c r="B4160" i="2"/>
  <c r="A4160" i="2"/>
  <c r="H4159" i="2"/>
  <c r="G4159" i="2"/>
  <c r="F4159" i="2"/>
  <c r="E4159" i="2"/>
  <c r="D4159" i="2"/>
  <c r="C4159" i="2"/>
  <c r="B4159" i="2"/>
  <c r="A4159" i="2"/>
  <c r="H4158" i="2"/>
  <c r="G4158" i="2"/>
  <c r="F4158" i="2"/>
  <c r="E4158" i="2"/>
  <c r="D4158" i="2"/>
  <c r="C4158" i="2"/>
  <c r="B4158" i="2"/>
  <c r="A4158" i="2"/>
  <c r="H4157" i="2"/>
  <c r="G4157" i="2"/>
  <c r="F4157" i="2"/>
  <c r="E4157" i="2"/>
  <c r="D4157" i="2"/>
  <c r="C4157" i="2"/>
  <c r="B4157" i="2"/>
  <c r="A4157" i="2"/>
  <c r="H4156" i="2"/>
  <c r="G4156" i="2"/>
  <c r="F4156" i="2"/>
  <c r="E4156" i="2"/>
  <c r="D4156" i="2"/>
  <c r="C4156" i="2"/>
  <c r="B4156" i="2"/>
  <c r="A4156" i="2"/>
  <c r="H4155" i="2"/>
  <c r="G4155" i="2"/>
  <c r="F4155" i="2"/>
  <c r="E4155" i="2"/>
  <c r="D4155" i="2"/>
  <c r="C4155" i="2"/>
  <c r="B4155" i="2"/>
  <c r="A4155" i="2"/>
  <c r="H4154" i="2"/>
  <c r="G4154" i="2"/>
  <c r="F4154" i="2"/>
  <c r="E4154" i="2"/>
  <c r="D4154" i="2"/>
  <c r="C4154" i="2"/>
  <c r="B4154" i="2"/>
  <c r="A4154" i="2"/>
  <c r="H4153" i="2"/>
  <c r="G4153" i="2"/>
  <c r="F4153" i="2"/>
  <c r="E4153" i="2"/>
  <c r="D4153" i="2"/>
  <c r="C4153" i="2"/>
  <c r="B4153" i="2"/>
  <c r="A4153" i="2"/>
  <c r="H4152" i="2"/>
  <c r="G4152" i="2"/>
  <c r="F4152" i="2"/>
  <c r="E4152" i="2"/>
  <c r="D4152" i="2"/>
  <c r="C4152" i="2"/>
  <c r="B4152" i="2"/>
  <c r="A4152" i="2"/>
  <c r="H4151" i="2"/>
  <c r="G4151" i="2"/>
  <c r="F4151" i="2"/>
  <c r="E4151" i="2"/>
  <c r="D4151" i="2"/>
  <c r="C4151" i="2"/>
  <c r="B4151" i="2"/>
  <c r="A4151" i="2"/>
  <c r="H4150" i="2"/>
  <c r="G4150" i="2"/>
  <c r="F4150" i="2"/>
  <c r="E4150" i="2"/>
  <c r="D4150" i="2"/>
  <c r="C4150" i="2"/>
  <c r="B4150" i="2"/>
  <c r="A4150" i="2"/>
  <c r="H4149" i="2"/>
  <c r="G4149" i="2"/>
  <c r="F4149" i="2"/>
  <c r="E4149" i="2"/>
  <c r="D4149" i="2"/>
  <c r="C4149" i="2"/>
  <c r="B4149" i="2"/>
  <c r="A4149" i="2"/>
  <c r="H4148" i="2"/>
  <c r="G4148" i="2"/>
  <c r="F4148" i="2"/>
  <c r="E4148" i="2"/>
  <c r="D4148" i="2"/>
  <c r="C4148" i="2"/>
  <c r="B4148" i="2"/>
  <c r="A4148" i="2"/>
  <c r="H4147" i="2"/>
  <c r="G4147" i="2"/>
  <c r="F4147" i="2"/>
  <c r="E4147" i="2"/>
  <c r="D4147" i="2"/>
  <c r="C4147" i="2"/>
  <c r="B4147" i="2"/>
  <c r="A4147" i="2"/>
  <c r="H4146" i="2"/>
  <c r="G4146" i="2"/>
  <c r="F4146" i="2"/>
  <c r="E4146" i="2"/>
  <c r="D4146" i="2"/>
  <c r="C4146" i="2"/>
  <c r="B4146" i="2"/>
  <c r="A4146" i="2"/>
  <c r="H4145" i="2"/>
  <c r="G4145" i="2"/>
  <c r="F4145" i="2"/>
  <c r="E4145" i="2"/>
  <c r="D4145" i="2"/>
  <c r="C4145" i="2"/>
  <c r="B4145" i="2"/>
  <c r="A4145" i="2"/>
  <c r="H4144" i="2"/>
  <c r="G4144" i="2"/>
  <c r="F4144" i="2"/>
  <c r="E4144" i="2"/>
  <c r="D4144" i="2"/>
  <c r="C4144" i="2"/>
  <c r="B4144" i="2"/>
  <c r="A4144" i="2"/>
  <c r="H4143" i="2"/>
  <c r="G4143" i="2"/>
  <c r="F4143" i="2"/>
  <c r="E4143" i="2"/>
  <c r="D4143" i="2"/>
  <c r="C4143" i="2"/>
  <c r="B4143" i="2"/>
  <c r="A4143" i="2"/>
  <c r="H4142" i="2"/>
  <c r="G4142" i="2"/>
  <c r="F4142" i="2"/>
  <c r="E4142" i="2"/>
  <c r="D4142" i="2"/>
  <c r="C4142" i="2"/>
  <c r="B4142" i="2"/>
  <c r="A4142" i="2"/>
  <c r="H4141" i="2"/>
  <c r="G4141" i="2"/>
  <c r="F4141" i="2"/>
  <c r="E4141" i="2"/>
  <c r="D4141" i="2"/>
  <c r="C4141" i="2"/>
  <c r="B4141" i="2"/>
  <c r="A4141" i="2"/>
  <c r="H4140" i="2"/>
  <c r="G4140" i="2"/>
  <c r="F4140" i="2"/>
  <c r="E4140" i="2"/>
  <c r="D4140" i="2"/>
  <c r="C4140" i="2"/>
  <c r="B4140" i="2"/>
  <c r="A4140" i="2"/>
  <c r="H4139" i="2"/>
  <c r="G4139" i="2"/>
  <c r="F4139" i="2"/>
  <c r="E4139" i="2"/>
  <c r="D4139" i="2"/>
  <c r="C4139" i="2"/>
  <c r="B4139" i="2"/>
  <c r="A4139" i="2"/>
  <c r="H4138" i="2"/>
  <c r="G4138" i="2"/>
  <c r="F4138" i="2"/>
  <c r="E4138" i="2"/>
  <c r="D4138" i="2"/>
  <c r="C4138" i="2"/>
  <c r="B4138" i="2"/>
  <c r="A4138" i="2"/>
  <c r="H4137" i="2"/>
  <c r="G4137" i="2"/>
  <c r="F4137" i="2"/>
  <c r="E4137" i="2"/>
  <c r="D4137" i="2"/>
  <c r="C4137" i="2"/>
  <c r="B4137" i="2"/>
  <c r="A4137" i="2"/>
  <c r="H4136" i="2"/>
  <c r="G4136" i="2"/>
  <c r="F4136" i="2"/>
  <c r="E4136" i="2"/>
  <c r="D4136" i="2"/>
  <c r="C4136" i="2"/>
  <c r="B4136" i="2"/>
  <c r="A4136" i="2"/>
  <c r="H4135" i="2"/>
  <c r="G4135" i="2"/>
  <c r="F4135" i="2"/>
  <c r="E4135" i="2"/>
  <c r="D4135" i="2"/>
  <c r="C4135" i="2"/>
  <c r="B4135" i="2"/>
  <c r="A4135" i="2"/>
  <c r="H4134" i="2"/>
  <c r="G4134" i="2"/>
  <c r="F4134" i="2"/>
  <c r="E4134" i="2"/>
  <c r="D4134" i="2"/>
  <c r="C4134" i="2"/>
  <c r="B4134" i="2"/>
  <c r="A4134" i="2"/>
  <c r="H4133" i="2"/>
  <c r="G4133" i="2"/>
  <c r="F4133" i="2"/>
  <c r="E4133" i="2"/>
  <c r="D4133" i="2"/>
  <c r="C4133" i="2"/>
  <c r="B4133" i="2"/>
  <c r="A4133" i="2"/>
  <c r="H4132" i="2"/>
  <c r="G4132" i="2"/>
  <c r="F4132" i="2"/>
  <c r="E4132" i="2"/>
  <c r="D4132" i="2"/>
  <c r="C4132" i="2"/>
  <c r="B4132" i="2"/>
  <c r="A4132" i="2"/>
  <c r="H4131" i="2"/>
  <c r="G4131" i="2"/>
  <c r="F4131" i="2"/>
  <c r="E4131" i="2"/>
  <c r="D4131" i="2"/>
  <c r="C4131" i="2"/>
  <c r="B4131" i="2"/>
  <c r="A4131" i="2"/>
  <c r="H4130" i="2"/>
  <c r="G4130" i="2"/>
  <c r="F4130" i="2"/>
  <c r="E4130" i="2"/>
  <c r="D4130" i="2"/>
  <c r="C4130" i="2"/>
  <c r="B4130" i="2"/>
  <c r="A4130" i="2"/>
  <c r="H4129" i="2"/>
  <c r="G4129" i="2"/>
  <c r="F4129" i="2"/>
  <c r="E4129" i="2"/>
  <c r="D4129" i="2"/>
  <c r="C4129" i="2"/>
  <c r="B4129" i="2"/>
  <c r="A4129" i="2"/>
  <c r="H4128" i="2"/>
  <c r="G4128" i="2"/>
  <c r="F4128" i="2"/>
  <c r="E4128" i="2"/>
  <c r="D4128" i="2"/>
  <c r="C4128" i="2"/>
  <c r="B4128" i="2"/>
  <c r="A4128" i="2"/>
  <c r="H4127" i="2"/>
  <c r="G4127" i="2"/>
  <c r="F4127" i="2"/>
  <c r="E4127" i="2"/>
  <c r="D4127" i="2"/>
  <c r="C4127" i="2"/>
  <c r="B4127" i="2"/>
  <c r="A4127" i="2"/>
  <c r="H4126" i="2"/>
  <c r="G4126" i="2"/>
  <c r="F4126" i="2"/>
  <c r="E4126" i="2"/>
  <c r="D4126" i="2"/>
  <c r="C4126" i="2"/>
  <c r="B4126" i="2"/>
  <c r="A4126" i="2"/>
  <c r="H4125" i="2"/>
  <c r="G4125" i="2"/>
  <c r="F4125" i="2"/>
  <c r="E4125" i="2"/>
  <c r="D4125" i="2"/>
  <c r="C4125" i="2"/>
  <c r="B4125" i="2"/>
  <c r="A4125" i="2"/>
  <c r="H4124" i="2"/>
  <c r="G4124" i="2"/>
  <c r="F4124" i="2"/>
  <c r="E4124" i="2"/>
  <c r="D4124" i="2"/>
  <c r="C4124" i="2"/>
  <c r="B4124" i="2"/>
  <c r="A4124" i="2"/>
  <c r="H4123" i="2"/>
  <c r="G4123" i="2"/>
  <c r="F4123" i="2"/>
  <c r="E4123" i="2"/>
  <c r="D4123" i="2"/>
  <c r="C4123" i="2"/>
  <c r="B4123" i="2"/>
  <c r="A4123" i="2"/>
  <c r="H4122" i="2"/>
  <c r="G4122" i="2"/>
  <c r="F4122" i="2"/>
  <c r="E4122" i="2"/>
  <c r="D4122" i="2"/>
  <c r="C4122" i="2"/>
  <c r="B4122" i="2"/>
  <c r="A4122" i="2"/>
  <c r="H4121" i="2"/>
  <c r="G4121" i="2"/>
  <c r="F4121" i="2"/>
  <c r="E4121" i="2"/>
  <c r="D4121" i="2"/>
  <c r="C4121" i="2"/>
  <c r="B4121" i="2"/>
  <c r="A4121" i="2"/>
  <c r="H4120" i="2"/>
  <c r="G4120" i="2"/>
  <c r="F4120" i="2"/>
  <c r="E4120" i="2"/>
  <c r="D4120" i="2"/>
  <c r="C4120" i="2"/>
  <c r="B4120" i="2"/>
  <c r="A4120" i="2"/>
  <c r="H4119" i="2"/>
  <c r="G4119" i="2"/>
  <c r="F4119" i="2"/>
  <c r="E4119" i="2"/>
  <c r="D4119" i="2"/>
  <c r="C4119" i="2"/>
  <c r="B4119" i="2"/>
  <c r="A4119" i="2"/>
  <c r="H4118" i="2"/>
  <c r="G4118" i="2"/>
  <c r="F4118" i="2"/>
  <c r="E4118" i="2"/>
  <c r="D4118" i="2"/>
  <c r="C4118" i="2"/>
  <c r="B4118" i="2"/>
  <c r="A4118" i="2"/>
  <c r="H4117" i="2"/>
  <c r="G4117" i="2"/>
  <c r="F4117" i="2"/>
  <c r="E4117" i="2"/>
  <c r="D4117" i="2"/>
  <c r="C4117" i="2"/>
  <c r="B4117" i="2"/>
  <c r="A4117" i="2"/>
  <c r="H4116" i="2"/>
  <c r="G4116" i="2"/>
  <c r="F4116" i="2"/>
  <c r="E4116" i="2"/>
  <c r="D4116" i="2"/>
  <c r="C4116" i="2"/>
  <c r="B4116" i="2"/>
  <c r="A4116" i="2"/>
  <c r="H4115" i="2"/>
  <c r="G4115" i="2"/>
  <c r="F4115" i="2"/>
  <c r="E4115" i="2"/>
  <c r="D4115" i="2"/>
  <c r="C4115" i="2"/>
  <c r="B4115" i="2"/>
  <c r="A4115" i="2"/>
  <c r="H4114" i="2"/>
  <c r="G4114" i="2"/>
  <c r="F4114" i="2"/>
  <c r="E4114" i="2"/>
  <c r="D4114" i="2"/>
  <c r="C4114" i="2"/>
  <c r="B4114" i="2"/>
  <c r="A4114" i="2"/>
  <c r="H4113" i="2"/>
  <c r="G4113" i="2"/>
  <c r="F4113" i="2"/>
  <c r="E4113" i="2"/>
  <c r="D4113" i="2"/>
  <c r="C4113" i="2"/>
  <c r="B4113" i="2"/>
  <c r="A4113" i="2"/>
  <c r="H4112" i="2"/>
  <c r="G4112" i="2"/>
  <c r="F4112" i="2"/>
  <c r="E4112" i="2"/>
  <c r="D4112" i="2"/>
  <c r="C4112" i="2"/>
  <c r="B4112" i="2"/>
  <c r="A4112" i="2"/>
  <c r="H4111" i="2"/>
  <c r="G4111" i="2"/>
  <c r="F4111" i="2"/>
  <c r="E4111" i="2"/>
  <c r="D4111" i="2"/>
  <c r="C4111" i="2"/>
  <c r="B4111" i="2"/>
  <c r="A4111" i="2"/>
  <c r="H4110" i="2"/>
  <c r="G4110" i="2"/>
  <c r="F4110" i="2"/>
  <c r="E4110" i="2"/>
  <c r="D4110" i="2"/>
  <c r="C4110" i="2"/>
  <c r="B4110" i="2"/>
  <c r="A4110" i="2"/>
  <c r="H4109" i="2"/>
  <c r="G4109" i="2"/>
  <c r="F4109" i="2"/>
  <c r="E4109" i="2"/>
  <c r="D4109" i="2"/>
  <c r="C4109" i="2"/>
  <c r="B4109" i="2"/>
  <c r="A4109" i="2"/>
  <c r="H4108" i="2"/>
  <c r="G4108" i="2"/>
  <c r="F4108" i="2"/>
  <c r="E4108" i="2"/>
  <c r="D4108" i="2"/>
  <c r="C4108" i="2"/>
  <c r="B4108" i="2"/>
  <c r="A4108" i="2"/>
  <c r="H4107" i="2"/>
  <c r="G4107" i="2"/>
  <c r="F4107" i="2"/>
  <c r="E4107" i="2"/>
  <c r="D4107" i="2"/>
  <c r="C4107" i="2"/>
  <c r="B4107" i="2"/>
  <c r="A4107" i="2"/>
  <c r="H4106" i="2"/>
  <c r="G4106" i="2"/>
  <c r="F4106" i="2"/>
  <c r="E4106" i="2"/>
  <c r="D4106" i="2"/>
  <c r="C4106" i="2"/>
  <c r="B4106" i="2"/>
  <c r="A4106" i="2"/>
  <c r="H4105" i="2"/>
  <c r="G4105" i="2"/>
  <c r="F4105" i="2"/>
  <c r="E4105" i="2"/>
  <c r="D4105" i="2"/>
  <c r="C4105" i="2"/>
  <c r="B4105" i="2"/>
  <c r="A4105" i="2"/>
  <c r="H4104" i="2"/>
  <c r="G4104" i="2"/>
  <c r="F4104" i="2"/>
  <c r="E4104" i="2"/>
  <c r="D4104" i="2"/>
  <c r="C4104" i="2"/>
  <c r="B4104" i="2"/>
  <c r="A4104" i="2"/>
  <c r="H4103" i="2"/>
  <c r="G4103" i="2"/>
  <c r="F4103" i="2"/>
  <c r="E4103" i="2"/>
  <c r="D4103" i="2"/>
  <c r="C4103" i="2"/>
  <c r="B4103" i="2"/>
  <c r="A4103" i="2"/>
  <c r="H4102" i="2"/>
  <c r="G4102" i="2"/>
  <c r="F4102" i="2"/>
  <c r="E4102" i="2"/>
  <c r="D4102" i="2"/>
  <c r="C4102" i="2"/>
  <c r="B4102" i="2"/>
  <c r="A4102" i="2"/>
  <c r="H4101" i="2"/>
  <c r="G4101" i="2"/>
  <c r="F4101" i="2"/>
  <c r="E4101" i="2"/>
  <c r="D4101" i="2"/>
  <c r="C4101" i="2"/>
  <c r="B4101" i="2"/>
  <c r="A4101" i="2"/>
  <c r="H4100" i="2"/>
  <c r="G4100" i="2"/>
  <c r="F4100" i="2"/>
  <c r="E4100" i="2"/>
  <c r="D4100" i="2"/>
  <c r="C4100" i="2"/>
  <c r="B4100" i="2"/>
  <c r="A4100" i="2"/>
  <c r="H4099" i="2"/>
  <c r="G4099" i="2"/>
  <c r="F4099" i="2"/>
  <c r="E4099" i="2"/>
  <c r="D4099" i="2"/>
  <c r="C4099" i="2"/>
  <c r="B4099" i="2"/>
  <c r="A4099" i="2"/>
  <c r="H4098" i="2"/>
  <c r="G4098" i="2"/>
  <c r="F4098" i="2"/>
  <c r="E4098" i="2"/>
  <c r="D4098" i="2"/>
  <c r="C4098" i="2"/>
  <c r="B4098" i="2"/>
  <c r="A4098" i="2"/>
  <c r="H4097" i="2"/>
  <c r="G4097" i="2"/>
  <c r="F4097" i="2"/>
  <c r="E4097" i="2"/>
  <c r="D4097" i="2"/>
  <c r="C4097" i="2"/>
  <c r="B4097" i="2"/>
  <c r="A4097" i="2"/>
  <c r="H4096" i="2"/>
  <c r="G4096" i="2"/>
  <c r="F4096" i="2"/>
  <c r="E4096" i="2"/>
  <c r="D4096" i="2"/>
  <c r="C4096" i="2"/>
  <c r="B4096" i="2"/>
  <c r="A4096" i="2"/>
  <c r="H4095" i="2"/>
  <c r="G4095" i="2"/>
  <c r="F4095" i="2"/>
  <c r="E4095" i="2"/>
  <c r="D4095" i="2"/>
  <c r="C4095" i="2"/>
  <c r="B4095" i="2"/>
  <c r="A4095" i="2"/>
  <c r="H4094" i="2"/>
  <c r="G4094" i="2"/>
  <c r="F4094" i="2"/>
  <c r="E4094" i="2"/>
  <c r="D4094" i="2"/>
  <c r="C4094" i="2"/>
  <c r="B4094" i="2"/>
  <c r="A4094" i="2"/>
  <c r="H4093" i="2"/>
  <c r="G4093" i="2"/>
  <c r="F4093" i="2"/>
  <c r="E4093" i="2"/>
  <c r="D4093" i="2"/>
  <c r="C4093" i="2"/>
  <c r="B4093" i="2"/>
  <c r="A4093" i="2"/>
  <c r="H4092" i="2"/>
  <c r="G4092" i="2"/>
  <c r="F4092" i="2"/>
  <c r="E4092" i="2"/>
  <c r="D4092" i="2"/>
  <c r="C4092" i="2"/>
  <c r="B4092" i="2"/>
  <c r="A4092" i="2"/>
  <c r="H4091" i="2"/>
  <c r="G4091" i="2"/>
  <c r="F4091" i="2"/>
  <c r="E4091" i="2"/>
  <c r="D4091" i="2"/>
  <c r="C4091" i="2"/>
  <c r="B4091" i="2"/>
  <c r="A4091" i="2"/>
  <c r="H4090" i="2"/>
  <c r="G4090" i="2"/>
  <c r="F4090" i="2"/>
  <c r="E4090" i="2"/>
  <c r="D4090" i="2"/>
  <c r="C4090" i="2"/>
  <c r="B4090" i="2"/>
  <c r="A4090" i="2"/>
  <c r="H4089" i="2"/>
  <c r="G4089" i="2"/>
  <c r="F4089" i="2"/>
  <c r="E4089" i="2"/>
  <c r="D4089" i="2"/>
  <c r="C4089" i="2"/>
  <c r="B4089" i="2"/>
  <c r="A4089" i="2"/>
  <c r="H4088" i="2"/>
  <c r="G4088" i="2"/>
  <c r="F4088" i="2"/>
  <c r="E4088" i="2"/>
  <c r="D4088" i="2"/>
  <c r="C4088" i="2"/>
  <c r="B4088" i="2"/>
  <c r="A4088" i="2"/>
  <c r="H4087" i="2"/>
  <c r="G4087" i="2"/>
  <c r="F4087" i="2"/>
  <c r="E4087" i="2"/>
  <c r="D4087" i="2"/>
  <c r="C4087" i="2"/>
  <c r="B4087" i="2"/>
  <c r="A4087" i="2"/>
  <c r="H4086" i="2"/>
  <c r="G4086" i="2"/>
  <c r="F4086" i="2"/>
  <c r="E4086" i="2"/>
  <c r="D4086" i="2"/>
  <c r="C4086" i="2"/>
  <c r="B4086" i="2"/>
  <c r="A4086" i="2"/>
  <c r="H4085" i="2"/>
  <c r="G4085" i="2"/>
  <c r="F4085" i="2"/>
  <c r="E4085" i="2"/>
  <c r="D4085" i="2"/>
  <c r="C4085" i="2"/>
  <c r="B4085" i="2"/>
  <c r="A4085" i="2"/>
  <c r="H4084" i="2"/>
  <c r="G4084" i="2"/>
  <c r="F4084" i="2"/>
  <c r="E4084" i="2"/>
  <c r="D4084" i="2"/>
  <c r="C4084" i="2"/>
  <c r="B4084" i="2"/>
  <c r="A4084" i="2"/>
  <c r="H4083" i="2"/>
  <c r="G4083" i="2"/>
  <c r="F4083" i="2"/>
  <c r="E4083" i="2"/>
  <c r="D4083" i="2"/>
  <c r="C4083" i="2"/>
  <c r="B4083" i="2"/>
  <c r="A4083" i="2"/>
  <c r="H4082" i="2"/>
  <c r="G4082" i="2"/>
  <c r="F4082" i="2"/>
  <c r="E4082" i="2"/>
  <c r="D4082" i="2"/>
  <c r="C4082" i="2"/>
  <c r="B4082" i="2"/>
  <c r="A4082" i="2"/>
  <c r="H4081" i="2"/>
  <c r="G4081" i="2"/>
  <c r="F4081" i="2"/>
  <c r="E4081" i="2"/>
  <c r="D4081" i="2"/>
  <c r="C4081" i="2"/>
  <c r="B4081" i="2"/>
  <c r="A4081" i="2"/>
  <c r="H4080" i="2"/>
  <c r="G4080" i="2"/>
  <c r="F4080" i="2"/>
  <c r="E4080" i="2"/>
  <c r="D4080" i="2"/>
  <c r="C4080" i="2"/>
  <c r="B4080" i="2"/>
  <c r="A4080" i="2"/>
  <c r="H4079" i="2"/>
  <c r="G4079" i="2"/>
  <c r="F4079" i="2"/>
  <c r="E4079" i="2"/>
  <c r="D4079" i="2"/>
  <c r="C4079" i="2"/>
  <c r="B4079" i="2"/>
  <c r="A4079" i="2"/>
  <c r="H4078" i="2"/>
  <c r="G4078" i="2"/>
  <c r="F4078" i="2"/>
  <c r="E4078" i="2"/>
  <c r="D4078" i="2"/>
  <c r="C4078" i="2"/>
  <c r="B4078" i="2"/>
  <c r="A4078" i="2"/>
  <c r="H4077" i="2"/>
  <c r="G4077" i="2"/>
  <c r="F4077" i="2"/>
  <c r="E4077" i="2"/>
  <c r="D4077" i="2"/>
  <c r="C4077" i="2"/>
  <c r="B4077" i="2"/>
  <c r="A4077" i="2"/>
  <c r="H4076" i="2"/>
  <c r="G4076" i="2"/>
  <c r="F4076" i="2"/>
  <c r="E4076" i="2"/>
  <c r="D4076" i="2"/>
  <c r="C4076" i="2"/>
  <c r="B4076" i="2"/>
  <c r="A4076" i="2"/>
  <c r="H4075" i="2"/>
  <c r="G4075" i="2"/>
  <c r="F4075" i="2"/>
  <c r="E4075" i="2"/>
  <c r="D4075" i="2"/>
  <c r="C4075" i="2"/>
  <c r="B4075" i="2"/>
  <c r="A4075" i="2"/>
  <c r="H4074" i="2"/>
  <c r="G4074" i="2"/>
  <c r="F4074" i="2"/>
  <c r="E4074" i="2"/>
  <c r="D4074" i="2"/>
  <c r="C4074" i="2"/>
  <c r="B4074" i="2"/>
  <c r="A4074" i="2"/>
  <c r="H4073" i="2"/>
  <c r="G4073" i="2"/>
  <c r="F4073" i="2"/>
  <c r="E4073" i="2"/>
  <c r="D4073" i="2"/>
  <c r="C4073" i="2"/>
  <c r="B4073" i="2"/>
  <c r="A4073" i="2"/>
  <c r="H4072" i="2"/>
  <c r="G4072" i="2"/>
  <c r="F4072" i="2"/>
  <c r="E4072" i="2"/>
  <c r="D4072" i="2"/>
  <c r="C4072" i="2"/>
  <c r="B4072" i="2"/>
  <c r="A4072" i="2"/>
  <c r="H4071" i="2"/>
  <c r="G4071" i="2"/>
  <c r="F4071" i="2"/>
  <c r="E4071" i="2"/>
  <c r="D4071" i="2"/>
  <c r="C4071" i="2"/>
  <c r="B4071" i="2"/>
  <c r="A4071" i="2"/>
  <c r="H4070" i="2"/>
  <c r="G4070" i="2"/>
  <c r="F4070" i="2"/>
  <c r="E4070" i="2"/>
  <c r="D4070" i="2"/>
  <c r="C4070" i="2"/>
  <c r="B4070" i="2"/>
  <c r="A4070" i="2"/>
  <c r="H4069" i="2"/>
  <c r="G4069" i="2"/>
  <c r="F4069" i="2"/>
  <c r="E4069" i="2"/>
  <c r="D4069" i="2"/>
  <c r="C4069" i="2"/>
  <c r="B4069" i="2"/>
  <c r="A4069" i="2"/>
  <c r="H4068" i="2"/>
  <c r="G4068" i="2"/>
  <c r="F4068" i="2"/>
  <c r="E4068" i="2"/>
  <c r="D4068" i="2"/>
  <c r="C4068" i="2"/>
  <c r="B4068" i="2"/>
  <c r="A4068" i="2"/>
  <c r="H4067" i="2"/>
  <c r="G4067" i="2"/>
  <c r="F4067" i="2"/>
  <c r="E4067" i="2"/>
  <c r="D4067" i="2"/>
  <c r="C4067" i="2"/>
  <c r="B4067" i="2"/>
  <c r="A4067" i="2"/>
  <c r="H4066" i="2"/>
  <c r="G4066" i="2"/>
  <c r="F4066" i="2"/>
  <c r="E4066" i="2"/>
  <c r="D4066" i="2"/>
  <c r="C4066" i="2"/>
  <c r="B4066" i="2"/>
  <c r="A4066" i="2"/>
  <c r="H4065" i="2"/>
  <c r="G4065" i="2"/>
  <c r="F4065" i="2"/>
  <c r="E4065" i="2"/>
  <c r="D4065" i="2"/>
  <c r="C4065" i="2"/>
  <c r="B4065" i="2"/>
  <c r="A4065" i="2"/>
  <c r="H4064" i="2"/>
  <c r="G4064" i="2"/>
  <c r="F4064" i="2"/>
  <c r="E4064" i="2"/>
  <c r="D4064" i="2"/>
  <c r="C4064" i="2"/>
  <c r="B4064" i="2"/>
  <c r="A4064" i="2"/>
  <c r="H4063" i="2"/>
  <c r="G4063" i="2"/>
  <c r="F4063" i="2"/>
  <c r="E4063" i="2"/>
  <c r="D4063" i="2"/>
  <c r="C4063" i="2"/>
  <c r="B4063" i="2"/>
  <c r="A4063" i="2"/>
  <c r="H4062" i="2"/>
  <c r="G4062" i="2"/>
  <c r="F4062" i="2"/>
  <c r="E4062" i="2"/>
  <c r="D4062" i="2"/>
  <c r="C4062" i="2"/>
  <c r="B4062" i="2"/>
  <c r="A4062" i="2"/>
  <c r="H4061" i="2"/>
  <c r="G4061" i="2"/>
  <c r="F4061" i="2"/>
  <c r="E4061" i="2"/>
  <c r="D4061" i="2"/>
  <c r="C4061" i="2"/>
  <c r="B4061" i="2"/>
  <c r="A4061" i="2"/>
  <c r="H4060" i="2"/>
  <c r="G4060" i="2"/>
  <c r="F4060" i="2"/>
  <c r="E4060" i="2"/>
  <c r="D4060" i="2"/>
  <c r="C4060" i="2"/>
  <c r="B4060" i="2"/>
  <c r="A4060" i="2"/>
  <c r="H4059" i="2"/>
  <c r="G4059" i="2"/>
  <c r="F4059" i="2"/>
  <c r="E4059" i="2"/>
  <c r="D4059" i="2"/>
  <c r="C4059" i="2"/>
  <c r="B4059" i="2"/>
  <c r="A4059" i="2"/>
  <c r="H4058" i="2"/>
  <c r="G4058" i="2"/>
  <c r="F4058" i="2"/>
  <c r="E4058" i="2"/>
  <c r="D4058" i="2"/>
  <c r="C4058" i="2"/>
  <c r="B4058" i="2"/>
  <c r="A4058" i="2"/>
  <c r="H4057" i="2"/>
  <c r="G4057" i="2"/>
  <c r="F4057" i="2"/>
  <c r="E4057" i="2"/>
  <c r="D4057" i="2"/>
  <c r="C4057" i="2"/>
  <c r="B4057" i="2"/>
  <c r="A4057" i="2"/>
  <c r="H4056" i="2"/>
  <c r="G4056" i="2"/>
  <c r="F4056" i="2"/>
  <c r="E4056" i="2"/>
  <c r="D4056" i="2"/>
  <c r="C4056" i="2"/>
  <c r="B4056" i="2"/>
  <c r="A4056" i="2"/>
  <c r="H4055" i="2"/>
  <c r="G4055" i="2"/>
  <c r="F4055" i="2"/>
  <c r="E4055" i="2"/>
  <c r="D4055" i="2"/>
  <c r="C4055" i="2"/>
  <c r="B4055" i="2"/>
  <c r="A4055" i="2"/>
  <c r="H4054" i="2"/>
  <c r="G4054" i="2"/>
  <c r="F4054" i="2"/>
  <c r="E4054" i="2"/>
  <c r="D4054" i="2"/>
  <c r="C4054" i="2"/>
  <c r="B4054" i="2"/>
  <c r="A4054" i="2"/>
  <c r="H4053" i="2"/>
  <c r="G4053" i="2"/>
  <c r="F4053" i="2"/>
  <c r="E4053" i="2"/>
  <c r="D4053" i="2"/>
  <c r="C4053" i="2"/>
  <c r="B4053" i="2"/>
  <c r="A4053" i="2"/>
  <c r="H4052" i="2"/>
  <c r="G4052" i="2"/>
  <c r="F4052" i="2"/>
  <c r="E4052" i="2"/>
  <c r="D4052" i="2"/>
  <c r="C4052" i="2"/>
  <c r="B4052" i="2"/>
  <c r="A4052" i="2"/>
  <c r="H4051" i="2"/>
  <c r="G4051" i="2"/>
  <c r="F4051" i="2"/>
  <c r="E4051" i="2"/>
  <c r="D4051" i="2"/>
  <c r="C4051" i="2"/>
  <c r="B4051" i="2"/>
  <c r="A4051" i="2"/>
  <c r="H4050" i="2"/>
  <c r="G4050" i="2"/>
  <c r="F4050" i="2"/>
  <c r="E4050" i="2"/>
  <c r="D4050" i="2"/>
  <c r="C4050" i="2"/>
  <c r="B4050" i="2"/>
  <c r="A4050" i="2"/>
  <c r="H4049" i="2"/>
  <c r="G4049" i="2"/>
  <c r="F4049" i="2"/>
  <c r="E4049" i="2"/>
  <c r="D4049" i="2"/>
  <c r="C4049" i="2"/>
  <c r="B4049" i="2"/>
  <c r="A4049" i="2"/>
  <c r="H4048" i="2"/>
  <c r="G4048" i="2"/>
  <c r="F4048" i="2"/>
  <c r="E4048" i="2"/>
  <c r="D4048" i="2"/>
  <c r="C4048" i="2"/>
  <c r="B4048" i="2"/>
  <c r="A4048" i="2"/>
  <c r="H4047" i="2"/>
  <c r="G4047" i="2"/>
  <c r="F4047" i="2"/>
  <c r="E4047" i="2"/>
  <c r="D4047" i="2"/>
  <c r="C4047" i="2"/>
  <c r="B4047" i="2"/>
  <c r="A4047" i="2"/>
  <c r="H4046" i="2"/>
  <c r="G4046" i="2"/>
  <c r="F4046" i="2"/>
  <c r="E4046" i="2"/>
  <c r="D4046" i="2"/>
  <c r="C4046" i="2"/>
  <c r="B4046" i="2"/>
  <c r="A4046" i="2"/>
  <c r="H4045" i="2"/>
  <c r="G4045" i="2"/>
  <c r="F4045" i="2"/>
  <c r="E4045" i="2"/>
  <c r="D4045" i="2"/>
  <c r="C4045" i="2"/>
  <c r="B4045" i="2"/>
  <c r="A4045" i="2"/>
  <c r="H4044" i="2"/>
  <c r="G4044" i="2"/>
  <c r="F4044" i="2"/>
  <c r="E4044" i="2"/>
  <c r="D4044" i="2"/>
  <c r="C4044" i="2"/>
  <c r="B4044" i="2"/>
  <c r="A4044" i="2"/>
  <c r="H4043" i="2"/>
  <c r="G4043" i="2"/>
  <c r="F4043" i="2"/>
  <c r="E4043" i="2"/>
  <c r="D4043" i="2"/>
  <c r="C4043" i="2"/>
  <c r="B4043" i="2"/>
  <c r="A4043" i="2"/>
  <c r="H4042" i="2"/>
  <c r="G4042" i="2"/>
  <c r="F4042" i="2"/>
  <c r="E4042" i="2"/>
  <c r="D4042" i="2"/>
  <c r="C4042" i="2"/>
  <c r="B4042" i="2"/>
  <c r="A4042" i="2"/>
  <c r="H4041" i="2"/>
  <c r="G4041" i="2"/>
  <c r="F4041" i="2"/>
  <c r="E4041" i="2"/>
  <c r="D4041" i="2"/>
  <c r="C4041" i="2"/>
  <c r="B4041" i="2"/>
  <c r="A4041" i="2"/>
  <c r="H4040" i="2"/>
  <c r="G4040" i="2"/>
  <c r="F4040" i="2"/>
  <c r="E4040" i="2"/>
  <c r="D4040" i="2"/>
  <c r="C4040" i="2"/>
  <c r="B4040" i="2"/>
  <c r="A4040" i="2"/>
  <c r="H4039" i="2"/>
  <c r="G4039" i="2"/>
  <c r="F4039" i="2"/>
  <c r="E4039" i="2"/>
  <c r="D4039" i="2"/>
  <c r="C4039" i="2"/>
  <c r="B4039" i="2"/>
  <c r="A4039" i="2"/>
  <c r="H4038" i="2"/>
  <c r="G4038" i="2"/>
  <c r="F4038" i="2"/>
  <c r="E4038" i="2"/>
  <c r="D4038" i="2"/>
  <c r="C4038" i="2"/>
  <c r="B4038" i="2"/>
  <c r="A4038" i="2"/>
  <c r="H4037" i="2"/>
  <c r="G4037" i="2"/>
  <c r="F4037" i="2"/>
  <c r="E4037" i="2"/>
  <c r="D4037" i="2"/>
  <c r="C4037" i="2"/>
  <c r="B4037" i="2"/>
  <c r="A4037" i="2"/>
  <c r="H4036" i="2"/>
  <c r="G4036" i="2"/>
  <c r="F4036" i="2"/>
  <c r="E4036" i="2"/>
  <c r="D4036" i="2"/>
  <c r="C4036" i="2"/>
  <c r="B4036" i="2"/>
  <c r="A4036" i="2"/>
  <c r="H4035" i="2"/>
  <c r="G4035" i="2"/>
  <c r="F4035" i="2"/>
  <c r="E4035" i="2"/>
  <c r="D4035" i="2"/>
  <c r="C4035" i="2"/>
  <c r="B4035" i="2"/>
  <c r="A4035" i="2"/>
  <c r="H4034" i="2"/>
  <c r="G4034" i="2"/>
  <c r="F4034" i="2"/>
  <c r="E4034" i="2"/>
  <c r="D4034" i="2"/>
  <c r="C4034" i="2"/>
  <c r="B4034" i="2"/>
  <c r="A4034" i="2"/>
  <c r="H4033" i="2"/>
  <c r="G4033" i="2"/>
  <c r="F4033" i="2"/>
  <c r="E4033" i="2"/>
  <c r="D4033" i="2"/>
  <c r="C4033" i="2"/>
  <c r="B4033" i="2"/>
  <c r="A4033" i="2"/>
  <c r="H4032" i="2"/>
  <c r="G4032" i="2"/>
  <c r="F4032" i="2"/>
  <c r="E4032" i="2"/>
  <c r="D4032" i="2"/>
  <c r="C4032" i="2"/>
  <c r="B4032" i="2"/>
  <c r="A4032" i="2"/>
  <c r="H4031" i="2"/>
  <c r="G4031" i="2"/>
  <c r="F4031" i="2"/>
  <c r="E4031" i="2"/>
  <c r="D4031" i="2"/>
  <c r="C4031" i="2"/>
  <c r="B4031" i="2"/>
  <c r="A4031" i="2"/>
  <c r="H4030" i="2"/>
  <c r="G4030" i="2"/>
  <c r="F4030" i="2"/>
  <c r="E4030" i="2"/>
  <c r="D4030" i="2"/>
  <c r="C4030" i="2"/>
  <c r="B4030" i="2"/>
  <c r="A4030" i="2"/>
  <c r="H4029" i="2"/>
  <c r="G4029" i="2"/>
  <c r="F4029" i="2"/>
  <c r="E4029" i="2"/>
  <c r="D4029" i="2"/>
  <c r="C4029" i="2"/>
  <c r="B4029" i="2"/>
  <c r="A4029" i="2"/>
  <c r="H4028" i="2"/>
  <c r="G4028" i="2"/>
  <c r="F4028" i="2"/>
  <c r="E4028" i="2"/>
  <c r="D4028" i="2"/>
  <c r="C4028" i="2"/>
  <c r="B4028" i="2"/>
  <c r="A4028" i="2"/>
  <c r="H4027" i="2"/>
  <c r="G4027" i="2"/>
  <c r="F4027" i="2"/>
  <c r="E4027" i="2"/>
  <c r="D4027" i="2"/>
  <c r="C4027" i="2"/>
  <c r="B4027" i="2"/>
  <c r="A4027" i="2"/>
  <c r="H4026" i="2"/>
  <c r="G4026" i="2"/>
  <c r="F4026" i="2"/>
  <c r="E4026" i="2"/>
  <c r="D4026" i="2"/>
  <c r="C4026" i="2"/>
  <c r="B4026" i="2"/>
  <c r="A4026" i="2"/>
  <c r="H4025" i="2"/>
  <c r="G4025" i="2"/>
  <c r="F4025" i="2"/>
  <c r="E4025" i="2"/>
  <c r="D4025" i="2"/>
  <c r="C4025" i="2"/>
  <c r="B4025" i="2"/>
  <c r="A4025" i="2"/>
  <c r="H4024" i="2"/>
  <c r="G4024" i="2"/>
  <c r="F4024" i="2"/>
  <c r="E4024" i="2"/>
  <c r="D4024" i="2"/>
  <c r="C4024" i="2"/>
  <c r="B4024" i="2"/>
  <c r="A4024" i="2"/>
  <c r="H4023" i="2"/>
  <c r="G4023" i="2"/>
  <c r="F4023" i="2"/>
  <c r="E4023" i="2"/>
  <c r="D4023" i="2"/>
  <c r="C4023" i="2"/>
  <c r="B4023" i="2"/>
  <c r="A4023" i="2"/>
  <c r="H4022" i="2"/>
  <c r="G4022" i="2"/>
  <c r="F4022" i="2"/>
  <c r="E4022" i="2"/>
  <c r="D4022" i="2"/>
  <c r="C4022" i="2"/>
  <c r="B4022" i="2"/>
  <c r="A4022" i="2"/>
  <c r="H4021" i="2"/>
  <c r="G4021" i="2"/>
  <c r="F4021" i="2"/>
  <c r="E4021" i="2"/>
  <c r="D4021" i="2"/>
  <c r="C4021" i="2"/>
  <c r="B4021" i="2"/>
  <c r="A4021" i="2"/>
  <c r="H4020" i="2"/>
  <c r="G4020" i="2"/>
  <c r="F4020" i="2"/>
  <c r="E4020" i="2"/>
  <c r="D4020" i="2"/>
  <c r="C4020" i="2"/>
  <c r="B4020" i="2"/>
  <c r="A4020" i="2"/>
  <c r="H4019" i="2"/>
  <c r="G4019" i="2"/>
  <c r="F4019" i="2"/>
  <c r="E4019" i="2"/>
  <c r="D4019" i="2"/>
  <c r="C4019" i="2"/>
  <c r="B4019" i="2"/>
  <c r="A4019" i="2"/>
  <c r="H4018" i="2"/>
  <c r="G4018" i="2"/>
  <c r="F4018" i="2"/>
  <c r="E4018" i="2"/>
  <c r="D4018" i="2"/>
  <c r="C4018" i="2"/>
  <c r="B4018" i="2"/>
  <c r="A4018" i="2"/>
  <c r="H4017" i="2"/>
  <c r="G4017" i="2"/>
  <c r="F4017" i="2"/>
  <c r="E4017" i="2"/>
  <c r="D4017" i="2"/>
  <c r="C4017" i="2"/>
  <c r="B4017" i="2"/>
  <c r="A4017" i="2"/>
  <c r="H4016" i="2"/>
  <c r="G4016" i="2"/>
  <c r="F4016" i="2"/>
  <c r="E4016" i="2"/>
  <c r="D4016" i="2"/>
  <c r="C4016" i="2"/>
  <c r="B4016" i="2"/>
  <c r="A4016" i="2"/>
  <c r="H4015" i="2"/>
  <c r="G4015" i="2"/>
  <c r="F4015" i="2"/>
  <c r="E4015" i="2"/>
  <c r="D4015" i="2"/>
  <c r="C4015" i="2"/>
  <c r="B4015" i="2"/>
  <c r="A4015" i="2"/>
  <c r="H4014" i="2"/>
  <c r="G4014" i="2"/>
  <c r="F4014" i="2"/>
  <c r="E4014" i="2"/>
  <c r="D4014" i="2"/>
  <c r="C4014" i="2"/>
  <c r="B4014" i="2"/>
  <c r="A4014" i="2"/>
  <c r="H4013" i="2"/>
  <c r="G4013" i="2"/>
  <c r="F4013" i="2"/>
  <c r="E4013" i="2"/>
  <c r="D4013" i="2"/>
  <c r="C4013" i="2"/>
  <c r="B4013" i="2"/>
  <c r="A4013" i="2"/>
  <c r="H4012" i="2"/>
  <c r="G4012" i="2"/>
  <c r="F4012" i="2"/>
  <c r="E4012" i="2"/>
  <c r="D4012" i="2"/>
  <c r="C4012" i="2"/>
  <c r="B4012" i="2"/>
  <c r="A4012" i="2"/>
  <c r="H4011" i="2"/>
  <c r="G4011" i="2"/>
  <c r="F4011" i="2"/>
  <c r="E4011" i="2"/>
  <c r="D4011" i="2"/>
  <c r="C4011" i="2"/>
  <c r="B4011" i="2"/>
  <c r="A4011" i="2"/>
  <c r="H4010" i="2"/>
  <c r="G4010" i="2"/>
  <c r="F4010" i="2"/>
  <c r="E4010" i="2"/>
  <c r="D4010" i="2"/>
  <c r="C4010" i="2"/>
  <c r="B4010" i="2"/>
  <c r="A4010" i="2"/>
  <c r="H4009" i="2"/>
  <c r="G4009" i="2"/>
  <c r="F4009" i="2"/>
  <c r="E4009" i="2"/>
  <c r="D4009" i="2"/>
  <c r="C4009" i="2"/>
  <c r="B4009" i="2"/>
  <c r="A4009" i="2"/>
  <c r="H4008" i="2"/>
  <c r="G4008" i="2"/>
  <c r="F4008" i="2"/>
  <c r="E4008" i="2"/>
  <c r="D4008" i="2"/>
  <c r="C4008" i="2"/>
  <c r="B4008" i="2"/>
  <c r="A4008" i="2"/>
  <c r="H4007" i="2"/>
  <c r="G4007" i="2"/>
  <c r="F4007" i="2"/>
  <c r="E4007" i="2"/>
  <c r="D4007" i="2"/>
  <c r="C4007" i="2"/>
  <c r="B4007" i="2"/>
  <c r="A4007" i="2"/>
  <c r="H4006" i="2"/>
  <c r="G4006" i="2"/>
  <c r="F4006" i="2"/>
  <c r="E4006" i="2"/>
  <c r="D4006" i="2"/>
  <c r="C4006" i="2"/>
  <c r="B4006" i="2"/>
  <c r="A4006" i="2"/>
  <c r="H4005" i="2"/>
  <c r="G4005" i="2"/>
  <c r="F4005" i="2"/>
  <c r="E4005" i="2"/>
  <c r="D4005" i="2"/>
  <c r="C4005" i="2"/>
  <c r="B4005" i="2"/>
  <c r="A4005" i="2"/>
  <c r="H4004" i="2"/>
  <c r="G4004" i="2"/>
  <c r="F4004" i="2"/>
  <c r="E4004" i="2"/>
  <c r="D4004" i="2"/>
  <c r="C4004" i="2"/>
  <c r="B4004" i="2"/>
  <c r="A4004" i="2"/>
  <c r="H4003" i="2"/>
  <c r="G4003" i="2"/>
  <c r="F4003" i="2"/>
  <c r="E4003" i="2"/>
  <c r="D4003" i="2"/>
  <c r="C4003" i="2"/>
  <c r="B4003" i="2"/>
  <c r="A4003" i="2"/>
  <c r="H4002" i="2"/>
  <c r="G4002" i="2"/>
  <c r="F4002" i="2"/>
  <c r="E4002" i="2"/>
  <c r="D4002" i="2"/>
  <c r="C4002" i="2"/>
  <c r="B4002" i="2"/>
  <c r="A4002" i="2"/>
  <c r="H4001" i="2"/>
  <c r="G4001" i="2"/>
  <c r="F4001" i="2"/>
  <c r="E4001" i="2"/>
  <c r="D4001" i="2"/>
  <c r="C4001" i="2"/>
  <c r="B4001" i="2"/>
  <c r="A4001" i="2"/>
  <c r="H4000" i="2"/>
  <c r="G4000" i="2"/>
  <c r="F4000" i="2"/>
  <c r="E4000" i="2"/>
  <c r="D4000" i="2"/>
  <c r="C4000" i="2"/>
  <c r="B4000" i="2"/>
  <c r="A4000" i="2"/>
  <c r="H3999" i="2"/>
  <c r="G3999" i="2"/>
  <c r="F3999" i="2"/>
  <c r="E3999" i="2"/>
  <c r="D3999" i="2"/>
  <c r="C3999" i="2"/>
  <c r="B3999" i="2"/>
  <c r="A3999" i="2"/>
  <c r="H3998" i="2"/>
  <c r="G3998" i="2"/>
  <c r="F3998" i="2"/>
  <c r="E3998" i="2"/>
  <c r="D3998" i="2"/>
  <c r="C3998" i="2"/>
  <c r="B3998" i="2"/>
  <c r="A3998" i="2"/>
  <c r="H3997" i="2"/>
  <c r="G3997" i="2"/>
  <c r="F3997" i="2"/>
  <c r="E3997" i="2"/>
  <c r="D3997" i="2"/>
  <c r="C3997" i="2"/>
  <c r="B3997" i="2"/>
  <c r="A3997" i="2"/>
  <c r="H3996" i="2"/>
  <c r="G3996" i="2"/>
  <c r="F3996" i="2"/>
  <c r="E3996" i="2"/>
  <c r="D3996" i="2"/>
  <c r="C3996" i="2"/>
  <c r="B3996" i="2"/>
  <c r="A3996" i="2"/>
  <c r="H3995" i="2"/>
  <c r="G3995" i="2"/>
  <c r="F3995" i="2"/>
  <c r="E3995" i="2"/>
  <c r="D3995" i="2"/>
  <c r="C3995" i="2"/>
  <c r="B3995" i="2"/>
  <c r="A3995" i="2"/>
  <c r="H3994" i="2"/>
  <c r="G3994" i="2"/>
  <c r="F3994" i="2"/>
  <c r="E3994" i="2"/>
  <c r="D3994" i="2"/>
  <c r="C3994" i="2"/>
  <c r="B3994" i="2"/>
  <c r="A3994" i="2"/>
  <c r="H3993" i="2"/>
  <c r="G3993" i="2"/>
  <c r="F3993" i="2"/>
  <c r="E3993" i="2"/>
  <c r="D3993" i="2"/>
  <c r="C3993" i="2"/>
  <c r="B3993" i="2"/>
  <c r="A3993" i="2"/>
  <c r="H3992" i="2"/>
  <c r="G3992" i="2"/>
  <c r="F3992" i="2"/>
  <c r="E3992" i="2"/>
  <c r="D3992" i="2"/>
  <c r="C3992" i="2"/>
  <c r="B3992" i="2"/>
  <c r="A3992" i="2"/>
  <c r="H3991" i="2"/>
  <c r="G3991" i="2"/>
  <c r="F3991" i="2"/>
  <c r="E3991" i="2"/>
  <c r="D3991" i="2"/>
  <c r="C3991" i="2"/>
  <c r="B3991" i="2"/>
  <c r="A3991" i="2"/>
  <c r="H3990" i="2"/>
  <c r="G3990" i="2"/>
  <c r="F3990" i="2"/>
  <c r="E3990" i="2"/>
  <c r="D3990" i="2"/>
  <c r="C3990" i="2"/>
  <c r="B3990" i="2"/>
  <c r="A3990" i="2"/>
  <c r="H3989" i="2"/>
  <c r="G3989" i="2"/>
  <c r="F3989" i="2"/>
  <c r="E3989" i="2"/>
  <c r="D3989" i="2"/>
  <c r="C3989" i="2"/>
  <c r="B3989" i="2"/>
  <c r="A3989" i="2"/>
  <c r="H3988" i="2"/>
  <c r="G3988" i="2"/>
  <c r="F3988" i="2"/>
  <c r="E3988" i="2"/>
  <c r="D3988" i="2"/>
  <c r="C3988" i="2"/>
  <c r="B3988" i="2"/>
  <c r="A3988" i="2"/>
  <c r="H3987" i="2"/>
  <c r="G3987" i="2"/>
  <c r="F3987" i="2"/>
  <c r="E3987" i="2"/>
  <c r="D3987" i="2"/>
  <c r="C3987" i="2"/>
  <c r="B3987" i="2"/>
  <c r="A3987" i="2"/>
  <c r="H3986" i="2"/>
  <c r="G3986" i="2"/>
  <c r="F3986" i="2"/>
  <c r="E3986" i="2"/>
  <c r="D3986" i="2"/>
  <c r="C3986" i="2"/>
  <c r="B3986" i="2"/>
  <c r="A3986" i="2"/>
  <c r="H3985" i="2"/>
  <c r="G3985" i="2"/>
  <c r="F3985" i="2"/>
  <c r="E3985" i="2"/>
  <c r="D3985" i="2"/>
  <c r="C3985" i="2"/>
  <c r="B3985" i="2"/>
  <c r="A3985" i="2"/>
  <c r="H3984" i="2"/>
  <c r="G3984" i="2"/>
  <c r="F3984" i="2"/>
  <c r="E3984" i="2"/>
  <c r="D3984" i="2"/>
  <c r="C3984" i="2"/>
  <c r="B3984" i="2"/>
  <c r="A3984" i="2"/>
  <c r="H3983" i="2"/>
  <c r="G3983" i="2"/>
  <c r="F3983" i="2"/>
  <c r="E3983" i="2"/>
  <c r="D3983" i="2"/>
  <c r="C3983" i="2"/>
  <c r="B3983" i="2"/>
  <c r="A3983" i="2"/>
  <c r="H3982" i="2"/>
  <c r="G3982" i="2"/>
  <c r="F3982" i="2"/>
  <c r="E3982" i="2"/>
  <c r="D3982" i="2"/>
  <c r="C3982" i="2"/>
  <c r="B3982" i="2"/>
  <c r="A3982" i="2"/>
  <c r="H3981" i="2"/>
  <c r="G3981" i="2"/>
  <c r="F3981" i="2"/>
  <c r="E3981" i="2"/>
  <c r="D3981" i="2"/>
  <c r="C3981" i="2"/>
  <c r="B3981" i="2"/>
  <c r="A3981" i="2"/>
  <c r="H3980" i="2"/>
  <c r="G3980" i="2"/>
  <c r="F3980" i="2"/>
  <c r="E3980" i="2"/>
  <c r="D3980" i="2"/>
  <c r="C3980" i="2"/>
  <c r="B3980" i="2"/>
  <c r="A3980" i="2"/>
  <c r="H3979" i="2"/>
  <c r="G3979" i="2"/>
  <c r="F3979" i="2"/>
  <c r="E3979" i="2"/>
  <c r="D3979" i="2"/>
  <c r="C3979" i="2"/>
  <c r="B3979" i="2"/>
  <c r="A3979" i="2"/>
  <c r="H3978" i="2"/>
  <c r="G3978" i="2"/>
  <c r="F3978" i="2"/>
  <c r="E3978" i="2"/>
  <c r="D3978" i="2"/>
  <c r="C3978" i="2"/>
  <c r="B3978" i="2"/>
  <c r="A3978" i="2"/>
  <c r="H3977" i="2"/>
  <c r="G3977" i="2"/>
  <c r="F3977" i="2"/>
  <c r="E3977" i="2"/>
  <c r="D3977" i="2"/>
  <c r="C3977" i="2"/>
  <c r="B3977" i="2"/>
  <c r="A3977" i="2"/>
  <c r="H3976" i="2"/>
  <c r="G3976" i="2"/>
  <c r="F3976" i="2"/>
  <c r="E3976" i="2"/>
  <c r="D3976" i="2"/>
  <c r="C3976" i="2"/>
  <c r="B3976" i="2"/>
  <c r="A3976" i="2"/>
  <c r="H3975" i="2"/>
  <c r="G3975" i="2"/>
  <c r="F3975" i="2"/>
  <c r="E3975" i="2"/>
  <c r="D3975" i="2"/>
  <c r="C3975" i="2"/>
  <c r="B3975" i="2"/>
  <c r="A3975" i="2"/>
  <c r="H3974" i="2"/>
  <c r="G3974" i="2"/>
  <c r="F3974" i="2"/>
  <c r="E3974" i="2"/>
  <c r="D3974" i="2"/>
  <c r="C3974" i="2"/>
  <c r="B3974" i="2"/>
  <c r="A3974" i="2"/>
  <c r="H3973" i="2"/>
  <c r="G3973" i="2"/>
  <c r="F3973" i="2"/>
  <c r="E3973" i="2"/>
  <c r="D3973" i="2"/>
  <c r="C3973" i="2"/>
  <c r="B3973" i="2"/>
  <c r="A3973" i="2"/>
  <c r="H3972" i="2"/>
  <c r="G3972" i="2"/>
  <c r="F3972" i="2"/>
  <c r="E3972" i="2"/>
  <c r="D3972" i="2"/>
  <c r="C3972" i="2"/>
  <c r="B3972" i="2"/>
  <c r="A3972" i="2"/>
  <c r="H3971" i="2"/>
  <c r="G3971" i="2"/>
  <c r="F3971" i="2"/>
  <c r="E3971" i="2"/>
  <c r="D3971" i="2"/>
  <c r="C3971" i="2"/>
  <c r="B3971" i="2"/>
  <c r="A3971" i="2"/>
  <c r="H3970" i="2"/>
  <c r="G3970" i="2"/>
  <c r="F3970" i="2"/>
  <c r="E3970" i="2"/>
  <c r="D3970" i="2"/>
  <c r="C3970" i="2"/>
  <c r="B3970" i="2"/>
  <c r="A3970" i="2"/>
  <c r="H3969" i="2"/>
  <c r="G3969" i="2"/>
  <c r="F3969" i="2"/>
  <c r="E3969" i="2"/>
  <c r="D3969" i="2"/>
  <c r="C3969" i="2"/>
  <c r="B3969" i="2"/>
  <c r="A3969" i="2"/>
  <c r="H3968" i="2"/>
  <c r="G3968" i="2"/>
  <c r="F3968" i="2"/>
  <c r="E3968" i="2"/>
  <c r="D3968" i="2"/>
  <c r="C3968" i="2"/>
  <c r="B3968" i="2"/>
  <c r="A3968" i="2"/>
  <c r="H3967" i="2"/>
  <c r="G3967" i="2"/>
  <c r="F3967" i="2"/>
  <c r="E3967" i="2"/>
  <c r="D3967" i="2"/>
  <c r="C3967" i="2"/>
  <c r="B3967" i="2"/>
  <c r="A3967" i="2"/>
  <c r="H3966" i="2"/>
  <c r="G3966" i="2"/>
  <c r="F3966" i="2"/>
  <c r="E3966" i="2"/>
  <c r="D3966" i="2"/>
  <c r="C3966" i="2"/>
  <c r="B3966" i="2"/>
  <c r="A3966" i="2"/>
  <c r="H3965" i="2"/>
  <c r="G3965" i="2"/>
  <c r="F3965" i="2"/>
  <c r="E3965" i="2"/>
  <c r="D3965" i="2"/>
  <c r="C3965" i="2"/>
  <c r="B3965" i="2"/>
  <c r="A3965" i="2"/>
  <c r="H3964" i="2"/>
  <c r="G3964" i="2"/>
  <c r="F3964" i="2"/>
  <c r="E3964" i="2"/>
  <c r="D3964" i="2"/>
  <c r="C3964" i="2"/>
  <c r="B3964" i="2"/>
  <c r="A3964" i="2"/>
  <c r="H3963" i="2"/>
  <c r="G3963" i="2"/>
  <c r="F3963" i="2"/>
  <c r="E3963" i="2"/>
  <c r="D3963" i="2"/>
  <c r="C3963" i="2"/>
  <c r="B3963" i="2"/>
  <c r="A3963" i="2"/>
  <c r="H3962" i="2"/>
  <c r="G3962" i="2"/>
  <c r="F3962" i="2"/>
  <c r="E3962" i="2"/>
  <c r="D3962" i="2"/>
  <c r="C3962" i="2"/>
  <c r="B3962" i="2"/>
  <c r="A3962" i="2"/>
  <c r="H3961" i="2"/>
  <c r="G3961" i="2"/>
  <c r="F3961" i="2"/>
  <c r="E3961" i="2"/>
  <c r="D3961" i="2"/>
  <c r="C3961" i="2"/>
  <c r="B3961" i="2"/>
  <c r="A3961" i="2"/>
  <c r="H3960" i="2"/>
  <c r="G3960" i="2"/>
  <c r="F3960" i="2"/>
  <c r="E3960" i="2"/>
  <c r="D3960" i="2"/>
  <c r="C3960" i="2"/>
  <c r="B3960" i="2"/>
  <c r="A3960" i="2"/>
  <c r="H3959" i="2"/>
  <c r="G3959" i="2"/>
  <c r="F3959" i="2"/>
  <c r="E3959" i="2"/>
  <c r="D3959" i="2"/>
  <c r="C3959" i="2"/>
  <c r="B3959" i="2"/>
  <c r="A3959" i="2"/>
  <c r="H3958" i="2"/>
  <c r="G3958" i="2"/>
  <c r="F3958" i="2"/>
  <c r="E3958" i="2"/>
  <c r="D3958" i="2"/>
  <c r="C3958" i="2"/>
  <c r="B3958" i="2"/>
  <c r="A3958" i="2"/>
  <c r="H3957" i="2"/>
  <c r="G3957" i="2"/>
  <c r="F3957" i="2"/>
  <c r="E3957" i="2"/>
  <c r="D3957" i="2"/>
  <c r="C3957" i="2"/>
  <c r="B3957" i="2"/>
  <c r="A3957" i="2"/>
  <c r="H3956" i="2"/>
  <c r="G3956" i="2"/>
  <c r="F3956" i="2"/>
  <c r="E3956" i="2"/>
  <c r="D3956" i="2"/>
  <c r="C3956" i="2"/>
  <c r="B3956" i="2"/>
  <c r="A3956" i="2"/>
  <c r="H3955" i="2"/>
  <c r="G3955" i="2"/>
  <c r="F3955" i="2"/>
  <c r="E3955" i="2"/>
  <c r="D3955" i="2"/>
  <c r="C3955" i="2"/>
  <c r="B3955" i="2"/>
  <c r="A3955" i="2"/>
  <c r="H3954" i="2"/>
  <c r="G3954" i="2"/>
  <c r="F3954" i="2"/>
  <c r="E3954" i="2"/>
  <c r="D3954" i="2"/>
  <c r="C3954" i="2"/>
  <c r="B3954" i="2"/>
  <c r="A3954" i="2"/>
  <c r="H3953" i="2"/>
  <c r="G3953" i="2"/>
  <c r="F3953" i="2"/>
  <c r="E3953" i="2"/>
  <c r="D3953" i="2"/>
  <c r="C3953" i="2"/>
  <c r="B3953" i="2"/>
  <c r="A3953" i="2"/>
  <c r="H3952" i="2"/>
  <c r="G3952" i="2"/>
  <c r="F3952" i="2"/>
  <c r="E3952" i="2"/>
  <c r="D3952" i="2"/>
  <c r="C3952" i="2"/>
  <c r="B3952" i="2"/>
  <c r="A3952" i="2"/>
  <c r="H3951" i="2"/>
  <c r="G3951" i="2"/>
  <c r="F3951" i="2"/>
  <c r="E3951" i="2"/>
  <c r="D3951" i="2"/>
  <c r="C3951" i="2"/>
  <c r="B3951" i="2"/>
  <c r="A3951" i="2"/>
  <c r="H3950" i="2"/>
  <c r="G3950" i="2"/>
  <c r="F3950" i="2"/>
  <c r="E3950" i="2"/>
  <c r="D3950" i="2"/>
  <c r="C3950" i="2"/>
  <c r="B3950" i="2"/>
  <c r="A3950" i="2"/>
  <c r="H3949" i="2"/>
  <c r="G3949" i="2"/>
  <c r="F3949" i="2"/>
  <c r="E3949" i="2"/>
  <c r="D3949" i="2"/>
  <c r="C3949" i="2"/>
  <c r="B3949" i="2"/>
  <c r="A3949" i="2"/>
  <c r="H3948" i="2"/>
  <c r="G3948" i="2"/>
  <c r="F3948" i="2"/>
  <c r="E3948" i="2"/>
  <c r="D3948" i="2"/>
  <c r="C3948" i="2"/>
  <c r="B3948" i="2"/>
  <c r="A3948" i="2"/>
  <c r="H3947" i="2"/>
  <c r="G3947" i="2"/>
  <c r="F3947" i="2"/>
  <c r="E3947" i="2"/>
  <c r="D3947" i="2"/>
  <c r="C3947" i="2"/>
  <c r="B3947" i="2"/>
  <c r="A3947" i="2"/>
  <c r="H3946" i="2"/>
  <c r="G3946" i="2"/>
  <c r="F3946" i="2"/>
  <c r="E3946" i="2"/>
  <c r="D3946" i="2"/>
  <c r="C3946" i="2"/>
  <c r="B3946" i="2"/>
  <c r="A3946" i="2"/>
  <c r="H3945" i="2"/>
  <c r="G3945" i="2"/>
  <c r="F3945" i="2"/>
  <c r="E3945" i="2"/>
  <c r="D3945" i="2"/>
  <c r="C3945" i="2"/>
  <c r="B3945" i="2"/>
  <c r="A3945" i="2"/>
  <c r="H3944" i="2"/>
  <c r="G3944" i="2"/>
  <c r="F3944" i="2"/>
  <c r="E3944" i="2"/>
  <c r="D3944" i="2"/>
  <c r="C3944" i="2"/>
  <c r="B3944" i="2"/>
  <c r="A3944" i="2"/>
  <c r="H3943" i="2"/>
  <c r="G3943" i="2"/>
  <c r="F3943" i="2"/>
  <c r="E3943" i="2"/>
  <c r="D3943" i="2"/>
  <c r="C3943" i="2"/>
  <c r="B3943" i="2"/>
  <c r="A3943" i="2"/>
  <c r="H3942" i="2"/>
  <c r="G3942" i="2"/>
  <c r="F3942" i="2"/>
  <c r="E3942" i="2"/>
  <c r="D3942" i="2"/>
  <c r="C3942" i="2"/>
  <c r="B3942" i="2"/>
  <c r="A3942" i="2"/>
  <c r="H3941" i="2"/>
  <c r="G3941" i="2"/>
  <c r="F3941" i="2"/>
  <c r="E3941" i="2"/>
  <c r="D3941" i="2"/>
  <c r="C3941" i="2"/>
  <c r="B3941" i="2"/>
  <c r="A3941" i="2"/>
  <c r="H3940" i="2"/>
  <c r="G3940" i="2"/>
  <c r="F3940" i="2"/>
  <c r="E3940" i="2"/>
  <c r="D3940" i="2"/>
  <c r="C3940" i="2"/>
  <c r="B3940" i="2"/>
  <c r="A3940" i="2"/>
  <c r="H3939" i="2"/>
  <c r="G3939" i="2"/>
  <c r="F3939" i="2"/>
  <c r="E3939" i="2"/>
  <c r="D3939" i="2"/>
  <c r="C3939" i="2"/>
  <c r="B3939" i="2"/>
  <c r="A3939" i="2"/>
  <c r="H3938" i="2"/>
  <c r="G3938" i="2"/>
  <c r="F3938" i="2"/>
  <c r="E3938" i="2"/>
  <c r="D3938" i="2"/>
  <c r="C3938" i="2"/>
  <c r="B3938" i="2"/>
  <c r="A3938" i="2"/>
  <c r="H3937" i="2"/>
  <c r="G3937" i="2"/>
  <c r="F3937" i="2"/>
  <c r="E3937" i="2"/>
  <c r="D3937" i="2"/>
  <c r="C3937" i="2"/>
  <c r="B3937" i="2"/>
  <c r="A3937" i="2"/>
  <c r="H3936" i="2"/>
  <c r="G3936" i="2"/>
  <c r="F3936" i="2"/>
  <c r="E3936" i="2"/>
  <c r="D3936" i="2"/>
  <c r="C3936" i="2"/>
  <c r="B3936" i="2"/>
  <c r="A3936" i="2"/>
  <c r="H3935" i="2"/>
  <c r="G3935" i="2"/>
  <c r="F3935" i="2"/>
  <c r="E3935" i="2"/>
  <c r="D3935" i="2"/>
  <c r="C3935" i="2"/>
  <c r="B3935" i="2"/>
  <c r="A3935" i="2"/>
  <c r="H3934" i="2"/>
  <c r="G3934" i="2"/>
  <c r="F3934" i="2"/>
  <c r="E3934" i="2"/>
  <c r="D3934" i="2"/>
  <c r="C3934" i="2"/>
  <c r="B3934" i="2"/>
  <c r="A3934" i="2"/>
  <c r="H3933" i="2"/>
  <c r="G3933" i="2"/>
  <c r="F3933" i="2"/>
  <c r="E3933" i="2"/>
  <c r="D3933" i="2"/>
  <c r="C3933" i="2"/>
  <c r="B3933" i="2"/>
  <c r="A3933" i="2"/>
  <c r="H3932" i="2"/>
  <c r="G3932" i="2"/>
  <c r="F3932" i="2"/>
  <c r="E3932" i="2"/>
  <c r="D3932" i="2"/>
  <c r="C3932" i="2"/>
  <c r="B3932" i="2"/>
  <c r="A3932" i="2"/>
  <c r="H3931" i="2"/>
  <c r="G3931" i="2"/>
  <c r="F3931" i="2"/>
  <c r="E3931" i="2"/>
  <c r="D3931" i="2"/>
  <c r="C3931" i="2"/>
  <c r="B3931" i="2"/>
  <c r="A3931" i="2"/>
  <c r="H3930" i="2"/>
  <c r="G3930" i="2"/>
  <c r="F3930" i="2"/>
  <c r="E3930" i="2"/>
  <c r="D3930" i="2"/>
  <c r="C3930" i="2"/>
  <c r="B3930" i="2"/>
  <c r="A3930" i="2"/>
  <c r="H3929" i="2"/>
  <c r="G3929" i="2"/>
  <c r="F3929" i="2"/>
  <c r="E3929" i="2"/>
  <c r="D3929" i="2"/>
  <c r="C3929" i="2"/>
  <c r="B3929" i="2"/>
  <c r="A3929" i="2"/>
  <c r="H3928" i="2"/>
  <c r="G3928" i="2"/>
  <c r="F3928" i="2"/>
  <c r="E3928" i="2"/>
  <c r="D3928" i="2"/>
  <c r="C3928" i="2"/>
  <c r="B3928" i="2"/>
  <c r="A3928" i="2"/>
  <c r="H3927" i="2"/>
  <c r="G3927" i="2"/>
  <c r="F3927" i="2"/>
  <c r="E3927" i="2"/>
  <c r="D3927" i="2"/>
  <c r="C3927" i="2"/>
  <c r="B3927" i="2"/>
  <c r="A3927" i="2"/>
  <c r="H3926" i="2"/>
  <c r="G3926" i="2"/>
  <c r="F3926" i="2"/>
  <c r="E3926" i="2"/>
  <c r="D3926" i="2"/>
  <c r="C3926" i="2"/>
  <c r="B3926" i="2"/>
  <c r="A3926" i="2"/>
  <c r="H3925" i="2"/>
  <c r="G3925" i="2"/>
  <c r="F3925" i="2"/>
  <c r="E3925" i="2"/>
  <c r="D3925" i="2"/>
  <c r="C3925" i="2"/>
  <c r="B3925" i="2"/>
  <c r="A3925" i="2"/>
  <c r="H3924" i="2"/>
  <c r="G3924" i="2"/>
  <c r="F3924" i="2"/>
  <c r="E3924" i="2"/>
  <c r="D3924" i="2"/>
  <c r="C3924" i="2"/>
  <c r="B3924" i="2"/>
  <c r="A3924" i="2"/>
  <c r="H3923" i="2"/>
  <c r="G3923" i="2"/>
  <c r="F3923" i="2"/>
  <c r="E3923" i="2"/>
  <c r="D3923" i="2"/>
  <c r="C3923" i="2"/>
  <c r="B3923" i="2"/>
  <c r="A3923" i="2"/>
  <c r="H3922" i="2"/>
  <c r="G3922" i="2"/>
  <c r="F3922" i="2"/>
  <c r="E3922" i="2"/>
  <c r="D3922" i="2"/>
  <c r="C3922" i="2"/>
  <c r="B3922" i="2"/>
  <c r="A3922" i="2"/>
  <c r="H3921" i="2"/>
  <c r="G3921" i="2"/>
  <c r="F3921" i="2"/>
  <c r="E3921" i="2"/>
  <c r="D3921" i="2"/>
  <c r="C3921" i="2"/>
  <c r="B3921" i="2"/>
  <c r="A3921" i="2"/>
  <c r="H3920" i="2"/>
  <c r="G3920" i="2"/>
  <c r="F3920" i="2"/>
  <c r="E3920" i="2"/>
  <c r="D3920" i="2"/>
  <c r="C3920" i="2"/>
  <c r="B3920" i="2"/>
  <c r="A3920" i="2"/>
  <c r="H3919" i="2"/>
  <c r="G3919" i="2"/>
  <c r="F3919" i="2"/>
  <c r="E3919" i="2"/>
  <c r="D3919" i="2"/>
  <c r="C3919" i="2"/>
  <c r="B3919" i="2"/>
  <c r="A3919" i="2"/>
  <c r="H3918" i="2"/>
  <c r="G3918" i="2"/>
  <c r="F3918" i="2"/>
  <c r="E3918" i="2"/>
  <c r="D3918" i="2"/>
  <c r="C3918" i="2"/>
  <c r="B3918" i="2"/>
  <c r="A3918" i="2"/>
  <c r="H3917" i="2"/>
  <c r="G3917" i="2"/>
  <c r="F3917" i="2"/>
  <c r="E3917" i="2"/>
  <c r="D3917" i="2"/>
  <c r="C3917" i="2"/>
  <c r="B3917" i="2"/>
  <c r="A3917" i="2"/>
  <c r="H3916" i="2"/>
  <c r="G3916" i="2"/>
  <c r="F3916" i="2"/>
  <c r="E3916" i="2"/>
  <c r="D3916" i="2"/>
  <c r="C3916" i="2"/>
  <c r="B3916" i="2"/>
  <c r="A3916" i="2"/>
  <c r="H3915" i="2"/>
  <c r="G3915" i="2"/>
  <c r="F3915" i="2"/>
  <c r="E3915" i="2"/>
  <c r="D3915" i="2"/>
  <c r="C3915" i="2"/>
  <c r="B3915" i="2"/>
  <c r="A3915" i="2"/>
  <c r="H3914" i="2"/>
  <c r="G3914" i="2"/>
  <c r="F3914" i="2"/>
  <c r="E3914" i="2"/>
  <c r="D3914" i="2"/>
  <c r="C3914" i="2"/>
  <c r="B3914" i="2"/>
  <c r="A3914" i="2"/>
  <c r="H3913" i="2"/>
  <c r="G3913" i="2"/>
  <c r="F3913" i="2"/>
  <c r="E3913" i="2"/>
  <c r="D3913" i="2"/>
  <c r="C3913" i="2"/>
  <c r="B3913" i="2"/>
  <c r="A3913" i="2"/>
  <c r="H3912" i="2"/>
  <c r="G3912" i="2"/>
  <c r="F3912" i="2"/>
  <c r="E3912" i="2"/>
  <c r="D3912" i="2"/>
  <c r="C3912" i="2"/>
  <c r="B3912" i="2"/>
  <c r="A3912" i="2"/>
  <c r="H3911" i="2"/>
  <c r="G3911" i="2"/>
  <c r="F3911" i="2"/>
  <c r="E3911" i="2"/>
  <c r="D3911" i="2"/>
  <c r="C3911" i="2"/>
  <c r="B3911" i="2"/>
  <c r="A3911" i="2"/>
  <c r="H3910" i="2"/>
  <c r="G3910" i="2"/>
  <c r="F3910" i="2"/>
  <c r="E3910" i="2"/>
  <c r="D3910" i="2"/>
  <c r="C3910" i="2"/>
  <c r="B3910" i="2"/>
  <c r="A3910" i="2"/>
  <c r="H3909" i="2"/>
  <c r="G3909" i="2"/>
  <c r="F3909" i="2"/>
  <c r="E3909" i="2"/>
  <c r="D3909" i="2"/>
  <c r="C3909" i="2"/>
  <c r="B3909" i="2"/>
  <c r="A3909" i="2"/>
  <c r="H3908" i="2"/>
  <c r="G3908" i="2"/>
  <c r="F3908" i="2"/>
  <c r="E3908" i="2"/>
  <c r="D3908" i="2"/>
  <c r="C3908" i="2"/>
  <c r="B3908" i="2"/>
  <c r="A3908" i="2"/>
  <c r="H3907" i="2"/>
  <c r="G3907" i="2"/>
  <c r="F3907" i="2"/>
  <c r="E3907" i="2"/>
  <c r="D3907" i="2"/>
  <c r="C3907" i="2"/>
  <c r="B3907" i="2"/>
  <c r="A3907" i="2"/>
  <c r="H3906" i="2"/>
  <c r="G3906" i="2"/>
  <c r="F3906" i="2"/>
  <c r="E3906" i="2"/>
  <c r="D3906" i="2"/>
  <c r="C3906" i="2"/>
  <c r="B3906" i="2"/>
  <c r="A3906" i="2"/>
  <c r="H3905" i="2"/>
  <c r="G3905" i="2"/>
  <c r="F3905" i="2"/>
  <c r="E3905" i="2"/>
  <c r="D3905" i="2"/>
  <c r="C3905" i="2"/>
  <c r="B3905" i="2"/>
  <c r="A3905" i="2"/>
  <c r="H3904" i="2"/>
  <c r="G3904" i="2"/>
  <c r="F3904" i="2"/>
  <c r="E3904" i="2"/>
  <c r="D3904" i="2"/>
  <c r="C3904" i="2"/>
  <c r="B3904" i="2"/>
  <c r="A3904" i="2"/>
  <c r="H3903" i="2"/>
  <c r="G3903" i="2"/>
  <c r="F3903" i="2"/>
  <c r="E3903" i="2"/>
  <c r="D3903" i="2"/>
  <c r="C3903" i="2"/>
  <c r="B3903" i="2"/>
  <c r="A3903" i="2"/>
  <c r="H3902" i="2"/>
  <c r="G3902" i="2"/>
  <c r="F3902" i="2"/>
  <c r="E3902" i="2"/>
  <c r="D3902" i="2"/>
  <c r="C3902" i="2"/>
  <c r="B3902" i="2"/>
  <c r="A3902" i="2"/>
  <c r="H3901" i="2"/>
  <c r="G3901" i="2"/>
  <c r="F3901" i="2"/>
  <c r="E3901" i="2"/>
  <c r="D3901" i="2"/>
  <c r="C3901" i="2"/>
  <c r="B3901" i="2"/>
  <c r="A3901" i="2"/>
  <c r="H3900" i="2"/>
  <c r="G3900" i="2"/>
  <c r="F3900" i="2"/>
  <c r="E3900" i="2"/>
  <c r="D3900" i="2"/>
  <c r="C3900" i="2"/>
  <c r="B3900" i="2"/>
  <c r="A3900" i="2"/>
  <c r="H3899" i="2"/>
  <c r="G3899" i="2"/>
  <c r="F3899" i="2"/>
  <c r="E3899" i="2"/>
  <c r="D3899" i="2"/>
  <c r="C3899" i="2"/>
  <c r="B3899" i="2"/>
  <c r="A3899" i="2"/>
  <c r="H3898" i="2"/>
  <c r="G3898" i="2"/>
  <c r="F3898" i="2"/>
  <c r="E3898" i="2"/>
  <c r="D3898" i="2"/>
  <c r="C3898" i="2"/>
  <c r="B3898" i="2"/>
  <c r="A3898" i="2"/>
  <c r="H3897" i="2"/>
  <c r="G3897" i="2"/>
  <c r="F3897" i="2"/>
  <c r="E3897" i="2"/>
  <c r="D3897" i="2"/>
  <c r="C3897" i="2"/>
  <c r="B3897" i="2"/>
  <c r="A3897" i="2"/>
  <c r="H3896" i="2"/>
  <c r="G3896" i="2"/>
  <c r="F3896" i="2"/>
  <c r="E3896" i="2"/>
  <c r="D3896" i="2"/>
  <c r="C3896" i="2"/>
  <c r="B3896" i="2"/>
  <c r="A3896" i="2"/>
  <c r="H3895" i="2"/>
  <c r="G3895" i="2"/>
  <c r="F3895" i="2"/>
  <c r="E3895" i="2"/>
  <c r="D3895" i="2"/>
  <c r="C3895" i="2"/>
  <c r="B3895" i="2"/>
  <c r="A3895" i="2"/>
  <c r="H3894" i="2"/>
  <c r="G3894" i="2"/>
  <c r="F3894" i="2"/>
  <c r="E3894" i="2"/>
  <c r="D3894" i="2"/>
  <c r="C3894" i="2"/>
  <c r="B3894" i="2"/>
  <c r="A3894" i="2"/>
  <c r="H3893" i="2"/>
  <c r="G3893" i="2"/>
  <c r="F3893" i="2"/>
  <c r="E3893" i="2"/>
  <c r="D3893" i="2"/>
  <c r="C3893" i="2"/>
  <c r="B3893" i="2"/>
  <c r="A3893" i="2"/>
  <c r="H3892" i="2"/>
  <c r="G3892" i="2"/>
  <c r="F3892" i="2"/>
  <c r="E3892" i="2"/>
  <c r="D3892" i="2"/>
  <c r="C3892" i="2"/>
  <c r="B3892" i="2"/>
  <c r="A3892" i="2"/>
  <c r="H3891" i="2"/>
  <c r="G3891" i="2"/>
  <c r="F3891" i="2"/>
  <c r="E3891" i="2"/>
  <c r="D3891" i="2"/>
  <c r="C3891" i="2"/>
  <c r="B3891" i="2"/>
  <c r="A3891" i="2"/>
  <c r="H3890" i="2"/>
  <c r="G3890" i="2"/>
  <c r="F3890" i="2"/>
  <c r="E3890" i="2"/>
  <c r="D3890" i="2"/>
  <c r="C3890" i="2"/>
  <c r="B3890" i="2"/>
  <c r="A3890" i="2"/>
  <c r="H3889" i="2"/>
  <c r="G3889" i="2"/>
  <c r="F3889" i="2"/>
  <c r="E3889" i="2"/>
  <c r="D3889" i="2"/>
  <c r="C3889" i="2"/>
  <c r="B3889" i="2"/>
  <c r="A3889" i="2"/>
  <c r="H3888" i="2"/>
  <c r="G3888" i="2"/>
  <c r="F3888" i="2"/>
  <c r="E3888" i="2"/>
  <c r="D3888" i="2"/>
  <c r="C3888" i="2"/>
  <c r="B3888" i="2"/>
  <c r="A3888" i="2"/>
  <c r="H3887" i="2"/>
  <c r="G3887" i="2"/>
  <c r="F3887" i="2"/>
  <c r="E3887" i="2"/>
  <c r="D3887" i="2"/>
  <c r="C3887" i="2"/>
  <c r="B3887" i="2"/>
  <c r="A3887" i="2"/>
  <c r="H3886" i="2"/>
  <c r="G3886" i="2"/>
  <c r="F3886" i="2"/>
  <c r="E3886" i="2"/>
  <c r="D3886" i="2"/>
  <c r="C3886" i="2"/>
  <c r="B3886" i="2"/>
  <c r="A3886" i="2"/>
  <c r="H3885" i="2"/>
  <c r="G3885" i="2"/>
  <c r="F3885" i="2"/>
  <c r="E3885" i="2"/>
  <c r="D3885" i="2"/>
  <c r="C3885" i="2"/>
  <c r="B3885" i="2"/>
  <c r="A3885" i="2"/>
  <c r="H3884" i="2"/>
  <c r="G3884" i="2"/>
  <c r="F3884" i="2"/>
  <c r="E3884" i="2"/>
  <c r="D3884" i="2"/>
  <c r="C3884" i="2"/>
  <c r="B3884" i="2"/>
  <c r="A3884" i="2"/>
  <c r="H3883" i="2"/>
  <c r="G3883" i="2"/>
  <c r="F3883" i="2"/>
  <c r="E3883" i="2"/>
  <c r="D3883" i="2"/>
  <c r="C3883" i="2"/>
  <c r="B3883" i="2"/>
  <c r="A3883" i="2"/>
  <c r="H3882" i="2"/>
  <c r="G3882" i="2"/>
  <c r="F3882" i="2"/>
  <c r="E3882" i="2"/>
  <c r="D3882" i="2"/>
  <c r="C3882" i="2"/>
  <c r="B3882" i="2"/>
  <c r="A3882" i="2"/>
  <c r="H3881" i="2"/>
  <c r="G3881" i="2"/>
  <c r="F3881" i="2"/>
  <c r="E3881" i="2"/>
  <c r="D3881" i="2"/>
  <c r="C3881" i="2"/>
  <c r="B3881" i="2"/>
  <c r="A3881" i="2"/>
  <c r="H3880" i="2"/>
  <c r="G3880" i="2"/>
  <c r="F3880" i="2"/>
  <c r="E3880" i="2"/>
  <c r="D3880" i="2"/>
  <c r="C3880" i="2"/>
  <c r="B3880" i="2"/>
  <c r="A3880" i="2"/>
  <c r="H3879" i="2"/>
  <c r="G3879" i="2"/>
  <c r="F3879" i="2"/>
  <c r="E3879" i="2"/>
  <c r="D3879" i="2"/>
  <c r="C3879" i="2"/>
  <c r="B3879" i="2"/>
  <c r="A3879" i="2"/>
  <c r="H3878" i="2"/>
  <c r="G3878" i="2"/>
  <c r="F3878" i="2"/>
  <c r="E3878" i="2"/>
  <c r="D3878" i="2"/>
  <c r="C3878" i="2"/>
  <c r="B3878" i="2"/>
  <c r="A3878" i="2"/>
  <c r="H3877" i="2"/>
  <c r="G3877" i="2"/>
  <c r="F3877" i="2"/>
  <c r="E3877" i="2"/>
  <c r="D3877" i="2"/>
  <c r="C3877" i="2"/>
  <c r="B3877" i="2"/>
  <c r="A3877" i="2"/>
  <c r="H3876" i="2"/>
  <c r="G3876" i="2"/>
  <c r="F3876" i="2"/>
  <c r="E3876" i="2"/>
  <c r="D3876" i="2"/>
  <c r="C3876" i="2"/>
  <c r="B3876" i="2"/>
  <c r="A3876" i="2"/>
  <c r="H3875" i="2"/>
  <c r="G3875" i="2"/>
  <c r="F3875" i="2"/>
  <c r="E3875" i="2"/>
  <c r="D3875" i="2"/>
  <c r="C3875" i="2"/>
  <c r="B3875" i="2"/>
  <c r="A3875" i="2"/>
  <c r="H3874" i="2"/>
  <c r="G3874" i="2"/>
  <c r="F3874" i="2"/>
  <c r="E3874" i="2"/>
  <c r="D3874" i="2"/>
  <c r="C3874" i="2"/>
  <c r="B3874" i="2"/>
  <c r="A3874" i="2"/>
  <c r="H3873" i="2"/>
  <c r="G3873" i="2"/>
  <c r="F3873" i="2"/>
  <c r="E3873" i="2"/>
  <c r="D3873" i="2"/>
  <c r="C3873" i="2"/>
  <c r="B3873" i="2"/>
  <c r="A3873" i="2"/>
  <c r="H3872" i="2"/>
  <c r="G3872" i="2"/>
  <c r="F3872" i="2"/>
  <c r="E3872" i="2"/>
  <c r="D3872" i="2"/>
  <c r="C3872" i="2"/>
  <c r="B3872" i="2"/>
  <c r="A3872" i="2"/>
  <c r="H3871" i="2"/>
  <c r="G3871" i="2"/>
  <c r="F3871" i="2"/>
  <c r="E3871" i="2"/>
  <c r="D3871" i="2"/>
  <c r="C3871" i="2"/>
  <c r="B3871" i="2"/>
  <c r="A3871" i="2"/>
  <c r="H3870" i="2"/>
  <c r="G3870" i="2"/>
  <c r="F3870" i="2"/>
  <c r="E3870" i="2"/>
  <c r="D3870" i="2"/>
  <c r="C3870" i="2"/>
  <c r="B3870" i="2"/>
  <c r="A3870" i="2"/>
  <c r="H3869" i="2"/>
  <c r="G3869" i="2"/>
  <c r="F3869" i="2"/>
  <c r="E3869" i="2"/>
  <c r="D3869" i="2"/>
  <c r="C3869" i="2"/>
  <c r="B3869" i="2"/>
  <c r="A3869" i="2"/>
  <c r="H3868" i="2"/>
  <c r="G3868" i="2"/>
  <c r="F3868" i="2"/>
  <c r="E3868" i="2"/>
  <c r="D3868" i="2"/>
  <c r="C3868" i="2"/>
  <c r="B3868" i="2"/>
  <c r="A3868" i="2"/>
  <c r="H3867" i="2"/>
  <c r="G3867" i="2"/>
  <c r="F3867" i="2"/>
  <c r="E3867" i="2"/>
  <c r="D3867" i="2"/>
  <c r="C3867" i="2"/>
  <c r="B3867" i="2"/>
  <c r="A3867" i="2"/>
  <c r="H3866" i="2"/>
  <c r="G3866" i="2"/>
  <c r="F3866" i="2"/>
  <c r="E3866" i="2"/>
  <c r="D3866" i="2"/>
  <c r="C3866" i="2"/>
  <c r="B3866" i="2"/>
  <c r="A3866" i="2"/>
  <c r="H3865" i="2"/>
  <c r="G3865" i="2"/>
  <c r="F3865" i="2"/>
  <c r="E3865" i="2"/>
  <c r="D3865" i="2"/>
  <c r="C3865" i="2"/>
  <c r="B3865" i="2"/>
  <c r="A3865" i="2"/>
  <c r="H3864" i="2"/>
  <c r="G3864" i="2"/>
  <c r="F3864" i="2"/>
  <c r="E3864" i="2"/>
  <c r="D3864" i="2"/>
  <c r="C3864" i="2"/>
  <c r="B3864" i="2"/>
  <c r="A3864" i="2"/>
  <c r="H3863" i="2"/>
  <c r="G3863" i="2"/>
  <c r="F3863" i="2"/>
  <c r="E3863" i="2"/>
  <c r="D3863" i="2"/>
  <c r="C3863" i="2"/>
  <c r="B3863" i="2"/>
  <c r="A3863" i="2"/>
  <c r="H3862" i="2"/>
  <c r="G3862" i="2"/>
  <c r="F3862" i="2"/>
  <c r="E3862" i="2"/>
  <c r="D3862" i="2"/>
  <c r="C3862" i="2"/>
  <c r="B3862" i="2"/>
  <c r="A3862" i="2"/>
  <c r="H3861" i="2"/>
  <c r="G3861" i="2"/>
  <c r="F3861" i="2"/>
  <c r="E3861" i="2"/>
  <c r="D3861" i="2"/>
  <c r="C3861" i="2"/>
  <c r="B3861" i="2"/>
  <c r="A3861" i="2"/>
  <c r="H3860" i="2"/>
  <c r="G3860" i="2"/>
  <c r="F3860" i="2"/>
  <c r="E3860" i="2"/>
  <c r="D3860" i="2"/>
  <c r="C3860" i="2"/>
  <c r="B3860" i="2"/>
  <c r="A3860" i="2"/>
  <c r="H3859" i="2"/>
  <c r="G3859" i="2"/>
  <c r="F3859" i="2"/>
  <c r="E3859" i="2"/>
  <c r="D3859" i="2"/>
  <c r="C3859" i="2"/>
  <c r="B3859" i="2"/>
  <c r="A3859" i="2"/>
  <c r="H3858" i="2"/>
  <c r="G3858" i="2"/>
  <c r="F3858" i="2"/>
  <c r="E3858" i="2"/>
  <c r="D3858" i="2"/>
  <c r="C3858" i="2"/>
  <c r="B3858" i="2"/>
  <c r="A3858" i="2"/>
  <c r="H3857" i="2"/>
  <c r="G3857" i="2"/>
  <c r="F3857" i="2"/>
  <c r="E3857" i="2"/>
  <c r="D3857" i="2"/>
  <c r="C3857" i="2"/>
  <c r="B3857" i="2"/>
  <c r="A3857" i="2"/>
  <c r="H3856" i="2"/>
  <c r="G3856" i="2"/>
  <c r="F3856" i="2"/>
  <c r="E3856" i="2"/>
  <c r="D3856" i="2"/>
  <c r="C3856" i="2"/>
  <c r="B3856" i="2"/>
  <c r="A3856" i="2"/>
  <c r="H3855" i="2"/>
  <c r="G3855" i="2"/>
  <c r="F3855" i="2"/>
  <c r="E3855" i="2"/>
  <c r="D3855" i="2"/>
  <c r="C3855" i="2"/>
  <c r="B3855" i="2"/>
  <c r="A3855" i="2"/>
  <c r="H3854" i="2"/>
  <c r="G3854" i="2"/>
  <c r="F3854" i="2"/>
  <c r="E3854" i="2"/>
  <c r="D3854" i="2"/>
  <c r="C3854" i="2"/>
  <c r="B3854" i="2"/>
  <c r="A3854" i="2"/>
  <c r="H3853" i="2"/>
  <c r="G3853" i="2"/>
  <c r="F3853" i="2"/>
  <c r="E3853" i="2"/>
  <c r="D3853" i="2"/>
  <c r="C3853" i="2"/>
  <c r="B3853" i="2"/>
  <c r="A3853" i="2"/>
  <c r="H3852" i="2"/>
  <c r="G3852" i="2"/>
  <c r="F3852" i="2"/>
  <c r="E3852" i="2"/>
  <c r="D3852" i="2"/>
  <c r="C3852" i="2"/>
  <c r="B3852" i="2"/>
  <c r="A3852" i="2"/>
  <c r="H3851" i="2"/>
  <c r="G3851" i="2"/>
  <c r="F3851" i="2"/>
  <c r="E3851" i="2"/>
  <c r="D3851" i="2"/>
  <c r="C3851" i="2"/>
  <c r="B3851" i="2"/>
  <c r="A3851" i="2"/>
  <c r="H3850" i="2"/>
  <c r="G3850" i="2"/>
  <c r="F3850" i="2"/>
  <c r="E3850" i="2"/>
  <c r="D3850" i="2"/>
  <c r="C3850" i="2"/>
  <c r="B3850" i="2"/>
  <c r="A3850" i="2"/>
  <c r="H3849" i="2"/>
  <c r="G3849" i="2"/>
  <c r="F3849" i="2"/>
  <c r="E3849" i="2"/>
  <c r="D3849" i="2"/>
  <c r="C3849" i="2"/>
  <c r="B3849" i="2"/>
  <c r="A3849" i="2"/>
  <c r="H3848" i="2"/>
  <c r="G3848" i="2"/>
  <c r="F3848" i="2"/>
  <c r="E3848" i="2"/>
  <c r="D3848" i="2"/>
  <c r="C3848" i="2"/>
  <c r="B3848" i="2"/>
  <c r="A3848" i="2"/>
  <c r="H3847" i="2"/>
  <c r="G3847" i="2"/>
  <c r="F3847" i="2"/>
  <c r="E3847" i="2"/>
  <c r="D3847" i="2"/>
  <c r="C3847" i="2"/>
  <c r="B3847" i="2"/>
  <c r="A3847" i="2"/>
  <c r="H3846" i="2"/>
  <c r="G3846" i="2"/>
  <c r="F3846" i="2"/>
  <c r="E3846" i="2"/>
  <c r="D3846" i="2"/>
  <c r="C3846" i="2"/>
  <c r="B3846" i="2"/>
  <c r="A3846" i="2"/>
  <c r="H3845" i="2"/>
  <c r="G3845" i="2"/>
  <c r="F3845" i="2"/>
  <c r="E3845" i="2"/>
  <c r="D3845" i="2"/>
  <c r="C3845" i="2"/>
  <c r="B3845" i="2"/>
  <c r="A3845" i="2"/>
  <c r="H3844" i="2"/>
  <c r="G3844" i="2"/>
  <c r="F3844" i="2"/>
  <c r="E3844" i="2"/>
  <c r="D3844" i="2"/>
  <c r="C3844" i="2"/>
  <c r="B3844" i="2"/>
  <c r="A3844" i="2"/>
  <c r="H3843" i="2"/>
  <c r="G3843" i="2"/>
  <c r="F3843" i="2"/>
  <c r="E3843" i="2"/>
  <c r="D3843" i="2"/>
  <c r="C3843" i="2"/>
  <c r="B3843" i="2"/>
  <c r="A3843" i="2"/>
  <c r="H3842" i="2"/>
  <c r="G3842" i="2"/>
  <c r="F3842" i="2"/>
  <c r="E3842" i="2"/>
  <c r="D3842" i="2"/>
  <c r="C3842" i="2"/>
  <c r="B3842" i="2"/>
  <c r="A3842" i="2"/>
  <c r="H3841" i="2"/>
  <c r="G3841" i="2"/>
  <c r="F3841" i="2"/>
  <c r="E3841" i="2"/>
  <c r="D3841" i="2"/>
  <c r="C3841" i="2"/>
  <c r="B3841" i="2"/>
  <c r="A3841" i="2"/>
  <c r="H3840" i="2"/>
  <c r="G3840" i="2"/>
  <c r="F3840" i="2"/>
  <c r="E3840" i="2"/>
  <c r="D3840" i="2"/>
  <c r="C3840" i="2"/>
  <c r="B3840" i="2"/>
  <c r="A3840" i="2"/>
  <c r="H3839" i="2"/>
  <c r="G3839" i="2"/>
  <c r="F3839" i="2"/>
  <c r="E3839" i="2"/>
  <c r="D3839" i="2"/>
  <c r="C3839" i="2"/>
  <c r="B3839" i="2"/>
  <c r="A3839" i="2"/>
  <c r="H3838" i="2"/>
  <c r="G3838" i="2"/>
  <c r="F3838" i="2"/>
  <c r="E3838" i="2"/>
  <c r="D3838" i="2"/>
  <c r="C3838" i="2"/>
  <c r="B3838" i="2"/>
  <c r="A3838" i="2"/>
  <c r="H3837" i="2"/>
  <c r="G3837" i="2"/>
  <c r="F3837" i="2"/>
  <c r="E3837" i="2"/>
  <c r="D3837" i="2"/>
  <c r="C3837" i="2"/>
  <c r="B3837" i="2"/>
  <c r="A3837" i="2"/>
  <c r="H3836" i="2"/>
  <c r="G3836" i="2"/>
  <c r="F3836" i="2"/>
  <c r="E3836" i="2"/>
  <c r="D3836" i="2"/>
  <c r="C3836" i="2"/>
  <c r="B3836" i="2"/>
  <c r="A3836" i="2"/>
  <c r="H3835" i="2"/>
  <c r="G3835" i="2"/>
  <c r="F3835" i="2"/>
  <c r="E3835" i="2"/>
  <c r="D3835" i="2"/>
  <c r="C3835" i="2"/>
  <c r="B3835" i="2"/>
  <c r="A3835" i="2"/>
  <c r="H3834" i="2"/>
  <c r="G3834" i="2"/>
  <c r="F3834" i="2"/>
  <c r="E3834" i="2"/>
  <c r="D3834" i="2"/>
  <c r="C3834" i="2"/>
  <c r="B3834" i="2"/>
  <c r="A3834" i="2"/>
  <c r="H3833" i="2"/>
  <c r="G3833" i="2"/>
  <c r="F3833" i="2"/>
  <c r="E3833" i="2"/>
  <c r="D3833" i="2"/>
  <c r="C3833" i="2"/>
  <c r="B3833" i="2"/>
  <c r="A3833" i="2"/>
  <c r="H3832" i="2"/>
  <c r="G3832" i="2"/>
  <c r="F3832" i="2"/>
  <c r="E3832" i="2"/>
  <c r="D3832" i="2"/>
  <c r="C3832" i="2"/>
  <c r="B3832" i="2"/>
  <c r="A3832" i="2"/>
  <c r="H3831" i="2"/>
  <c r="G3831" i="2"/>
  <c r="F3831" i="2"/>
  <c r="E3831" i="2"/>
  <c r="D3831" i="2"/>
  <c r="C3831" i="2"/>
  <c r="B3831" i="2"/>
  <c r="A3831" i="2"/>
  <c r="H3830" i="2"/>
  <c r="G3830" i="2"/>
  <c r="F3830" i="2"/>
  <c r="E3830" i="2"/>
  <c r="D3830" i="2"/>
  <c r="C3830" i="2"/>
  <c r="B3830" i="2"/>
  <c r="A3830" i="2"/>
  <c r="H3829" i="2"/>
  <c r="G3829" i="2"/>
  <c r="F3829" i="2"/>
  <c r="E3829" i="2"/>
  <c r="D3829" i="2"/>
  <c r="C3829" i="2"/>
  <c r="B3829" i="2"/>
  <c r="A3829" i="2"/>
  <c r="H3828" i="2"/>
  <c r="G3828" i="2"/>
  <c r="F3828" i="2"/>
  <c r="E3828" i="2"/>
  <c r="D3828" i="2"/>
  <c r="C3828" i="2"/>
  <c r="B3828" i="2"/>
  <c r="A3828" i="2"/>
  <c r="H3827" i="2"/>
  <c r="G3827" i="2"/>
  <c r="F3827" i="2"/>
  <c r="E3827" i="2"/>
  <c r="D3827" i="2"/>
  <c r="C3827" i="2"/>
  <c r="B3827" i="2"/>
  <c r="A3827" i="2"/>
  <c r="H3826" i="2"/>
  <c r="G3826" i="2"/>
  <c r="F3826" i="2"/>
  <c r="E3826" i="2"/>
  <c r="D3826" i="2"/>
  <c r="C3826" i="2"/>
  <c r="B3826" i="2"/>
  <c r="A3826" i="2"/>
  <c r="H3825" i="2"/>
  <c r="G3825" i="2"/>
  <c r="F3825" i="2"/>
  <c r="E3825" i="2"/>
  <c r="D3825" i="2"/>
  <c r="C3825" i="2"/>
  <c r="B3825" i="2"/>
  <c r="A3825" i="2"/>
  <c r="H3824" i="2"/>
  <c r="G3824" i="2"/>
  <c r="F3824" i="2"/>
  <c r="E3824" i="2"/>
  <c r="D3824" i="2"/>
  <c r="C3824" i="2"/>
  <c r="B3824" i="2"/>
  <c r="A3824" i="2"/>
  <c r="H3823" i="2"/>
  <c r="G3823" i="2"/>
  <c r="F3823" i="2"/>
  <c r="E3823" i="2"/>
  <c r="D3823" i="2"/>
  <c r="C3823" i="2"/>
  <c r="B3823" i="2"/>
  <c r="A3823" i="2"/>
  <c r="H3822" i="2"/>
  <c r="G3822" i="2"/>
  <c r="F3822" i="2"/>
  <c r="E3822" i="2"/>
  <c r="D3822" i="2"/>
  <c r="C3822" i="2"/>
  <c r="B3822" i="2"/>
  <c r="A3822" i="2"/>
  <c r="H3821" i="2"/>
  <c r="G3821" i="2"/>
  <c r="F3821" i="2"/>
  <c r="E3821" i="2"/>
  <c r="D3821" i="2"/>
  <c r="C3821" i="2"/>
  <c r="B3821" i="2"/>
  <c r="A3821" i="2"/>
  <c r="H3820" i="2"/>
  <c r="G3820" i="2"/>
  <c r="F3820" i="2"/>
  <c r="E3820" i="2"/>
  <c r="D3820" i="2"/>
  <c r="C3820" i="2"/>
  <c r="B3820" i="2"/>
  <c r="A3820" i="2"/>
  <c r="H3819" i="2"/>
  <c r="G3819" i="2"/>
  <c r="F3819" i="2"/>
  <c r="E3819" i="2"/>
  <c r="D3819" i="2"/>
  <c r="C3819" i="2"/>
  <c r="B3819" i="2"/>
  <c r="A3819" i="2"/>
  <c r="H3818" i="2"/>
  <c r="G3818" i="2"/>
  <c r="F3818" i="2"/>
  <c r="E3818" i="2"/>
  <c r="D3818" i="2"/>
  <c r="C3818" i="2"/>
  <c r="B3818" i="2"/>
  <c r="A3818" i="2"/>
  <c r="H3817" i="2"/>
  <c r="G3817" i="2"/>
  <c r="F3817" i="2"/>
  <c r="E3817" i="2"/>
  <c r="D3817" i="2"/>
  <c r="C3817" i="2"/>
  <c r="B3817" i="2"/>
  <c r="A3817" i="2"/>
  <c r="H3816" i="2"/>
  <c r="G3816" i="2"/>
  <c r="F3816" i="2"/>
  <c r="E3816" i="2"/>
  <c r="D3816" i="2"/>
  <c r="C3816" i="2"/>
  <c r="B3816" i="2"/>
  <c r="A3816" i="2"/>
  <c r="H3815" i="2"/>
  <c r="G3815" i="2"/>
  <c r="F3815" i="2"/>
  <c r="E3815" i="2"/>
  <c r="D3815" i="2"/>
  <c r="C3815" i="2"/>
  <c r="B3815" i="2"/>
  <c r="A3815" i="2"/>
  <c r="H3814" i="2"/>
  <c r="G3814" i="2"/>
  <c r="F3814" i="2"/>
  <c r="E3814" i="2"/>
  <c r="D3814" i="2"/>
  <c r="C3814" i="2"/>
  <c r="B3814" i="2"/>
  <c r="A3814" i="2"/>
  <c r="H3813" i="2"/>
  <c r="G3813" i="2"/>
  <c r="F3813" i="2"/>
  <c r="E3813" i="2"/>
  <c r="D3813" i="2"/>
  <c r="C3813" i="2"/>
  <c r="B3813" i="2"/>
  <c r="A3813" i="2"/>
  <c r="H3812" i="2"/>
  <c r="G3812" i="2"/>
  <c r="F3812" i="2"/>
  <c r="E3812" i="2"/>
  <c r="D3812" i="2"/>
  <c r="C3812" i="2"/>
  <c r="B3812" i="2"/>
  <c r="A3812" i="2"/>
  <c r="H3811" i="2"/>
  <c r="G3811" i="2"/>
  <c r="F3811" i="2"/>
  <c r="E3811" i="2"/>
  <c r="D3811" i="2"/>
  <c r="C3811" i="2"/>
  <c r="B3811" i="2"/>
  <c r="A3811" i="2"/>
  <c r="H3810" i="2"/>
  <c r="G3810" i="2"/>
  <c r="F3810" i="2"/>
  <c r="E3810" i="2"/>
  <c r="D3810" i="2"/>
  <c r="C3810" i="2"/>
  <c r="B3810" i="2"/>
  <c r="A3810" i="2"/>
  <c r="H3809" i="2"/>
  <c r="G3809" i="2"/>
  <c r="F3809" i="2"/>
  <c r="E3809" i="2"/>
  <c r="D3809" i="2"/>
  <c r="C3809" i="2"/>
  <c r="B3809" i="2"/>
  <c r="A3809" i="2"/>
  <c r="H3808" i="2"/>
  <c r="G3808" i="2"/>
  <c r="F3808" i="2"/>
  <c r="E3808" i="2"/>
  <c r="D3808" i="2"/>
  <c r="C3808" i="2"/>
  <c r="B3808" i="2"/>
  <c r="A3808" i="2"/>
  <c r="H3807" i="2"/>
  <c r="G3807" i="2"/>
  <c r="F3807" i="2"/>
  <c r="E3807" i="2"/>
  <c r="D3807" i="2"/>
  <c r="C3807" i="2"/>
  <c r="B3807" i="2"/>
  <c r="A3807" i="2"/>
  <c r="H3806" i="2"/>
  <c r="G3806" i="2"/>
  <c r="F3806" i="2"/>
  <c r="E3806" i="2"/>
  <c r="D3806" i="2"/>
  <c r="C3806" i="2"/>
  <c r="B3806" i="2"/>
  <c r="A3806" i="2"/>
  <c r="H3805" i="2"/>
  <c r="G3805" i="2"/>
  <c r="F3805" i="2"/>
  <c r="E3805" i="2"/>
  <c r="D3805" i="2"/>
  <c r="C3805" i="2"/>
  <c r="B3805" i="2"/>
  <c r="A3805" i="2"/>
  <c r="H3804" i="2"/>
  <c r="G3804" i="2"/>
  <c r="F3804" i="2"/>
  <c r="E3804" i="2"/>
  <c r="D3804" i="2"/>
  <c r="C3804" i="2"/>
  <c r="B3804" i="2"/>
  <c r="A3804" i="2"/>
  <c r="H3803" i="2"/>
  <c r="G3803" i="2"/>
  <c r="F3803" i="2"/>
  <c r="E3803" i="2"/>
  <c r="D3803" i="2"/>
  <c r="C3803" i="2"/>
  <c r="B3803" i="2"/>
  <c r="A3803" i="2"/>
  <c r="H3802" i="2"/>
  <c r="G3802" i="2"/>
  <c r="F3802" i="2"/>
  <c r="E3802" i="2"/>
  <c r="D3802" i="2"/>
  <c r="C3802" i="2"/>
  <c r="B3802" i="2"/>
  <c r="A3802" i="2"/>
  <c r="H3801" i="2"/>
  <c r="G3801" i="2"/>
  <c r="F3801" i="2"/>
  <c r="E3801" i="2"/>
  <c r="D3801" i="2"/>
  <c r="C3801" i="2"/>
  <c r="B3801" i="2"/>
  <c r="A3801" i="2"/>
  <c r="H3800" i="2"/>
  <c r="G3800" i="2"/>
  <c r="F3800" i="2"/>
  <c r="E3800" i="2"/>
  <c r="D3800" i="2"/>
  <c r="C3800" i="2"/>
  <c r="B3800" i="2"/>
  <c r="A3800" i="2"/>
  <c r="H3799" i="2"/>
  <c r="G3799" i="2"/>
  <c r="F3799" i="2"/>
  <c r="E3799" i="2"/>
  <c r="D3799" i="2"/>
  <c r="C3799" i="2"/>
  <c r="B3799" i="2"/>
  <c r="A3799" i="2"/>
  <c r="H3798" i="2"/>
  <c r="G3798" i="2"/>
  <c r="F3798" i="2"/>
  <c r="E3798" i="2"/>
  <c r="D3798" i="2"/>
  <c r="C3798" i="2"/>
  <c r="B3798" i="2"/>
  <c r="A3798" i="2"/>
  <c r="H3797" i="2"/>
  <c r="G3797" i="2"/>
  <c r="F3797" i="2"/>
  <c r="E3797" i="2"/>
  <c r="D3797" i="2"/>
  <c r="C3797" i="2"/>
  <c r="B3797" i="2"/>
  <c r="A3797" i="2"/>
  <c r="H3796" i="2"/>
  <c r="G3796" i="2"/>
  <c r="F3796" i="2"/>
  <c r="E3796" i="2"/>
  <c r="D3796" i="2"/>
  <c r="C3796" i="2"/>
  <c r="B3796" i="2"/>
  <c r="A3796" i="2"/>
  <c r="H3795" i="2"/>
  <c r="G3795" i="2"/>
  <c r="F3795" i="2"/>
  <c r="E3795" i="2"/>
  <c r="D3795" i="2"/>
  <c r="C3795" i="2"/>
  <c r="B3795" i="2"/>
  <c r="A3795" i="2"/>
  <c r="H3794" i="2"/>
  <c r="G3794" i="2"/>
  <c r="F3794" i="2"/>
  <c r="E3794" i="2"/>
  <c r="D3794" i="2"/>
  <c r="C3794" i="2"/>
  <c r="B3794" i="2"/>
  <c r="A3794" i="2"/>
  <c r="H3793" i="2"/>
  <c r="G3793" i="2"/>
  <c r="F3793" i="2"/>
  <c r="E3793" i="2"/>
  <c r="D3793" i="2"/>
  <c r="C3793" i="2"/>
  <c r="B3793" i="2"/>
  <c r="A3793" i="2"/>
  <c r="H3792" i="2"/>
  <c r="G3792" i="2"/>
  <c r="F3792" i="2"/>
  <c r="E3792" i="2"/>
  <c r="D3792" i="2"/>
  <c r="C3792" i="2"/>
  <c r="B3792" i="2"/>
  <c r="A3792" i="2"/>
  <c r="H3791" i="2"/>
  <c r="G3791" i="2"/>
  <c r="F3791" i="2"/>
  <c r="E3791" i="2"/>
  <c r="D3791" i="2"/>
  <c r="C3791" i="2"/>
  <c r="B3791" i="2"/>
  <c r="A3791" i="2"/>
  <c r="H3790" i="2"/>
  <c r="G3790" i="2"/>
  <c r="F3790" i="2"/>
  <c r="E3790" i="2"/>
  <c r="D3790" i="2"/>
  <c r="C3790" i="2"/>
  <c r="B3790" i="2"/>
  <c r="A3790" i="2"/>
  <c r="H3789" i="2"/>
  <c r="G3789" i="2"/>
  <c r="F3789" i="2"/>
  <c r="E3789" i="2"/>
  <c r="D3789" i="2"/>
  <c r="C3789" i="2"/>
  <c r="B3789" i="2"/>
  <c r="A3789" i="2"/>
  <c r="H3788" i="2"/>
  <c r="G3788" i="2"/>
  <c r="F3788" i="2"/>
  <c r="E3788" i="2"/>
  <c r="D3788" i="2"/>
  <c r="C3788" i="2"/>
  <c r="B3788" i="2"/>
  <c r="A3788" i="2"/>
  <c r="H3787" i="2"/>
  <c r="G3787" i="2"/>
  <c r="F3787" i="2"/>
  <c r="E3787" i="2"/>
  <c r="D3787" i="2"/>
  <c r="C3787" i="2"/>
  <c r="B3787" i="2"/>
  <c r="A3787" i="2"/>
  <c r="H3786" i="2"/>
  <c r="G3786" i="2"/>
  <c r="F3786" i="2"/>
  <c r="E3786" i="2"/>
  <c r="D3786" i="2"/>
  <c r="C3786" i="2"/>
  <c r="B3786" i="2"/>
  <c r="A3786" i="2"/>
  <c r="H3785" i="2"/>
  <c r="G3785" i="2"/>
  <c r="F3785" i="2"/>
  <c r="E3785" i="2"/>
  <c r="D3785" i="2"/>
  <c r="C3785" i="2"/>
  <c r="B3785" i="2"/>
  <c r="A3785" i="2"/>
  <c r="H3784" i="2"/>
  <c r="G3784" i="2"/>
  <c r="F3784" i="2"/>
  <c r="E3784" i="2"/>
  <c r="D3784" i="2"/>
  <c r="C3784" i="2"/>
  <c r="B3784" i="2"/>
  <c r="A3784" i="2"/>
  <c r="H3783" i="2"/>
  <c r="G3783" i="2"/>
  <c r="F3783" i="2"/>
  <c r="E3783" i="2"/>
  <c r="D3783" i="2"/>
  <c r="C3783" i="2"/>
  <c r="B3783" i="2"/>
  <c r="A3783" i="2"/>
  <c r="H3782" i="2"/>
  <c r="G3782" i="2"/>
  <c r="F3782" i="2"/>
  <c r="E3782" i="2"/>
  <c r="D3782" i="2"/>
  <c r="C3782" i="2"/>
  <c r="B3782" i="2"/>
  <c r="A3782" i="2"/>
  <c r="H3781" i="2"/>
  <c r="G3781" i="2"/>
  <c r="F3781" i="2"/>
  <c r="E3781" i="2"/>
  <c r="D3781" i="2"/>
  <c r="C3781" i="2"/>
  <c r="B3781" i="2"/>
  <c r="A3781" i="2"/>
  <c r="H3780" i="2"/>
  <c r="G3780" i="2"/>
  <c r="F3780" i="2"/>
  <c r="E3780" i="2"/>
  <c r="D3780" i="2"/>
  <c r="C3780" i="2"/>
  <c r="B3780" i="2"/>
  <c r="A3780" i="2"/>
  <c r="H3779" i="2"/>
  <c r="G3779" i="2"/>
  <c r="F3779" i="2"/>
  <c r="E3779" i="2"/>
  <c r="D3779" i="2"/>
  <c r="C3779" i="2"/>
  <c r="B3779" i="2"/>
  <c r="A3779" i="2"/>
  <c r="H3778" i="2"/>
  <c r="G3778" i="2"/>
  <c r="F3778" i="2"/>
  <c r="E3778" i="2"/>
  <c r="D3778" i="2"/>
  <c r="C3778" i="2"/>
  <c r="B3778" i="2"/>
  <c r="A3778" i="2"/>
  <c r="H3777" i="2"/>
  <c r="G3777" i="2"/>
  <c r="F3777" i="2"/>
  <c r="E3777" i="2"/>
  <c r="D3777" i="2"/>
  <c r="C3777" i="2"/>
  <c r="B3777" i="2"/>
  <c r="A3777" i="2"/>
  <c r="H3776" i="2"/>
  <c r="G3776" i="2"/>
  <c r="F3776" i="2"/>
  <c r="E3776" i="2"/>
  <c r="D3776" i="2"/>
  <c r="C3776" i="2"/>
  <c r="B3776" i="2"/>
  <c r="A3776" i="2"/>
  <c r="H3775" i="2"/>
  <c r="G3775" i="2"/>
  <c r="F3775" i="2"/>
  <c r="E3775" i="2"/>
  <c r="D3775" i="2"/>
  <c r="C3775" i="2"/>
  <c r="B3775" i="2"/>
  <c r="A3775" i="2"/>
  <c r="H3774" i="2"/>
  <c r="G3774" i="2"/>
  <c r="F3774" i="2"/>
  <c r="E3774" i="2"/>
  <c r="D3774" i="2"/>
  <c r="C3774" i="2"/>
  <c r="B3774" i="2"/>
  <c r="A3774" i="2"/>
  <c r="H3773" i="2"/>
  <c r="G3773" i="2"/>
  <c r="F3773" i="2"/>
  <c r="E3773" i="2"/>
  <c r="D3773" i="2"/>
  <c r="C3773" i="2"/>
  <c r="B3773" i="2"/>
  <c r="A3773" i="2"/>
  <c r="H3772" i="2"/>
  <c r="G3772" i="2"/>
  <c r="F3772" i="2"/>
  <c r="E3772" i="2"/>
  <c r="D3772" i="2"/>
  <c r="C3772" i="2"/>
  <c r="B3772" i="2"/>
  <c r="A3772" i="2"/>
  <c r="H3771" i="2"/>
  <c r="G3771" i="2"/>
  <c r="F3771" i="2"/>
  <c r="E3771" i="2"/>
  <c r="D3771" i="2"/>
  <c r="C3771" i="2"/>
  <c r="B3771" i="2"/>
  <c r="A3771" i="2"/>
  <c r="H3770" i="2"/>
  <c r="G3770" i="2"/>
  <c r="F3770" i="2"/>
  <c r="E3770" i="2"/>
  <c r="D3770" i="2"/>
  <c r="C3770" i="2"/>
  <c r="B3770" i="2"/>
  <c r="A3770" i="2"/>
  <c r="H3769" i="2"/>
  <c r="G3769" i="2"/>
  <c r="F3769" i="2"/>
  <c r="E3769" i="2"/>
  <c r="D3769" i="2"/>
  <c r="C3769" i="2"/>
  <c r="B3769" i="2"/>
  <c r="A3769" i="2"/>
  <c r="H3768" i="2"/>
  <c r="G3768" i="2"/>
  <c r="F3768" i="2"/>
  <c r="E3768" i="2"/>
  <c r="D3768" i="2"/>
  <c r="C3768" i="2"/>
  <c r="B3768" i="2"/>
  <c r="A3768" i="2"/>
  <c r="H3767" i="2"/>
  <c r="G3767" i="2"/>
  <c r="F3767" i="2"/>
  <c r="E3767" i="2"/>
  <c r="D3767" i="2"/>
  <c r="C3767" i="2"/>
  <c r="B3767" i="2"/>
  <c r="A3767" i="2"/>
  <c r="H3766" i="2"/>
  <c r="G3766" i="2"/>
  <c r="F3766" i="2"/>
  <c r="E3766" i="2"/>
  <c r="D3766" i="2"/>
  <c r="C3766" i="2"/>
  <c r="B3766" i="2"/>
  <c r="A3766" i="2"/>
  <c r="H3765" i="2"/>
  <c r="G3765" i="2"/>
  <c r="F3765" i="2"/>
  <c r="E3765" i="2"/>
  <c r="D3765" i="2"/>
  <c r="C3765" i="2"/>
  <c r="B3765" i="2"/>
  <c r="A3765" i="2"/>
  <c r="H3764" i="2"/>
  <c r="G3764" i="2"/>
  <c r="F3764" i="2"/>
  <c r="E3764" i="2"/>
  <c r="D3764" i="2"/>
  <c r="C3764" i="2"/>
  <c r="B3764" i="2"/>
  <c r="A3764" i="2"/>
  <c r="H3763" i="2"/>
  <c r="G3763" i="2"/>
  <c r="F3763" i="2"/>
  <c r="E3763" i="2"/>
  <c r="D3763" i="2"/>
  <c r="C3763" i="2"/>
  <c r="B3763" i="2"/>
  <c r="A3763" i="2"/>
  <c r="H3762" i="2"/>
  <c r="G3762" i="2"/>
  <c r="F3762" i="2"/>
  <c r="E3762" i="2"/>
  <c r="D3762" i="2"/>
  <c r="C3762" i="2"/>
  <c r="B3762" i="2"/>
  <c r="A3762" i="2"/>
  <c r="H3761" i="2"/>
  <c r="G3761" i="2"/>
  <c r="F3761" i="2"/>
  <c r="E3761" i="2"/>
  <c r="D3761" i="2"/>
  <c r="C3761" i="2"/>
  <c r="B3761" i="2"/>
  <c r="A3761" i="2"/>
  <c r="H3760" i="2"/>
  <c r="G3760" i="2"/>
  <c r="F3760" i="2"/>
  <c r="E3760" i="2"/>
  <c r="D3760" i="2"/>
  <c r="C3760" i="2"/>
  <c r="B3760" i="2"/>
  <c r="A3760" i="2"/>
  <c r="H3759" i="2"/>
  <c r="G3759" i="2"/>
  <c r="F3759" i="2"/>
  <c r="E3759" i="2"/>
  <c r="D3759" i="2"/>
  <c r="C3759" i="2"/>
  <c r="B3759" i="2"/>
  <c r="A3759" i="2"/>
  <c r="H3758" i="2"/>
  <c r="G3758" i="2"/>
  <c r="F3758" i="2"/>
  <c r="E3758" i="2"/>
  <c r="D3758" i="2"/>
  <c r="C3758" i="2"/>
  <c r="B3758" i="2"/>
  <c r="A3758" i="2"/>
  <c r="H3757" i="2"/>
  <c r="G3757" i="2"/>
  <c r="F3757" i="2"/>
  <c r="E3757" i="2"/>
  <c r="D3757" i="2"/>
  <c r="C3757" i="2"/>
  <c r="B3757" i="2"/>
  <c r="A3757" i="2"/>
  <c r="H3756" i="2"/>
  <c r="G3756" i="2"/>
  <c r="F3756" i="2"/>
  <c r="E3756" i="2"/>
  <c r="D3756" i="2"/>
  <c r="C3756" i="2"/>
  <c r="B3756" i="2"/>
  <c r="A3756" i="2"/>
  <c r="H3755" i="2"/>
  <c r="G3755" i="2"/>
  <c r="F3755" i="2"/>
  <c r="E3755" i="2"/>
  <c r="D3755" i="2"/>
  <c r="C3755" i="2"/>
  <c r="B3755" i="2"/>
  <c r="A3755" i="2"/>
  <c r="H3754" i="2"/>
  <c r="G3754" i="2"/>
  <c r="F3754" i="2"/>
  <c r="E3754" i="2"/>
  <c r="D3754" i="2"/>
  <c r="C3754" i="2"/>
  <c r="B3754" i="2"/>
  <c r="A3754" i="2"/>
  <c r="H3753" i="2"/>
  <c r="G3753" i="2"/>
  <c r="F3753" i="2"/>
  <c r="E3753" i="2"/>
  <c r="D3753" i="2"/>
  <c r="C3753" i="2"/>
  <c r="B3753" i="2"/>
  <c r="A3753" i="2"/>
  <c r="H3752" i="2"/>
  <c r="G3752" i="2"/>
  <c r="F3752" i="2"/>
  <c r="E3752" i="2"/>
  <c r="D3752" i="2"/>
  <c r="C3752" i="2"/>
  <c r="B3752" i="2"/>
  <c r="A3752" i="2"/>
  <c r="H3751" i="2"/>
  <c r="G3751" i="2"/>
  <c r="F3751" i="2"/>
  <c r="E3751" i="2"/>
  <c r="D3751" i="2"/>
  <c r="C3751" i="2"/>
  <c r="B3751" i="2"/>
  <c r="A3751" i="2"/>
  <c r="H3750" i="2"/>
  <c r="G3750" i="2"/>
  <c r="F3750" i="2"/>
  <c r="E3750" i="2"/>
  <c r="D3750" i="2"/>
  <c r="C3750" i="2"/>
  <c r="B3750" i="2"/>
  <c r="A3750" i="2"/>
  <c r="H3749" i="2"/>
  <c r="G3749" i="2"/>
  <c r="F3749" i="2"/>
  <c r="E3749" i="2"/>
  <c r="D3749" i="2"/>
  <c r="C3749" i="2"/>
  <c r="B3749" i="2"/>
  <c r="A3749" i="2"/>
  <c r="H3748" i="2"/>
  <c r="G3748" i="2"/>
  <c r="F3748" i="2"/>
  <c r="E3748" i="2"/>
  <c r="D3748" i="2"/>
  <c r="C3748" i="2"/>
  <c r="B3748" i="2"/>
  <c r="A3748" i="2"/>
  <c r="H3747" i="2"/>
  <c r="G3747" i="2"/>
  <c r="F3747" i="2"/>
  <c r="E3747" i="2"/>
  <c r="D3747" i="2"/>
  <c r="C3747" i="2"/>
  <c r="B3747" i="2"/>
  <c r="A3747" i="2"/>
  <c r="H3746" i="2"/>
  <c r="G3746" i="2"/>
  <c r="F3746" i="2"/>
  <c r="E3746" i="2"/>
  <c r="D3746" i="2"/>
  <c r="C3746" i="2"/>
  <c r="B3746" i="2"/>
  <c r="A3746" i="2"/>
  <c r="H3745" i="2"/>
  <c r="G3745" i="2"/>
  <c r="F3745" i="2"/>
  <c r="E3745" i="2"/>
  <c r="D3745" i="2"/>
  <c r="C3745" i="2"/>
  <c r="B3745" i="2"/>
  <c r="A3745" i="2"/>
  <c r="H3744" i="2"/>
  <c r="G3744" i="2"/>
  <c r="F3744" i="2"/>
  <c r="E3744" i="2"/>
  <c r="D3744" i="2"/>
  <c r="C3744" i="2"/>
  <c r="B3744" i="2"/>
  <c r="A3744" i="2"/>
  <c r="H3743" i="2"/>
  <c r="G3743" i="2"/>
  <c r="F3743" i="2"/>
  <c r="E3743" i="2"/>
  <c r="D3743" i="2"/>
  <c r="C3743" i="2"/>
  <c r="B3743" i="2"/>
  <c r="A3743" i="2"/>
  <c r="H3742" i="2"/>
  <c r="G3742" i="2"/>
  <c r="F3742" i="2"/>
  <c r="E3742" i="2"/>
  <c r="D3742" i="2"/>
  <c r="C3742" i="2"/>
  <c r="B3742" i="2"/>
  <c r="A3742" i="2"/>
  <c r="H3741" i="2"/>
  <c r="G3741" i="2"/>
  <c r="F3741" i="2"/>
  <c r="E3741" i="2"/>
  <c r="D3741" i="2"/>
  <c r="C3741" i="2"/>
  <c r="B3741" i="2"/>
  <c r="A3741" i="2"/>
  <c r="H3740" i="2"/>
  <c r="G3740" i="2"/>
  <c r="F3740" i="2"/>
  <c r="E3740" i="2"/>
  <c r="D3740" i="2"/>
  <c r="C3740" i="2"/>
  <c r="B3740" i="2"/>
  <c r="A3740" i="2"/>
  <c r="H3739" i="2"/>
  <c r="G3739" i="2"/>
  <c r="F3739" i="2"/>
  <c r="E3739" i="2"/>
  <c r="D3739" i="2"/>
  <c r="C3739" i="2"/>
  <c r="B3739" i="2"/>
  <c r="A3739" i="2"/>
  <c r="H3738" i="2"/>
  <c r="G3738" i="2"/>
  <c r="F3738" i="2"/>
  <c r="E3738" i="2"/>
  <c r="D3738" i="2"/>
  <c r="C3738" i="2"/>
  <c r="B3738" i="2"/>
  <c r="A3738" i="2"/>
  <c r="H3737" i="2"/>
  <c r="G3737" i="2"/>
  <c r="F3737" i="2"/>
  <c r="E3737" i="2"/>
  <c r="D3737" i="2"/>
  <c r="C3737" i="2"/>
  <c r="B3737" i="2"/>
  <c r="A3737" i="2"/>
  <c r="H3736" i="2"/>
  <c r="G3736" i="2"/>
  <c r="F3736" i="2"/>
  <c r="E3736" i="2"/>
  <c r="D3736" i="2"/>
  <c r="C3736" i="2"/>
  <c r="B3736" i="2"/>
  <c r="A3736" i="2"/>
  <c r="H3735" i="2"/>
  <c r="G3735" i="2"/>
  <c r="F3735" i="2"/>
  <c r="E3735" i="2"/>
  <c r="D3735" i="2"/>
  <c r="C3735" i="2"/>
  <c r="B3735" i="2"/>
  <c r="A3735" i="2"/>
  <c r="H3734" i="2"/>
  <c r="G3734" i="2"/>
  <c r="F3734" i="2"/>
  <c r="E3734" i="2"/>
  <c r="D3734" i="2"/>
  <c r="C3734" i="2"/>
  <c r="B3734" i="2"/>
  <c r="A3734" i="2"/>
  <c r="H3733" i="2"/>
  <c r="G3733" i="2"/>
  <c r="F3733" i="2"/>
  <c r="E3733" i="2"/>
  <c r="D3733" i="2"/>
  <c r="C3733" i="2"/>
  <c r="B3733" i="2"/>
  <c r="A3733" i="2"/>
  <c r="H3732" i="2"/>
  <c r="G3732" i="2"/>
  <c r="F3732" i="2"/>
  <c r="E3732" i="2"/>
  <c r="D3732" i="2"/>
  <c r="C3732" i="2"/>
  <c r="B3732" i="2"/>
  <c r="A3732" i="2"/>
  <c r="H3731" i="2"/>
  <c r="G3731" i="2"/>
  <c r="F3731" i="2"/>
  <c r="E3731" i="2"/>
  <c r="D3731" i="2"/>
  <c r="C3731" i="2"/>
  <c r="B3731" i="2"/>
  <c r="A3731" i="2"/>
  <c r="H3730" i="2"/>
  <c r="G3730" i="2"/>
  <c r="F3730" i="2"/>
  <c r="E3730" i="2"/>
  <c r="D3730" i="2"/>
  <c r="C3730" i="2"/>
  <c r="B3730" i="2"/>
  <c r="A3730" i="2"/>
  <c r="H3729" i="2"/>
  <c r="G3729" i="2"/>
  <c r="F3729" i="2"/>
  <c r="E3729" i="2"/>
  <c r="D3729" i="2"/>
  <c r="C3729" i="2"/>
  <c r="B3729" i="2"/>
  <c r="A3729" i="2"/>
  <c r="H3728" i="2"/>
  <c r="G3728" i="2"/>
  <c r="F3728" i="2"/>
  <c r="E3728" i="2"/>
  <c r="D3728" i="2"/>
  <c r="C3728" i="2"/>
  <c r="B3728" i="2"/>
  <c r="A3728" i="2"/>
  <c r="H3727" i="2"/>
  <c r="G3727" i="2"/>
  <c r="F3727" i="2"/>
  <c r="E3727" i="2"/>
  <c r="D3727" i="2"/>
  <c r="C3727" i="2"/>
  <c r="B3727" i="2"/>
  <c r="A3727" i="2"/>
  <c r="H3726" i="2"/>
  <c r="G3726" i="2"/>
  <c r="F3726" i="2"/>
  <c r="E3726" i="2"/>
  <c r="D3726" i="2"/>
  <c r="C3726" i="2"/>
  <c r="B3726" i="2"/>
  <c r="A3726" i="2"/>
  <c r="H3725" i="2"/>
  <c r="G3725" i="2"/>
  <c r="F3725" i="2"/>
  <c r="E3725" i="2"/>
  <c r="D3725" i="2"/>
  <c r="C3725" i="2"/>
  <c r="B3725" i="2"/>
  <c r="A3725" i="2"/>
  <c r="H3724" i="2"/>
  <c r="G3724" i="2"/>
  <c r="F3724" i="2"/>
  <c r="E3724" i="2"/>
  <c r="D3724" i="2"/>
  <c r="C3724" i="2"/>
  <c r="B3724" i="2"/>
  <c r="A3724" i="2"/>
  <c r="H3723" i="2"/>
  <c r="G3723" i="2"/>
  <c r="F3723" i="2"/>
  <c r="E3723" i="2"/>
  <c r="D3723" i="2"/>
  <c r="C3723" i="2"/>
  <c r="B3723" i="2"/>
  <c r="A3723" i="2"/>
  <c r="H3722" i="2"/>
  <c r="G3722" i="2"/>
  <c r="F3722" i="2"/>
  <c r="E3722" i="2"/>
  <c r="D3722" i="2"/>
  <c r="C3722" i="2"/>
  <c r="B3722" i="2"/>
  <c r="A3722" i="2"/>
  <c r="H3721" i="2"/>
  <c r="G3721" i="2"/>
  <c r="F3721" i="2"/>
  <c r="E3721" i="2"/>
  <c r="D3721" i="2"/>
  <c r="C3721" i="2"/>
  <c r="B3721" i="2"/>
  <c r="A3721" i="2"/>
  <c r="H3720" i="2"/>
  <c r="G3720" i="2"/>
  <c r="F3720" i="2"/>
  <c r="E3720" i="2"/>
  <c r="D3720" i="2"/>
  <c r="C3720" i="2"/>
  <c r="B3720" i="2"/>
  <c r="A3720" i="2"/>
  <c r="H3719" i="2"/>
  <c r="G3719" i="2"/>
  <c r="F3719" i="2"/>
  <c r="E3719" i="2"/>
  <c r="D3719" i="2"/>
  <c r="C3719" i="2"/>
  <c r="B3719" i="2"/>
  <c r="A3719" i="2"/>
  <c r="H3718" i="2"/>
  <c r="G3718" i="2"/>
  <c r="F3718" i="2"/>
  <c r="E3718" i="2"/>
  <c r="D3718" i="2"/>
  <c r="C3718" i="2"/>
  <c r="B3718" i="2"/>
  <c r="A3718" i="2"/>
  <c r="H3717" i="2"/>
  <c r="G3717" i="2"/>
  <c r="F3717" i="2"/>
  <c r="E3717" i="2"/>
  <c r="D3717" i="2"/>
  <c r="C3717" i="2"/>
  <c r="B3717" i="2"/>
  <c r="A3717" i="2"/>
  <c r="H3716" i="2"/>
  <c r="G3716" i="2"/>
  <c r="F3716" i="2"/>
  <c r="E3716" i="2"/>
  <c r="D3716" i="2"/>
  <c r="C3716" i="2"/>
  <c r="B3716" i="2"/>
  <c r="A3716" i="2"/>
  <c r="H3715" i="2"/>
  <c r="G3715" i="2"/>
  <c r="F3715" i="2"/>
  <c r="E3715" i="2"/>
  <c r="D3715" i="2"/>
  <c r="C3715" i="2"/>
  <c r="B3715" i="2"/>
  <c r="A3715" i="2"/>
  <c r="H3714" i="2"/>
  <c r="G3714" i="2"/>
  <c r="F3714" i="2"/>
  <c r="E3714" i="2"/>
  <c r="D3714" i="2"/>
  <c r="C3714" i="2"/>
  <c r="B3714" i="2"/>
  <c r="A3714" i="2"/>
  <c r="H3713" i="2"/>
  <c r="G3713" i="2"/>
  <c r="F3713" i="2"/>
  <c r="E3713" i="2"/>
  <c r="D3713" i="2"/>
  <c r="C3713" i="2"/>
  <c r="B3713" i="2"/>
  <c r="A3713" i="2"/>
  <c r="H3712" i="2"/>
  <c r="G3712" i="2"/>
  <c r="F3712" i="2"/>
  <c r="E3712" i="2"/>
  <c r="D3712" i="2"/>
  <c r="C3712" i="2"/>
  <c r="B3712" i="2"/>
  <c r="A3712" i="2"/>
  <c r="H3711" i="2"/>
  <c r="G3711" i="2"/>
  <c r="F3711" i="2"/>
  <c r="E3711" i="2"/>
  <c r="D3711" i="2"/>
  <c r="C3711" i="2"/>
  <c r="B3711" i="2"/>
  <c r="A3711" i="2"/>
  <c r="H3710" i="2"/>
  <c r="G3710" i="2"/>
  <c r="F3710" i="2"/>
  <c r="E3710" i="2"/>
  <c r="D3710" i="2"/>
  <c r="C3710" i="2"/>
  <c r="B3710" i="2"/>
  <c r="A3710" i="2"/>
  <c r="H3709" i="2"/>
  <c r="G3709" i="2"/>
  <c r="F3709" i="2"/>
  <c r="E3709" i="2"/>
  <c r="D3709" i="2"/>
  <c r="C3709" i="2"/>
  <c r="B3709" i="2"/>
  <c r="A3709" i="2"/>
  <c r="H3708" i="2"/>
  <c r="G3708" i="2"/>
  <c r="F3708" i="2"/>
  <c r="E3708" i="2"/>
  <c r="D3708" i="2"/>
  <c r="C3708" i="2"/>
  <c r="B3708" i="2"/>
  <c r="A3708" i="2"/>
  <c r="H3707" i="2"/>
  <c r="G3707" i="2"/>
  <c r="F3707" i="2"/>
  <c r="E3707" i="2"/>
  <c r="D3707" i="2"/>
  <c r="C3707" i="2"/>
  <c r="B3707" i="2"/>
  <c r="A3707" i="2"/>
  <c r="H3706" i="2"/>
  <c r="G3706" i="2"/>
  <c r="F3706" i="2"/>
  <c r="E3706" i="2"/>
  <c r="D3706" i="2"/>
  <c r="C3706" i="2"/>
  <c r="B3706" i="2"/>
  <c r="A3706" i="2"/>
  <c r="H3705" i="2"/>
  <c r="G3705" i="2"/>
  <c r="F3705" i="2"/>
  <c r="E3705" i="2"/>
  <c r="D3705" i="2"/>
  <c r="C3705" i="2"/>
  <c r="B3705" i="2"/>
  <c r="A3705" i="2"/>
  <c r="H3704" i="2"/>
  <c r="G3704" i="2"/>
  <c r="F3704" i="2"/>
  <c r="E3704" i="2"/>
  <c r="D3704" i="2"/>
  <c r="C3704" i="2"/>
  <c r="B3704" i="2"/>
  <c r="A3704" i="2"/>
  <c r="H3703" i="2"/>
  <c r="G3703" i="2"/>
  <c r="F3703" i="2"/>
  <c r="E3703" i="2"/>
  <c r="D3703" i="2"/>
  <c r="C3703" i="2"/>
  <c r="B3703" i="2"/>
  <c r="A3703" i="2"/>
  <c r="H3702" i="2"/>
  <c r="G3702" i="2"/>
  <c r="F3702" i="2"/>
  <c r="E3702" i="2"/>
  <c r="D3702" i="2"/>
  <c r="C3702" i="2"/>
  <c r="B3702" i="2"/>
  <c r="A3702" i="2"/>
  <c r="H3701" i="2"/>
  <c r="G3701" i="2"/>
  <c r="F3701" i="2"/>
  <c r="E3701" i="2"/>
  <c r="D3701" i="2"/>
  <c r="C3701" i="2"/>
  <c r="B3701" i="2"/>
  <c r="A3701" i="2"/>
  <c r="H3700" i="2"/>
  <c r="G3700" i="2"/>
  <c r="F3700" i="2"/>
  <c r="E3700" i="2"/>
  <c r="D3700" i="2"/>
  <c r="C3700" i="2"/>
  <c r="B3700" i="2"/>
  <c r="A3700" i="2"/>
  <c r="H3699" i="2"/>
  <c r="G3699" i="2"/>
  <c r="F3699" i="2"/>
  <c r="E3699" i="2"/>
  <c r="D3699" i="2"/>
  <c r="C3699" i="2"/>
  <c r="B3699" i="2"/>
  <c r="A3699" i="2"/>
  <c r="H3698" i="2"/>
  <c r="G3698" i="2"/>
  <c r="F3698" i="2"/>
  <c r="E3698" i="2"/>
  <c r="D3698" i="2"/>
  <c r="C3698" i="2"/>
  <c r="B3698" i="2"/>
  <c r="A3698" i="2"/>
  <c r="H3697" i="2"/>
  <c r="G3697" i="2"/>
  <c r="F3697" i="2"/>
  <c r="E3697" i="2"/>
  <c r="D3697" i="2"/>
  <c r="C3697" i="2"/>
  <c r="B3697" i="2"/>
  <c r="A3697" i="2"/>
  <c r="H3696" i="2"/>
  <c r="G3696" i="2"/>
  <c r="F3696" i="2"/>
  <c r="E3696" i="2"/>
  <c r="D3696" i="2"/>
  <c r="C3696" i="2"/>
  <c r="B3696" i="2"/>
  <c r="A3696" i="2"/>
  <c r="H3695" i="2"/>
  <c r="G3695" i="2"/>
  <c r="F3695" i="2"/>
  <c r="E3695" i="2"/>
  <c r="D3695" i="2"/>
  <c r="C3695" i="2"/>
  <c r="B3695" i="2"/>
  <c r="A3695" i="2"/>
  <c r="H3694" i="2"/>
  <c r="G3694" i="2"/>
  <c r="F3694" i="2"/>
  <c r="E3694" i="2"/>
  <c r="D3694" i="2"/>
  <c r="C3694" i="2"/>
  <c r="B3694" i="2"/>
  <c r="A3694" i="2"/>
  <c r="H3693" i="2"/>
  <c r="G3693" i="2"/>
  <c r="F3693" i="2"/>
  <c r="E3693" i="2"/>
  <c r="D3693" i="2"/>
  <c r="C3693" i="2"/>
  <c r="B3693" i="2"/>
  <c r="A3693" i="2"/>
  <c r="H3692" i="2"/>
  <c r="G3692" i="2"/>
  <c r="F3692" i="2"/>
  <c r="E3692" i="2"/>
  <c r="D3692" i="2"/>
  <c r="C3692" i="2"/>
  <c r="B3692" i="2"/>
  <c r="A3692" i="2"/>
  <c r="H3691" i="2"/>
  <c r="G3691" i="2"/>
  <c r="F3691" i="2"/>
  <c r="E3691" i="2"/>
  <c r="D3691" i="2"/>
  <c r="C3691" i="2"/>
  <c r="B3691" i="2"/>
  <c r="A3691" i="2"/>
  <c r="H3690" i="2"/>
  <c r="G3690" i="2"/>
  <c r="F3690" i="2"/>
  <c r="E3690" i="2"/>
  <c r="D3690" i="2"/>
  <c r="C3690" i="2"/>
  <c r="B3690" i="2"/>
  <c r="A3690" i="2"/>
  <c r="H3689" i="2"/>
  <c r="G3689" i="2"/>
  <c r="F3689" i="2"/>
  <c r="E3689" i="2"/>
  <c r="D3689" i="2"/>
  <c r="C3689" i="2"/>
  <c r="B3689" i="2"/>
  <c r="A3689" i="2"/>
  <c r="H3688" i="2"/>
  <c r="G3688" i="2"/>
  <c r="F3688" i="2"/>
  <c r="E3688" i="2"/>
  <c r="D3688" i="2"/>
  <c r="C3688" i="2"/>
  <c r="B3688" i="2"/>
  <c r="A3688" i="2"/>
  <c r="H3687" i="2"/>
  <c r="G3687" i="2"/>
  <c r="F3687" i="2"/>
  <c r="E3687" i="2"/>
  <c r="D3687" i="2"/>
  <c r="C3687" i="2"/>
  <c r="B3687" i="2"/>
  <c r="A3687" i="2"/>
  <c r="H3686" i="2"/>
  <c r="G3686" i="2"/>
  <c r="F3686" i="2"/>
  <c r="E3686" i="2"/>
  <c r="D3686" i="2"/>
  <c r="C3686" i="2"/>
  <c r="B3686" i="2"/>
  <c r="A3686" i="2"/>
  <c r="H3685" i="2"/>
  <c r="G3685" i="2"/>
  <c r="F3685" i="2"/>
  <c r="E3685" i="2"/>
  <c r="D3685" i="2"/>
  <c r="C3685" i="2"/>
  <c r="B3685" i="2"/>
  <c r="A3685" i="2"/>
  <c r="H3684" i="2"/>
  <c r="G3684" i="2"/>
  <c r="F3684" i="2"/>
  <c r="E3684" i="2"/>
  <c r="D3684" i="2"/>
  <c r="C3684" i="2"/>
  <c r="B3684" i="2"/>
  <c r="A3684" i="2"/>
  <c r="H3683" i="2"/>
  <c r="G3683" i="2"/>
  <c r="F3683" i="2"/>
  <c r="E3683" i="2"/>
  <c r="D3683" i="2"/>
  <c r="C3683" i="2"/>
  <c r="B3683" i="2"/>
  <c r="A3683" i="2"/>
  <c r="H3682" i="2"/>
  <c r="G3682" i="2"/>
  <c r="F3682" i="2"/>
  <c r="E3682" i="2"/>
  <c r="D3682" i="2"/>
  <c r="C3682" i="2"/>
  <c r="B3682" i="2"/>
  <c r="A3682" i="2"/>
  <c r="H3681" i="2"/>
  <c r="G3681" i="2"/>
  <c r="F3681" i="2"/>
  <c r="E3681" i="2"/>
  <c r="D3681" i="2"/>
  <c r="C3681" i="2"/>
  <c r="B3681" i="2"/>
  <c r="A3681" i="2"/>
  <c r="H3680" i="2"/>
  <c r="G3680" i="2"/>
  <c r="F3680" i="2"/>
  <c r="E3680" i="2"/>
  <c r="D3680" i="2"/>
  <c r="C3680" i="2"/>
  <c r="B3680" i="2"/>
  <c r="A3680" i="2"/>
  <c r="H3679" i="2"/>
  <c r="G3679" i="2"/>
  <c r="F3679" i="2"/>
  <c r="E3679" i="2"/>
  <c r="D3679" i="2"/>
  <c r="C3679" i="2"/>
  <c r="B3679" i="2"/>
  <c r="A3679" i="2"/>
  <c r="H3678" i="2"/>
  <c r="G3678" i="2"/>
  <c r="F3678" i="2"/>
  <c r="E3678" i="2"/>
  <c r="D3678" i="2"/>
  <c r="C3678" i="2"/>
  <c r="B3678" i="2"/>
  <c r="A3678" i="2"/>
  <c r="H3677" i="2"/>
  <c r="G3677" i="2"/>
  <c r="F3677" i="2"/>
  <c r="E3677" i="2"/>
  <c r="D3677" i="2"/>
  <c r="C3677" i="2"/>
  <c r="B3677" i="2"/>
  <c r="A3677" i="2"/>
  <c r="H3676" i="2"/>
  <c r="G3676" i="2"/>
  <c r="F3676" i="2"/>
  <c r="E3676" i="2"/>
  <c r="D3676" i="2"/>
  <c r="C3676" i="2"/>
  <c r="B3676" i="2"/>
  <c r="A3676" i="2"/>
  <c r="H3675" i="2"/>
  <c r="G3675" i="2"/>
  <c r="F3675" i="2"/>
  <c r="E3675" i="2"/>
  <c r="D3675" i="2"/>
  <c r="C3675" i="2"/>
  <c r="B3675" i="2"/>
  <c r="A3675" i="2"/>
  <c r="H3674" i="2"/>
  <c r="G3674" i="2"/>
  <c r="F3674" i="2"/>
  <c r="E3674" i="2"/>
  <c r="D3674" i="2"/>
  <c r="C3674" i="2"/>
  <c r="B3674" i="2"/>
  <c r="A3674" i="2"/>
  <c r="H3673" i="2"/>
  <c r="G3673" i="2"/>
  <c r="F3673" i="2"/>
  <c r="E3673" i="2"/>
  <c r="D3673" i="2"/>
  <c r="C3673" i="2"/>
  <c r="B3673" i="2"/>
  <c r="A3673" i="2"/>
  <c r="H3672" i="2"/>
  <c r="G3672" i="2"/>
  <c r="F3672" i="2"/>
  <c r="E3672" i="2"/>
  <c r="D3672" i="2"/>
  <c r="C3672" i="2"/>
  <c r="B3672" i="2"/>
  <c r="A3672" i="2"/>
  <c r="H3671" i="2"/>
  <c r="G3671" i="2"/>
  <c r="F3671" i="2"/>
  <c r="E3671" i="2"/>
  <c r="D3671" i="2"/>
  <c r="C3671" i="2"/>
  <c r="B3671" i="2"/>
  <c r="A3671" i="2"/>
  <c r="H3670" i="2"/>
  <c r="G3670" i="2"/>
  <c r="F3670" i="2"/>
  <c r="E3670" i="2"/>
  <c r="D3670" i="2"/>
  <c r="C3670" i="2"/>
  <c r="B3670" i="2"/>
  <c r="A3670" i="2"/>
  <c r="H3669" i="2"/>
  <c r="G3669" i="2"/>
  <c r="F3669" i="2"/>
  <c r="E3669" i="2"/>
  <c r="D3669" i="2"/>
  <c r="C3669" i="2"/>
  <c r="B3669" i="2"/>
  <c r="A3669" i="2"/>
  <c r="H3668" i="2"/>
  <c r="G3668" i="2"/>
  <c r="F3668" i="2"/>
  <c r="E3668" i="2"/>
  <c r="D3668" i="2"/>
  <c r="C3668" i="2"/>
  <c r="B3668" i="2"/>
  <c r="A3668" i="2"/>
  <c r="H3667" i="2"/>
  <c r="G3667" i="2"/>
  <c r="F3667" i="2"/>
  <c r="E3667" i="2"/>
  <c r="D3667" i="2"/>
  <c r="C3667" i="2"/>
  <c r="B3667" i="2"/>
  <c r="A3667" i="2"/>
  <c r="H3666" i="2"/>
  <c r="G3666" i="2"/>
  <c r="F3666" i="2"/>
  <c r="E3666" i="2"/>
  <c r="D3666" i="2"/>
  <c r="C3666" i="2"/>
  <c r="B3666" i="2"/>
  <c r="A3666" i="2"/>
  <c r="H3665" i="2"/>
  <c r="G3665" i="2"/>
  <c r="F3665" i="2"/>
  <c r="E3665" i="2"/>
  <c r="D3665" i="2"/>
  <c r="C3665" i="2"/>
  <c r="B3665" i="2"/>
  <c r="A3665" i="2"/>
  <c r="H3664" i="2"/>
  <c r="G3664" i="2"/>
  <c r="F3664" i="2"/>
  <c r="E3664" i="2"/>
  <c r="D3664" i="2"/>
  <c r="C3664" i="2"/>
  <c r="B3664" i="2"/>
  <c r="A3664" i="2"/>
  <c r="H3663" i="2"/>
  <c r="G3663" i="2"/>
  <c r="F3663" i="2"/>
  <c r="E3663" i="2"/>
  <c r="D3663" i="2"/>
  <c r="C3663" i="2"/>
  <c r="B3663" i="2"/>
  <c r="A3663" i="2"/>
  <c r="H3662" i="2"/>
  <c r="G3662" i="2"/>
  <c r="F3662" i="2"/>
  <c r="E3662" i="2"/>
  <c r="D3662" i="2"/>
  <c r="C3662" i="2"/>
  <c r="B3662" i="2"/>
  <c r="A3662" i="2"/>
  <c r="H3661" i="2"/>
  <c r="G3661" i="2"/>
  <c r="F3661" i="2"/>
  <c r="E3661" i="2"/>
  <c r="D3661" i="2"/>
  <c r="C3661" i="2"/>
  <c r="B3661" i="2"/>
  <c r="A3661" i="2"/>
  <c r="H3660" i="2"/>
  <c r="G3660" i="2"/>
  <c r="F3660" i="2"/>
  <c r="E3660" i="2"/>
  <c r="D3660" i="2"/>
  <c r="C3660" i="2"/>
  <c r="B3660" i="2"/>
  <c r="A3660" i="2"/>
  <c r="H3659" i="2"/>
  <c r="G3659" i="2"/>
  <c r="F3659" i="2"/>
  <c r="E3659" i="2"/>
  <c r="D3659" i="2"/>
  <c r="C3659" i="2"/>
  <c r="B3659" i="2"/>
  <c r="A3659" i="2"/>
  <c r="H3658" i="2"/>
  <c r="G3658" i="2"/>
  <c r="F3658" i="2"/>
  <c r="E3658" i="2"/>
  <c r="D3658" i="2"/>
  <c r="C3658" i="2"/>
  <c r="B3658" i="2"/>
  <c r="A3658" i="2"/>
  <c r="H3657" i="2"/>
  <c r="G3657" i="2"/>
  <c r="F3657" i="2"/>
  <c r="E3657" i="2"/>
  <c r="D3657" i="2"/>
  <c r="C3657" i="2"/>
  <c r="B3657" i="2"/>
  <c r="A3657" i="2"/>
  <c r="H3656" i="2"/>
  <c r="G3656" i="2"/>
  <c r="F3656" i="2"/>
  <c r="E3656" i="2"/>
  <c r="D3656" i="2"/>
  <c r="C3656" i="2"/>
  <c r="B3656" i="2"/>
  <c r="A3656" i="2"/>
  <c r="H3655" i="2"/>
  <c r="G3655" i="2"/>
  <c r="F3655" i="2"/>
  <c r="E3655" i="2"/>
  <c r="D3655" i="2"/>
  <c r="C3655" i="2"/>
  <c r="B3655" i="2"/>
  <c r="A3655" i="2"/>
  <c r="H3654" i="2"/>
  <c r="G3654" i="2"/>
  <c r="F3654" i="2"/>
  <c r="E3654" i="2"/>
  <c r="D3654" i="2"/>
  <c r="C3654" i="2"/>
  <c r="B3654" i="2"/>
  <c r="A3654" i="2"/>
  <c r="H3653" i="2"/>
  <c r="G3653" i="2"/>
  <c r="F3653" i="2"/>
  <c r="E3653" i="2"/>
  <c r="D3653" i="2"/>
  <c r="C3653" i="2"/>
  <c r="B3653" i="2"/>
  <c r="A3653" i="2"/>
  <c r="H3652" i="2"/>
  <c r="G3652" i="2"/>
  <c r="F3652" i="2"/>
  <c r="E3652" i="2"/>
  <c r="D3652" i="2"/>
  <c r="C3652" i="2"/>
  <c r="B3652" i="2"/>
  <c r="A3652" i="2"/>
  <c r="H3651" i="2"/>
  <c r="G3651" i="2"/>
  <c r="F3651" i="2"/>
  <c r="E3651" i="2"/>
  <c r="D3651" i="2"/>
  <c r="C3651" i="2"/>
  <c r="B3651" i="2"/>
  <c r="A3651" i="2"/>
  <c r="H3650" i="2"/>
  <c r="G3650" i="2"/>
  <c r="F3650" i="2"/>
  <c r="E3650" i="2"/>
  <c r="D3650" i="2"/>
  <c r="C3650" i="2"/>
  <c r="B3650" i="2"/>
  <c r="A3650" i="2"/>
  <c r="H3649" i="2"/>
  <c r="G3649" i="2"/>
  <c r="F3649" i="2"/>
  <c r="E3649" i="2"/>
  <c r="D3649" i="2"/>
  <c r="C3649" i="2"/>
  <c r="B3649" i="2"/>
  <c r="A3649" i="2"/>
  <c r="H3648" i="2"/>
  <c r="G3648" i="2"/>
  <c r="F3648" i="2"/>
  <c r="E3648" i="2"/>
  <c r="D3648" i="2"/>
  <c r="C3648" i="2"/>
  <c r="B3648" i="2"/>
  <c r="A3648" i="2"/>
  <c r="H3647" i="2"/>
  <c r="G3647" i="2"/>
  <c r="F3647" i="2"/>
  <c r="E3647" i="2"/>
  <c r="D3647" i="2"/>
  <c r="C3647" i="2"/>
  <c r="B3647" i="2"/>
  <c r="A3647" i="2"/>
  <c r="H3646" i="2"/>
  <c r="G3646" i="2"/>
  <c r="F3646" i="2"/>
  <c r="E3646" i="2"/>
  <c r="D3646" i="2"/>
  <c r="C3646" i="2"/>
  <c r="B3646" i="2"/>
  <c r="A3646" i="2"/>
  <c r="H3645" i="2"/>
  <c r="G3645" i="2"/>
  <c r="F3645" i="2"/>
  <c r="E3645" i="2"/>
  <c r="D3645" i="2"/>
  <c r="C3645" i="2"/>
  <c r="B3645" i="2"/>
  <c r="A3645" i="2"/>
  <c r="H3644" i="2"/>
  <c r="G3644" i="2"/>
  <c r="F3644" i="2"/>
  <c r="E3644" i="2"/>
  <c r="D3644" i="2"/>
  <c r="C3644" i="2"/>
  <c r="B3644" i="2"/>
  <c r="A3644" i="2"/>
  <c r="H3643" i="2"/>
  <c r="G3643" i="2"/>
  <c r="F3643" i="2"/>
  <c r="E3643" i="2"/>
  <c r="D3643" i="2"/>
  <c r="C3643" i="2"/>
  <c r="B3643" i="2"/>
  <c r="A3643" i="2"/>
  <c r="H3642" i="2"/>
  <c r="G3642" i="2"/>
  <c r="F3642" i="2"/>
  <c r="E3642" i="2"/>
  <c r="D3642" i="2"/>
  <c r="C3642" i="2"/>
  <c r="B3642" i="2"/>
  <c r="A3642" i="2"/>
  <c r="H3641" i="2"/>
  <c r="G3641" i="2"/>
  <c r="F3641" i="2"/>
  <c r="E3641" i="2"/>
  <c r="D3641" i="2"/>
  <c r="C3641" i="2"/>
  <c r="B3641" i="2"/>
  <c r="A3641" i="2"/>
  <c r="H3640" i="2"/>
  <c r="G3640" i="2"/>
  <c r="F3640" i="2"/>
  <c r="E3640" i="2"/>
  <c r="D3640" i="2"/>
  <c r="C3640" i="2"/>
  <c r="B3640" i="2"/>
  <c r="A3640" i="2"/>
  <c r="H3639" i="2"/>
  <c r="G3639" i="2"/>
  <c r="F3639" i="2"/>
  <c r="E3639" i="2"/>
  <c r="D3639" i="2"/>
  <c r="C3639" i="2"/>
  <c r="B3639" i="2"/>
  <c r="A3639" i="2"/>
  <c r="H3638" i="2"/>
  <c r="G3638" i="2"/>
  <c r="F3638" i="2"/>
  <c r="E3638" i="2"/>
  <c r="D3638" i="2"/>
  <c r="C3638" i="2"/>
  <c r="B3638" i="2"/>
  <c r="A3638" i="2"/>
  <c r="H3637" i="2"/>
  <c r="G3637" i="2"/>
  <c r="F3637" i="2"/>
  <c r="E3637" i="2"/>
  <c r="D3637" i="2"/>
  <c r="C3637" i="2"/>
  <c r="B3637" i="2"/>
  <c r="A3637" i="2"/>
  <c r="H3636" i="2"/>
  <c r="G3636" i="2"/>
  <c r="F3636" i="2"/>
  <c r="E3636" i="2"/>
  <c r="D3636" i="2"/>
  <c r="C3636" i="2"/>
  <c r="B3636" i="2"/>
  <c r="A3636" i="2"/>
  <c r="H3635" i="2"/>
  <c r="G3635" i="2"/>
  <c r="F3635" i="2"/>
  <c r="E3635" i="2"/>
  <c r="D3635" i="2"/>
  <c r="C3635" i="2"/>
  <c r="B3635" i="2"/>
  <c r="A3635" i="2"/>
  <c r="H3634" i="2"/>
  <c r="G3634" i="2"/>
  <c r="F3634" i="2"/>
  <c r="E3634" i="2"/>
  <c r="D3634" i="2"/>
  <c r="C3634" i="2"/>
  <c r="B3634" i="2"/>
  <c r="A3634" i="2"/>
  <c r="H3633" i="2"/>
  <c r="G3633" i="2"/>
  <c r="F3633" i="2"/>
  <c r="E3633" i="2"/>
  <c r="D3633" i="2"/>
  <c r="C3633" i="2"/>
  <c r="B3633" i="2"/>
  <c r="A3633" i="2"/>
  <c r="H3632" i="2"/>
  <c r="G3632" i="2"/>
  <c r="F3632" i="2"/>
  <c r="E3632" i="2"/>
  <c r="D3632" i="2"/>
  <c r="C3632" i="2"/>
  <c r="B3632" i="2"/>
  <c r="A3632" i="2"/>
  <c r="H3631" i="2"/>
  <c r="G3631" i="2"/>
  <c r="F3631" i="2"/>
  <c r="E3631" i="2"/>
  <c r="D3631" i="2"/>
  <c r="C3631" i="2"/>
  <c r="B3631" i="2"/>
  <c r="A3631" i="2"/>
  <c r="H3630" i="2"/>
  <c r="G3630" i="2"/>
  <c r="F3630" i="2"/>
  <c r="E3630" i="2"/>
  <c r="D3630" i="2"/>
  <c r="C3630" i="2"/>
  <c r="B3630" i="2"/>
  <c r="A3630" i="2"/>
  <c r="H3629" i="2"/>
  <c r="G3629" i="2"/>
  <c r="F3629" i="2"/>
  <c r="E3629" i="2"/>
  <c r="D3629" i="2"/>
  <c r="C3629" i="2"/>
  <c r="B3629" i="2"/>
  <c r="A3629" i="2"/>
  <c r="H3628" i="2"/>
  <c r="G3628" i="2"/>
  <c r="F3628" i="2"/>
  <c r="E3628" i="2"/>
  <c r="D3628" i="2"/>
  <c r="C3628" i="2"/>
  <c r="B3628" i="2"/>
  <c r="A3628" i="2"/>
  <c r="H3627" i="2"/>
  <c r="G3627" i="2"/>
  <c r="F3627" i="2"/>
  <c r="E3627" i="2"/>
  <c r="D3627" i="2"/>
  <c r="C3627" i="2"/>
  <c r="B3627" i="2"/>
  <c r="A3627" i="2"/>
  <c r="H3626" i="2"/>
  <c r="G3626" i="2"/>
  <c r="F3626" i="2"/>
  <c r="E3626" i="2"/>
  <c r="D3626" i="2"/>
  <c r="C3626" i="2"/>
  <c r="B3626" i="2"/>
  <c r="A3626" i="2"/>
  <c r="H3625" i="2"/>
  <c r="G3625" i="2"/>
  <c r="F3625" i="2"/>
  <c r="E3625" i="2"/>
  <c r="D3625" i="2"/>
  <c r="C3625" i="2"/>
  <c r="B3625" i="2"/>
  <c r="A3625" i="2"/>
  <c r="H3624" i="2"/>
  <c r="G3624" i="2"/>
  <c r="F3624" i="2"/>
  <c r="E3624" i="2"/>
  <c r="D3624" i="2"/>
  <c r="C3624" i="2"/>
  <c r="B3624" i="2"/>
  <c r="A3624" i="2"/>
  <c r="H3623" i="2"/>
  <c r="G3623" i="2"/>
  <c r="F3623" i="2"/>
  <c r="E3623" i="2"/>
  <c r="D3623" i="2"/>
  <c r="C3623" i="2"/>
  <c r="B3623" i="2"/>
  <c r="A3623" i="2"/>
  <c r="H3622" i="2"/>
  <c r="G3622" i="2"/>
  <c r="F3622" i="2"/>
  <c r="E3622" i="2"/>
  <c r="D3622" i="2"/>
  <c r="C3622" i="2"/>
  <c r="B3622" i="2"/>
  <c r="A3622" i="2"/>
  <c r="H3621" i="2"/>
  <c r="G3621" i="2"/>
  <c r="F3621" i="2"/>
  <c r="E3621" i="2"/>
  <c r="D3621" i="2"/>
  <c r="C3621" i="2"/>
  <c r="B3621" i="2"/>
  <c r="A3621" i="2"/>
  <c r="H3620" i="2"/>
  <c r="G3620" i="2"/>
  <c r="F3620" i="2"/>
  <c r="E3620" i="2"/>
  <c r="D3620" i="2"/>
  <c r="C3620" i="2"/>
  <c r="B3620" i="2"/>
  <c r="A3620" i="2"/>
  <c r="H3619" i="2"/>
  <c r="G3619" i="2"/>
  <c r="F3619" i="2"/>
  <c r="E3619" i="2"/>
  <c r="D3619" i="2"/>
  <c r="C3619" i="2"/>
  <c r="B3619" i="2"/>
  <c r="A3619" i="2"/>
  <c r="H3618" i="2"/>
  <c r="G3618" i="2"/>
  <c r="F3618" i="2"/>
  <c r="E3618" i="2"/>
  <c r="D3618" i="2"/>
  <c r="C3618" i="2"/>
  <c r="B3618" i="2"/>
  <c r="A3618" i="2"/>
  <c r="H3617" i="2"/>
  <c r="G3617" i="2"/>
  <c r="F3617" i="2"/>
  <c r="E3617" i="2"/>
  <c r="D3617" i="2"/>
  <c r="C3617" i="2"/>
  <c r="B3617" i="2"/>
  <c r="A3617" i="2"/>
  <c r="H3616" i="2"/>
  <c r="G3616" i="2"/>
  <c r="F3616" i="2"/>
  <c r="E3616" i="2"/>
  <c r="D3616" i="2"/>
  <c r="C3616" i="2"/>
  <c r="B3616" i="2"/>
  <c r="A3616" i="2"/>
  <c r="H3615" i="2"/>
  <c r="G3615" i="2"/>
  <c r="F3615" i="2"/>
  <c r="E3615" i="2"/>
  <c r="D3615" i="2"/>
  <c r="C3615" i="2"/>
  <c r="B3615" i="2"/>
  <c r="A3615" i="2"/>
  <c r="H3614" i="2"/>
  <c r="G3614" i="2"/>
  <c r="F3614" i="2"/>
  <c r="E3614" i="2"/>
  <c r="D3614" i="2"/>
  <c r="C3614" i="2"/>
  <c r="B3614" i="2"/>
  <c r="A3614" i="2"/>
  <c r="H3613" i="2"/>
  <c r="G3613" i="2"/>
  <c r="F3613" i="2"/>
  <c r="E3613" i="2"/>
  <c r="D3613" i="2"/>
  <c r="C3613" i="2"/>
  <c r="B3613" i="2"/>
  <c r="A3613" i="2"/>
  <c r="H3612" i="2"/>
  <c r="G3612" i="2"/>
  <c r="F3612" i="2"/>
  <c r="E3612" i="2"/>
  <c r="D3612" i="2"/>
  <c r="C3612" i="2"/>
  <c r="B3612" i="2"/>
  <c r="A3612" i="2"/>
  <c r="H3611" i="2"/>
  <c r="G3611" i="2"/>
  <c r="F3611" i="2"/>
  <c r="E3611" i="2"/>
  <c r="D3611" i="2"/>
  <c r="C3611" i="2"/>
  <c r="B3611" i="2"/>
  <c r="A3611" i="2"/>
  <c r="H3610" i="2"/>
  <c r="G3610" i="2"/>
  <c r="F3610" i="2"/>
  <c r="E3610" i="2"/>
  <c r="D3610" i="2"/>
  <c r="C3610" i="2"/>
  <c r="B3610" i="2"/>
  <c r="A3610" i="2"/>
  <c r="H3609" i="2"/>
  <c r="G3609" i="2"/>
  <c r="F3609" i="2"/>
  <c r="E3609" i="2"/>
  <c r="D3609" i="2"/>
  <c r="C3609" i="2"/>
  <c r="B3609" i="2"/>
  <c r="A3609" i="2"/>
  <c r="H3608" i="2"/>
  <c r="G3608" i="2"/>
  <c r="F3608" i="2"/>
  <c r="E3608" i="2"/>
  <c r="D3608" i="2"/>
  <c r="C3608" i="2"/>
  <c r="B3608" i="2"/>
  <c r="A3608" i="2"/>
  <c r="H3607" i="2"/>
  <c r="G3607" i="2"/>
  <c r="F3607" i="2"/>
  <c r="E3607" i="2"/>
  <c r="D3607" i="2"/>
  <c r="C3607" i="2"/>
  <c r="B3607" i="2"/>
  <c r="A3607" i="2"/>
  <c r="H3606" i="2"/>
  <c r="G3606" i="2"/>
  <c r="F3606" i="2"/>
  <c r="E3606" i="2"/>
  <c r="D3606" i="2"/>
  <c r="C3606" i="2"/>
  <c r="B3606" i="2"/>
  <c r="A3606" i="2"/>
  <c r="H3605" i="2"/>
  <c r="G3605" i="2"/>
  <c r="F3605" i="2"/>
  <c r="E3605" i="2"/>
  <c r="D3605" i="2"/>
  <c r="C3605" i="2"/>
  <c r="B3605" i="2"/>
  <c r="A3605" i="2"/>
  <c r="H3604" i="2"/>
  <c r="G3604" i="2"/>
  <c r="F3604" i="2"/>
  <c r="E3604" i="2"/>
  <c r="D3604" i="2"/>
  <c r="C3604" i="2"/>
  <c r="B3604" i="2"/>
  <c r="A3604" i="2"/>
  <c r="H3603" i="2"/>
  <c r="G3603" i="2"/>
  <c r="F3603" i="2"/>
  <c r="E3603" i="2"/>
  <c r="D3603" i="2"/>
  <c r="C3603" i="2"/>
  <c r="B3603" i="2"/>
  <c r="A3603" i="2"/>
  <c r="H3602" i="2"/>
  <c r="G3602" i="2"/>
  <c r="F3602" i="2"/>
  <c r="E3602" i="2"/>
  <c r="D3602" i="2"/>
  <c r="C3602" i="2"/>
  <c r="B3602" i="2"/>
  <c r="A3602" i="2"/>
  <c r="H3601" i="2"/>
  <c r="G3601" i="2"/>
  <c r="F3601" i="2"/>
  <c r="E3601" i="2"/>
  <c r="D3601" i="2"/>
  <c r="C3601" i="2"/>
  <c r="B3601" i="2"/>
  <c r="A3601" i="2"/>
  <c r="H3600" i="2"/>
  <c r="G3600" i="2"/>
  <c r="F3600" i="2"/>
  <c r="E3600" i="2"/>
  <c r="D3600" i="2"/>
  <c r="C3600" i="2"/>
  <c r="B3600" i="2"/>
  <c r="A3600" i="2"/>
  <c r="H3599" i="2"/>
  <c r="G3599" i="2"/>
  <c r="F3599" i="2"/>
  <c r="E3599" i="2"/>
  <c r="D3599" i="2"/>
  <c r="C3599" i="2"/>
  <c r="B3599" i="2"/>
  <c r="A3599" i="2"/>
  <c r="H3598" i="2"/>
  <c r="G3598" i="2"/>
  <c r="F3598" i="2"/>
  <c r="E3598" i="2"/>
  <c r="D3598" i="2"/>
  <c r="C3598" i="2"/>
  <c r="B3598" i="2"/>
  <c r="A3598" i="2"/>
  <c r="H3597" i="2"/>
  <c r="G3597" i="2"/>
  <c r="F3597" i="2"/>
  <c r="E3597" i="2"/>
  <c r="D3597" i="2"/>
  <c r="C3597" i="2"/>
  <c r="B3597" i="2"/>
  <c r="A3597" i="2"/>
  <c r="H3596" i="2"/>
  <c r="G3596" i="2"/>
  <c r="F3596" i="2"/>
  <c r="E3596" i="2"/>
  <c r="D3596" i="2"/>
  <c r="C3596" i="2"/>
  <c r="B3596" i="2"/>
  <c r="A3596" i="2"/>
  <c r="H3595" i="2"/>
  <c r="G3595" i="2"/>
  <c r="F3595" i="2"/>
  <c r="E3595" i="2"/>
  <c r="D3595" i="2"/>
  <c r="C3595" i="2"/>
  <c r="B3595" i="2"/>
  <c r="A3595" i="2"/>
  <c r="H3594" i="2"/>
  <c r="G3594" i="2"/>
  <c r="F3594" i="2"/>
  <c r="E3594" i="2"/>
  <c r="D3594" i="2"/>
  <c r="C3594" i="2"/>
  <c r="B3594" i="2"/>
  <c r="A3594" i="2"/>
  <c r="H3593" i="2"/>
  <c r="G3593" i="2"/>
  <c r="F3593" i="2"/>
  <c r="E3593" i="2"/>
  <c r="D3593" i="2"/>
  <c r="C3593" i="2"/>
  <c r="B3593" i="2"/>
  <c r="A3593" i="2"/>
  <c r="H3592" i="2"/>
  <c r="G3592" i="2"/>
  <c r="F3592" i="2"/>
  <c r="E3592" i="2"/>
  <c r="D3592" i="2"/>
  <c r="C3592" i="2"/>
  <c r="B3592" i="2"/>
  <c r="A3592" i="2"/>
  <c r="H3591" i="2"/>
  <c r="G3591" i="2"/>
  <c r="F3591" i="2"/>
  <c r="E3591" i="2"/>
  <c r="D3591" i="2"/>
  <c r="C3591" i="2"/>
  <c r="B3591" i="2"/>
  <c r="A3591" i="2"/>
  <c r="H3590" i="2"/>
  <c r="G3590" i="2"/>
  <c r="F3590" i="2"/>
  <c r="E3590" i="2"/>
  <c r="D3590" i="2"/>
  <c r="C3590" i="2"/>
  <c r="B3590" i="2"/>
  <c r="A3590" i="2"/>
  <c r="H3589" i="2"/>
  <c r="G3589" i="2"/>
  <c r="F3589" i="2"/>
  <c r="E3589" i="2"/>
  <c r="D3589" i="2"/>
  <c r="C3589" i="2"/>
  <c r="B3589" i="2"/>
  <c r="A3589" i="2"/>
  <c r="H3588" i="2"/>
  <c r="G3588" i="2"/>
  <c r="F3588" i="2"/>
  <c r="E3588" i="2"/>
  <c r="D3588" i="2"/>
  <c r="C3588" i="2"/>
  <c r="B3588" i="2"/>
  <c r="A3588" i="2"/>
  <c r="H3587" i="2"/>
  <c r="G3587" i="2"/>
  <c r="F3587" i="2"/>
  <c r="E3587" i="2"/>
  <c r="D3587" i="2"/>
  <c r="C3587" i="2"/>
  <c r="B3587" i="2"/>
  <c r="A3587" i="2"/>
  <c r="H3586" i="2"/>
  <c r="G3586" i="2"/>
  <c r="F3586" i="2"/>
  <c r="E3586" i="2"/>
  <c r="D3586" i="2"/>
  <c r="C3586" i="2"/>
  <c r="B3586" i="2"/>
  <c r="A3586" i="2"/>
  <c r="H3585" i="2"/>
  <c r="G3585" i="2"/>
  <c r="F3585" i="2"/>
  <c r="E3585" i="2"/>
  <c r="D3585" i="2"/>
  <c r="C3585" i="2"/>
  <c r="B3585" i="2"/>
  <c r="A3585" i="2"/>
  <c r="H3584" i="2"/>
  <c r="G3584" i="2"/>
  <c r="F3584" i="2"/>
  <c r="E3584" i="2"/>
  <c r="D3584" i="2"/>
  <c r="C3584" i="2"/>
  <c r="B3584" i="2"/>
  <c r="A3584" i="2"/>
  <c r="H3583" i="2"/>
  <c r="G3583" i="2"/>
  <c r="F3583" i="2"/>
  <c r="E3583" i="2"/>
  <c r="D3583" i="2"/>
  <c r="C3583" i="2"/>
  <c r="B3583" i="2"/>
  <c r="A3583" i="2"/>
  <c r="H3582" i="2"/>
  <c r="G3582" i="2"/>
  <c r="F3582" i="2"/>
  <c r="E3582" i="2"/>
  <c r="D3582" i="2"/>
  <c r="C3582" i="2"/>
  <c r="B3582" i="2"/>
  <c r="A3582" i="2"/>
  <c r="H3581" i="2"/>
  <c r="G3581" i="2"/>
  <c r="F3581" i="2"/>
  <c r="E3581" i="2"/>
  <c r="D3581" i="2"/>
  <c r="C3581" i="2"/>
  <c r="B3581" i="2"/>
  <c r="A3581" i="2"/>
  <c r="H3580" i="2"/>
  <c r="G3580" i="2"/>
  <c r="F3580" i="2"/>
  <c r="E3580" i="2"/>
  <c r="D3580" i="2"/>
  <c r="C3580" i="2"/>
  <c r="B3580" i="2"/>
  <c r="A3580" i="2"/>
  <c r="H3579" i="2"/>
  <c r="G3579" i="2"/>
  <c r="F3579" i="2"/>
  <c r="E3579" i="2"/>
  <c r="D3579" i="2"/>
  <c r="C3579" i="2"/>
  <c r="B3579" i="2"/>
  <c r="A3579" i="2"/>
  <c r="H3578" i="2"/>
  <c r="G3578" i="2"/>
  <c r="F3578" i="2"/>
  <c r="E3578" i="2"/>
  <c r="D3578" i="2"/>
  <c r="C3578" i="2"/>
  <c r="B3578" i="2"/>
  <c r="A3578" i="2"/>
  <c r="H3577" i="2"/>
  <c r="G3577" i="2"/>
  <c r="F3577" i="2"/>
  <c r="E3577" i="2"/>
  <c r="D3577" i="2"/>
  <c r="C3577" i="2"/>
  <c r="B3577" i="2"/>
  <c r="A3577" i="2"/>
  <c r="H3576" i="2"/>
  <c r="G3576" i="2"/>
  <c r="F3576" i="2"/>
  <c r="E3576" i="2"/>
  <c r="D3576" i="2"/>
  <c r="C3576" i="2"/>
  <c r="B3576" i="2"/>
  <c r="A3576" i="2"/>
  <c r="H3575" i="2"/>
  <c r="G3575" i="2"/>
  <c r="F3575" i="2"/>
  <c r="E3575" i="2"/>
  <c r="D3575" i="2"/>
  <c r="C3575" i="2"/>
  <c r="B3575" i="2"/>
  <c r="A3575" i="2"/>
  <c r="H3574" i="2"/>
  <c r="G3574" i="2"/>
  <c r="F3574" i="2"/>
  <c r="E3574" i="2"/>
  <c r="D3574" i="2"/>
  <c r="C3574" i="2"/>
  <c r="B3574" i="2"/>
  <c r="A3574" i="2"/>
  <c r="H3573" i="2"/>
  <c r="G3573" i="2"/>
  <c r="F3573" i="2"/>
  <c r="E3573" i="2"/>
  <c r="D3573" i="2"/>
  <c r="C3573" i="2"/>
  <c r="B3573" i="2"/>
  <c r="A3573" i="2"/>
  <c r="H3572" i="2"/>
  <c r="G3572" i="2"/>
  <c r="F3572" i="2"/>
  <c r="E3572" i="2"/>
  <c r="D3572" i="2"/>
  <c r="C3572" i="2"/>
  <c r="B3572" i="2"/>
  <c r="A3572" i="2"/>
  <c r="H3571" i="2"/>
  <c r="G3571" i="2"/>
  <c r="F3571" i="2"/>
  <c r="E3571" i="2"/>
  <c r="D3571" i="2"/>
  <c r="C3571" i="2"/>
  <c r="B3571" i="2"/>
  <c r="A3571" i="2"/>
  <c r="H3570" i="2"/>
  <c r="G3570" i="2"/>
  <c r="F3570" i="2"/>
  <c r="E3570" i="2"/>
  <c r="D3570" i="2"/>
  <c r="C3570" i="2"/>
  <c r="B3570" i="2"/>
  <c r="A3570" i="2"/>
  <c r="H3569" i="2"/>
  <c r="G3569" i="2"/>
  <c r="F3569" i="2"/>
  <c r="E3569" i="2"/>
  <c r="D3569" i="2"/>
  <c r="C3569" i="2"/>
  <c r="B3569" i="2"/>
  <c r="A3569" i="2"/>
  <c r="H3568" i="2"/>
  <c r="G3568" i="2"/>
  <c r="F3568" i="2"/>
  <c r="E3568" i="2"/>
  <c r="D3568" i="2"/>
  <c r="C3568" i="2"/>
  <c r="B3568" i="2"/>
  <c r="A3568" i="2"/>
  <c r="H3567" i="2"/>
  <c r="G3567" i="2"/>
  <c r="F3567" i="2"/>
  <c r="E3567" i="2"/>
  <c r="D3567" i="2"/>
  <c r="C3567" i="2"/>
  <c r="B3567" i="2"/>
  <c r="A3567" i="2"/>
  <c r="H3566" i="2"/>
  <c r="G3566" i="2"/>
  <c r="F3566" i="2"/>
  <c r="E3566" i="2"/>
  <c r="D3566" i="2"/>
  <c r="C3566" i="2"/>
  <c r="B3566" i="2"/>
  <c r="A3566" i="2"/>
  <c r="H3565" i="2"/>
  <c r="G3565" i="2"/>
  <c r="F3565" i="2"/>
  <c r="E3565" i="2"/>
  <c r="D3565" i="2"/>
  <c r="C3565" i="2"/>
  <c r="B3565" i="2"/>
  <c r="A3565" i="2"/>
  <c r="H3564" i="2"/>
  <c r="G3564" i="2"/>
  <c r="F3564" i="2"/>
  <c r="E3564" i="2"/>
  <c r="D3564" i="2"/>
  <c r="C3564" i="2"/>
  <c r="B3564" i="2"/>
  <c r="A3564" i="2"/>
  <c r="H3563" i="2"/>
  <c r="G3563" i="2"/>
  <c r="F3563" i="2"/>
  <c r="E3563" i="2"/>
  <c r="D3563" i="2"/>
  <c r="C3563" i="2"/>
  <c r="B3563" i="2"/>
  <c r="A3563" i="2"/>
  <c r="H3562" i="2"/>
  <c r="G3562" i="2"/>
  <c r="F3562" i="2"/>
  <c r="E3562" i="2"/>
  <c r="D3562" i="2"/>
  <c r="C3562" i="2"/>
  <c r="B3562" i="2"/>
  <c r="A3562" i="2"/>
  <c r="H3561" i="2"/>
  <c r="G3561" i="2"/>
  <c r="F3561" i="2"/>
  <c r="E3561" i="2"/>
  <c r="D3561" i="2"/>
  <c r="C3561" i="2"/>
  <c r="B3561" i="2"/>
  <c r="A3561" i="2"/>
  <c r="H3560" i="2"/>
  <c r="G3560" i="2"/>
  <c r="F3560" i="2"/>
  <c r="E3560" i="2"/>
  <c r="D3560" i="2"/>
  <c r="C3560" i="2"/>
  <c r="B3560" i="2"/>
  <c r="A3560" i="2"/>
  <c r="H3559" i="2"/>
  <c r="G3559" i="2"/>
  <c r="F3559" i="2"/>
  <c r="E3559" i="2"/>
  <c r="D3559" i="2"/>
  <c r="C3559" i="2"/>
  <c r="B3559" i="2"/>
  <c r="A3559" i="2"/>
  <c r="H3558" i="2"/>
  <c r="G3558" i="2"/>
  <c r="F3558" i="2"/>
  <c r="E3558" i="2"/>
  <c r="D3558" i="2"/>
  <c r="C3558" i="2"/>
  <c r="B3558" i="2"/>
  <c r="A3558" i="2"/>
  <c r="H3557" i="2"/>
  <c r="G3557" i="2"/>
  <c r="F3557" i="2"/>
  <c r="E3557" i="2"/>
  <c r="D3557" i="2"/>
  <c r="C3557" i="2"/>
  <c r="B3557" i="2"/>
  <c r="A3557" i="2"/>
  <c r="H3556" i="2"/>
  <c r="G3556" i="2"/>
  <c r="F3556" i="2"/>
  <c r="E3556" i="2"/>
  <c r="D3556" i="2"/>
  <c r="C3556" i="2"/>
  <c r="B3556" i="2"/>
  <c r="A3556" i="2"/>
  <c r="H3555" i="2"/>
  <c r="G3555" i="2"/>
  <c r="F3555" i="2"/>
  <c r="E3555" i="2"/>
  <c r="D3555" i="2"/>
  <c r="C3555" i="2"/>
  <c r="B3555" i="2"/>
  <c r="A3555" i="2"/>
  <c r="H3554" i="2"/>
  <c r="G3554" i="2"/>
  <c r="F3554" i="2"/>
  <c r="E3554" i="2"/>
  <c r="D3554" i="2"/>
  <c r="C3554" i="2"/>
  <c r="B3554" i="2"/>
  <c r="A3554" i="2"/>
  <c r="H3553" i="2"/>
  <c r="G3553" i="2"/>
  <c r="F3553" i="2"/>
  <c r="E3553" i="2"/>
  <c r="D3553" i="2"/>
  <c r="C3553" i="2"/>
  <c r="B3553" i="2"/>
  <c r="A3553" i="2"/>
  <c r="H3552" i="2"/>
  <c r="G3552" i="2"/>
  <c r="F3552" i="2"/>
  <c r="E3552" i="2"/>
  <c r="D3552" i="2"/>
  <c r="C3552" i="2"/>
  <c r="B3552" i="2"/>
  <c r="A3552" i="2"/>
  <c r="H3551" i="2"/>
  <c r="G3551" i="2"/>
  <c r="F3551" i="2"/>
  <c r="E3551" i="2"/>
  <c r="D3551" i="2"/>
  <c r="C3551" i="2"/>
  <c r="B3551" i="2"/>
  <c r="A3551" i="2"/>
  <c r="H3550" i="2"/>
  <c r="G3550" i="2"/>
  <c r="F3550" i="2"/>
  <c r="E3550" i="2"/>
  <c r="D3550" i="2"/>
  <c r="C3550" i="2"/>
  <c r="B3550" i="2"/>
  <c r="A3550" i="2"/>
  <c r="H3549" i="2"/>
  <c r="G3549" i="2"/>
  <c r="F3549" i="2"/>
  <c r="E3549" i="2"/>
  <c r="D3549" i="2"/>
  <c r="C3549" i="2"/>
  <c r="B3549" i="2"/>
  <c r="A3549" i="2"/>
  <c r="H3548" i="2"/>
  <c r="G3548" i="2"/>
  <c r="F3548" i="2"/>
  <c r="E3548" i="2"/>
  <c r="D3548" i="2"/>
  <c r="C3548" i="2"/>
  <c r="B3548" i="2"/>
  <c r="A3548" i="2"/>
  <c r="H3547" i="2"/>
  <c r="G3547" i="2"/>
  <c r="F3547" i="2"/>
  <c r="E3547" i="2"/>
  <c r="D3547" i="2"/>
  <c r="C3547" i="2"/>
  <c r="B3547" i="2"/>
  <c r="A3547" i="2"/>
  <c r="H3546" i="2"/>
  <c r="G3546" i="2"/>
  <c r="F3546" i="2"/>
  <c r="E3546" i="2"/>
  <c r="D3546" i="2"/>
  <c r="C3546" i="2"/>
  <c r="B3546" i="2"/>
  <c r="A3546" i="2"/>
  <c r="H3545" i="2"/>
  <c r="G3545" i="2"/>
  <c r="F3545" i="2"/>
  <c r="E3545" i="2"/>
  <c r="D3545" i="2"/>
  <c r="C3545" i="2"/>
  <c r="B3545" i="2"/>
  <c r="A3545" i="2"/>
  <c r="H3544" i="2"/>
  <c r="G3544" i="2"/>
  <c r="F3544" i="2"/>
  <c r="E3544" i="2"/>
  <c r="D3544" i="2"/>
  <c r="C3544" i="2"/>
  <c r="B3544" i="2"/>
  <c r="A3544" i="2"/>
  <c r="H3543" i="2"/>
  <c r="G3543" i="2"/>
  <c r="F3543" i="2"/>
  <c r="E3543" i="2"/>
  <c r="D3543" i="2"/>
  <c r="C3543" i="2"/>
  <c r="B3543" i="2"/>
  <c r="A3543" i="2"/>
  <c r="H3542" i="2"/>
  <c r="G3542" i="2"/>
  <c r="F3542" i="2"/>
  <c r="E3542" i="2"/>
  <c r="D3542" i="2"/>
  <c r="C3542" i="2"/>
  <c r="B3542" i="2"/>
  <c r="A3542" i="2"/>
  <c r="H3541" i="2"/>
  <c r="G3541" i="2"/>
  <c r="F3541" i="2"/>
  <c r="E3541" i="2"/>
  <c r="D3541" i="2"/>
  <c r="C3541" i="2"/>
  <c r="B3541" i="2"/>
  <c r="A3541" i="2"/>
  <c r="H3540" i="2"/>
  <c r="G3540" i="2"/>
  <c r="F3540" i="2"/>
  <c r="E3540" i="2"/>
  <c r="D3540" i="2"/>
  <c r="C3540" i="2"/>
  <c r="B3540" i="2"/>
  <c r="A3540" i="2"/>
  <c r="H3539" i="2"/>
  <c r="G3539" i="2"/>
  <c r="F3539" i="2"/>
  <c r="E3539" i="2"/>
  <c r="D3539" i="2"/>
  <c r="C3539" i="2"/>
  <c r="B3539" i="2"/>
  <c r="A3539" i="2"/>
  <c r="H3538" i="2"/>
  <c r="G3538" i="2"/>
  <c r="F3538" i="2"/>
  <c r="E3538" i="2"/>
  <c r="D3538" i="2"/>
  <c r="C3538" i="2"/>
  <c r="B3538" i="2"/>
  <c r="A3538" i="2"/>
  <c r="H3537" i="2"/>
  <c r="G3537" i="2"/>
  <c r="F3537" i="2"/>
  <c r="E3537" i="2"/>
  <c r="D3537" i="2"/>
  <c r="C3537" i="2"/>
  <c r="B3537" i="2"/>
  <c r="A3537" i="2"/>
  <c r="H3536" i="2"/>
  <c r="G3536" i="2"/>
  <c r="F3536" i="2"/>
  <c r="E3536" i="2"/>
  <c r="D3536" i="2"/>
  <c r="C3536" i="2"/>
  <c r="B3536" i="2"/>
  <c r="A3536" i="2"/>
  <c r="H3535" i="2"/>
  <c r="G3535" i="2"/>
  <c r="F3535" i="2"/>
  <c r="E3535" i="2"/>
  <c r="D3535" i="2"/>
  <c r="C3535" i="2"/>
  <c r="B3535" i="2"/>
  <c r="A3535" i="2"/>
  <c r="H3534" i="2"/>
  <c r="G3534" i="2"/>
  <c r="F3534" i="2"/>
  <c r="E3534" i="2"/>
  <c r="D3534" i="2"/>
  <c r="C3534" i="2"/>
  <c r="B3534" i="2"/>
  <c r="A3534" i="2"/>
  <c r="H3533" i="2"/>
  <c r="G3533" i="2"/>
  <c r="F3533" i="2"/>
  <c r="E3533" i="2"/>
  <c r="D3533" i="2"/>
  <c r="C3533" i="2"/>
  <c r="B3533" i="2"/>
  <c r="A3533" i="2"/>
  <c r="H3532" i="2"/>
  <c r="G3532" i="2"/>
  <c r="F3532" i="2"/>
  <c r="E3532" i="2"/>
  <c r="D3532" i="2"/>
  <c r="C3532" i="2"/>
  <c r="B3532" i="2"/>
  <c r="A3532" i="2"/>
  <c r="H3531" i="2"/>
  <c r="G3531" i="2"/>
  <c r="F3531" i="2"/>
  <c r="E3531" i="2"/>
  <c r="D3531" i="2"/>
  <c r="C3531" i="2"/>
  <c r="B3531" i="2"/>
  <c r="A3531" i="2"/>
  <c r="H3530" i="2"/>
  <c r="G3530" i="2"/>
  <c r="F3530" i="2"/>
  <c r="E3530" i="2"/>
  <c r="D3530" i="2"/>
  <c r="C3530" i="2"/>
  <c r="B3530" i="2"/>
  <c r="A3530" i="2"/>
  <c r="H3529" i="2"/>
  <c r="G3529" i="2"/>
  <c r="F3529" i="2"/>
  <c r="E3529" i="2"/>
  <c r="D3529" i="2"/>
  <c r="C3529" i="2"/>
  <c r="B3529" i="2"/>
  <c r="A3529" i="2"/>
  <c r="H3528" i="2"/>
  <c r="G3528" i="2"/>
  <c r="F3528" i="2"/>
  <c r="E3528" i="2"/>
  <c r="D3528" i="2"/>
  <c r="C3528" i="2"/>
  <c r="B3528" i="2"/>
  <c r="A3528" i="2"/>
  <c r="H3527" i="2"/>
  <c r="G3527" i="2"/>
  <c r="F3527" i="2"/>
  <c r="E3527" i="2"/>
  <c r="D3527" i="2"/>
  <c r="C3527" i="2"/>
  <c r="B3527" i="2"/>
  <c r="A3527" i="2"/>
  <c r="H3526" i="2"/>
  <c r="G3526" i="2"/>
  <c r="F3526" i="2"/>
  <c r="E3526" i="2"/>
  <c r="D3526" i="2"/>
  <c r="C3526" i="2"/>
  <c r="B3526" i="2"/>
  <c r="A3526" i="2"/>
  <c r="H3525" i="2"/>
  <c r="G3525" i="2"/>
  <c r="F3525" i="2"/>
  <c r="E3525" i="2"/>
  <c r="D3525" i="2"/>
  <c r="C3525" i="2"/>
  <c r="B3525" i="2"/>
  <c r="A3525" i="2"/>
  <c r="H3524" i="2"/>
  <c r="G3524" i="2"/>
  <c r="F3524" i="2"/>
  <c r="E3524" i="2"/>
  <c r="D3524" i="2"/>
  <c r="C3524" i="2"/>
  <c r="B3524" i="2"/>
  <c r="A3524" i="2"/>
  <c r="H3523" i="2"/>
  <c r="G3523" i="2"/>
  <c r="F3523" i="2"/>
  <c r="E3523" i="2"/>
  <c r="D3523" i="2"/>
  <c r="C3523" i="2"/>
  <c r="B3523" i="2"/>
  <c r="A3523" i="2"/>
  <c r="H3522" i="2"/>
  <c r="G3522" i="2"/>
  <c r="F3522" i="2"/>
  <c r="E3522" i="2"/>
  <c r="D3522" i="2"/>
  <c r="C3522" i="2"/>
  <c r="B3522" i="2"/>
  <c r="A3522" i="2"/>
  <c r="H3521" i="2"/>
  <c r="G3521" i="2"/>
  <c r="F3521" i="2"/>
  <c r="E3521" i="2"/>
  <c r="D3521" i="2"/>
  <c r="C3521" i="2"/>
  <c r="B3521" i="2"/>
  <c r="A3521" i="2"/>
  <c r="H3520" i="2"/>
  <c r="G3520" i="2"/>
  <c r="F3520" i="2"/>
  <c r="E3520" i="2"/>
  <c r="D3520" i="2"/>
  <c r="C3520" i="2"/>
  <c r="B3520" i="2"/>
  <c r="A3520" i="2"/>
  <c r="H3519" i="2"/>
  <c r="G3519" i="2"/>
  <c r="F3519" i="2"/>
  <c r="E3519" i="2"/>
  <c r="D3519" i="2"/>
  <c r="C3519" i="2"/>
  <c r="B3519" i="2"/>
  <c r="A3519" i="2"/>
  <c r="H3518" i="2"/>
  <c r="G3518" i="2"/>
  <c r="F3518" i="2"/>
  <c r="E3518" i="2"/>
  <c r="D3518" i="2"/>
  <c r="C3518" i="2"/>
  <c r="B3518" i="2"/>
  <c r="A3518" i="2"/>
  <c r="H3517" i="2"/>
  <c r="G3517" i="2"/>
  <c r="F3517" i="2"/>
  <c r="E3517" i="2"/>
  <c r="D3517" i="2"/>
  <c r="C3517" i="2"/>
  <c r="B3517" i="2"/>
  <c r="A3517" i="2"/>
  <c r="H3516" i="2"/>
  <c r="G3516" i="2"/>
  <c r="F3516" i="2"/>
  <c r="E3516" i="2"/>
  <c r="D3516" i="2"/>
  <c r="C3516" i="2"/>
  <c r="B3516" i="2"/>
  <c r="A3516" i="2"/>
  <c r="H3515" i="2"/>
  <c r="G3515" i="2"/>
  <c r="F3515" i="2"/>
  <c r="E3515" i="2"/>
  <c r="D3515" i="2"/>
  <c r="C3515" i="2"/>
  <c r="B3515" i="2"/>
  <c r="A3515" i="2"/>
  <c r="H3514" i="2"/>
  <c r="G3514" i="2"/>
  <c r="F3514" i="2"/>
  <c r="E3514" i="2"/>
  <c r="D3514" i="2"/>
  <c r="C3514" i="2"/>
  <c r="B3514" i="2"/>
  <c r="A3514" i="2"/>
  <c r="H3513" i="2"/>
  <c r="G3513" i="2"/>
  <c r="F3513" i="2"/>
  <c r="E3513" i="2"/>
  <c r="D3513" i="2"/>
  <c r="C3513" i="2"/>
  <c r="B3513" i="2"/>
  <c r="A3513" i="2"/>
  <c r="H3512" i="2"/>
  <c r="G3512" i="2"/>
  <c r="F3512" i="2"/>
  <c r="E3512" i="2"/>
  <c r="D3512" i="2"/>
  <c r="C3512" i="2"/>
  <c r="B3512" i="2"/>
  <c r="A3512" i="2"/>
  <c r="H3511" i="2"/>
  <c r="G3511" i="2"/>
  <c r="F3511" i="2"/>
  <c r="E3511" i="2"/>
  <c r="D3511" i="2"/>
  <c r="C3511" i="2"/>
  <c r="B3511" i="2"/>
  <c r="A3511" i="2"/>
  <c r="H3510" i="2"/>
  <c r="G3510" i="2"/>
  <c r="F3510" i="2"/>
  <c r="E3510" i="2"/>
  <c r="D3510" i="2"/>
  <c r="C3510" i="2"/>
  <c r="B3510" i="2"/>
  <c r="A3510" i="2"/>
  <c r="H3509" i="2"/>
  <c r="G3509" i="2"/>
  <c r="F3509" i="2"/>
  <c r="E3509" i="2"/>
  <c r="D3509" i="2"/>
  <c r="C3509" i="2"/>
  <c r="B3509" i="2"/>
  <c r="A3509" i="2"/>
  <c r="H3508" i="2"/>
  <c r="G3508" i="2"/>
  <c r="F3508" i="2"/>
  <c r="E3508" i="2"/>
  <c r="D3508" i="2"/>
  <c r="C3508" i="2"/>
  <c r="B3508" i="2"/>
  <c r="A3508" i="2"/>
  <c r="H3507" i="2"/>
  <c r="G3507" i="2"/>
  <c r="F3507" i="2"/>
  <c r="E3507" i="2"/>
  <c r="D3507" i="2"/>
  <c r="C3507" i="2"/>
  <c r="B3507" i="2"/>
  <c r="A3507" i="2"/>
  <c r="H3506" i="2"/>
  <c r="G3506" i="2"/>
  <c r="F3506" i="2"/>
  <c r="E3506" i="2"/>
  <c r="D3506" i="2"/>
  <c r="C3506" i="2"/>
  <c r="B3506" i="2"/>
  <c r="A3506" i="2"/>
  <c r="H3505" i="2"/>
  <c r="G3505" i="2"/>
  <c r="F3505" i="2"/>
  <c r="E3505" i="2"/>
  <c r="D3505" i="2"/>
  <c r="C3505" i="2"/>
  <c r="B3505" i="2"/>
  <c r="A3505" i="2"/>
  <c r="H3504" i="2"/>
  <c r="G3504" i="2"/>
  <c r="F3504" i="2"/>
  <c r="E3504" i="2"/>
  <c r="D3504" i="2"/>
  <c r="C3504" i="2"/>
  <c r="B3504" i="2"/>
  <c r="A3504" i="2"/>
  <c r="H3503" i="2"/>
  <c r="G3503" i="2"/>
  <c r="F3503" i="2"/>
  <c r="E3503" i="2"/>
  <c r="D3503" i="2"/>
  <c r="C3503" i="2"/>
  <c r="B3503" i="2"/>
  <c r="A3503" i="2"/>
  <c r="H3502" i="2"/>
  <c r="G3502" i="2"/>
  <c r="F3502" i="2"/>
  <c r="E3502" i="2"/>
  <c r="D3502" i="2"/>
  <c r="C3502" i="2"/>
  <c r="B3502" i="2"/>
  <c r="A3502" i="2"/>
  <c r="H3501" i="2"/>
  <c r="G3501" i="2"/>
  <c r="F3501" i="2"/>
  <c r="E3501" i="2"/>
  <c r="D3501" i="2"/>
  <c r="C3501" i="2"/>
  <c r="B3501" i="2"/>
  <c r="A3501" i="2"/>
  <c r="H3500" i="2"/>
  <c r="G3500" i="2"/>
  <c r="F3500" i="2"/>
  <c r="E3500" i="2"/>
  <c r="D3500" i="2"/>
  <c r="C3500" i="2"/>
  <c r="B3500" i="2"/>
  <c r="A3500" i="2"/>
  <c r="H3499" i="2"/>
  <c r="G3499" i="2"/>
  <c r="F3499" i="2"/>
  <c r="E3499" i="2"/>
  <c r="D3499" i="2"/>
  <c r="C3499" i="2"/>
  <c r="B3499" i="2"/>
  <c r="A3499" i="2"/>
  <c r="H3498" i="2"/>
  <c r="G3498" i="2"/>
  <c r="F3498" i="2"/>
  <c r="E3498" i="2"/>
  <c r="D3498" i="2"/>
  <c r="C3498" i="2"/>
  <c r="B3498" i="2"/>
  <c r="A3498" i="2"/>
  <c r="H3497" i="2"/>
  <c r="G3497" i="2"/>
  <c r="F3497" i="2"/>
  <c r="E3497" i="2"/>
  <c r="D3497" i="2"/>
  <c r="C3497" i="2"/>
  <c r="B3497" i="2"/>
  <c r="A3497" i="2"/>
  <c r="H3496" i="2"/>
  <c r="G3496" i="2"/>
  <c r="F3496" i="2"/>
  <c r="E3496" i="2"/>
  <c r="D3496" i="2"/>
  <c r="C3496" i="2"/>
  <c r="B3496" i="2"/>
  <c r="A3496" i="2"/>
  <c r="H3495" i="2"/>
  <c r="G3495" i="2"/>
  <c r="F3495" i="2"/>
  <c r="E3495" i="2"/>
  <c r="D3495" i="2"/>
  <c r="C3495" i="2"/>
  <c r="B3495" i="2"/>
  <c r="A3495" i="2"/>
  <c r="H3494" i="2"/>
  <c r="G3494" i="2"/>
  <c r="F3494" i="2"/>
  <c r="E3494" i="2"/>
  <c r="D3494" i="2"/>
  <c r="C3494" i="2"/>
  <c r="B3494" i="2"/>
  <c r="A3494" i="2"/>
  <c r="H3493" i="2"/>
  <c r="G3493" i="2"/>
  <c r="F3493" i="2"/>
  <c r="E3493" i="2"/>
  <c r="D3493" i="2"/>
  <c r="C3493" i="2"/>
  <c r="B3493" i="2"/>
  <c r="A3493" i="2"/>
  <c r="H3492" i="2"/>
  <c r="G3492" i="2"/>
  <c r="F3492" i="2"/>
  <c r="E3492" i="2"/>
  <c r="D3492" i="2"/>
  <c r="C3492" i="2"/>
  <c r="B3492" i="2"/>
  <c r="A3492" i="2"/>
  <c r="H3491" i="2"/>
  <c r="G3491" i="2"/>
  <c r="F3491" i="2"/>
  <c r="E3491" i="2"/>
  <c r="D3491" i="2"/>
  <c r="C3491" i="2"/>
  <c r="B3491" i="2"/>
  <c r="A3491" i="2"/>
  <c r="H3490" i="2"/>
  <c r="G3490" i="2"/>
  <c r="F3490" i="2"/>
  <c r="E3490" i="2"/>
  <c r="D3490" i="2"/>
  <c r="C3490" i="2"/>
  <c r="B3490" i="2"/>
  <c r="A3490" i="2"/>
  <c r="H3489" i="2"/>
  <c r="G3489" i="2"/>
  <c r="F3489" i="2"/>
  <c r="E3489" i="2"/>
  <c r="D3489" i="2"/>
  <c r="C3489" i="2"/>
  <c r="B3489" i="2"/>
  <c r="A3489" i="2"/>
  <c r="H3488" i="2"/>
  <c r="G3488" i="2"/>
  <c r="F3488" i="2"/>
  <c r="E3488" i="2"/>
  <c r="D3488" i="2"/>
  <c r="C3488" i="2"/>
  <c r="B3488" i="2"/>
  <c r="A3488" i="2"/>
  <c r="H3487" i="2"/>
  <c r="G3487" i="2"/>
  <c r="F3487" i="2"/>
  <c r="E3487" i="2"/>
  <c r="D3487" i="2"/>
  <c r="C3487" i="2"/>
  <c r="B3487" i="2"/>
  <c r="A3487" i="2"/>
  <c r="H3486" i="2"/>
  <c r="G3486" i="2"/>
  <c r="F3486" i="2"/>
  <c r="E3486" i="2"/>
  <c r="D3486" i="2"/>
  <c r="C3486" i="2"/>
  <c r="B3486" i="2"/>
  <c r="A3486" i="2"/>
  <c r="H3485" i="2"/>
  <c r="G3485" i="2"/>
  <c r="F3485" i="2"/>
  <c r="E3485" i="2"/>
  <c r="D3485" i="2"/>
  <c r="C3485" i="2"/>
  <c r="B3485" i="2"/>
  <c r="A3485" i="2"/>
  <c r="H3484" i="2"/>
  <c r="G3484" i="2"/>
  <c r="F3484" i="2"/>
  <c r="E3484" i="2"/>
  <c r="D3484" i="2"/>
  <c r="C3484" i="2"/>
  <c r="B3484" i="2"/>
  <c r="A3484" i="2"/>
  <c r="H3483" i="2"/>
  <c r="G3483" i="2"/>
  <c r="F3483" i="2"/>
  <c r="E3483" i="2"/>
  <c r="D3483" i="2"/>
  <c r="C3483" i="2"/>
  <c r="B3483" i="2"/>
  <c r="A3483" i="2"/>
  <c r="H3482" i="2"/>
  <c r="G3482" i="2"/>
  <c r="F3482" i="2"/>
  <c r="E3482" i="2"/>
  <c r="D3482" i="2"/>
  <c r="C3482" i="2"/>
  <c r="B3482" i="2"/>
  <c r="A3482" i="2"/>
  <c r="H3481" i="2"/>
  <c r="G3481" i="2"/>
  <c r="F3481" i="2"/>
  <c r="E3481" i="2"/>
  <c r="D3481" i="2"/>
  <c r="C3481" i="2"/>
  <c r="B3481" i="2"/>
  <c r="A3481" i="2"/>
  <c r="H3480" i="2"/>
  <c r="G3480" i="2"/>
  <c r="F3480" i="2"/>
  <c r="E3480" i="2"/>
  <c r="D3480" i="2"/>
  <c r="C3480" i="2"/>
  <c r="B3480" i="2"/>
  <c r="A3480" i="2"/>
  <c r="H3479" i="2"/>
  <c r="G3479" i="2"/>
  <c r="F3479" i="2"/>
  <c r="E3479" i="2"/>
  <c r="D3479" i="2"/>
  <c r="C3479" i="2"/>
  <c r="B3479" i="2"/>
  <c r="A3479" i="2"/>
  <c r="H3478" i="2"/>
  <c r="G3478" i="2"/>
  <c r="F3478" i="2"/>
  <c r="E3478" i="2"/>
  <c r="D3478" i="2"/>
  <c r="C3478" i="2"/>
  <c r="B3478" i="2"/>
  <c r="A3478" i="2"/>
  <c r="H3477" i="2"/>
  <c r="G3477" i="2"/>
  <c r="F3477" i="2"/>
  <c r="E3477" i="2"/>
  <c r="D3477" i="2"/>
  <c r="C3477" i="2"/>
  <c r="B3477" i="2"/>
  <c r="A3477" i="2"/>
  <c r="H3476" i="2"/>
  <c r="G3476" i="2"/>
  <c r="F3476" i="2"/>
  <c r="E3476" i="2"/>
  <c r="D3476" i="2"/>
  <c r="C3476" i="2"/>
  <c r="B3476" i="2"/>
  <c r="A3476" i="2"/>
  <c r="H3475" i="2"/>
  <c r="G3475" i="2"/>
  <c r="F3475" i="2"/>
  <c r="E3475" i="2"/>
  <c r="D3475" i="2"/>
  <c r="C3475" i="2"/>
  <c r="B3475" i="2"/>
  <c r="A3475" i="2"/>
  <c r="H3474" i="2"/>
  <c r="G3474" i="2"/>
  <c r="F3474" i="2"/>
  <c r="E3474" i="2"/>
  <c r="D3474" i="2"/>
  <c r="C3474" i="2"/>
  <c r="B3474" i="2"/>
  <c r="A3474" i="2"/>
  <c r="H3473" i="2"/>
  <c r="G3473" i="2"/>
  <c r="F3473" i="2"/>
  <c r="E3473" i="2"/>
  <c r="D3473" i="2"/>
  <c r="C3473" i="2"/>
  <c r="B3473" i="2"/>
  <c r="A3473" i="2"/>
  <c r="H3472" i="2"/>
  <c r="G3472" i="2"/>
  <c r="F3472" i="2"/>
  <c r="E3472" i="2"/>
  <c r="D3472" i="2"/>
  <c r="C3472" i="2"/>
  <c r="B3472" i="2"/>
  <c r="A3472" i="2"/>
  <c r="H3471" i="2"/>
  <c r="G3471" i="2"/>
  <c r="F3471" i="2"/>
  <c r="E3471" i="2"/>
  <c r="D3471" i="2"/>
  <c r="C3471" i="2"/>
  <c r="B3471" i="2"/>
  <c r="A3471" i="2"/>
  <c r="H3470" i="2"/>
  <c r="G3470" i="2"/>
  <c r="F3470" i="2"/>
  <c r="E3470" i="2"/>
  <c r="D3470" i="2"/>
  <c r="C3470" i="2"/>
  <c r="B3470" i="2"/>
  <c r="A3470" i="2"/>
  <c r="H3469" i="2"/>
  <c r="G3469" i="2"/>
  <c r="F3469" i="2"/>
  <c r="E3469" i="2"/>
  <c r="D3469" i="2"/>
  <c r="C3469" i="2"/>
  <c r="B3469" i="2"/>
  <c r="A3469" i="2"/>
  <c r="H3468" i="2"/>
  <c r="G3468" i="2"/>
  <c r="F3468" i="2"/>
  <c r="E3468" i="2"/>
  <c r="D3468" i="2"/>
  <c r="C3468" i="2"/>
  <c r="B3468" i="2"/>
  <c r="A3468" i="2"/>
  <c r="H3467" i="2"/>
  <c r="G3467" i="2"/>
  <c r="F3467" i="2"/>
  <c r="E3467" i="2"/>
  <c r="D3467" i="2"/>
  <c r="C3467" i="2"/>
  <c r="B3467" i="2"/>
  <c r="A3467" i="2"/>
  <c r="H3466" i="2"/>
  <c r="G3466" i="2"/>
  <c r="F3466" i="2"/>
  <c r="E3466" i="2"/>
  <c r="D3466" i="2"/>
  <c r="C3466" i="2"/>
  <c r="B3466" i="2"/>
  <c r="A3466" i="2"/>
  <c r="H3465" i="2"/>
  <c r="G3465" i="2"/>
  <c r="F3465" i="2"/>
  <c r="E3465" i="2"/>
  <c r="D3465" i="2"/>
  <c r="C3465" i="2"/>
  <c r="B3465" i="2"/>
  <c r="A3465" i="2"/>
  <c r="H3464" i="2"/>
  <c r="G3464" i="2"/>
  <c r="F3464" i="2"/>
  <c r="E3464" i="2"/>
  <c r="D3464" i="2"/>
  <c r="C3464" i="2"/>
  <c r="B3464" i="2"/>
  <c r="A3464" i="2"/>
  <c r="H3463" i="2"/>
  <c r="G3463" i="2"/>
  <c r="F3463" i="2"/>
  <c r="E3463" i="2"/>
  <c r="D3463" i="2"/>
  <c r="C3463" i="2"/>
  <c r="B3463" i="2"/>
  <c r="A3463" i="2"/>
  <c r="H3462" i="2"/>
  <c r="G3462" i="2"/>
  <c r="F3462" i="2"/>
  <c r="E3462" i="2"/>
  <c r="D3462" i="2"/>
  <c r="C3462" i="2"/>
  <c r="B3462" i="2"/>
  <c r="A3462" i="2"/>
  <c r="H3461" i="2"/>
  <c r="G3461" i="2"/>
  <c r="F3461" i="2"/>
  <c r="E3461" i="2"/>
  <c r="D3461" i="2"/>
  <c r="C3461" i="2"/>
  <c r="B3461" i="2"/>
  <c r="A3461" i="2"/>
  <c r="H3460" i="2"/>
  <c r="G3460" i="2"/>
  <c r="F3460" i="2"/>
  <c r="E3460" i="2"/>
  <c r="D3460" i="2"/>
  <c r="C3460" i="2"/>
  <c r="B3460" i="2"/>
  <c r="A3460" i="2"/>
  <c r="H3459" i="2"/>
  <c r="G3459" i="2"/>
  <c r="F3459" i="2"/>
  <c r="E3459" i="2"/>
  <c r="D3459" i="2"/>
  <c r="C3459" i="2"/>
  <c r="B3459" i="2"/>
  <c r="A3459" i="2"/>
  <c r="H3458" i="2"/>
  <c r="G3458" i="2"/>
  <c r="F3458" i="2"/>
  <c r="E3458" i="2"/>
  <c r="D3458" i="2"/>
  <c r="C3458" i="2"/>
  <c r="B3458" i="2"/>
  <c r="A3458" i="2"/>
  <c r="H3457" i="2"/>
  <c r="G3457" i="2"/>
  <c r="F3457" i="2"/>
  <c r="E3457" i="2"/>
  <c r="D3457" i="2"/>
  <c r="C3457" i="2"/>
  <c r="B3457" i="2"/>
  <c r="A3457" i="2"/>
  <c r="H3456" i="2"/>
  <c r="G3456" i="2"/>
  <c r="F3456" i="2"/>
  <c r="E3456" i="2"/>
  <c r="D3456" i="2"/>
  <c r="C3456" i="2"/>
  <c r="B3456" i="2"/>
  <c r="A3456" i="2"/>
  <c r="H3455" i="2"/>
  <c r="G3455" i="2"/>
  <c r="F3455" i="2"/>
  <c r="E3455" i="2"/>
  <c r="D3455" i="2"/>
  <c r="C3455" i="2"/>
  <c r="B3455" i="2"/>
  <c r="A3455" i="2"/>
  <c r="H3454" i="2"/>
  <c r="G3454" i="2"/>
  <c r="F3454" i="2"/>
  <c r="E3454" i="2"/>
  <c r="D3454" i="2"/>
  <c r="C3454" i="2"/>
  <c r="B3454" i="2"/>
  <c r="A3454" i="2"/>
  <c r="H3453" i="2"/>
  <c r="G3453" i="2"/>
  <c r="F3453" i="2"/>
  <c r="E3453" i="2"/>
  <c r="D3453" i="2"/>
  <c r="C3453" i="2"/>
  <c r="B3453" i="2"/>
  <c r="A3453" i="2"/>
  <c r="H3452" i="2"/>
  <c r="G3452" i="2"/>
  <c r="F3452" i="2"/>
  <c r="E3452" i="2"/>
  <c r="D3452" i="2"/>
  <c r="C3452" i="2"/>
  <c r="B3452" i="2"/>
  <c r="A3452" i="2"/>
  <c r="H3451" i="2"/>
  <c r="G3451" i="2"/>
  <c r="F3451" i="2"/>
  <c r="E3451" i="2"/>
  <c r="D3451" i="2"/>
  <c r="C3451" i="2"/>
  <c r="B3451" i="2"/>
  <c r="A3451" i="2"/>
  <c r="H3450" i="2"/>
  <c r="G3450" i="2"/>
  <c r="F3450" i="2"/>
  <c r="E3450" i="2"/>
  <c r="D3450" i="2"/>
  <c r="C3450" i="2"/>
  <c r="B3450" i="2"/>
  <c r="A3450" i="2"/>
  <c r="H3449" i="2"/>
  <c r="G3449" i="2"/>
  <c r="F3449" i="2"/>
  <c r="E3449" i="2"/>
  <c r="D3449" i="2"/>
  <c r="C3449" i="2"/>
  <c r="B3449" i="2"/>
  <c r="A3449" i="2"/>
  <c r="H3448" i="2"/>
  <c r="G3448" i="2"/>
  <c r="F3448" i="2"/>
  <c r="E3448" i="2"/>
  <c r="D3448" i="2"/>
  <c r="C3448" i="2"/>
  <c r="B3448" i="2"/>
  <c r="A3448" i="2"/>
  <c r="H3447" i="2"/>
  <c r="G3447" i="2"/>
  <c r="F3447" i="2"/>
  <c r="E3447" i="2"/>
  <c r="D3447" i="2"/>
  <c r="C3447" i="2"/>
  <c r="B3447" i="2"/>
  <c r="A3447" i="2"/>
  <c r="H3446" i="2"/>
  <c r="G3446" i="2"/>
  <c r="F3446" i="2"/>
  <c r="E3446" i="2"/>
  <c r="D3446" i="2"/>
  <c r="C3446" i="2"/>
  <c r="B3446" i="2"/>
  <c r="A3446" i="2"/>
  <c r="H3445" i="2"/>
  <c r="G3445" i="2"/>
  <c r="F3445" i="2"/>
  <c r="E3445" i="2"/>
  <c r="D3445" i="2"/>
  <c r="C3445" i="2"/>
  <c r="B3445" i="2"/>
  <c r="A3445" i="2"/>
  <c r="H3444" i="2"/>
  <c r="G3444" i="2"/>
  <c r="F3444" i="2"/>
  <c r="E3444" i="2"/>
  <c r="D3444" i="2"/>
  <c r="C3444" i="2"/>
  <c r="B3444" i="2"/>
  <c r="A3444" i="2"/>
  <c r="H3443" i="2"/>
  <c r="G3443" i="2"/>
  <c r="F3443" i="2"/>
  <c r="E3443" i="2"/>
  <c r="D3443" i="2"/>
  <c r="C3443" i="2"/>
  <c r="B3443" i="2"/>
  <c r="A3443" i="2"/>
  <c r="H3442" i="2"/>
  <c r="G3442" i="2"/>
  <c r="F3442" i="2"/>
  <c r="E3442" i="2"/>
  <c r="D3442" i="2"/>
  <c r="C3442" i="2"/>
  <c r="B3442" i="2"/>
  <c r="A3442" i="2"/>
  <c r="H3441" i="2"/>
  <c r="G3441" i="2"/>
  <c r="F3441" i="2"/>
  <c r="E3441" i="2"/>
  <c r="D3441" i="2"/>
  <c r="C3441" i="2"/>
  <c r="B3441" i="2"/>
  <c r="A3441" i="2"/>
  <c r="H3440" i="2"/>
  <c r="G3440" i="2"/>
  <c r="F3440" i="2"/>
  <c r="E3440" i="2"/>
  <c r="D3440" i="2"/>
  <c r="C3440" i="2"/>
  <c r="B3440" i="2"/>
  <c r="A3440" i="2"/>
  <c r="H3439" i="2"/>
  <c r="G3439" i="2"/>
  <c r="F3439" i="2"/>
  <c r="E3439" i="2"/>
  <c r="D3439" i="2"/>
  <c r="C3439" i="2"/>
  <c r="B3439" i="2"/>
  <c r="A3439" i="2"/>
  <c r="H3438" i="2"/>
  <c r="G3438" i="2"/>
  <c r="F3438" i="2"/>
  <c r="E3438" i="2"/>
  <c r="D3438" i="2"/>
  <c r="C3438" i="2"/>
  <c r="B3438" i="2"/>
  <c r="A3438" i="2"/>
  <c r="H3437" i="2"/>
  <c r="G3437" i="2"/>
  <c r="F3437" i="2"/>
  <c r="E3437" i="2"/>
  <c r="D3437" i="2"/>
  <c r="C3437" i="2"/>
  <c r="B3437" i="2"/>
  <c r="A3437" i="2"/>
  <c r="H3436" i="2"/>
  <c r="G3436" i="2"/>
  <c r="F3436" i="2"/>
  <c r="E3436" i="2"/>
  <c r="D3436" i="2"/>
  <c r="C3436" i="2"/>
  <c r="B3436" i="2"/>
  <c r="A3436" i="2"/>
  <c r="H3435" i="2"/>
  <c r="G3435" i="2"/>
  <c r="F3435" i="2"/>
  <c r="E3435" i="2"/>
  <c r="D3435" i="2"/>
  <c r="C3435" i="2"/>
  <c r="B3435" i="2"/>
  <c r="A3435" i="2"/>
  <c r="H3434" i="2"/>
  <c r="G3434" i="2"/>
  <c r="F3434" i="2"/>
  <c r="E3434" i="2"/>
  <c r="D3434" i="2"/>
  <c r="C3434" i="2"/>
  <c r="B3434" i="2"/>
  <c r="A3434" i="2"/>
  <c r="H3433" i="2"/>
  <c r="G3433" i="2"/>
  <c r="F3433" i="2"/>
  <c r="E3433" i="2"/>
  <c r="D3433" i="2"/>
  <c r="C3433" i="2"/>
  <c r="B3433" i="2"/>
  <c r="A3433" i="2"/>
  <c r="H3432" i="2"/>
  <c r="G3432" i="2"/>
  <c r="F3432" i="2"/>
  <c r="E3432" i="2"/>
  <c r="D3432" i="2"/>
  <c r="C3432" i="2"/>
  <c r="B3432" i="2"/>
  <c r="A3432" i="2"/>
  <c r="H3431" i="2"/>
  <c r="G3431" i="2"/>
  <c r="F3431" i="2"/>
  <c r="E3431" i="2"/>
  <c r="D3431" i="2"/>
  <c r="C3431" i="2"/>
  <c r="B3431" i="2"/>
  <c r="A3431" i="2"/>
  <c r="H3430" i="2"/>
  <c r="G3430" i="2"/>
  <c r="F3430" i="2"/>
  <c r="E3430" i="2"/>
  <c r="D3430" i="2"/>
  <c r="C3430" i="2"/>
  <c r="B3430" i="2"/>
  <c r="A3430" i="2"/>
  <c r="H3429" i="2"/>
  <c r="G3429" i="2"/>
  <c r="F3429" i="2"/>
  <c r="E3429" i="2"/>
  <c r="D3429" i="2"/>
  <c r="C3429" i="2"/>
  <c r="B3429" i="2"/>
  <c r="A3429" i="2"/>
  <c r="H3428" i="2"/>
  <c r="G3428" i="2"/>
  <c r="F3428" i="2"/>
  <c r="E3428" i="2"/>
  <c r="D3428" i="2"/>
  <c r="C3428" i="2"/>
  <c r="B3428" i="2"/>
  <c r="A3428" i="2"/>
  <c r="H3427" i="2"/>
  <c r="G3427" i="2"/>
  <c r="F3427" i="2"/>
  <c r="E3427" i="2"/>
  <c r="D3427" i="2"/>
  <c r="C3427" i="2"/>
  <c r="B3427" i="2"/>
  <c r="A3427" i="2"/>
  <c r="H3426" i="2"/>
  <c r="G3426" i="2"/>
  <c r="F3426" i="2"/>
  <c r="E3426" i="2"/>
  <c r="D3426" i="2"/>
  <c r="C3426" i="2"/>
  <c r="B3426" i="2"/>
  <c r="A3426" i="2"/>
  <c r="H3425" i="2"/>
  <c r="G3425" i="2"/>
  <c r="F3425" i="2"/>
  <c r="E3425" i="2"/>
  <c r="D3425" i="2"/>
  <c r="C3425" i="2"/>
  <c r="B3425" i="2"/>
  <c r="A3425" i="2"/>
  <c r="H3424" i="2"/>
  <c r="G3424" i="2"/>
  <c r="F3424" i="2"/>
  <c r="E3424" i="2"/>
  <c r="D3424" i="2"/>
  <c r="C3424" i="2"/>
  <c r="B3424" i="2"/>
  <c r="A3424" i="2"/>
  <c r="H3423" i="2"/>
  <c r="G3423" i="2"/>
  <c r="F3423" i="2"/>
  <c r="E3423" i="2"/>
  <c r="D3423" i="2"/>
  <c r="C3423" i="2"/>
  <c r="B3423" i="2"/>
  <c r="A3423" i="2"/>
  <c r="H3422" i="2"/>
  <c r="G3422" i="2"/>
  <c r="F3422" i="2"/>
  <c r="E3422" i="2"/>
  <c r="D3422" i="2"/>
  <c r="C3422" i="2"/>
  <c r="B3422" i="2"/>
  <c r="A3422" i="2"/>
  <c r="H3421" i="2"/>
  <c r="G3421" i="2"/>
  <c r="F3421" i="2"/>
  <c r="E3421" i="2"/>
  <c r="D3421" i="2"/>
  <c r="C3421" i="2"/>
  <c r="B3421" i="2"/>
  <c r="A3421" i="2"/>
  <c r="H3420" i="2"/>
  <c r="G3420" i="2"/>
  <c r="F3420" i="2"/>
  <c r="E3420" i="2"/>
  <c r="D3420" i="2"/>
  <c r="C3420" i="2"/>
  <c r="B3420" i="2"/>
  <c r="A3420" i="2"/>
  <c r="H3419" i="2"/>
  <c r="G3419" i="2"/>
  <c r="F3419" i="2"/>
  <c r="E3419" i="2"/>
  <c r="D3419" i="2"/>
  <c r="C3419" i="2"/>
  <c r="B3419" i="2"/>
  <c r="A3419" i="2"/>
  <c r="H3418" i="2"/>
  <c r="G3418" i="2"/>
  <c r="F3418" i="2"/>
  <c r="E3418" i="2"/>
  <c r="D3418" i="2"/>
  <c r="C3418" i="2"/>
  <c r="B3418" i="2"/>
  <c r="A3418" i="2"/>
  <c r="H3417" i="2"/>
  <c r="G3417" i="2"/>
  <c r="F3417" i="2"/>
  <c r="E3417" i="2"/>
  <c r="D3417" i="2"/>
  <c r="C3417" i="2"/>
  <c r="B3417" i="2"/>
  <c r="A3417" i="2"/>
  <c r="H3416" i="2"/>
  <c r="G3416" i="2"/>
  <c r="F3416" i="2"/>
  <c r="E3416" i="2"/>
  <c r="D3416" i="2"/>
  <c r="C3416" i="2"/>
  <c r="B3416" i="2"/>
  <c r="A3416" i="2"/>
  <c r="H3415" i="2"/>
  <c r="G3415" i="2"/>
  <c r="F3415" i="2"/>
  <c r="E3415" i="2"/>
  <c r="D3415" i="2"/>
  <c r="C3415" i="2"/>
  <c r="B3415" i="2"/>
  <c r="A3415" i="2"/>
  <c r="H3414" i="2"/>
  <c r="G3414" i="2"/>
  <c r="F3414" i="2"/>
  <c r="E3414" i="2"/>
  <c r="D3414" i="2"/>
  <c r="C3414" i="2"/>
  <c r="B3414" i="2"/>
  <c r="A3414" i="2"/>
  <c r="H3413" i="2"/>
  <c r="G3413" i="2"/>
  <c r="F3413" i="2"/>
  <c r="E3413" i="2"/>
  <c r="D3413" i="2"/>
  <c r="C3413" i="2"/>
  <c r="B3413" i="2"/>
  <c r="A3413" i="2"/>
  <c r="H3412" i="2"/>
  <c r="G3412" i="2"/>
  <c r="F3412" i="2"/>
  <c r="E3412" i="2"/>
  <c r="D3412" i="2"/>
  <c r="C3412" i="2"/>
  <c r="B3412" i="2"/>
  <c r="A3412" i="2"/>
  <c r="H3411" i="2"/>
  <c r="G3411" i="2"/>
  <c r="F3411" i="2"/>
  <c r="E3411" i="2"/>
  <c r="D3411" i="2"/>
  <c r="C3411" i="2"/>
  <c r="B3411" i="2"/>
  <c r="A3411" i="2"/>
  <c r="H3410" i="2"/>
  <c r="G3410" i="2"/>
  <c r="F3410" i="2"/>
  <c r="E3410" i="2"/>
  <c r="D3410" i="2"/>
  <c r="C3410" i="2"/>
  <c r="B3410" i="2"/>
  <c r="A3410" i="2"/>
  <c r="H3409" i="2"/>
  <c r="G3409" i="2"/>
  <c r="F3409" i="2"/>
  <c r="E3409" i="2"/>
  <c r="D3409" i="2"/>
  <c r="C3409" i="2"/>
  <c r="B3409" i="2"/>
  <c r="A3409" i="2"/>
  <c r="H3408" i="2"/>
  <c r="G3408" i="2"/>
  <c r="F3408" i="2"/>
  <c r="E3408" i="2"/>
  <c r="D3408" i="2"/>
  <c r="C3408" i="2"/>
  <c r="B3408" i="2"/>
  <c r="A3408" i="2"/>
  <c r="H3407" i="2"/>
  <c r="G3407" i="2"/>
  <c r="F3407" i="2"/>
  <c r="E3407" i="2"/>
  <c r="D3407" i="2"/>
  <c r="C3407" i="2"/>
  <c r="B3407" i="2"/>
  <c r="A3407" i="2"/>
  <c r="H3406" i="2"/>
  <c r="G3406" i="2"/>
  <c r="F3406" i="2"/>
  <c r="E3406" i="2"/>
  <c r="D3406" i="2"/>
  <c r="C3406" i="2"/>
  <c r="B3406" i="2"/>
  <c r="A3406" i="2"/>
  <c r="H3405" i="2"/>
  <c r="G3405" i="2"/>
  <c r="F3405" i="2"/>
  <c r="E3405" i="2"/>
  <c r="D3405" i="2"/>
  <c r="C3405" i="2"/>
  <c r="B3405" i="2"/>
  <c r="A3405" i="2"/>
  <c r="H3404" i="2"/>
  <c r="G3404" i="2"/>
  <c r="F3404" i="2"/>
  <c r="E3404" i="2"/>
  <c r="D3404" i="2"/>
  <c r="C3404" i="2"/>
  <c r="B3404" i="2"/>
  <c r="A3404" i="2"/>
  <c r="H3403" i="2"/>
  <c r="G3403" i="2"/>
  <c r="F3403" i="2"/>
  <c r="E3403" i="2"/>
  <c r="D3403" i="2"/>
  <c r="C3403" i="2"/>
  <c r="B3403" i="2"/>
  <c r="A3403" i="2"/>
  <c r="H3402" i="2"/>
  <c r="G3402" i="2"/>
  <c r="F3402" i="2"/>
  <c r="E3402" i="2"/>
  <c r="D3402" i="2"/>
  <c r="C3402" i="2"/>
  <c r="B3402" i="2"/>
  <c r="A3402" i="2"/>
  <c r="H3401" i="2"/>
  <c r="G3401" i="2"/>
  <c r="F3401" i="2"/>
  <c r="E3401" i="2"/>
  <c r="D3401" i="2"/>
  <c r="C3401" i="2"/>
  <c r="B3401" i="2"/>
  <c r="A3401" i="2"/>
  <c r="H3400" i="2"/>
  <c r="G3400" i="2"/>
  <c r="F3400" i="2"/>
  <c r="E3400" i="2"/>
  <c r="D3400" i="2"/>
  <c r="C3400" i="2"/>
  <c r="B3400" i="2"/>
  <c r="A3400" i="2"/>
  <c r="H3399" i="2"/>
  <c r="G3399" i="2"/>
  <c r="F3399" i="2"/>
  <c r="E3399" i="2"/>
  <c r="D3399" i="2"/>
  <c r="C3399" i="2"/>
  <c r="B3399" i="2"/>
  <c r="A3399" i="2"/>
  <c r="H3398" i="2"/>
  <c r="G3398" i="2"/>
  <c r="F3398" i="2"/>
  <c r="E3398" i="2"/>
  <c r="D3398" i="2"/>
  <c r="C3398" i="2"/>
  <c r="B3398" i="2"/>
  <c r="A3398" i="2"/>
  <c r="H3397" i="2"/>
  <c r="G3397" i="2"/>
  <c r="F3397" i="2"/>
  <c r="E3397" i="2"/>
  <c r="D3397" i="2"/>
  <c r="C3397" i="2"/>
  <c r="B3397" i="2"/>
  <c r="A3397" i="2"/>
  <c r="H3396" i="2"/>
  <c r="G3396" i="2"/>
  <c r="F3396" i="2"/>
  <c r="E3396" i="2"/>
  <c r="D3396" i="2"/>
  <c r="C3396" i="2"/>
  <c r="B3396" i="2"/>
  <c r="A3396" i="2"/>
  <c r="H3395" i="2"/>
  <c r="G3395" i="2"/>
  <c r="F3395" i="2"/>
  <c r="E3395" i="2"/>
  <c r="D3395" i="2"/>
  <c r="C3395" i="2"/>
  <c r="B3395" i="2"/>
  <c r="A3395" i="2"/>
  <c r="H3394" i="2"/>
  <c r="G3394" i="2"/>
  <c r="F3394" i="2"/>
  <c r="E3394" i="2"/>
  <c r="D3394" i="2"/>
  <c r="C3394" i="2"/>
  <c r="B3394" i="2"/>
  <c r="A3394" i="2"/>
  <c r="H3393" i="2"/>
  <c r="G3393" i="2"/>
  <c r="F3393" i="2"/>
  <c r="E3393" i="2"/>
  <c r="D3393" i="2"/>
  <c r="C3393" i="2"/>
  <c r="B3393" i="2"/>
  <c r="A3393" i="2"/>
  <c r="H3392" i="2"/>
  <c r="G3392" i="2"/>
  <c r="F3392" i="2"/>
  <c r="E3392" i="2"/>
  <c r="D3392" i="2"/>
  <c r="C3392" i="2"/>
  <c r="B3392" i="2"/>
  <c r="A3392" i="2"/>
  <c r="H3391" i="2"/>
  <c r="G3391" i="2"/>
  <c r="F3391" i="2"/>
  <c r="E3391" i="2"/>
  <c r="D3391" i="2"/>
  <c r="C3391" i="2"/>
  <c r="B3391" i="2"/>
  <c r="A3391" i="2"/>
  <c r="H3390" i="2"/>
  <c r="G3390" i="2"/>
  <c r="F3390" i="2"/>
  <c r="E3390" i="2"/>
  <c r="D3390" i="2"/>
  <c r="C3390" i="2"/>
  <c r="B3390" i="2"/>
  <c r="A3390" i="2"/>
  <c r="H3389" i="2"/>
  <c r="G3389" i="2"/>
  <c r="F3389" i="2"/>
  <c r="E3389" i="2"/>
  <c r="D3389" i="2"/>
  <c r="C3389" i="2"/>
  <c r="B3389" i="2"/>
  <c r="A3389" i="2"/>
  <c r="H3388" i="2"/>
  <c r="G3388" i="2"/>
  <c r="F3388" i="2"/>
  <c r="E3388" i="2"/>
  <c r="D3388" i="2"/>
  <c r="C3388" i="2"/>
  <c r="B3388" i="2"/>
  <c r="A3388" i="2"/>
  <c r="H3387" i="2"/>
  <c r="G3387" i="2"/>
  <c r="F3387" i="2"/>
  <c r="E3387" i="2"/>
  <c r="D3387" i="2"/>
  <c r="C3387" i="2"/>
  <c r="B3387" i="2"/>
  <c r="A3387" i="2"/>
  <c r="H3386" i="2"/>
  <c r="G3386" i="2"/>
  <c r="F3386" i="2"/>
  <c r="E3386" i="2"/>
  <c r="D3386" i="2"/>
  <c r="C3386" i="2"/>
  <c r="B3386" i="2"/>
  <c r="A3386" i="2"/>
  <c r="H3385" i="2"/>
  <c r="G3385" i="2"/>
  <c r="F3385" i="2"/>
  <c r="E3385" i="2"/>
  <c r="D3385" i="2"/>
  <c r="C3385" i="2"/>
  <c r="B3385" i="2"/>
  <c r="A3385" i="2"/>
  <c r="H3384" i="2"/>
  <c r="G3384" i="2"/>
  <c r="F3384" i="2"/>
  <c r="E3384" i="2"/>
  <c r="D3384" i="2"/>
  <c r="C3384" i="2"/>
  <c r="B3384" i="2"/>
  <c r="A3384" i="2"/>
  <c r="H3383" i="2"/>
  <c r="G3383" i="2"/>
  <c r="F3383" i="2"/>
  <c r="E3383" i="2"/>
  <c r="D3383" i="2"/>
  <c r="C3383" i="2"/>
  <c r="B3383" i="2"/>
  <c r="A3383" i="2"/>
  <c r="H3382" i="2"/>
  <c r="G3382" i="2"/>
  <c r="F3382" i="2"/>
  <c r="E3382" i="2"/>
  <c r="D3382" i="2"/>
  <c r="C3382" i="2"/>
  <c r="B3382" i="2"/>
  <c r="A3382" i="2"/>
  <c r="H3381" i="2"/>
  <c r="G3381" i="2"/>
  <c r="F3381" i="2"/>
  <c r="E3381" i="2"/>
  <c r="D3381" i="2"/>
  <c r="C3381" i="2"/>
  <c r="B3381" i="2"/>
  <c r="A3381" i="2"/>
  <c r="H3380" i="2"/>
  <c r="G3380" i="2"/>
  <c r="F3380" i="2"/>
  <c r="E3380" i="2"/>
  <c r="D3380" i="2"/>
  <c r="C3380" i="2"/>
  <c r="B3380" i="2"/>
  <c r="A3380" i="2"/>
  <c r="H3379" i="2"/>
  <c r="G3379" i="2"/>
  <c r="F3379" i="2"/>
  <c r="E3379" i="2"/>
  <c r="D3379" i="2"/>
  <c r="C3379" i="2"/>
  <c r="B3379" i="2"/>
  <c r="A3379" i="2"/>
  <c r="H3378" i="2"/>
  <c r="G3378" i="2"/>
  <c r="F3378" i="2"/>
  <c r="E3378" i="2"/>
  <c r="D3378" i="2"/>
  <c r="C3378" i="2"/>
  <c r="B3378" i="2"/>
  <c r="A3378" i="2"/>
  <c r="H3377" i="2"/>
  <c r="G3377" i="2"/>
  <c r="F3377" i="2"/>
  <c r="E3377" i="2"/>
  <c r="D3377" i="2"/>
  <c r="C3377" i="2"/>
  <c r="B3377" i="2"/>
  <c r="A3377" i="2"/>
  <c r="H3376" i="2"/>
  <c r="G3376" i="2"/>
  <c r="F3376" i="2"/>
  <c r="E3376" i="2"/>
  <c r="D3376" i="2"/>
  <c r="C3376" i="2"/>
  <c r="B3376" i="2"/>
  <c r="A3376" i="2"/>
  <c r="H3375" i="2"/>
  <c r="G3375" i="2"/>
  <c r="F3375" i="2"/>
  <c r="E3375" i="2"/>
  <c r="D3375" i="2"/>
  <c r="C3375" i="2"/>
  <c r="B3375" i="2"/>
  <c r="A3375" i="2"/>
  <c r="H3374" i="2"/>
  <c r="G3374" i="2"/>
  <c r="F3374" i="2"/>
  <c r="E3374" i="2"/>
  <c r="D3374" i="2"/>
  <c r="C3374" i="2"/>
  <c r="B3374" i="2"/>
  <c r="A3374" i="2"/>
  <c r="H3373" i="2"/>
  <c r="G3373" i="2"/>
  <c r="F3373" i="2"/>
  <c r="E3373" i="2"/>
  <c r="D3373" i="2"/>
  <c r="C3373" i="2"/>
  <c r="B3373" i="2"/>
  <c r="A3373" i="2"/>
  <c r="H3372" i="2"/>
  <c r="G3372" i="2"/>
  <c r="F3372" i="2"/>
  <c r="E3372" i="2"/>
  <c r="D3372" i="2"/>
  <c r="C3372" i="2"/>
  <c r="B3372" i="2"/>
  <c r="A3372" i="2"/>
  <c r="H3371" i="2"/>
  <c r="G3371" i="2"/>
  <c r="F3371" i="2"/>
  <c r="E3371" i="2"/>
  <c r="D3371" i="2"/>
  <c r="C3371" i="2"/>
  <c r="B3371" i="2"/>
  <c r="A3371" i="2"/>
  <c r="H3370" i="2"/>
  <c r="G3370" i="2"/>
  <c r="F3370" i="2"/>
  <c r="E3370" i="2"/>
  <c r="D3370" i="2"/>
  <c r="C3370" i="2"/>
  <c r="B3370" i="2"/>
  <c r="A3370" i="2"/>
  <c r="H3369" i="2"/>
  <c r="G3369" i="2"/>
  <c r="F3369" i="2"/>
  <c r="E3369" i="2"/>
  <c r="D3369" i="2"/>
  <c r="C3369" i="2"/>
  <c r="B3369" i="2"/>
  <c r="A3369" i="2"/>
  <c r="H3368" i="2"/>
  <c r="G3368" i="2"/>
  <c r="F3368" i="2"/>
  <c r="E3368" i="2"/>
  <c r="D3368" i="2"/>
  <c r="C3368" i="2"/>
  <c r="B3368" i="2"/>
  <c r="A3368" i="2"/>
  <c r="H3367" i="2"/>
  <c r="G3367" i="2"/>
  <c r="F3367" i="2"/>
  <c r="E3367" i="2"/>
  <c r="D3367" i="2"/>
  <c r="C3367" i="2"/>
  <c r="B3367" i="2"/>
  <c r="A3367" i="2"/>
  <c r="H3366" i="2"/>
  <c r="G3366" i="2"/>
  <c r="F3366" i="2"/>
  <c r="E3366" i="2"/>
  <c r="D3366" i="2"/>
  <c r="C3366" i="2"/>
  <c r="B3366" i="2"/>
  <c r="A3366" i="2"/>
  <c r="H3365" i="2"/>
  <c r="G3365" i="2"/>
  <c r="F3365" i="2"/>
  <c r="E3365" i="2"/>
  <c r="D3365" i="2"/>
  <c r="C3365" i="2"/>
  <c r="B3365" i="2"/>
  <c r="A3365" i="2"/>
  <c r="H3364" i="2"/>
  <c r="G3364" i="2"/>
  <c r="F3364" i="2"/>
  <c r="E3364" i="2"/>
  <c r="D3364" i="2"/>
  <c r="C3364" i="2"/>
  <c r="B3364" i="2"/>
  <c r="A3364" i="2"/>
  <c r="H3363" i="2"/>
  <c r="G3363" i="2"/>
  <c r="F3363" i="2"/>
  <c r="E3363" i="2"/>
  <c r="D3363" i="2"/>
  <c r="C3363" i="2"/>
  <c r="B3363" i="2"/>
  <c r="A3363" i="2"/>
  <c r="H3362" i="2"/>
  <c r="G3362" i="2"/>
  <c r="F3362" i="2"/>
  <c r="E3362" i="2"/>
  <c r="D3362" i="2"/>
  <c r="C3362" i="2"/>
  <c r="B3362" i="2"/>
  <c r="A3362" i="2"/>
  <c r="H3361" i="2"/>
  <c r="G3361" i="2"/>
  <c r="F3361" i="2"/>
  <c r="E3361" i="2"/>
  <c r="D3361" i="2"/>
  <c r="C3361" i="2"/>
  <c r="B3361" i="2"/>
  <c r="A3361" i="2"/>
  <c r="H3360" i="2"/>
  <c r="G3360" i="2"/>
  <c r="F3360" i="2"/>
  <c r="E3360" i="2"/>
  <c r="D3360" i="2"/>
  <c r="C3360" i="2"/>
  <c r="B3360" i="2"/>
  <c r="A3360" i="2"/>
  <c r="H3359" i="2"/>
  <c r="G3359" i="2"/>
  <c r="F3359" i="2"/>
  <c r="E3359" i="2"/>
  <c r="D3359" i="2"/>
  <c r="C3359" i="2"/>
  <c r="B3359" i="2"/>
  <c r="A3359" i="2"/>
  <c r="H3358" i="2"/>
  <c r="G3358" i="2"/>
  <c r="F3358" i="2"/>
  <c r="E3358" i="2"/>
  <c r="D3358" i="2"/>
  <c r="C3358" i="2"/>
  <c r="B3358" i="2"/>
  <c r="A3358" i="2"/>
  <c r="H3357" i="2"/>
  <c r="G3357" i="2"/>
  <c r="F3357" i="2"/>
  <c r="E3357" i="2"/>
  <c r="D3357" i="2"/>
  <c r="C3357" i="2"/>
  <c r="B3357" i="2"/>
  <c r="A3357" i="2"/>
  <c r="H3356" i="2"/>
  <c r="G3356" i="2"/>
  <c r="F3356" i="2"/>
  <c r="E3356" i="2"/>
  <c r="D3356" i="2"/>
  <c r="C3356" i="2"/>
  <c r="B3356" i="2"/>
  <c r="A3356" i="2"/>
  <c r="H3355" i="2"/>
  <c r="G3355" i="2"/>
  <c r="F3355" i="2"/>
  <c r="E3355" i="2"/>
  <c r="D3355" i="2"/>
  <c r="C3355" i="2"/>
  <c r="B3355" i="2"/>
  <c r="A3355" i="2"/>
  <c r="H3354" i="2"/>
  <c r="G3354" i="2"/>
  <c r="F3354" i="2"/>
  <c r="E3354" i="2"/>
  <c r="D3354" i="2"/>
  <c r="C3354" i="2"/>
  <c r="B3354" i="2"/>
  <c r="A3354" i="2"/>
  <c r="H3353" i="2"/>
  <c r="G3353" i="2"/>
  <c r="F3353" i="2"/>
  <c r="E3353" i="2"/>
  <c r="D3353" i="2"/>
  <c r="C3353" i="2"/>
  <c r="B3353" i="2"/>
  <c r="A3353" i="2"/>
  <c r="H3352" i="2"/>
  <c r="G3352" i="2"/>
  <c r="F3352" i="2"/>
  <c r="E3352" i="2"/>
  <c r="D3352" i="2"/>
  <c r="C3352" i="2"/>
  <c r="B3352" i="2"/>
  <c r="A3352" i="2"/>
  <c r="H3351" i="2"/>
  <c r="G3351" i="2"/>
  <c r="F3351" i="2"/>
  <c r="E3351" i="2"/>
  <c r="D3351" i="2"/>
  <c r="C3351" i="2"/>
  <c r="B3351" i="2"/>
  <c r="A3351" i="2"/>
  <c r="H3350" i="2"/>
  <c r="G3350" i="2"/>
  <c r="F3350" i="2"/>
  <c r="E3350" i="2"/>
  <c r="D3350" i="2"/>
  <c r="C3350" i="2"/>
  <c r="B3350" i="2"/>
  <c r="A3350" i="2"/>
  <c r="H3349" i="2"/>
  <c r="G3349" i="2"/>
  <c r="F3349" i="2"/>
  <c r="E3349" i="2"/>
  <c r="D3349" i="2"/>
  <c r="C3349" i="2"/>
  <c r="B3349" i="2"/>
  <c r="A3349" i="2"/>
  <c r="H3348" i="2"/>
  <c r="G3348" i="2"/>
  <c r="F3348" i="2"/>
  <c r="E3348" i="2"/>
  <c r="D3348" i="2"/>
  <c r="C3348" i="2"/>
  <c r="B3348" i="2"/>
  <c r="A3348" i="2"/>
  <c r="H3347" i="2"/>
  <c r="G3347" i="2"/>
  <c r="F3347" i="2"/>
  <c r="E3347" i="2"/>
  <c r="D3347" i="2"/>
  <c r="C3347" i="2"/>
  <c r="B3347" i="2"/>
  <c r="A3347" i="2"/>
  <c r="H3346" i="2"/>
  <c r="G3346" i="2"/>
  <c r="F3346" i="2"/>
  <c r="E3346" i="2"/>
  <c r="D3346" i="2"/>
  <c r="C3346" i="2"/>
  <c r="B3346" i="2"/>
  <c r="A3346" i="2"/>
  <c r="H3345" i="2"/>
  <c r="G3345" i="2"/>
  <c r="F3345" i="2"/>
  <c r="E3345" i="2"/>
  <c r="D3345" i="2"/>
  <c r="C3345" i="2"/>
  <c r="B3345" i="2"/>
  <c r="A3345" i="2"/>
  <c r="H3344" i="2"/>
  <c r="G3344" i="2"/>
  <c r="F3344" i="2"/>
  <c r="E3344" i="2"/>
  <c r="D3344" i="2"/>
  <c r="C3344" i="2"/>
  <c r="B3344" i="2"/>
  <c r="A3344" i="2"/>
  <c r="H3343" i="2"/>
  <c r="G3343" i="2"/>
  <c r="F3343" i="2"/>
  <c r="E3343" i="2"/>
  <c r="D3343" i="2"/>
  <c r="C3343" i="2"/>
  <c r="B3343" i="2"/>
  <c r="A3343" i="2"/>
  <c r="H3342" i="2"/>
  <c r="G3342" i="2"/>
  <c r="F3342" i="2"/>
  <c r="E3342" i="2"/>
  <c r="D3342" i="2"/>
  <c r="C3342" i="2"/>
  <c r="B3342" i="2"/>
  <c r="A3342" i="2"/>
  <c r="H3341" i="2"/>
  <c r="G3341" i="2"/>
  <c r="F3341" i="2"/>
  <c r="E3341" i="2"/>
  <c r="D3341" i="2"/>
  <c r="C3341" i="2"/>
  <c r="B3341" i="2"/>
  <c r="A3341" i="2"/>
  <c r="H3340" i="2"/>
  <c r="G3340" i="2"/>
  <c r="F3340" i="2"/>
  <c r="E3340" i="2"/>
  <c r="D3340" i="2"/>
  <c r="C3340" i="2"/>
  <c r="B3340" i="2"/>
  <c r="A3340" i="2"/>
  <c r="H3339" i="2"/>
  <c r="G3339" i="2"/>
  <c r="F3339" i="2"/>
  <c r="E3339" i="2"/>
  <c r="D3339" i="2"/>
  <c r="C3339" i="2"/>
  <c r="B3339" i="2"/>
  <c r="A3339" i="2"/>
  <c r="H3338" i="2"/>
  <c r="G3338" i="2"/>
  <c r="F3338" i="2"/>
  <c r="E3338" i="2"/>
  <c r="D3338" i="2"/>
  <c r="C3338" i="2"/>
  <c r="B3338" i="2"/>
  <c r="A3338" i="2"/>
  <c r="H3337" i="2"/>
  <c r="G3337" i="2"/>
  <c r="F3337" i="2"/>
  <c r="E3337" i="2"/>
  <c r="D3337" i="2"/>
  <c r="C3337" i="2"/>
  <c r="B3337" i="2"/>
  <c r="A3337" i="2"/>
  <c r="H3336" i="2"/>
  <c r="G3336" i="2"/>
  <c r="F3336" i="2"/>
  <c r="E3336" i="2"/>
  <c r="D3336" i="2"/>
  <c r="C3336" i="2"/>
  <c r="B3336" i="2"/>
  <c r="A3336" i="2"/>
  <c r="H3335" i="2"/>
  <c r="G3335" i="2"/>
  <c r="F3335" i="2"/>
  <c r="E3335" i="2"/>
  <c r="D3335" i="2"/>
  <c r="C3335" i="2"/>
  <c r="B3335" i="2"/>
  <c r="A3335" i="2"/>
  <c r="H3334" i="2"/>
  <c r="G3334" i="2"/>
  <c r="F3334" i="2"/>
  <c r="E3334" i="2"/>
  <c r="D3334" i="2"/>
  <c r="C3334" i="2"/>
  <c r="B3334" i="2"/>
  <c r="A3334" i="2"/>
  <c r="H3333" i="2"/>
  <c r="G3333" i="2"/>
  <c r="F3333" i="2"/>
  <c r="E3333" i="2"/>
  <c r="D3333" i="2"/>
  <c r="C3333" i="2"/>
  <c r="B3333" i="2"/>
  <c r="A3333" i="2"/>
  <c r="H3332" i="2"/>
  <c r="G3332" i="2"/>
  <c r="F3332" i="2"/>
  <c r="E3332" i="2"/>
  <c r="D3332" i="2"/>
  <c r="C3332" i="2"/>
  <c r="B3332" i="2"/>
  <c r="A3332" i="2"/>
  <c r="H3331" i="2"/>
  <c r="G3331" i="2"/>
  <c r="F3331" i="2"/>
  <c r="E3331" i="2"/>
  <c r="D3331" i="2"/>
  <c r="C3331" i="2"/>
  <c r="B3331" i="2"/>
  <c r="A3331" i="2"/>
  <c r="H3330" i="2"/>
  <c r="G3330" i="2"/>
  <c r="F3330" i="2"/>
  <c r="E3330" i="2"/>
  <c r="D3330" i="2"/>
  <c r="C3330" i="2"/>
  <c r="B3330" i="2"/>
  <c r="A3330" i="2"/>
  <c r="H3329" i="2"/>
  <c r="G3329" i="2"/>
  <c r="F3329" i="2"/>
  <c r="E3329" i="2"/>
  <c r="D3329" i="2"/>
  <c r="C3329" i="2"/>
  <c r="B3329" i="2"/>
  <c r="A3329" i="2"/>
  <c r="H3328" i="2"/>
  <c r="G3328" i="2"/>
  <c r="F3328" i="2"/>
  <c r="E3328" i="2"/>
  <c r="D3328" i="2"/>
  <c r="C3328" i="2"/>
  <c r="B3328" i="2"/>
  <c r="A3328" i="2"/>
  <c r="H3327" i="2"/>
  <c r="G3327" i="2"/>
  <c r="F3327" i="2"/>
  <c r="E3327" i="2"/>
  <c r="D3327" i="2"/>
  <c r="C3327" i="2"/>
  <c r="B3327" i="2"/>
  <c r="A3327" i="2"/>
  <c r="H3326" i="2"/>
  <c r="G3326" i="2"/>
  <c r="F3326" i="2"/>
  <c r="E3326" i="2"/>
  <c r="D3326" i="2"/>
  <c r="C3326" i="2"/>
  <c r="B3326" i="2"/>
  <c r="A3326" i="2"/>
  <c r="H3325" i="2"/>
  <c r="G3325" i="2"/>
  <c r="F3325" i="2"/>
  <c r="E3325" i="2"/>
  <c r="D3325" i="2"/>
  <c r="C3325" i="2"/>
  <c r="B3325" i="2"/>
  <c r="A3325" i="2"/>
  <c r="H3324" i="2"/>
  <c r="G3324" i="2"/>
  <c r="F3324" i="2"/>
  <c r="E3324" i="2"/>
  <c r="D3324" i="2"/>
  <c r="C3324" i="2"/>
  <c r="B3324" i="2"/>
  <c r="A3324" i="2"/>
  <c r="H3323" i="2"/>
  <c r="G3323" i="2"/>
  <c r="F3323" i="2"/>
  <c r="E3323" i="2"/>
  <c r="D3323" i="2"/>
  <c r="C3323" i="2"/>
  <c r="B3323" i="2"/>
  <c r="A3323" i="2"/>
  <c r="H3322" i="2"/>
  <c r="G3322" i="2"/>
  <c r="F3322" i="2"/>
  <c r="E3322" i="2"/>
  <c r="D3322" i="2"/>
  <c r="C3322" i="2"/>
  <c r="B3322" i="2"/>
  <c r="A3322" i="2"/>
  <c r="H3321" i="2"/>
  <c r="G3321" i="2"/>
  <c r="F3321" i="2"/>
  <c r="E3321" i="2"/>
  <c r="D3321" i="2"/>
  <c r="C3321" i="2"/>
  <c r="B3321" i="2"/>
  <c r="A3321" i="2"/>
  <c r="H3320" i="2"/>
  <c r="G3320" i="2"/>
  <c r="F3320" i="2"/>
  <c r="E3320" i="2"/>
  <c r="D3320" i="2"/>
  <c r="C3320" i="2"/>
  <c r="B3320" i="2"/>
  <c r="A3320" i="2"/>
  <c r="H3319" i="2"/>
  <c r="G3319" i="2"/>
  <c r="F3319" i="2"/>
  <c r="E3319" i="2"/>
  <c r="D3319" i="2"/>
  <c r="C3319" i="2"/>
  <c r="B3319" i="2"/>
  <c r="A3319" i="2"/>
  <c r="H3318" i="2"/>
  <c r="G3318" i="2"/>
  <c r="F3318" i="2"/>
  <c r="E3318" i="2"/>
  <c r="D3318" i="2"/>
  <c r="C3318" i="2"/>
  <c r="B3318" i="2"/>
  <c r="A3318" i="2"/>
  <c r="H3317" i="2"/>
  <c r="G3317" i="2"/>
  <c r="F3317" i="2"/>
  <c r="E3317" i="2"/>
  <c r="D3317" i="2"/>
  <c r="C3317" i="2"/>
  <c r="B3317" i="2"/>
  <c r="A3317" i="2"/>
  <c r="H3316" i="2"/>
  <c r="G3316" i="2"/>
  <c r="F3316" i="2"/>
  <c r="E3316" i="2"/>
  <c r="D3316" i="2"/>
  <c r="C3316" i="2"/>
  <c r="B3316" i="2"/>
  <c r="A3316" i="2"/>
  <c r="H3315" i="2"/>
  <c r="G3315" i="2"/>
  <c r="F3315" i="2"/>
  <c r="E3315" i="2"/>
  <c r="D3315" i="2"/>
  <c r="C3315" i="2"/>
  <c r="B3315" i="2"/>
  <c r="A3315" i="2"/>
  <c r="H3314" i="2"/>
  <c r="G3314" i="2"/>
  <c r="F3314" i="2"/>
  <c r="E3314" i="2"/>
  <c r="D3314" i="2"/>
  <c r="C3314" i="2"/>
  <c r="B3314" i="2"/>
  <c r="A3314" i="2"/>
  <c r="H3313" i="2"/>
  <c r="G3313" i="2"/>
  <c r="F3313" i="2"/>
  <c r="E3313" i="2"/>
  <c r="D3313" i="2"/>
  <c r="C3313" i="2"/>
  <c r="B3313" i="2"/>
  <c r="A3313" i="2"/>
  <c r="H3312" i="2"/>
  <c r="G3312" i="2"/>
  <c r="F3312" i="2"/>
  <c r="E3312" i="2"/>
  <c r="D3312" i="2"/>
  <c r="C3312" i="2"/>
  <c r="B3312" i="2"/>
  <c r="A3312" i="2"/>
  <c r="H3311" i="2"/>
  <c r="G3311" i="2"/>
  <c r="F3311" i="2"/>
  <c r="E3311" i="2"/>
  <c r="D3311" i="2"/>
  <c r="C3311" i="2"/>
  <c r="B3311" i="2"/>
  <c r="A3311" i="2"/>
  <c r="H3310" i="2"/>
  <c r="G3310" i="2"/>
  <c r="F3310" i="2"/>
  <c r="E3310" i="2"/>
  <c r="D3310" i="2"/>
  <c r="C3310" i="2"/>
  <c r="B3310" i="2"/>
  <c r="A3310" i="2"/>
  <c r="H3309" i="2"/>
  <c r="G3309" i="2"/>
  <c r="F3309" i="2"/>
  <c r="E3309" i="2"/>
  <c r="D3309" i="2"/>
  <c r="C3309" i="2"/>
  <c r="B3309" i="2"/>
  <c r="A3309" i="2"/>
  <c r="H3308" i="2"/>
  <c r="G3308" i="2"/>
  <c r="F3308" i="2"/>
  <c r="E3308" i="2"/>
  <c r="D3308" i="2"/>
  <c r="C3308" i="2"/>
  <c r="B3308" i="2"/>
  <c r="A3308" i="2"/>
  <c r="H3307" i="2"/>
  <c r="G3307" i="2"/>
  <c r="F3307" i="2"/>
  <c r="E3307" i="2"/>
  <c r="D3307" i="2"/>
  <c r="C3307" i="2"/>
  <c r="B3307" i="2"/>
  <c r="A3307" i="2"/>
  <c r="H3306" i="2"/>
  <c r="G3306" i="2"/>
  <c r="F3306" i="2"/>
  <c r="E3306" i="2"/>
  <c r="D3306" i="2"/>
  <c r="C3306" i="2"/>
  <c r="B3306" i="2"/>
  <c r="A3306" i="2"/>
  <c r="H3305" i="2"/>
  <c r="G3305" i="2"/>
  <c r="F3305" i="2"/>
  <c r="E3305" i="2"/>
  <c r="D3305" i="2"/>
  <c r="C3305" i="2"/>
  <c r="B3305" i="2"/>
  <c r="A3305" i="2"/>
  <c r="H3304" i="2"/>
  <c r="G3304" i="2"/>
  <c r="F3304" i="2"/>
  <c r="E3304" i="2"/>
  <c r="D3304" i="2"/>
  <c r="C3304" i="2"/>
  <c r="B3304" i="2"/>
  <c r="A3304" i="2"/>
  <c r="H3303" i="2"/>
  <c r="G3303" i="2"/>
  <c r="F3303" i="2"/>
  <c r="E3303" i="2"/>
  <c r="D3303" i="2"/>
  <c r="C3303" i="2"/>
  <c r="B3303" i="2"/>
  <c r="A3303" i="2"/>
  <c r="H3302" i="2"/>
  <c r="G3302" i="2"/>
  <c r="F3302" i="2"/>
  <c r="E3302" i="2"/>
  <c r="D3302" i="2"/>
  <c r="C3302" i="2"/>
  <c r="B3302" i="2"/>
  <c r="A3302" i="2"/>
  <c r="H3301" i="2"/>
  <c r="G3301" i="2"/>
  <c r="F3301" i="2"/>
  <c r="E3301" i="2"/>
  <c r="D3301" i="2"/>
  <c r="C3301" i="2"/>
  <c r="B3301" i="2"/>
  <c r="A3301" i="2"/>
  <c r="H3300" i="2"/>
  <c r="G3300" i="2"/>
  <c r="F3300" i="2"/>
  <c r="E3300" i="2"/>
  <c r="D3300" i="2"/>
  <c r="C3300" i="2"/>
  <c r="B3300" i="2"/>
  <c r="A3300" i="2"/>
  <c r="H3299" i="2"/>
  <c r="G3299" i="2"/>
  <c r="F3299" i="2"/>
  <c r="E3299" i="2"/>
  <c r="D3299" i="2"/>
  <c r="C3299" i="2"/>
  <c r="B3299" i="2"/>
  <c r="A3299" i="2"/>
  <c r="H3298" i="2"/>
  <c r="G3298" i="2"/>
  <c r="F3298" i="2"/>
  <c r="E3298" i="2"/>
  <c r="D3298" i="2"/>
  <c r="C3298" i="2"/>
  <c r="B3298" i="2"/>
  <c r="A3298" i="2"/>
  <c r="H3297" i="2"/>
  <c r="G3297" i="2"/>
  <c r="F3297" i="2"/>
  <c r="E3297" i="2"/>
  <c r="D3297" i="2"/>
  <c r="C3297" i="2"/>
  <c r="B3297" i="2"/>
  <c r="A3297" i="2"/>
  <c r="H3296" i="2"/>
  <c r="G3296" i="2"/>
  <c r="F3296" i="2"/>
  <c r="E3296" i="2"/>
  <c r="D3296" i="2"/>
  <c r="C3296" i="2"/>
  <c r="B3296" i="2"/>
  <c r="A3296" i="2"/>
  <c r="H3295" i="2"/>
  <c r="G3295" i="2"/>
  <c r="F3295" i="2"/>
  <c r="E3295" i="2"/>
  <c r="D3295" i="2"/>
  <c r="C3295" i="2"/>
  <c r="B3295" i="2"/>
  <c r="A3295" i="2"/>
  <c r="H3294" i="2"/>
  <c r="G3294" i="2"/>
  <c r="F3294" i="2"/>
  <c r="E3294" i="2"/>
  <c r="D3294" i="2"/>
  <c r="C3294" i="2"/>
  <c r="B3294" i="2"/>
  <c r="A3294" i="2"/>
  <c r="H3293" i="2"/>
  <c r="G3293" i="2"/>
  <c r="F3293" i="2"/>
  <c r="E3293" i="2"/>
  <c r="D3293" i="2"/>
  <c r="C3293" i="2"/>
  <c r="B3293" i="2"/>
  <c r="A3293" i="2"/>
  <c r="H3292" i="2"/>
  <c r="G3292" i="2"/>
  <c r="F3292" i="2"/>
  <c r="E3292" i="2"/>
  <c r="D3292" i="2"/>
  <c r="C3292" i="2"/>
  <c r="B3292" i="2"/>
  <c r="A3292" i="2"/>
  <c r="H3291" i="2"/>
  <c r="G3291" i="2"/>
  <c r="F3291" i="2"/>
  <c r="E3291" i="2"/>
  <c r="D3291" i="2"/>
  <c r="C3291" i="2"/>
  <c r="B3291" i="2"/>
  <c r="A3291" i="2"/>
  <c r="H3290" i="2"/>
  <c r="G3290" i="2"/>
  <c r="F3290" i="2"/>
  <c r="E3290" i="2"/>
  <c r="D3290" i="2"/>
  <c r="C3290" i="2"/>
  <c r="B3290" i="2"/>
  <c r="A3290" i="2"/>
  <c r="H3289" i="2"/>
  <c r="G3289" i="2"/>
  <c r="F3289" i="2"/>
  <c r="E3289" i="2"/>
  <c r="D3289" i="2"/>
  <c r="C3289" i="2"/>
  <c r="B3289" i="2"/>
  <c r="A3289" i="2"/>
  <c r="H3288" i="2"/>
  <c r="G3288" i="2"/>
  <c r="F3288" i="2"/>
  <c r="E3288" i="2"/>
  <c r="D3288" i="2"/>
  <c r="C3288" i="2"/>
  <c r="B3288" i="2"/>
  <c r="A3288" i="2"/>
  <c r="H3287" i="2"/>
  <c r="G3287" i="2"/>
  <c r="F3287" i="2"/>
  <c r="E3287" i="2"/>
  <c r="D3287" i="2"/>
  <c r="C3287" i="2"/>
  <c r="B3287" i="2"/>
  <c r="A3287" i="2"/>
  <c r="H3286" i="2"/>
  <c r="G3286" i="2"/>
  <c r="F3286" i="2"/>
  <c r="E3286" i="2"/>
  <c r="D3286" i="2"/>
  <c r="C3286" i="2"/>
  <c r="B3286" i="2"/>
  <c r="A3286" i="2"/>
  <c r="H3285" i="2"/>
  <c r="G3285" i="2"/>
  <c r="F3285" i="2"/>
  <c r="E3285" i="2"/>
  <c r="D3285" i="2"/>
  <c r="C3285" i="2"/>
  <c r="B3285" i="2"/>
  <c r="A3285" i="2"/>
  <c r="H3284" i="2"/>
  <c r="G3284" i="2"/>
  <c r="F3284" i="2"/>
  <c r="E3284" i="2"/>
  <c r="D3284" i="2"/>
  <c r="C3284" i="2"/>
  <c r="B3284" i="2"/>
  <c r="A3284" i="2"/>
  <c r="H3283" i="2"/>
  <c r="G3283" i="2"/>
  <c r="F3283" i="2"/>
  <c r="E3283" i="2"/>
  <c r="D3283" i="2"/>
  <c r="C3283" i="2"/>
  <c r="B3283" i="2"/>
  <c r="A3283" i="2"/>
  <c r="H3282" i="2"/>
  <c r="G3282" i="2"/>
  <c r="F3282" i="2"/>
  <c r="E3282" i="2"/>
  <c r="D3282" i="2"/>
  <c r="C3282" i="2"/>
  <c r="B3282" i="2"/>
  <c r="A3282" i="2"/>
  <c r="H3281" i="2"/>
  <c r="G3281" i="2"/>
  <c r="F3281" i="2"/>
  <c r="E3281" i="2"/>
  <c r="D3281" i="2"/>
  <c r="C3281" i="2"/>
  <c r="B3281" i="2"/>
  <c r="A3281" i="2"/>
  <c r="H3280" i="2"/>
  <c r="G3280" i="2"/>
  <c r="F3280" i="2"/>
  <c r="E3280" i="2"/>
  <c r="D3280" i="2"/>
  <c r="C3280" i="2"/>
  <c r="B3280" i="2"/>
  <c r="A3280" i="2"/>
  <c r="H3279" i="2"/>
  <c r="G3279" i="2"/>
  <c r="F3279" i="2"/>
  <c r="E3279" i="2"/>
  <c r="D3279" i="2"/>
  <c r="C3279" i="2"/>
  <c r="B3279" i="2"/>
  <c r="A3279" i="2"/>
  <c r="H3278" i="2"/>
  <c r="G3278" i="2"/>
  <c r="F3278" i="2"/>
  <c r="E3278" i="2"/>
  <c r="D3278" i="2"/>
  <c r="C3278" i="2"/>
  <c r="B3278" i="2"/>
  <c r="A3278" i="2"/>
  <c r="H3277" i="2"/>
  <c r="G3277" i="2"/>
  <c r="F3277" i="2"/>
  <c r="E3277" i="2"/>
  <c r="D3277" i="2"/>
  <c r="C3277" i="2"/>
  <c r="B3277" i="2"/>
  <c r="A3277" i="2"/>
  <c r="H3276" i="2"/>
  <c r="G3276" i="2"/>
  <c r="F3276" i="2"/>
  <c r="E3276" i="2"/>
  <c r="D3276" i="2"/>
  <c r="C3276" i="2"/>
  <c r="B3276" i="2"/>
  <c r="A3276" i="2"/>
  <c r="H3275" i="2"/>
  <c r="G3275" i="2"/>
  <c r="F3275" i="2"/>
  <c r="E3275" i="2"/>
  <c r="D3275" i="2"/>
  <c r="C3275" i="2"/>
  <c r="B3275" i="2"/>
  <c r="A3275" i="2"/>
  <c r="H3274" i="2"/>
  <c r="G3274" i="2"/>
  <c r="F3274" i="2"/>
  <c r="E3274" i="2"/>
  <c r="D3274" i="2"/>
  <c r="C3274" i="2"/>
  <c r="B3274" i="2"/>
  <c r="A3274" i="2"/>
  <c r="H3273" i="2"/>
  <c r="G3273" i="2"/>
  <c r="F3273" i="2"/>
  <c r="E3273" i="2"/>
  <c r="D3273" i="2"/>
  <c r="C3273" i="2"/>
  <c r="B3273" i="2"/>
  <c r="A3273" i="2"/>
  <c r="H3272" i="2"/>
  <c r="G3272" i="2"/>
  <c r="F3272" i="2"/>
  <c r="E3272" i="2"/>
  <c r="D3272" i="2"/>
  <c r="C3272" i="2"/>
  <c r="B3272" i="2"/>
  <c r="A3272" i="2"/>
  <c r="H3271" i="2"/>
  <c r="G3271" i="2"/>
  <c r="F3271" i="2"/>
  <c r="E3271" i="2"/>
  <c r="D3271" i="2"/>
  <c r="C3271" i="2"/>
  <c r="B3271" i="2"/>
  <c r="A3271" i="2"/>
  <c r="H3270" i="2"/>
  <c r="G3270" i="2"/>
  <c r="F3270" i="2"/>
  <c r="E3270" i="2"/>
  <c r="D3270" i="2"/>
  <c r="C3270" i="2"/>
  <c r="B3270" i="2"/>
  <c r="A3270" i="2"/>
  <c r="H3269" i="2"/>
  <c r="G3269" i="2"/>
  <c r="F3269" i="2"/>
  <c r="E3269" i="2"/>
  <c r="D3269" i="2"/>
  <c r="C3269" i="2"/>
  <c r="B3269" i="2"/>
  <c r="A3269" i="2"/>
  <c r="H3268" i="2"/>
  <c r="G3268" i="2"/>
  <c r="F3268" i="2"/>
  <c r="E3268" i="2"/>
  <c r="D3268" i="2"/>
  <c r="C3268" i="2"/>
  <c r="B3268" i="2"/>
  <c r="A3268" i="2"/>
  <c r="H3267" i="2"/>
  <c r="G3267" i="2"/>
  <c r="F3267" i="2"/>
  <c r="E3267" i="2"/>
  <c r="D3267" i="2"/>
  <c r="C3267" i="2"/>
  <c r="B3267" i="2"/>
  <c r="A3267" i="2"/>
  <c r="H3266" i="2"/>
  <c r="G3266" i="2"/>
  <c r="F3266" i="2"/>
  <c r="E3266" i="2"/>
  <c r="D3266" i="2"/>
  <c r="C3266" i="2"/>
  <c r="B3266" i="2"/>
  <c r="A3266" i="2"/>
  <c r="H3265" i="2"/>
  <c r="G3265" i="2"/>
  <c r="F3265" i="2"/>
  <c r="E3265" i="2"/>
  <c r="D3265" i="2"/>
  <c r="C3265" i="2"/>
  <c r="B3265" i="2"/>
  <c r="A3265" i="2"/>
  <c r="H3264" i="2"/>
  <c r="G3264" i="2"/>
  <c r="F3264" i="2"/>
  <c r="E3264" i="2"/>
  <c r="D3264" i="2"/>
  <c r="C3264" i="2"/>
  <c r="B3264" i="2"/>
  <c r="A3264" i="2"/>
  <c r="H3263" i="2"/>
  <c r="G3263" i="2"/>
  <c r="F3263" i="2"/>
  <c r="E3263" i="2"/>
  <c r="D3263" i="2"/>
  <c r="C3263" i="2"/>
  <c r="B3263" i="2"/>
  <c r="A3263" i="2"/>
  <c r="H3262" i="2"/>
  <c r="G3262" i="2"/>
  <c r="F3262" i="2"/>
  <c r="E3262" i="2"/>
  <c r="D3262" i="2"/>
  <c r="C3262" i="2"/>
  <c r="B3262" i="2"/>
  <c r="A3262" i="2"/>
  <c r="H3261" i="2"/>
  <c r="G3261" i="2"/>
  <c r="F3261" i="2"/>
  <c r="E3261" i="2"/>
  <c r="D3261" i="2"/>
  <c r="C3261" i="2"/>
  <c r="B3261" i="2"/>
  <c r="A3261" i="2"/>
  <c r="H3260" i="2"/>
  <c r="G3260" i="2"/>
  <c r="F3260" i="2"/>
  <c r="E3260" i="2"/>
  <c r="D3260" i="2"/>
  <c r="C3260" i="2"/>
  <c r="B3260" i="2"/>
  <c r="A3260" i="2"/>
  <c r="H3259" i="2"/>
  <c r="G3259" i="2"/>
  <c r="F3259" i="2"/>
  <c r="E3259" i="2"/>
  <c r="D3259" i="2"/>
  <c r="C3259" i="2"/>
  <c r="B3259" i="2"/>
  <c r="A3259" i="2"/>
  <c r="H3258" i="2"/>
  <c r="G3258" i="2"/>
  <c r="F3258" i="2"/>
  <c r="E3258" i="2"/>
  <c r="D3258" i="2"/>
  <c r="C3258" i="2"/>
  <c r="B3258" i="2"/>
  <c r="A3258" i="2"/>
  <c r="H3257" i="2"/>
  <c r="G3257" i="2"/>
  <c r="F3257" i="2"/>
  <c r="E3257" i="2"/>
  <c r="D3257" i="2"/>
  <c r="C3257" i="2"/>
  <c r="B3257" i="2"/>
  <c r="A3257" i="2"/>
  <c r="H3256" i="2"/>
  <c r="G3256" i="2"/>
  <c r="F3256" i="2"/>
  <c r="E3256" i="2"/>
  <c r="D3256" i="2"/>
  <c r="C3256" i="2"/>
  <c r="B3256" i="2"/>
  <c r="A3256" i="2"/>
  <c r="H3255" i="2"/>
  <c r="G3255" i="2"/>
  <c r="F3255" i="2"/>
  <c r="E3255" i="2"/>
  <c r="D3255" i="2"/>
  <c r="C3255" i="2"/>
  <c r="B3255" i="2"/>
  <c r="A3255" i="2"/>
  <c r="H3254" i="2"/>
  <c r="G3254" i="2"/>
  <c r="F3254" i="2"/>
  <c r="E3254" i="2"/>
  <c r="D3254" i="2"/>
  <c r="C3254" i="2"/>
  <c r="B3254" i="2"/>
  <c r="A3254" i="2"/>
  <c r="H3253" i="2"/>
  <c r="G3253" i="2"/>
  <c r="F3253" i="2"/>
  <c r="E3253" i="2"/>
  <c r="D3253" i="2"/>
  <c r="C3253" i="2"/>
  <c r="B3253" i="2"/>
  <c r="A3253" i="2"/>
  <c r="H3252" i="2"/>
  <c r="G3252" i="2"/>
  <c r="F3252" i="2"/>
  <c r="E3252" i="2"/>
  <c r="D3252" i="2"/>
  <c r="C3252" i="2"/>
  <c r="B3252" i="2"/>
  <c r="A3252" i="2"/>
  <c r="H3251" i="2"/>
  <c r="G3251" i="2"/>
  <c r="F3251" i="2"/>
  <c r="E3251" i="2"/>
  <c r="D3251" i="2"/>
  <c r="C3251" i="2"/>
  <c r="B3251" i="2"/>
  <c r="A3251" i="2"/>
  <c r="H3250" i="2"/>
  <c r="G3250" i="2"/>
  <c r="F3250" i="2"/>
  <c r="E3250" i="2"/>
  <c r="D3250" i="2"/>
  <c r="C3250" i="2"/>
  <c r="B3250" i="2"/>
  <c r="A3250" i="2"/>
  <c r="H3249" i="2"/>
  <c r="G3249" i="2"/>
  <c r="F3249" i="2"/>
  <c r="E3249" i="2"/>
  <c r="D3249" i="2"/>
  <c r="C3249" i="2"/>
  <c r="B3249" i="2"/>
  <c r="A3249" i="2"/>
  <c r="H3248" i="2"/>
  <c r="G3248" i="2"/>
  <c r="F3248" i="2"/>
  <c r="E3248" i="2"/>
  <c r="D3248" i="2"/>
  <c r="C3248" i="2"/>
  <c r="B3248" i="2"/>
  <c r="A3248" i="2"/>
  <c r="H3247" i="2"/>
  <c r="G3247" i="2"/>
  <c r="F3247" i="2"/>
  <c r="E3247" i="2"/>
  <c r="D3247" i="2"/>
  <c r="C3247" i="2"/>
  <c r="B3247" i="2"/>
  <c r="A3247" i="2"/>
  <c r="H3246" i="2"/>
  <c r="G3246" i="2"/>
  <c r="F3246" i="2"/>
  <c r="E3246" i="2"/>
  <c r="D3246" i="2"/>
  <c r="C3246" i="2"/>
  <c r="B3246" i="2"/>
  <c r="A3246" i="2"/>
  <c r="H3245" i="2"/>
  <c r="G3245" i="2"/>
  <c r="F3245" i="2"/>
  <c r="E3245" i="2"/>
  <c r="D3245" i="2"/>
  <c r="C3245" i="2"/>
  <c r="B3245" i="2"/>
  <c r="A3245" i="2"/>
  <c r="H3244" i="2"/>
  <c r="G3244" i="2"/>
  <c r="F3244" i="2"/>
  <c r="E3244" i="2"/>
  <c r="D3244" i="2"/>
  <c r="C3244" i="2"/>
  <c r="B3244" i="2"/>
  <c r="A3244" i="2"/>
  <c r="H3243" i="2"/>
  <c r="G3243" i="2"/>
  <c r="F3243" i="2"/>
  <c r="E3243" i="2"/>
  <c r="D3243" i="2"/>
  <c r="C3243" i="2"/>
  <c r="B3243" i="2"/>
  <c r="A3243" i="2"/>
  <c r="H3242" i="2"/>
  <c r="G3242" i="2"/>
  <c r="F3242" i="2"/>
  <c r="E3242" i="2"/>
  <c r="D3242" i="2"/>
  <c r="C3242" i="2"/>
  <c r="B3242" i="2"/>
  <c r="A3242" i="2"/>
  <c r="H3241" i="2"/>
  <c r="G3241" i="2"/>
  <c r="F3241" i="2"/>
  <c r="E3241" i="2"/>
  <c r="D3241" i="2"/>
  <c r="C3241" i="2"/>
  <c r="B3241" i="2"/>
  <c r="A3241" i="2"/>
  <c r="H3240" i="2"/>
  <c r="G3240" i="2"/>
  <c r="F3240" i="2"/>
  <c r="E3240" i="2"/>
  <c r="D3240" i="2"/>
  <c r="C3240" i="2"/>
  <c r="B3240" i="2"/>
  <c r="A3240" i="2"/>
  <c r="H3239" i="2"/>
  <c r="G3239" i="2"/>
  <c r="F3239" i="2"/>
  <c r="E3239" i="2"/>
  <c r="D3239" i="2"/>
  <c r="C3239" i="2"/>
  <c r="B3239" i="2"/>
  <c r="A3239" i="2"/>
  <c r="H3238" i="2"/>
  <c r="G3238" i="2"/>
  <c r="F3238" i="2"/>
  <c r="E3238" i="2"/>
  <c r="D3238" i="2"/>
  <c r="C3238" i="2"/>
  <c r="B3238" i="2"/>
  <c r="A3238" i="2"/>
  <c r="H3237" i="2"/>
  <c r="G3237" i="2"/>
  <c r="F3237" i="2"/>
  <c r="E3237" i="2"/>
  <c r="D3237" i="2"/>
  <c r="C3237" i="2"/>
  <c r="B3237" i="2"/>
  <c r="A3237" i="2"/>
  <c r="H3236" i="2"/>
  <c r="G3236" i="2"/>
  <c r="F3236" i="2"/>
  <c r="E3236" i="2"/>
  <c r="D3236" i="2"/>
  <c r="C3236" i="2"/>
  <c r="B3236" i="2"/>
  <c r="A3236" i="2"/>
  <c r="H3235" i="2"/>
  <c r="G3235" i="2"/>
  <c r="F3235" i="2"/>
  <c r="E3235" i="2"/>
  <c r="D3235" i="2"/>
  <c r="C3235" i="2"/>
  <c r="B3235" i="2"/>
  <c r="A3235" i="2"/>
  <c r="H3234" i="2"/>
  <c r="G3234" i="2"/>
  <c r="F3234" i="2"/>
  <c r="E3234" i="2"/>
  <c r="D3234" i="2"/>
  <c r="C3234" i="2"/>
  <c r="B3234" i="2"/>
  <c r="A3234" i="2"/>
  <c r="H3233" i="2"/>
  <c r="G3233" i="2"/>
  <c r="F3233" i="2"/>
  <c r="E3233" i="2"/>
  <c r="D3233" i="2"/>
  <c r="C3233" i="2"/>
  <c r="B3233" i="2"/>
  <c r="A3233" i="2"/>
  <c r="H3232" i="2"/>
  <c r="G3232" i="2"/>
  <c r="F3232" i="2"/>
  <c r="E3232" i="2"/>
  <c r="D3232" i="2"/>
  <c r="C3232" i="2"/>
  <c r="B3232" i="2"/>
  <c r="A3232" i="2"/>
  <c r="H3231" i="2"/>
  <c r="G3231" i="2"/>
  <c r="F3231" i="2"/>
  <c r="E3231" i="2"/>
  <c r="D3231" i="2"/>
  <c r="C3231" i="2"/>
  <c r="B3231" i="2"/>
  <c r="A3231" i="2"/>
  <c r="H3230" i="2"/>
  <c r="G3230" i="2"/>
  <c r="F3230" i="2"/>
  <c r="E3230" i="2"/>
  <c r="D3230" i="2"/>
  <c r="C3230" i="2"/>
  <c r="B3230" i="2"/>
  <c r="A3230" i="2"/>
  <c r="H3229" i="2"/>
  <c r="G3229" i="2"/>
  <c r="F3229" i="2"/>
  <c r="E3229" i="2"/>
  <c r="D3229" i="2"/>
  <c r="C3229" i="2"/>
  <c r="B3229" i="2"/>
  <c r="A3229" i="2"/>
  <c r="H3228" i="2"/>
  <c r="G3228" i="2"/>
  <c r="F3228" i="2"/>
  <c r="E3228" i="2"/>
  <c r="D3228" i="2"/>
  <c r="C3228" i="2"/>
  <c r="B3228" i="2"/>
  <c r="A3228" i="2"/>
  <c r="H3227" i="2"/>
  <c r="G3227" i="2"/>
  <c r="F3227" i="2"/>
  <c r="E3227" i="2"/>
  <c r="D3227" i="2"/>
  <c r="C3227" i="2"/>
  <c r="B3227" i="2"/>
  <c r="A3227" i="2"/>
  <c r="H3226" i="2"/>
  <c r="G3226" i="2"/>
  <c r="F3226" i="2"/>
  <c r="E3226" i="2"/>
  <c r="D3226" i="2"/>
  <c r="C3226" i="2"/>
  <c r="B3226" i="2"/>
  <c r="A3226" i="2"/>
  <c r="H3225" i="2"/>
  <c r="G3225" i="2"/>
  <c r="F3225" i="2"/>
  <c r="E3225" i="2"/>
  <c r="D3225" i="2"/>
  <c r="C3225" i="2"/>
  <c r="B3225" i="2"/>
  <c r="A3225" i="2"/>
  <c r="H3224" i="2"/>
  <c r="G3224" i="2"/>
  <c r="F3224" i="2"/>
  <c r="E3224" i="2"/>
  <c r="D3224" i="2"/>
  <c r="C3224" i="2"/>
  <c r="B3224" i="2"/>
  <c r="A3224" i="2"/>
  <c r="H3223" i="2"/>
  <c r="G3223" i="2"/>
  <c r="F3223" i="2"/>
  <c r="E3223" i="2"/>
  <c r="D3223" i="2"/>
  <c r="C3223" i="2"/>
  <c r="B3223" i="2"/>
  <c r="A3223" i="2"/>
  <c r="H3222" i="2"/>
  <c r="G3222" i="2"/>
  <c r="F3222" i="2"/>
  <c r="E3222" i="2"/>
  <c r="D3222" i="2"/>
  <c r="C3222" i="2"/>
  <c r="B3222" i="2"/>
  <c r="A3222" i="2"/>
  <c r="H3221" i="2"/>
  <c r="G3221" i="2"/>
  <c r="F3221" i="2"/>
  <c r="E3221" i="2"/>
  <c r="D3221" i="2"/>
  <c r="C3221" i="2"/>
  <c r="B3221" i="2"/>
  <c r="A3221" i="2"/>
  <c r="H3220" i="2"/>
  <c r="G3220" i="2"/>
  <c r="F3220" i="2"/>
  <c r="E3220" i="2"/>
  <c r="D3220" i="2"/>
  <c r="C3220" i="2"/>
  <c r="B3220" i="2"/>
  <c r="A3220" i="2"/>
  <c r="H3219" i="2"/>
  <c r="G3219" i="2"/>
  <c r="F3219" i="2"/>
  <c r="E3219" i="2"/>
  <c r="D3219" i="2"/>
  <c r="C3219" i="2"/>
  <c r="B3219" i="2"/>
  <c r="A3219" i="2"/>
  <c r="H3218" i="2"/>
  <c r="G3218" i="2"/>
  <c r="F3218" i="2"/>
  <c r="E3218" i="2"/>
  <c r="D3218" i="2"/>
  <c r="C3218" i="2"/>
  <c r="B3218" i="2"/>
  <c r="A3218" i="2"/>
  <c r="H3217" i="2"/>
  <c r="G3217" i="2"/>
  <c r="F3217" i="2"/>
  <c r="E3217" i="2"/>
  <c r="D3217" i="2"/>
  <c r="C3217" i="2"/>
  <c r="B3217" i="2"/>
  <c r="A3217" i="2"/>
  <c r="H3216" i="2"/>
  <c r="G3216" i="2"/>
  <c r="F3216" i="2"/>
  <c r="E3216" i="2"/>
  <c r="D3216" i="2"/>
  <c r="C3216" i="2"/>
  <c r="B3216" i="2"/>
  <c r="A3216" i="2"/>
  <c r="H3215" i="2"/>
  <c r="G3215" i="2"/>
  <c r="F3215" i="2"/>
  <c r="E3215" i="2"/>
  <c r="D3215" i="2"/>
  <c r="C3215" i="2"/>
  <c r="B3215" i="2"/>
  <c r="A3215" i="2"/>
  <c r="H3214" i="2"/>
  <c r="G3214" i="2"/>
  <c r="F3214" i="2"/>
  <c r="E3214" i="2"/>
  <c r="D3214" i="2"/>
  <c r="C3214" i="2"/>
  <c r="B3214" i="2"/>
  <c r="A3214" i="2"/>
  <c r="H3213" i="2"/>
  <c r="G3213" i="2"/>
  <c r="F3213" i="2"/>
  <c r="E3213" i="2"/>
  <c r="D3213" i="2"/>
  <c r="C3213" i="2"/>
  <c r="B3213" i="2"/>
  <c r="A3213" i="2"/>
  <c r="H3212" i="2"/>
  <c r="G3212" i="2"/>
  <c r="F3212" i="2"/>
  <c r="E3212" i="2"/>
  <c r="D3212" i="2"/>
  <c r="C3212" i="2"/>
  <c r="B3212" i="2"/>
  <c r="A3212" i="2"/>
  <c r="H3211" i="2"/>
  <c r="G3211" i="2"/>
  <c r="F3211" i="2"/>
  <c r="E3211" i="2"/>
  <c r="D3211" i="2"/>
  <c r="C3211" i="2"/>
  <c r="B3211" i="2"/>
  <c r="A3211" i="2"/>
  <c r="H3210" i="2"/>
  <c r="G3210" i="2"/>
  <c r="F3210" i="2"/>
  <c r="E3210" i="2"/>
  <c r="D3210" i="2"/>
  <c r="C3210" i="2"/>
  <c r="B3210" i="2"/>
  <c r="A3210" i="2"/>
  <c r="H3209" i="2"/>
  <c r="G3209" i="2"/>
  <c r="F3209" i="2"/>
  <c r="E3209" i="2"/>
  <c r="D3209" i="2"/>
  <c r="C3209" i="2"/>
  <c r="B3209" i="2"/>
  <c r="A3209" i="2"/>
  <c r="H3208" i="2"/>
  <c r="G3208" i="2"/>
  <c r="F3208" i="2"/>
  <c r="E3208" i="2"/>
  <c r="D3208" i="2"/>
  <c r="C3208" i="2"/>
  <c r="B3208" i="2"/>
  <c r="A3208" i="2"/>
  <c r="H3207" i="2"/>
  <c r="G3207" i="2"/>
  <c r="F3207" i="2"/>
  <c r="E3207" i="2"/>
  <c r="D3207" i="2"/>
  <c r="C3207" i="2"/>
  <c r="B3207" i="2"/>
  <c r="A3207" i="2"/>
  <c r="H3206" i="2"/>
  <c r="G3206" i="2"/>
  <c r="F3206" i="2"/>
  <c r="E3206" i="2"/>
  <c r="D3206" i="2"/>
  <c r="C3206" i="2"/>
  <c r="B3206" i="2"/>
  <c r="A3206" i="2"/>
  <c r="H3205" i="2"/>
  <c r="G3205" i="2"/>
  <c r="F3205" i="2"/>
  <c r="E3205" i="2"/>
  <c r="D3205" i="2"/>
  <c r="C3205" i="2"/>
  <c r="B3205" i="2"/>
  <c r="A3205" i="2"/>
  <c r="H3204" i="2"/>
  <c r="G3204" i="2"/>
  <c r="F3204" i="2"/>
  <c r="E3204" i="2"/>
  <c r="D3204" i="2"/>
  <c r="C3204" i="2"/>
  <c r="B3204" i="2"/>
  <c r="A3204" i="2"/>
  <c r="H3203" i="2"/>
  <c r="G3203" i="2"/>
  <c r="F3203" i="2"/>
  <c r="E3203" i="2"/>
  <c r="D3203" i="2"/>
  <c r="C3203" i="2"/>
  <c r="B3203" i="2"/>
  <c r="A3203" i="2"/>
  <c r="H3202" i="2"/>
  <c r="G3202" i="2"/>
  <c r="F3202" i="2"/>
  <c r="E3202" i="2"/>
  <c r="D3202" i="2"/>
  <c r="C3202" i="2"/>
  <c r="B3202" i="2"/>
  <c r="A3202" i="2"/>
  <c r="H3201" i="2"/>
  <c r="G3201" i="2"/>
  <c r="F3201" i="2"/>
  <c r="E3201" i="2"/>
  <c r="D3201" i="2"/>
  <c r="C3201" i="2"/>
  <c r="B3201" i="2"/>
  <c r="A3201" i="2"/>
  <c r="H3200" i="2"/>
  <c r="G3200" i="2"/>
  <c r="F3200" i="2"/>
  <c r="E3200" i="2"/>
  <c r="D3200" i="2"/>
  <c r="C3200" i="2"/>
  <c r="B3200" i="2"/>
  <c r="A3200" i="2"/>
  <c r="H3199" i="2"/>
  <c r="G3199" i="2"/>
  <c r="F3199" i="2"/>
  <c r="E3199" i="2"/>
  <c r="D3199" i="2"/>
  <c r="C3199" i="2"/>
  <c r="B3199" i="2"/>
  <c r="A3199" i="2"/>
  <c r="H3198" i="2"/>
  <c r="G3198" i="2"/>
  <c r="F3198" i="2"/>
  <c r="E3198" i="2"/>
  <c r="D3198" i="2"/>
  <c r="C3198" i="2"/>
  <c r="B3198" i="2"/>
  <c r="A3198" i="2"/>
  <c r="H3197" i="2"/>
  <c r="G3197" i="2"/>
  <c r="F3197" i="2"/>
  <c r="E3197" i="2"/>
  <c r="D3197" i="2"/>
  <c r="C3197" i="2"/>
  <c r="B3197" i="2"/>
  <c r="A3197" i="2"/>
  <c r="H3196" i="2"/>
  <c r="G3196" i="2"/>
  <c r="F3196" i="2"/>
  <c r="E3196" i="2"/>
  <c r="D3196" i="2"/>
  <c r="C3196" i="2"/>
  <c r="B3196" i="2"/>
  <c r="A3196" i="2"/>
  <c r="H3195" i="2"/>
  <c r="G3195" i="2"/>
  <c r="F3195" i="2"/>
  <c r="E3195" i="2"/>
  <c r="D3195" i="2"/>
  <c r="C3195" i="2"/>
  <c r="B3195" i="2"/>
  <c r="A3195" i="2"/>
  <c r="H3194" i="2"/>
  <c r="G3194" i="2"/>
  <c r="F3194" i="2"/>
  <c r="E3194" i="2"/>
  <c r="D3194" i="2"/>
  <c r="C3194" i="2"/>
  <c r="B3194" i="2"/>
  <c r="A3194" i="2"/>
  <c r="H3193" i="2"/>
  <c r="G3193" i="2"/>
  <c r="F3193" i="2"/>
  <c r="E3193" i="2"/>
  <c r="D3193" i="2"/>
  <c r="C3193" i="2"/>
  <c r="B3193" i="2"/>
  <c r="A3193" i="2"/>
  <c r="H3192" i="2"/>
  <c r="G3192" i="2"/>
  <c r="F3192" i="2"/>
  <c r="E3192" i="2"/>
  <c r="D3192" i="2"/>
  <c r="C3192" i="2"/>
  <c r="B3192" i="2"/>
  <c r="A3192" i="2"/>
  <c r="H3191" i="2"/>
  <c r="G3191" i="2"/>
  <c r="F3191" i="2"/>
  <c r="E3191" i="2"/>
  <c r="D3191" i="2"/>
  <c r="C3191" i="2"/>
  <c r="B3191" i="2"/>
  <c r="A3191" i="2"/>
  <c r="H3190" i="2"/>
  <c r="G3190" i="2"/>
  <c r="F3190" i="2"/>
  <c r="E3190" i="2"/>
  <c r="D3190" i="2"/>
  <c r="C3190" i="2"/>
  <c r="B3190" i="2"/>
  <c r="A3190" i="2"/>
  <c r="H3189" i="2"/>
  <c r="G3189" i="2"/>
  <c r="F3189" i="2"/>
  <c r="E3189" i="2"/>
  <c r="D3189" i="2"/>
  <c r="C3189" i="2"/>
  <c r="B3189" i="2"/>
  <c r="A3189" i="2"/>
  <c r="H3188" i="2"/>
  <c r="G3188" i="2"/>
  <c r="F3188" i="2"/>
  <c r="E3188" i="2"/>
  <c r="D3188" i="2"/>
  <c r="C3188" i="2"/>
  <c r="B3188" i="2"/>
  <c r="A3188" i="2"/>
  <c r="H3187" i="2"/>
  <c r="G3187" i="2"/>
  <c r="F3187" i="2"/>
  <c r="E3187" i="2"/>
  <c r="D3187" i="2"/>
  <c r="C3187" i="2"/>
  <c r="B3187" i="2"/>
  <c r="A3187" i="2"/>
  <c r="H3186" i="2"/>
  <c r="G3186" i="2"/>
  <c r="F3186" i="2"/>
  <c r="E3186" i="2"/>
  <c r="D3186" i="2"/>
  <c r="C3186" i="2"/>
  <c r="B3186" i="2"/>
  <c r="A3186" i="2"/>
  <c r="H3185" i="2"/>
  <c r="G3185" i="2"/>
  <c r="F3185" i="2"/>
  <c r="E3185" i="2"/>
  <c r="D3185" i="2"/>
  <c r="C3185" i="2"/>
  <c r="B3185" i="2"/>
  <c r="A3185" i="2"/>
  <c r="H3184" i="2"/>
  <c r="G3184" i="2"/>
  <c r="F3184" i="2"/>
  <c r="E3184" i="2"/>
  <c r="D3184" i="2"/>
  <c r="C3184" i="2"/>
  <c r="B3184" i="2"/>
  <c r="A3184" i="2"/>
  <c r="H3183" i="2"/>
  <c r="G3183" i="2"/>
  <c r="F3183" i="2"/>
  <c r="E3183" i="2"/>
  <c r="D3183" i="2"/>
  <c r="C3183" i="2"/>
  <c r="B3183" i="2"/>
  <c r="A3183" i="2"/>
  <c r="H3182" i="2"/>
  <c r="G3182" i="2"/>
  <c r="F3182" i="2"/>
  <c r="E3182" i="2"/>
  <c r="D3182" i="2"/>
  <c r="C3182" i="2"/>
  <c r="B3182" i="2"/>
  <c r="A3182" i="2"/>
  <c r="H3181" i="2"/>
  <c r="G3181" i="2"/>
  <c r="F3181" i="2"/>
  <c r="E3181" i="2"/>
  <c r="D3181" i="2"/>
  <c r="C3181" i="2"/>
  <c r="B3181" i="2"/>
  <c r="A3181" i="2"/>
  <c r="H3180" i="2"/>
  <c r="G3180" i="2"/>
  <c r="F3180" i="2"/>
  <c r="E3180" i="2"/>
  <c r="D3180" i="2"/>
  <c r="C3180" i="2"/>
  <c r="B3180" i="2"/>
  <c r="A3180" i="2"/>
  <c r="H3179" i="2"/>
  <c r="G3179" i="2"/>
  <c r="F3179" i="2"/>
  <c r="E3179" i="2"/>
  <c r="D3179" i="2"/>
  <c r="C3179" i="2"/>
  <c r="B3179" i="2"/>
  <c r="A3179" i="2"/>
  <c r="H3178" i="2"/>
  <c r="G3178" i="2"/>
  <c r="F3178" i="2"/>
  <c r="E3178" i="2"/>
  <c r="D3178" i="2"/>
  <c r="C3178" i="2"/>
  <c r="B3178" i="2"/>
  <c r="A3178" i="2"/>
  <c r="H3177" i="2"/>
  <c r="G3177" i="2"/>
  <c r="F3177" i="2"/>
  <c r="E3177" i="2"/>
  <c r="D3177" i="2"/>
  <c r="C3177" i="2"/>
  <c r="B3177" i="2"/>
  <c r="A3177" i="2"/>
  <c r="H3176" i="2"/>
  <c r="G3176" i="2"/>
  <c r="F3176" i="2"/>
  <c r="E3176" i="2"/>
  <c r="D3176" i="2"/>
  <c r="C3176" i="2"/>
  <c r="B3176" i="2"/>
  <c r="A3176" i="2"/>
  <c r="H3175" i="2"/>
  <c r="G3175" i="2"/>
  <c r="F3175" i="2"/>
  <c r="E3175" i="2"/>
  <c r="D3175" i="2"/>
  <c r="C3175" i="2"/>
  <c r="B3175" i="2"/>
  <c r="A3175" i="2"/>
  <c r="H3174" i="2"/>
  <c r="G3174" i="2"/>
  <c r="F3174" i="2"/>
  <c r="E3174" i="2"/>
  <c r="D3174" i="2"/>
  <c r="C3174" i="2"/>
  <c r="B3174" i="2"/>
  <c r="A3174" i="2"/>
  <c r="H3173" i="2"/>
  <c r="G3173" i="2"/>
  <c r="F3173" i="2"/>
  <c r="E3173" i="2"/>
  <c r="D3173" i="2"/>
  <c r="C3173" i="2"/>
  <c r="B3173" i="2"/>
  <c r="A3173" i="2"/>
  <c r="H3172" i="2"/>
  <c r="G3172" i="2"/>
  <c r="F3172" i="2"/>
  <c r="E3172" i="2"/>
  <c r="D3172" i="2"/>
  <c r="C3172" i="2"/>
  <c r="B3172" i="2"/>
  <c r="A3172" i="2"/>
  <c r="H3171" i="2"/>
  <c r="G3171" i="2"/>
  <c r="F3171" i="2"/>
  <c r="E3171" i="2"/>
  <c r="D3171" i="2"/>
  <c r="C3171" i="2"/>
  <c r="B3171" i="2"/>
  <c r="A3171" i="2"/>
  <c r="H3170" i="2"/>
  <c r="G3170" i="2"/>
  <c r="F3170" i="2"/>
  <c r="E3170" i="2"/>
  <c r="D3170" i="2"/>
  <c r="C3170" i="2"/>
  <c r="B3170" i="2"/>
  <c r="A3170" i="2"/>
  <c r="H3169" i="2"/>
  <c r="G3169" i="2"/>
  <c r="F3169" i="2"/>
  <c r="E3169" i="2"/>
  <c r="D3169" i="2"/>
  <c r="C3169" i="2"/>
  <c r="B3169" i="2"/>
  <c r="A3169" i="2"/>
  <c r="H3168" i="2"/>
  <c r="G3168" i="2"/>
  <c r="F3168" i="2"/>
  <c r="E3168" i="2"/>
  <c r="D3168" i="2"/>
  <c r="C3168" i="2"/>
  <c r="B3168" i="2"/>
  <c r="A3168" i="2"/>
  <c r="H3167" i="2"/>
  <c r="G3167" i="2"/>
  <c r="F3167" i="2"/>
  <c r="E3167" i="2"/>
  <c r="D3167" i="2"/>
  <c r="C3167" i="2"/>
  <c r="B3167" i="2"/>
  <c r="A3167" i="2"/>
  <c r="H3166" i="2"/>
  <c r="G3166" i="2"/>
  <c r="F3166" i="2"/>
  <c r="E3166" i="2"/>
  <c r="D3166" i="2"/>
  <c r="C3166" i="2"/>
  <c r="B3166" i="2"/>
  <c r="A3166" i="2"/>
  <c r="H3165" i="2"/>
  <c r="G3165" i="2"/>
  <c r="F3165" i="2"/>
  <c r="E3165" i="2"/>
  <c r="D3165" i="2"/>
  <c r="C3165" i="2"/>
  <c r="B3165" i="2"/>
  <c r="A3165" i="2"/>
  <c r="H3164" i="2"/>
  <c r="G3164" i="2"/>
  <c r="F3164" i="2"/>
  <c r="E3164" i="2"/>
  <c r="D3164" i="2"/>
  <c r="C3164" i="2"/>
  <c r="B3164" i="2"/>
  <c r="A3164" i="2"/>
  <c r="H3163" i="2"/>
  <c r="G3163" i="2"/>
  <c r="F3163" i="2"/>
  <c r="E3163" i="2"/>
  <c r="D3163" i="2"/>
  <c r="C3163" i="2"/>
  <c r="B3163" i="2"/>
  <c r="A3163" i="2"/>
  <c r="H3162" i="2"/>
  <c r="G3162" i="2"/>
  <c r="F3162" i="2"/>
  <c r="E3162" i="2"/>
  <c r="D3162" i="2"/>
  <c r="C3162" i="2"/>
  <c r="B3162" i="2"/>
  <c r="A3162" i="2"/>
  <c r="H3161" i="2"/>
  <c r="G3161" i="2"/>
  <c r="F3161" i="2"/>
  <c r="E3161" i="2"/>
  <c r="D3161" i="2"/>
  <c r="C3161" i="2"/>
  <c r="B3161" i="2"/>
  <c r="A3161" i="2"/>
  <c r="H3160" i="2"/>
  <c r="G3160" i="2"/>
  <c r="F3160" i="2"/>
  <c r="E3160" i="2"/>
  <c r="D3160" i="2"/>
  <c r="C3160" i="2"/>
  <c r="B3160" i="2"/>
  <c r="A3160" i="2"/>
  <c r="H3159" i="2"/>
  <c r="G3159" i="2"/>
  <c r="F3159" i="2"/>
  <c r="E3159" i="2"/>
  <c r="D3159" i="2"/>
  <c r="C3159" i="2"/>
  <c r="B3159" i="2"/>
  <c r="A3159" i="2"/>
  <c r="H3158" i="2"/>
  <c r="G3158" i="2"/>
  <c r="F3158" i="2"/>
  <c r="E3158" i="2"/>
  <c r="D3158" i="2"/>
  <c r="C3158" i="2"/>
  <c r="B3158" i="2"/>
  <c r="A3158" i="2"/>
  <c r="H3157" i="2"/>
  <c r="G3157" i="2"/>
  <c r="F3157" i="2"/>
  <c r="E3157" i="2"/>
  <c r="D3157" i="2"/>
  <c r="C3157" i="2"/>
  <c r="B3157" i="2"/>
  <c r="A3157" i="2"/>
  <c r="H3156" i="2"/>
  <c r="G3156" i="2"/>
  <c r="F3156" i="2"/>
  <c r="E3156" i="2"/>
  <c r="D3156" i="2"/>
  <c r="C3156" i="2"/>
  <c r="B3156" i="2"/>
  <c r="A3156" i="2"/>
  <c r="H3155" i="2"/>
  <c r="G3155" i="2"/>
  <c r="F3155" i="2"/>
  <c r="E3155" i="2"/>
  <c r="D3155" i="2"/>
  <c r="C3155" i="2"/>
  <c r="B3155" i="2"/>
  <c r="A3155" i="2"/>
  <c r="H3154" i="2"/>
  <c r="G3154" i="2"/>
  <c r="F3154" i="2"/>
  <c r="E3154" i="2"/>
  <c r="D3154" i="2"/>
  <c r="C3154" i="2"/>
  <c r="B3154" i="2"/>
  <c r="A3154" i="2"/>
  <c r="H3153" i="2"/>
  <c r="G3153" i="2"/>
  <c r="F3153" i="2"/>
  <c r="E3153" i="2"/>
  <c r="D3153" i="2"/>
  <c r="C3153" i="2"/>
  <c r="B3153" i="2"/>
  <c r="A3153" i="2"/>
  <c r="H3152" i="2"/>
  <c r="G3152" i="2"/>
  <c r="F3152" i="2"/>
  <c r="E3152" i="2"/>
  <c r="D3152" i="2"/>
  <c r="C3152" i="2"/>
  <c r="B3152" i="2"/>
  <c r="A3152" i="2"/>
  <c r="H3151" i="2"/>
  <c r="G3151" i="2"/>
  <c r="F3151" i="2"/>
  <c r="E3151" i="2"/>
  <c r="D3151" i="2"/>
  <c r="C3151" i="2"/>
  <c r="B3151" i="2"/>
  <c r="A3151" i="2"/>
  <c r="H3150" i="2"/>
  <c r="G3150" i="2"/>
  <c r="F3150" i="2"/>
  <c r="E3150" i="2"/>
  <c r="D3150" i="2"/>
  <c r="C3150" i="2"/>
  <c r="B3150" i="2"/>
  <c r="A3150" i="2"/>
  <c r="H3149" i="2"/>
  <c r="G3149" i="2"/>
  <c r="F3149" i="2"/>
  <c r="E3149" i="2"/>
  <c r="D3149" i="2"/>
  <c r="C3149" i="2"/>
  <c r="B3149" i="2"/>
  <c r="A3149" i="2"/>
  <c r="H3148" i="2"/>
  <c r="G3148" i="2"/>
  <c r="F3148" i="2"/>
  <c r="E3148" i="2"/>
  <c r="D3148" i="2"/>
  <c r="C3148" i="2"/>
  <c r="B3148" i="2"/>
  <c r="A3148" i="2"/>
  <c r="H3147" i="2"/>
  <c r="G3147" i="2"/>
  <c r="F3147" i="2"/>
  <c r="E3147" i="2"/>
  <c r="D3147" i="2"/>
  <c r="C3147" i="2"/>
  <c r="B3147" i="2"/>
  <c r="A3147" i="2"/>
  <c r="H3146" i="2"/>
  <c r="G3146" i="2"/>
  <c r="F3146" i="2"/>
  <c r="E3146" i="2"/>
  <c r="D3146" i="2"/>
  <c r="C3146" i="2"/>
  <c r="B3146" i="2"/>
  <c r="A3146" i="2"/>
  <c r="H3145" i="2"/>
  <c r="G3145" i="2"/>
  <c r="F3145" i="2"/>
  <c r="E3145" i="2"/>
  <c r="D3145" i="2"/>
  <c r="C3145" i="2"/>
  <c r="B3145" i="2"/>
  <c r="A3145" i="2"/>
  <c r="H3144" i="2"/>
  <c r="G3144" i="2"/>
  <c r="F3144" i="2"/>
  <c r="E3144" i="2"/>
  <c r="D3144" i="2"/>
  <c r="C3144" i="2"/>
  <c r="B3144" i="2"/>
  <c r="A3144" i="2"/>
  <c r="H3143" i="2"/>
  <c r="G3143" i="2"/>
  <c r="F3143" i="2"/>
  <c r="E3143" i="2"/>
  <c r="D3143" i="2"/>
  <c r="C3143" i="2"/>
  <c r="B3143" i="2"/>
  <c r="A3143" i="2"/>
  <c r="H3142" i="2"/>
  <c r="G3142" i="2"/>
  <c r="F3142" i="2"/>
  <c r="E3142" i="2"/>
  <c r="D3142" i="2"/>
  <c r="C3142" i="2"/>
  <c r="B3142" i="2"/>
  <c r="A3142" i="2"/>
  <c r="H3141" i="2"/>
  <c r="G3141" i="2"/>
  <c r="F3141" i="2"/>
  <c r="E3141" i="2"/>
  <c r="D3141" i="2"/>
  <c r="C3141" i="2"/>
  <c r="B3141" i="2"/>
  <c r="A3141" i="2"/>
  <c r="H3140" i="2"/>
  <c r="G3140" i="2"/>
  <c r="F3140" i="2"/>
  <c r="E3140" i="2"/>
  <c r="D3140" i="2"/>
  <c r="C3140" i="2"/>
  <c r="B3140" i="2"/>
  <c r="A3140" i="2"/>
  <c r="H3139" i="2"/>
  <c r="G3139" i="2"/>
  <c r="F3139" i="2"/>
  <c r="E3139" i="2"/>
  <c r="D3139" i="2"/>
  <c r="C3139" i="2"/>
  <c r="B3139" i="2"/>
  <c r="A3139" i="2"/>
  <c r="H3138" i="2"/>
  <c r="G3138" i="2"/>
  <c r="F3138" i="2"/>
  <c r="E3138" i="2"/>
  <c r="D3138" i="2"/>
  <c r="C3138" i="2"/>
  <c r="B3138" i="2"/>
  <c r="A3138" i="2"/>
  <c r="H3137" i="2"/>
  <c r="G3137" i="2"/>
  <c r="F3137" i="2"/>
  <c r="E3137" i="2"/>
  <c r="D3137" i="2"/>
  <c r="C3137" i="2"/>
  <c r="B3137" i="2"/>
  <c r="A3137" i="2"/>
  <c r="H3136" i="2"/>
  <c r="G3136" i="2"/>
  <c r="F3136" i="2"/>
  <c r="E3136" i="2"/>
  <c r="D3136" i="2"/>
  <c r="C3136" i="2"/>
  <c r="B3136" i="2"/>
  <c r="A3136" i="2"/>
  <c r="H3135" i="2"/>
  <c r="G3135" i="2"/>
  <c r="F3135" i="2"/>
  <c r="E3135" i="2"/>
  <c r="D3135" i="2"/>
  <c r="C3135" i="2"/>
  <c r="B3135" i="2"/>
  <c r="A3135" i="2"/>
  <c r="H3134" i="2"/>
  <c r="G3134" i="2"/>
  <c r="F3134" i="2"/>
  <c r="E3134" i="2"/>
  <c r="D3134" i="2"/>
  <c r="C3134" i="2"/>
  <c r="B3134" i="2"/>
  <c r="A3134" i="2"/>
  <c r="H3133" i="2"/>
  <c r="G3133" i="2"/>
  <c r="F3133" i="2"/>
  <c r="E3133" i="2"/>
  <c r="D3133" i="2"/>
  <c r="C3133" i="2"/>
  <c r="B3133" i="2"/>
  <c r="A3133" i="2"/>
  <c r="H3132" i="2"/>
  <c r="G3132" i="2"/>
  <c r="F3132" i="2"/>
  <c r="E3132" i="2"/>
  <c r="D3132" i="2"/>
  <c r="C3132" i="2"/>
  <c r="B3132" i="2"/>
  <c r="A3132" i="2"/>
  <c r="H3131" i="2"/>
  <c r="G3131" i="2"/>
  <c r="F3131" i="2"/>
  <c r="E3131" i="2"/>
  <c r="D3131" i="2"/>
  <c r="C3131" i="2"/>
  <c r="B3131" i="2"/>
  <c r="A3131" i="2"/>
  <c r="H3130" i="2"/>
  <c r="G3130" i="2"/>
  <c r="F3130" i="2"/>
  <c r="E3130" i="2"/>
  <c r="D3130" i="2"/>
  <c r="C3130" i="2"/>
  <c r="B3130" i="2"/>
  <c r="A3130" i="2"/>
  <c r="H3129" i="2"/>
  <c r="G3129" i="2"/>
  <c r="F3129" i="2"/>
  <c r="E3129" i="2"/>
  <c r="D3129" i="2"/>
  <c r="C3129" i="2"/>
  <c r="B3129" i="2"/>
  <c r="A3129" i="2"/>
  <c r="H3128" i="2"/>
  <c r="G3128" i="2"/>
  <c r="F3128" i="2"/>
  <c r="E3128" i="2"/>
  <c r="D3128" i="2"/>
  <c r="C3128" i="2"/>
  <c r="B3128" i="2"/>
  <c r="A3128" i="2"/>
  <c r="H3127" i="2"/>
  <c r="G3127" i="2"/>
  <c r="F3127" i="2"/>
  <c r="E3127" i="2"/>
  <c r="D3127" i="2"/>
  <c r="C3127" i="2"/>
  <c r="B3127" i="2"/>
  <c r="A3127" i="2"/>
  <c r="H3126" i="2"/>
  <c r="G3126" i="2"/>
  <c r="F3126" i="2"/>
  <c r="E3126" i="2"/>
  <c r="D3126" i="2"/>
  <c r="C3126" i="2"/>
  <c r="B3126" i="2"/>
  <c r="A3126" i="2"/>
  <c r="H3125" i="2"/>
  <c r="G3125" i="2"/>
  <c r="F3125" i="2"/>
  <c r="E3125" i="2"/>
  <c r="D3125" i="2"/>
  <c r="C3125" i="2"/>
  <c r="B3125" i="2"/>
  <c r="A3125" i="2"/>
  <c r="H3124" i="2"/>
  <c r="G3124" i="2"/>
  <c r="F3124" i="2"/>
  <c r="E3124" i="2"/>
  <c r="D3124" i="2"/>
  <c r="C3124" i="2"/>
  <c r="B3124" i="2"/>
  <c r="A3124" i="2"/>
  <c r="H3123" i="2"/>
  <c r="G3123" i="2"/>
  <c r="F3123" i="2"/>
  <c r="E3123" i="2"/>
  <c r="D3123" i="2"/>
  <c r="C3123" i="2"/>
  <c r="B3123" i="2"/>
  <c r="A3123" i="2"/>
  <c r="H3122" i="2"/>
  <c r="G3122" i="2"/>
  <c r="F3122" i="2"/>
  <c r="E3122" i="2"/>
  <c r="D3122" i="2"/>
  <c r="C3122" i="2"/>
  <c r="B3122" i="2"/>
  <c r="A3122" i="2"/>
  <c r="H3121" i="2"/>
  <c r="G3121" i="2"/>
  <c r="F3121" i="2"/>
  <c r="E3121" i="2"/>
  <c r="D3121" i="2"/>
  <c r="C3121" i="2"/>
  <c r="B3121" i="2"/>
  <c r="A3121" i="2"/>
  <c r="H3120" i="2"/>
  <c r="G3120" i="2"/>
  <c r="F3120" i="2"/>
  <c r="E3120" i="2"/>
  <c r="D3120" i="2"/>
  <c r="C3120" i="2"/>
  <c r="B3120" i="2"/>
  <c r="A3120" i="2"/>
  <c r="H3119" i="2"/>
  <c r="G3119" i="2"/>
  <c r="F3119" i="2"/>
  <c r="E3119" i="2"/>
  <c r="D3119" i="2"/>
  <c r="C3119" i="2"/>
  <c r="B3119" i="2"/>
  <c r="A3119" i="2"/>
  <c r="H3118" i="2"/>
  <c r="G3118" i="2"/>
  <c r="F3118" i="2"/>
  <c r="E3118" i="2"/>
  <c r="D3118" i="2"/>
  <c r="C3118" i="2"/>
  <c r="B3118" i="2"/>
  <c r="A3118" i="2"/>
  <c r="H3117" i="2"/>
  <c r="G3117" i="2"/>
  <c r="F3117" i="2"/>
  <c r="E3117" i="2"/>
  <c r="D3117" i="2"/>
  <c r="C3117" i="2"/>
  <c r="B3117" i="2"/>
  <c r="A3117" i="2"/>
  <c r="H3116" i="2"/>
  <c r="G3116" i="2"/>
  <c r="F3116" i="2"/>
  <c r="E3116" i="2"/>
  <c r="D3116" i="2"/>
  <c r="C3116" i="2"/>
  <c r="B3116" i="2"/>
  <c r="A3116" i="2"/>
  <c r="H3115" i="2"/>
  <c r="G3115" i="2"/>
  <c r="F3115" i="2"/>
  <c r="E3115" i="2"/>
  <c r="D3115" i="2"/>
  <c r="C3115" i="2"/>
  <c r="B3115" i="2"/>
  <c r="A3115" i="2"/>
  <c r="H3114" i="2"/>
  <c r="G3114" i="2"/>
  <c r="F3114" i="2"/>
  <c r="E3114" i="2"/>
  <c r="D3114" i="2"/>
  <c r="C3114" i="2"/>
  <c r="B3114" i="2"/>
  <c r="A3114" i="2"/>
  <c r="H3113" i="2"/>
  <c r="G3113" i="2"/>
  <c r="F3113" i="2"/>
  <c r="E3113" i="2"/>
  <c r="D3113" i="2"/>
  <c r="C3113" i="2"/>
  <c r="B3113" i="2"/>
  <c r="A3113" i="2"/>
  <c r="H3112" i="2"/>
  <c r="G3112" i="2"/>
  <c r="F3112" i="2"/>
  <c r="E3112" i="2"/>
  <c r="D3112" i="2"/>
  <c r="C3112" i="2"/>
  <c r="B3112" i="2"/>
  <c r="A3112" i="2"/>
  <c r="H3111" i="2"/>
  <c r="G3111" i="2"/>
  <c r="F3111" i="2"/>
  <c r="E3111" i="2"/>
  <c r="D3111" i="2"/>
  <c r="C3111" i="2"/>
  <c r="B3111" i="2"/>
  <c r="A3111" i="2"/>
  <c r="H3110" i="2"/>
  <c r="G3110" i="2"/>
  <c r="F3110" i="2"/>
  <c r="E3110" i="2"/>
  <c r="D3110" i="2"/>
  <c r="C3110" i="2"/>
  <c r="B3110" i="2"/>
  <c r="A3110" i="2"/>
  <c r="H3109" i="2"/>
  <c r="G3109" i="2"/>
  <c r="F3109" i="2"/>
  <c r="E3109" i="2"/>
  <c r="D3109" i="2"/>
  <c r="C3109" i="2"/>
  <c r="B3109" i="2"/>
  <c r="A3109" i="2"/>
  <c r="H3108" i="2"/>
  <c r="G3108" i="2"/>
  <c r="F3108" i="2"/>
  <c r="E3108" i="2"/>
  <c r="D3108" i="2"/>
  <c r="C3108" i="2"/>
  <c r="B3108" i="2"/>
  <c r="A3108" i="2"/>
  <c r="H3107" i="2"/>
  <c r="G3107" i="2"/>
  <c r="F3107" i="2"/>
  <c r="E3107" i="2"/>
  <c r="D3107" i="2"/>
  <c r="C3107" i="2"/>
  <c r="B3107" i="2"/>
  <c r="A3107" i="2"/>
  <c r="H3106" i="2"/>
  <c r="G3106" i="2"/>
  <c r="F3106" i="2"/>
  <c r="E3106" i="2"/>
  <c r="D3106" i="2"/>
  <c r="C3106" i="2"/>
  <c r="B3106" i="2"/>
  <c r="A3106" i="2"/>
  <c r="H3105" i="2"/>
  <c r="G3105" i="2"/>
  <c r="F3105" i="2"/>
  <c r="E3105" i="2"/>
  <c r="D3105" i="2"/>
  <c r="C3105" i="2"/>
  <c r="B3105" i="2"/>
  <c r="A3105" i="2"/>
  <c r="H3104" i="2"/>
  <c r="G3104" i="2"/>
  <c r="F3104" i="2"/>
  <c r="E3104" i="2"/>
  <c r="D3104" i="2"/>
  <c r="C3104" i="2"/>
  <c r="B3104" i="2"/>
  <c r="A3104" i="2"/>
  <c r="H3103" i="2"/>
  <c r="G3103" i="2"/>
  <c r="F3103" i="2"/>
  <c r="E3103" i="2"/>
  <c r="D3103" i="2"/>
  <c r="C3103" i="2"/>
  <c r="B3103" i="2"/>
  <c r="A3103" i="2"/>
  <c r="H3102" i="2"/>
  <c r="G3102" i="2"/>
  <c r="F3102" i="2"/>
  <c r="E3102" i="2"/>
  <c r="D3102" i="2"/>
  <c r="C3102" i="2"/>
  <c r="B3102" i="2"/>
  <c r="A3102" i="2"/>
  <c r="H3101" i="2"/>
  <c r="G3101" i="2"/>
  <c r="F3101" i="2"/>
  <c r="E3101" i="2"/>
  <c r="D3101" i="2"/>
  <c r="C3101" i="2"/>
  <c r="B3101" i="2"/>
  <c r="A3101" i="2"/>
  <c r="H3100" i="2"/>
  <c r="G3100" i="2"/>
  <c r="F3100" i="2"/>
  <c r="E3100" i="2"/>
  <c r="D3100" i="2"/>
  <c r="C3100" i="2"/>
  <c r="B3100" i="2"/>
  <c r="A3100" i="2"/>
  <c r="H3099" i="2"/>
  <c r="G3099" i="2"/>
  <c r="F3099" i="2"/>
  <c r="E3099" i="2"/>
  <c r="D3099" i="2"/>
  <c r="C3099" i="2"/>
  <c r="B3099" i="2"/>
  <c r="A3099" i="2"/>
  <c r="H3098" i="2"/>
  <c r="G3098" i="2"/>
  <c r="F3098" i="2"/>
  <c r="E3098" i="2"/>
  <c r="D3098" i="2"/>
  <c r="C3098" i="2"/>
  <c r="B3098" i="2"/>
  <c r="A3098" i="2"/>
  <c r="H3097" i="2"/>
  <c r="G3097" i="2"/>
  <c r="F3097" i="2"/>
  <c r="E3097" i="2"/>
  <c r="D3097" i="2"/>
  <c r="C3097" i="2"/>
  <c r="B3097" i="2"/>
  <c r="A3097" i="2"/>
  <c r="H3096" i="2"/>
  <c r="G3096" i="2"/>
  <c r="F3096" i="2"/>
  <c r="E3096" i="2"/>
  <c r="D3096" i="2"/>
  <c r="C3096" i="2"/>
  <c r="B3096" i="2"/>
  <c r="A3096" i="2"/>
  <c r="H3095" i="2"/>
  <c r="G3095" i="2"/>
  <c r="F3095" i="2"/>
  <c r="E3095" i="2"/>
  <c r="D3095" i="2"/>
  <c r="C3095" i="2"/>
  <c r="B3095" i="2"/>
  <c r="A3095" i="2"/>
  <c r="H3094" i="2"/>
  <c r="G3094" i="2"/>
  <c r="F3094" i="2"/>
  <c r="E3094" i="2"/>
  <c r="D3094" i="2"/>
  <c r="C3094" i="2"/>
  <c r="B3094" i="2"/>
  <c r="A3094" i="2"/>
  <c r="H3093" i="2"/>
  <c r="G3093" i="2"/>
  <c r="F3093" i="2"/>
  <c r="E3093" i="2"/>
  <c r="D3093" i="2"/>
  <c r="C3093" i="2"/>
  <c r="B3093" i="2"/>
  <c r="A3093" i="2"/>
  <c r="H3092" i="2"/>
  <c r="G3092" i="2"/>
  <c r="F3092" i="2"/>
  <c r="E3092" i="2"/>
  <c r="D3092" i="2"/>
  <c r="C3092" i="2"/>
  <c r="B3092" i="2"/>
  <c r="A3092" i="2"/>
  <c r="H3091" i="2"/>
  <c r="G3091" i="2"/>
  <c r="F3091" i="2"/>
  <c r="E3091" i="2"/>
  <c r="D3091" i="2"/>
  <c r="C3091" i="2"/>
  <c r="B3091" i="2"/>
  <c r="A3091" i="2"/>
  <c r="H3090" i="2"/>
  <c r="G3090" i="2"/>
  <c r="F3090" i="2"/>
  <c r="E3090" i="2"/>
  <c r="D3090" i="2"/>
  <c r="C3090" i="2"/>
  <c r="B3090" i="2"/>
  <c r="A3090" i="2"/>
  <c r="H3089" i="2"/>
  <c r="G3089" i="2"/>
  <c r="F3089" i="2"/>
  <c r="E3089" i="2"/>
  <c r="D3089" i="2"/>
  <c r="C3089" i="2"/>
  <c r="B3089" i="2"/>
  <c r="A3089" i="2"/>
  <c r="H3088" i="2"/>
  <c r="G3088" i="2"/>
  <c r="F3088" i="2"/>
  <c r="E3088" i="2"/>
  <c r="D3088" i="2"/>
  <c r="C3088" i="2"/>
  <c r="B3088" i="2"/>
  <c r="A3088" i="2"/>
  <c r="H3087" i="2"/>
  <c r="G3087" i="2"/>
  <c r="F3087" i="2"/>
  <c r="E3087" i="2"/>
  <c r="D3087" i="2"/>
  <c r="C3087" i="2"/>
  <c r="B3087" i="2"/>
  <c r="A3087" i="2"/>
  <c r="H3086" i="2"/>
  <c r="G3086" i="2"/>
  <c r="F3086" i="2"/>
  <c r="E3086" i="2"/>
  <c r="D3086" i="2"/>
  <c r="C3086" i="2"/>
  <c r="B3086" i="2"/>
  <c r="A3086" i="2"/>
  <c r="H3085" i="2"/>
  <c r="G3085" i="2"/>
  <c r="F3085" i="2"/>
  <c r="E3085" i="2"/>
  <c r="D3085" i="2"/>
  <c r="C3085" i="2"/>
  <c r="B3085" i="2"/>
  <c r="A3085" i="2"/>
  <c r="H3084" i="2"/>
  <c r="G3084" i="2"/>
  <c r="F3084" i="2"/>
  <c r="E3084" i="2"/>
  <c r="D3084" i="2"/>
  <c r="C3084" i="2"/>
  <c r="B3084" i="2"/>
  <c r="A3084" i="2"/>
  <c r="H3083" i="2"/>
  <c r="G3083" i="2"/>
  <c r="F3083" i="2"/>
  <c r="E3083" i="2"/>
  <c r="D3083" i="2"/>
  <c r="C3083" i="2"/>
  <c r="B3083" i="2"/>
  <c r="A3083" i="2"/>
  <c r="H3082" i="2"/>
  <c r="G3082" i="2"/>
  <c r="F3082" i="2"/>
  <c r="E3082" i="2"/>
  <c r="D3082" i="2"/>
  <c r="C3082" i="2"/>
  <c r="B3082" i="2"/>
  <c r="A3082" i="2"/>
  <c r="H3081" i="2"/>
  <c r="G3081" i="2"/>
  <c r="F3081" i="2"/>
  <c r="E3081" i="2"/>
  <c r="D3081" i="2"/>
  <c r="C3081" i="2"/>
  <c r="B3081" i="2"/>
  <c r="A3081" i="2"/>
  <c r="H3080" i="2"/>
  <c r="G3080" i="2"/>
  <c r="F3080" i="2"/>
  <c r="E3080" i="2"/>
  <c r="D3080" i="2"/>
  <c r="C3080" i="2"/>
  <c r="B3080" i="2"/>
  <c r="A3080" i="2"/>
  <c r="H3079" i="2"/>
  <c r="G3079" i="2"/>
  <c r="F3079" i="2"/>
  <c r="E3079" i="2"/>
  <c r="D3079" i="2"/>
  <c r="C3079" i="2"/>
  <c r="B3079" i="2"/>
  <c r="A3079" i="2"/>
  <c r="H3078" i="2"/>
  <c r="G3078" i="2"/>
  <c r="F3078" i="2"/>
  <c r="E3078" i="2"/>
  <c r="D3078" i="2"/>
  <c r="C3078" i="2"/>
  <c r="B3078" i="2"/>
  <c r="A3078" i="2"/>
  <c r="H3077" i="2"/>
  <c r="G3077" i="2"/>
  <c r="F3077" i="2"/>
  <c r="E3077" i="2"/>
  <c r="D3077" i="2"/>
  <c r="C3077" i="2"/>
  <c r="B3077" i="2"/>
  <c r="A3077" i="2"/>
  <c r="H3076" i="2"/>
  <c r="G3076" i="2"/>
  <c r="F3076" i="2"/>
  <c r="E3076" i="2"/>
  <c r="D3076" i="2"/>
  <c r="C3076" i="2"/>
  <c r="B3076" i="2"/>
  <c r="A3076" i="2"/>
  <c r="H3075" i="2"/>
  <c r="G3075" i="2"/>
  <c r="F3075" i="2"/>
  <c r="E3075" i="2"/>
  <c r="D3075" i="2"/>
  <c r="C3075" i="2"/>
  <c r="B3075" i="2"/>
  <c r="A3075" i="2"/>
  <c r="H3074" i="2"/>
  <c r="G3074" i="2"/>
  <c r="F3074" i="2"/>
  <c r="E3074" i="2"/>
  <c r="D3074" i="2"/>
  <c r="C3074" i="2"/>
  <c r="B3074" i="2"/>
  <c r="A3074" i="2"/>
  <c r="H3073" i="2"/>
  <c r="G3073" i="2"/>
  <c r="F3073" i="2"/>
  <c r="E3073" i="2"/>
  <c r="D3073" i="2"/>
  <c r="C3073" i="2"/>
  <c r="B3073" i="2"/>
  <c r="A3073" i="2"/>
  <c r="H3072" i="2"/>
  <c r="G3072" i="2"/>
  <c r="F3072" i="2"/>
  <c r="E3072" i="2"/>
  <c r="D3072" i="2"/>
  <c r="C3072" i="2"/>
  <c r="B3072" i="2"/>
  <c r="A3072" i="2"/>
  <c r="H3071" i="2"/>
  <c r="G3071" i="2"/>
  <c r="F3071" i="2"/>
  <c r="E3071" i="2"/>
  <c r="D3071" i="2"/>
  <c r="C3071" i="2"/>
  <c r="B3071" i="2"/>
  <c r="A3071" i="2"/>
  <c r="H3070" i="2"/>
  <c r="G3070" i="2"/>
  <c r="F3070" i="2"/>
  <c r="E3070" i="2"/>
  <c r="D3070" i="2"/>
  <c r="C3070" i="2"/>
  <c r="B3070" i="2"/>
  <c r="A3070" i="2"/>
  <c r="H3069" i="2"/>
  <c r="G3069" i="2"/>
  <c r="F3069" i="2"/>
  <c r="E3069" i="2"/>
  <c r="D3069" i="2"/>
  <c r="C3069" i="2"/>
  <c r="B3069" i="2"/>
  <c r="A3069" i="2"/>
  <c r="H3068" i="2"/>
  <c r="G3068" i="2"/>
  <c r="F3068" i="2"/>
  <c r="E3068" i="2"/>
  <c r="D3068" i="2"/>
  <c r="C3068" i="2"/>
  <c r="B3068" i="2"/>
  <c r="A3068" i="2"/>
  <c r="H3067" i="2"/>
  <c r="G3067" i="2"/>
  <c r="F3067" i="2"/>
  <c r="E3067" i="2"/>
  <c r="D3067" i="2"/>
  <c r="C3067" i="2"/>
  <c r="B3067" i="2"/>
  <c r="A3067" i="2"/>
  <c r="H3066" i="2"/>
  <c r="G3066" i="2"/>
  <c r="F3066" i="2"/>
  <c r="E3066" i="2"/>
  <c r="D3066" i="2"/>
  <c r="C3066" i="2"/>
  <c r="B3066" i="2"/>
  <c r="A3066" i="2"/>
  <c r="H3065" i="2"/>
  <c r="G3065" i="2"/>
  <c r="F3065" i="2"/>
  <c r="E3065" i="2"/>
  <c r="D3065" i="2"/>
  <c r="C3065" i="2"/>
  <c r="B3065" i="2"/>
  <c r="A3065" i="2"/>
  <c r="H3064" i="2"/>
  <c r="G3064" i="2"/>
  <c r="F3064" i="2"/>
  <c r="E3064" i="2"/>
  <c r="D3064" i="2"/>
  <c r="C3064" i="2"/>
  <c r="B3064" i="2"/>
  <c r="A3064" i="2"/>
  <c r="H3063" i="2"/>
  <c r="G3063" i="2"/>
  <c r="F3063" i="2"/>
  <c r="E3063" i="2"/>
  <c r="D3063" i="2"/>
  <c r="C3063" i="2"/>
  <c r="B3063" i="2"/>
  <c r="A3063" i="2"/>
  <c r="H3062" i="2"/>
  <c r="G3062" i="2"/>
  <c r="F3062" i="2"/>
  <c r="E3062" i="2"/>
  <c r="D3062" i="2"/>
  <c r="C3062" i="2"/>
  <c r="B3062" i="2"/>
  <c r="A3062" i="2"/>
  <c r="H3061" i="2"/>
  <c r="G3061" i="2"/>
  <c r="F3061" i="2"/>
  <c r="E3061" i="2"/>
  <c r="D3061" i="2"/>
  <c r="C3061" i="2"/>
  <c r="B3061" i="2"/>
  <c r="A3061" i="2"/>
  <c r="H3060" i="2"/>
  <c r="G3060" i="2"/>
  <c r="F3060" i="2"/>
  <c r="E3060" i="2"/>
  <c r="D3060" i="2"/>
  <c r="C3060" i="2"/>
  <c r="B3060" i="2"/>
  <c r="A3060" i="2"/>
  <c r="H3059" i="2"/>
  <c r="G3059" i="2"/>
  <c r="F3059" i="2"/>
  <c r="E3059" i="2"/>
  <c r="D3059" i="2"/>
  <c r="C3059" i="2"/>
  <c r="B3059" i="2"/>
  <c r="A3059" i="2"/>
  <c r="H3058" i="2"/>
  <c r="G3058" i="2"/>
  <c r="F3058" i="2"/>
  <c r="E3058" i="2"/>
  <c r="D3058" i="2"/>
  <c r="C3058" i="2"/>
  <c r="B3058" i="2"/>
  <c r="A3058" i="2"/>
  <c r="H3057" i="2"/>
  <c r="G3057" i="2"/>
  <c r="F3057" i="2"/>
  <c r="E3057" i="2"/>
  <c r="D3057" i="2"/>
  <c r="C3057" i="2"/>
  <c r="B3057" i="2"/>
  <c r="A3057" i="2"/>
  <c r="H3056" i="2"/>
  <c r="G3056" i="2"/>
  <c r="F3056" i="2"/>
  <c r="E3056" i="2"/>
  <c r="D3056" i="2"/>
  <c r="C3056" i="2"/>
  <c r="B3056" i="2"/>
  <c r="A3056" i="2"/>
  <c r="H3055" i="2"/>
  <c r="G3055" i="2"/>
  <c r="F3055" i="2"/>
  <c r="E3055" i="2"/>
  <c r="D3055" i="2"/>
  <c r="C3055" i="2"/>
  <c r="B3055" i="2"/>
  <c r="A3055" i="2"/>
  <c r="H3054" i="2"/>
  <c r="G3054" i="2"/>
  <c r="F3054" i="2"/>
  <c r="E3054" i="2"/>
  <c r="D3054" i="2"/>
  <c r="C3054" i="2"/>
  <c r="B3054" i="2"/>
  <c r="A3054" i="2"/>
  <c r="H3053" i="2"/>
  <c r="G3053" i="2"/>
  <c r="F3053" i="2"/>
  <c r="E3053" i="2"/>
  <c r="D3053" i="2"/>
  <c r="C3053" i="2"/>
  <c r="B3053" i="2"/>
  <c r="A3053" i="2"/>
  <c r="H3052" i="2"/>
  <c r="G3052" i="2"/>
  <c r="F3052" i="2"/>
  <c r="E3052" i="2"/>
  <c r="D3052" i="2"/>
  <c r="C3052" i="2"/>
  <c r="B3052" i="2"/>
  <c r="A3052" i="2"/>
  <c r="H3051" i="2"/>
  <c r="G3051" i="2"/>
  <c r="F3051" i="2"/>
  <c r="E3051" i="2"/>
  <c r="D3051" i="2"/>
  <c r="C3051" i="2"/>
  <c r="B3051" i="2"/>
  <c r="A3051" i="2"/>
  <c r="H3050" i="2"/>
  <c r="G3050" i="2"/>
  <c r="F3050" i="2"/>
  <c r="E3050" i="2"/>
  <c r="D3050" i="2"/>
  <c r="C3050" i="2"/>
  <c r="B3050" i="2"/>
  <c r="A3050" i="2"/>
  <c r="H3049" i="2"/>
  <c r="G3049" i="2"/>
  <c r="F3049" i="2"/>
  <c r="E3049" i="2"/>
  <c r="D3049" i="2"/>
  <c r="C3049" i="2"/>
  <c r="B3049" i="2"/>
  <c r="A3049" i="2"/>
  <c r="H3048" i="2"/>
  <c r="G3048" i="2"/>
  <c r="F3048" i="2"/>
  <c r="E3048" i="2"/>
  <c r="D3048" i="2"/>
  <c r="C3048" i="2"/>
  <c r="B3048" i="2"/>
  <c r="A3048" i="2"/>
  <c r="H3047" i="2"/>
  <c r="G3047" i="2"/>
  <c r="F3047" i="2"/>
  <c r="E3047" i="2"/>
  <c r="D3047" i="2"/>
  <c r="C3047" i="2"/>
  <c r="B3047" i="2"/>
  <c r="A3047" i="2"/>
  <c r="H3046" i="2"/>
  <c r="G3046" i="2"/>
  <c r="F3046" i="2"/>
  <c r="E3046" i="2"/>
  <c r="D3046" i="2"/>
  <c r="C3046" i="2"/>
  <c r="B3046" i="2"/>
  <c r="A3046" i="2"/>
  <c r="H3045" i="2"/>
  <c r="G3045" i="2"/>
  <c r="F3045" i="2"/>
  <c r="E3045" i="2"/>
  <c r="D3045" i="2"/>
  <c r="C3045" i="2"/>
  <c r="B3045" i="2"/>
  <c r="A3045" i="2"/>
  <c r="H3044" i="2"/>
  <c r="G3044" i="2"/>
  <c r="F3044" i="2"/>
  <c r="E3044" i="2"/>
  <c r="D3044" i="2"/>
  <c r="C3044" i="2"/>
  <c r="B3044" i="2"/>
  <c r="A3044" i="2"/>
  <c r="H3043" i="2"/>
  <c r="G3043" i="2"/>
  <c r="F3043" i="2"/>
  <c r="E3043" i="2"/>
  <c r="D3043" i="2"/>
  <c r="C3043" i="2"/>
  <c r="B3043" i="2"/>
  <c r="A3043" i="2"/>
  <c r="H3042" i="2"/>
  <c r="G3042" i="2"/>
  <c r="F3042" i="2"/>
  <c r="E3042" i="2"/>
  <c r="D3042" i="2"/>
  <c r="C3042" i="2"/>
  <c r="B3042" i="2"/>
  <c r="A3042" i="2"/>
  <c r="H3041" i="2"/>
  <c r="G3041" i="2"/>
  <c r="F3041" i="2"/>
  <c r="E3041" i="2"/>
  <c r="D3041" i="2"/>
  <c r="C3041" i="2"/>
  <c r="B3041" i="2"/>
  <c r="A3041" i="2"/>
  <c r="H3040" i="2"/>
  <c r="G3040" i="2"/>
  <c r="F3040" i="2"/>
  <c r="E3040" i="2"/>
  <c r="D3040" i="2"/>
  <c r="C3040" i="2"/>
  <c r="B3040" i="2"/>
  <c r="A3040" i="2"/>
  <c r="H3039" i="2"/>
  <c r="G3039" i="2"/>
  <c r="F3039" i="2"/>
  <c r="E3039" i="2"/>
  <c r="D3039" i="2"/>
  <c r="C3039" i="2"/>
  <c r="B3039" i="2"/>
  <c r="A3039" i="2"/>
  <c r="H3038" i="2"/>
  <c r="G3038" i="2"/>
  <c r="F3038" i="2"/>
  <c r="E3038" i="2"/>
  <c r="D3038" i="2"/>
  <c r="C3038" i="2"/>
  <c r="B3038" i="2"/>
  <c r="A3038" i="2"/>
  <c r="H3037" i="2"/>
  <c r="G3037" i="2"/>
  <c r="F3037" i="2"/>
  <c r="E3037" i="2"/>
  <c r="D3037" i="2"/>
  <c r="C3037" i="2"/>
  <c r="B3037" i="2"/>
  <c r="A3037" i="2"/>
  <c r="H3036" i="2"/>
  <c r="G3036" i="2"/>
  <c r="F3036" i="2"/>
  <c r="E3036" i="2"/>
  <c r="D3036" i="2"/>
  <c r="C3036" i="2"/>
  <c r="B3036" i="2"/>
  <c r="A3036" i="2"/>
  <c r="H3035" i="2"/>
  <c r="G3035" i="2"/>
  <c r="F3035" i="2"/>
  <c r="E3035" i="2"/>
  <c r="D3035" i="2"/>
  <c r="C3035" i="2"/>
  <c r="B3035" i="2"/>
  <c r="A3035" i="2"/>
  <c r="H3034" i="2"/>
  <c r="G3034" i="2"/>
  <c r="F3034" i="2"/>
  <c r="E3034" i="2"/>
  <c r="D3034" i="2"/>
  <c r="C3034" i="2"/>
  <c r="B3034" i="2"/>
  <c r="A3034" i="2"/>
  <c r="H3033" i="2"/>
  <c r="G3033" i="2"/>
  <c r="F3033" i="2"/>
  <c r="E3033" i="2"/>
  <c r="D3033" i="2"/>
  <c r="C3033" i="2"/>
  <c r="B3033" i="2"/>
  <c r="A3033" i="2"/>
  <c r="H3032" i="2"/>
  <c r="G3032" i="2"/>
  <c r="F3032" i="2"/>
  <c r="E3032" i="2"/>
  <c r="D3032" i="2"/>
  <c r="C3032" i="2"/>
  <c r="B3032" i="2"/>
  <c r="A3032" i="2"/>
  <c r="H3031" i="2"/>
  <c r="G3031" i="2"/>
  <c r="F3031" i="2"/>
  <c r="E3031" i="2"/>
  <c r="D3031" i="2"/>
  <c r="C3031" i="2"/>
  <c r="B3031" i="2"/>
  <c r="A3031" i="2"/>
  <c r="H3030" i="2"/>
  <c r="G3030" i="2"/>
  <c r="F3030" i="2"/>
  <c r="E3030" i="2"/>
  <c r="D3030" i="2"/>
  <c r="C3030" i="2"/>
  <c r="B3030" i="2"/>
  <c r="A3030" i="2"/>
  <c r="H3029" i="2"/>
  <c r="G3029" i="2"/>
  <c r="F3029" i="2"/>
  <c r="E3029" i="2"/>
  <c r="D3029" i="2"/>
  <c r="C3029" i="2"/>
  <c r="B3029" i="2"/>
  <c r="A3029" i="2"/>
  <c r="H3028" i="2"/>
  <c r="G3028" i="2"/>
  <c r="F3028" i="2"/>
  <c r="E3028" i="2"/>
  <c r="D3028" i="2"/>
  <c r="C3028" i="2"/>
  <c r="B3028" i="2"/>
  <c r="A3028" i="2"/>
  <c r="H3027" i="2"/>
  <c r="G3027" i="2"/>
  <c r="F3027" i="2"/>
  <c r="E3027" i="2"/>
  <c r="D3027" i="2"/>
  <c r="C3027" i="2"/>
  <c r="B3027" i="2"/>
  <c r="A3027" i="2"/>
  <c r="H3026" i="2"/>
  <c r="G3026" i="2"/>
  <c r="F3026" i="2"/>
  <c r="E3026" i="2"/>
  <c r="D3026" i="2"/>
  <c r="C3026" i="2"/>
  <c r="B3026" i="2"/>
  <c r="A3026" i="2"/>
  <c r="H3025" i="2"/>
  <c r="G3025" i="2"/>
  <c r="F3025" i="2"/>
  <c r="E3025" i="2"/>
  <c r="D3025" i="2"/>
  <c r="C3025" i="2"/>
  <c r="B3025" i="2"/>
  <c r="A3025" i="2"/>
  <c r="H3024" i="2"/>
  <c r="G3024" i="2"/>
  <c r="F3024" i="2"/>
  <c r="E3024" i="2"/>
  <c r="D3024" i="2"/>
  <c r="C3024" i="2"/>
  <c r="B3024" i="2"/>
  <c r="A3024" i="2"/>
  <c r="H3023" i="2"/>
  <c r="G3023" i="2"/>
  <c r="F3023" i="2"/>
  <c r="E3023" i="2"/>
  <c r="D3023" i="2"/>
  <c r="C3023" i="2"/>
  <c r="B3023" i="2"/>
  <c r="A3023" i="2"/>
  <c r="H3022" i="2"/>
  <c r="G3022" i="2"/>
  <c r="F3022" i="2"/>
  <c r="E3022" i="2"/>
  <c r="D3022" i="2"/>
  <c r="C3022" i="2"/>
  <c r="B3022" i="2"/>
  <c r="A3022" i="2"/>
  <c r="H3021" i="2"/>
  <c r="G3021" i="2"/>
  <c r="F3021" i="2"/>
  <c r="E3021" i="2"/>
  <c r="D3021" i="2"/>
  <c r="C3021" i="2"/>
  <c r="B3021" i="2"/>
  <c r="A3021" i="2"/>
  <c r="H3020" i="2"/>
  <c r="G3020" i="2"/>
  <c r="F3020" i="2"/>
  <c r="E3020" i="2"/>
  <c r="D3020" i="2"/>
  <c r="C3020" i="2"/>
  <c r="B3020" i="2"/>
  <c r="A3020" i="2"/>
  <c r="H3019" i="2"/>
  <c r="G3019" i="2"/>
  <c r="F3019" i="2"/>
  <c r="E3019" i="2"/>
  <c r="D3019" i="2"/>
  <c r="C3019" i="2"/>
  <c r="B3019" i="2"/>
  <c r="A3019" i="2"/>
  <c r="H3018" i="2"/>
  <c r="G3018" i="2"/>
  <c r="F3018" i="2"/>
  <c r="E3018" i="2"/>
  <c r="D3018" i="2"/>
  <c r="C3018" i="2"/>
  <c r="B3018" i="2"/>
  <c r="A3018" i="2"/>
  <c r="H3017" i="2"/>
  <c r="G3017" i="2"/>
  <c r="F3017" i="2"/>
  <c r="E3017" i="2"/>
  <c r="D3017" i="2"/>
  <c r="C3017" i="2"/>
  <c r="B3017" i="2"/>
  <c r="A3017" i="2"/>
  <c r="H3016" i="2"/>
  <c r="G3016" i="2"/>
  <c r="F3016" i="2"/>
  <c r="E3016" i="2"/>
  <c r="D3016" i="2"/>
  <c r="C3016" i="2"/>
  <c r="B3016" i="2"/>
  <c r="A3016" i="2"/>
  <c r="H3015" i="2"/>
  <c r="G3015" i="2"/>
  <c r="F3015" i="2"/>
  <c r="E3015" i="2"/>
  <c r="D3015" i="2"/>
  <c r="C3015" i="2"/>
  <c r="B3015" i="2"/>
  <c r="A3015" i="2"/>
  <c r="H3014" i="2"/>
  <c r="G3014" i="2"/>
  <c r="F3014" i="2"/>
  <c r="E3014" i="2"/>
  <c r="D3014" i="2"/>
  <c r="C3014" i="2"/>
  <c r="B3014" i="2"/>
  <c r="A3014" i="2"/>
  <c r="H3013" i="2"/>
  <c r="G3013" i="2"/>
  <c r="F3013" i="2"/>
  <c r="E3013" i="2"/>
  <c r="D3013" i="2"/>
  <c r="C3013" i="2"/>
  <c r="B3013" i="2"/>
  <c r="A3013" i="2"/>
  <c r="H3012" i="2"/>
  <c r="G3012" i="2"/>
  <c r="F3012" i="2"/>
  <c r="E3012" i="2"/>
  <c r="D3012" i="2"/>
  <c r="C3012" i="2"/>
  <c r="B3012" i="2"/>
  <c r="A3012" i="2"/>
  <c r="H3011" i="2"/>
  <c r="G3011" i="2"/>
  <c r="F3011" i="2"/>
  <c r="E3011" i="2"/>
  <c r="D3011" i="2"/>
  <c r="C3011" i="2"/>
  <c r="B3011" i="2"/>
  <c r="A3011" i="2"/>
  <c r="H3010" i="2"/>
  <c r="G3010" i="2"/>
  <c r="F3010" i="2"/>
  <c r="E3010" i="2"/>
  <c r="D3010" i="2"/>
  <c r="C3010" i="2"/>
  <c r="B3010" i="2"/>
  <c r="A3010" i="2"/>
  <c r="H3009" i="2"/>
  <c r="G3009" i="2"/>
  <c r="F3009" i="2"/>
  <c r="E3009" i="2"/>
  <c r="D3009" i="2"/>
  <c r="C3009" i="2"/>
  <c r="B3009" i="2"/>
  <c r="A3009" i="2"/>
  <c r="H3008" i="2"/>
  <c r="G3008" i="2"/>
  <c r="F3008" i="2"/>
  <c r="E3008" i="2"/>
  <c r="D3008" i="2"/>
  <c r="C3008" i="2"/>
  <c r="B3008" i="2"/>
  <c r="A3008" i="2"/>
  <c r="H3007" i="2"/>
  <c r="G3007" i="2"/>
  <c r="F3007" i="2"/>
  <c r="E3007" i="2"/>
  <c r="D3007" i="2"/>
  <c r="C3007" i="2"/>
  <c r="B3007" i="2"/>
  <c r="A3007" i="2"/>
  <c r="H3006" i="2"/>
  <c r="G3006" i="2"/>
  <c r="F3006" i="2"/>
  <c r="E3006" i="2"/>
  <c r="D3006" i="2"/>
  <c r="C3006" i="2"/>
  <c r="B3006" i="2"/>
  <c r="A3006" i="2"/>
  <c r="H3005" i="2"/>
  <c r="G3005" i="2"/>
  <c r="F3005" i="2"/>
  <c r="E3005" i="2"/>
  <c r="D3005" i="2"/>
  <c r="C3005" i="2"/>
  <c r="B3005" i="2"/>
  <c r="A3005" i="2"/>
  <c r="H3004" i="2"/>
  <c r="G3004" i="2"/>
  <c r="F3004" i="2"/>
  <c r="E3004" i="2"/>
  <c r="D3004" i="2"/>
  <c r="C3004" i="2"/>
  <c r="B3004" i="2"/>
  <c r="A3004" i="2"/>
  <c r="H3003" i="2"/>
  <c r="G3003" i="2"/>
  <c r="F3003" i="2"/>
  <c r="E3003" i="2"/>
  <c r="D3003" i="2"/>
  <c r="C3003" i="2"/>
  <c r="B3003" i="2"/>
  <c r="A3003" i="2"/>
  <c r="H3002" i="2"/>
  <c r="G3002" i="2"/>
  <c r="F3002" i="2"/>
  <c r="E3002" i="2"/>
  <c r="D3002" i="2"/>
  <c r="C3002" i="2"/>
  <c r="B3002" i="2"/>
  <c r="A3002" i="2"/>
  <c r="H3001" i="2"/>
  <c r="G3001" i="2"/>
  <c r="F3001" i="2"/>
  <c r="E3001" i="2"/>
  <c r="D3001" i="2"/>
  <c r="C3001" i="2"/>
  <c r="B3001" i="2"/>
  <c r="A3001" i="2"/>
  <c r="H3000" i="2"/>
  <c r="G3000" i="2"/>
  <c r="F3000" i="2"/>
  <c r="E3000" i="2"/>
  <c r="D3000" i="2"/>
  <c r="C3000" i="2"/>
  <c r="B3000" i="2"/>
  <c r="A3000" i="2"/>
  <c r="H2999" i="2"/>
  <c r="G2999" i="2"/>
  <c r="F2999" i="2"/>
  <c r="E2999" i="2"/>
  <c r="D2999" i="2"/>
  <c r="C2999" i="2"/>
  <c r="B2999" i="2"/>
  <c r="A2999" i="2"/>
  <c r="H2998" i="2"/>
  <c r="G2998" i="2"/>
  <c r="F2998" i="2"/>
  <c r="E2998" i="2"/>
  <c r="D2998" i="2"/>
  <c r="C2998" i="2"/>
  <c r="B2998" i="2"/>
  <c r="A2998" i="2"/>
  <c r="H2997" i="2"/>
  <c r="G2997" i="2"/>
  <c r="F2997" i="2"/>
  <c r="E2997" i="2"/>
  <c r="D2997" i="2"/>
  <c r="C2997" i="2"/>
  <c r="B2997" i="2"/>
  <c r="A2997" i="2"/>
  <c r="H2996" i="2"/>
  <c r="G2996" i="2"/>
  <c r="F2996" i="2"/>
  <c r="E2996" i="2"/>
  <c r="D2996" i="2"/>
  <c r="C2996" i="2"/>
  <c r="B2996" i="2"/>
  <c r="A2996" i="2"/>
  <c r="H2995" i="2"/>
  <c r="G2995" i="2"/>
  <c r="F2995" i="2"/>
  <c r="E2995" i="2"/>
  <c r="D2995" i="2"/>
  <c r="C2995" i="2"/>
  <c r="B2995" i="2"/>
  <c r="A2995" i="2"/>
  <c r="H2994" i="2"/>
  <c r="G2994" i="2"/>
  <c r="F2994" i="2"/>
  <c r="E2994" i="2"/>
  <c r="D2994" i="2"/>
  <c r="C2994" i="2"/>
  <c r="B2994" i="2"/>
  <c r="A2994" i="2"/>
  <c r="H2993" i="2"/>
  <c r="G2993" i="2"/>
  <c r="F2993" i="2"/>
  <c r="E2993" i="2"/>
  <c r="D2993" i="2"/>
  <c r="C2993" i="2"/>
  <c r="B2993" i="2"/>
  <c r="A2993" i="2"/>
  <c r="H2992" i="2"/>
  <c r="G2992" i="2"/>
  <c r="F2992" i="2"/>
  <c r="E2992" i="2"/>
  <c r="D2992" i="2"/>
  <c r="C2992" i="2"/>
  <c r="B2992" i="2"/>
  <c r="A2992" i="2"/>
  <c r="H2991" i="2"/>
  <c r="G2991" i="2"/>
  <c r="F2991" i="2"/>
  <c r="E2991" i="2"/>
  <c r="D2991" i="2"/>
  <c r="C2991" i="2"/>
  <c r="B2991" i="2"/>
  <c r="A2991" i="2"/>
  <c r="H2990" i="2"/>
  <c r="G2990" i="2"/>
  <c r="F2990" i="2"/>
  <c r="E2990" i="2"/>
  <c r="D2990" i="2"/>
  <c r="C2990" i="2"/>
  <c r="B2990" i="2"/>
  <c r="A2990" i="2"/>
  <c r="H2989" i="2"/>
  <c r="G2989" i="2"/>
  <c r="F2989" i="2"/>
  <c r="E2989" i="2"/>
  <c r="D2989" i="2"/>
  <c r="C2989" i="2"/>
  <c r="B2989" i="2"/>
  <c r="A2989" i="2"/>
  <c r="H2988" i="2"/>
  <c r="G2988" i="2"/>
  <c r="F2988" i="2"/>
  <c r="E2988" i="2"/>
  <c r="D2988" i="2"/>
  <c r="C2988" i="2"/>
  <c r="B2988" i="2"/>
  <c r="A2988" i="2"/>
  <c r="H2987" i="2"/>
  <c r="G2987" i="2"/>
  <c r="F2987" i="2"/>
  <c r="E2987" i="2"/>
  <c r="D2987" i="2"/>
  <c r="C2987" i="2"/>
  <c r="B2987" i="2"/>
  <c r="A2987" i="2"/>
  <c r="H2986" i="2"/>
  <c r="G2986" i="2"/>
  <c r="F2986" i="2"/>
  <c r="E2986" i="2"/>
  <c r="D2986" i="2"/>
  <c r="C2986" i="2"/>
  <c r="B2986" i="2"/>
  <c r="A2986" i="2"/>
  <c r="H2985" i="2"/>
  <c r="G2985" i="2"/>
  <c r="F2985" i="2"/>
  <c r="E2985" i="2"/>
  <c r="D2985" i="2"/>
  <c r="C2985" i="2"/>
  <c r="B2985" i="2"/>
  <c r="A2985" i="2"/>
  <c r="H2984" i="2"/>
  <c r="G2984" i="2"/>
  <c r="F2984" i="2"/>
  <c r="E2984" i="2"/>
  <c r="D2984" i="2"/>
  <c r="C2984" i="2"/>
  <c r="B2984" i="2"/>
  <c r="A2984" i="2"/>
  <c r="H2983" i="2"/>
  <c r="G2983" i="2"/>
  <c r="F2983" i="2"/>
  <c r="E2983" i="2"/>
  <c r="D2983" i="2"/>
  <c r="C2983" i="2"/>
  <c r="B2983" i="2"/>
  <c r="A2983" i="2"/>
  <c r="H2982" i="2"/>
  <c r="G2982" i="2"/>
  <c r="F2982" i="2"/>
  <c r="E2982" i="2"/>
  <c r="D2982" i="2"/>
  <c r="C2982" i="2"/>
  <c r="B2982" i="2"/>
  <c r="A2982" i="2"/>
  <c r="H2981" i="2"/>
  <c r="G2981" i="2"/>
  <c r="F2981" i="2"/>
  <c r="E2981" i="2"/>
  <c r="D2981" i="2"/>
  <c r="C2981" i="2"/>
  <c r="B2981" i="2"/>
  <c r="A2981" i="2"/>
  <c r="H2980" i="2"/>
  <c r="G2980" i="2"/>
  <c r="F2980" i="2"/>
  <c r="E2980" i="2"/>
  <c r="D2980" i="2"/>
  <c r="C2980" i="2"/>
  <c r="B2980" i="2"/>
  <c r="A2980" i="2"/>
  <c r="H2979" i="2"/>
  <c r="G2979" i="2"/>
  <c r="F2979" i="2"/>
  <c r="E2979" i="2"/>
  <c r="D2979" i="2"/>
  <c r="C2979" i="2"/>
  <c r="B2979" i="2"/>
  <c r="A2979" i="2"/>
  <c r="H2978" i="2"/>
  <c r="G2978" i="2"/>
  <c r="F2978" i="2"/>
  <c r="E2978" i="2"/>
  <c r="D2978" i="2"/>
  <c r="C2978" i="2"/>
  <c r="B2978" i="2"/>
  <c r="A2978" i="2"/>
  <c r="H2977" i="2"/>
  <c r="G2977" i="2"/>
  <c r="F2977" i="2"/>
  <c r="E2977" i="2"/>
  <c r="D2977" i="2"/>
  <c r="C2977" i="2"/>
  <c r="B2977" i="2"/>
  <c r="A2977" i="2"/>
  <c r="H2976" i="2"/>
  <c r="G2976" i="2"/>
  <c r="F2976" i="2"/>
  <c r="E2976" i="2"/>
  <c r="D2976" i="2"/>
  <c r="C2976" i="2"/>
  <c r="B2976" i="2"/>
  <c r="A2976" i="2"/>
  <c r="H2975" i="2"/>
  <c r="G2975" i="2"/>
  <c r="F2975" i="2"/>
  <c r="E2975" i="2"/>
  <c r="D2975" i="2"/>
  <c r="C2975" i="2"/>
  <c r="B2975" i="2"/>
  <c r="A2975" i="2"/>
  <c r="H2974" i="2"/>
  <c r="G2974" i="2"/>
  <c r="F2974" i="2"/>
  <c r="E2974" i="2"/>
  <c r="D2974" i="2"/>
  <c r="C2974" i="2"/>
  <c r="B2974" i="2"/>
  <c r="A2974" i="2"/>
  <c r="H2973" i="2"/>
  <c r="G2973" i="2"/>
  <c r="F2973" i="2"/>
  <c r="E2973" i="2"/>
  <c r="D2973" i="2"/>
  <c r="C2973" i="2"/>
  <c r="B2973" i="2"/>
  <c r="A2973" i="2"/>
  <c r="H2972" i="2"/>
  <c r="G2972" i="2"/>
  <c r="F2972" i="2"/>
  <c r="E2972" i="2"/>
  <c r="D2972" i="2"/>
  <c r="C2972" i="2"/>
  <c r="B2972" i="2"/>
  <c r="A2972" i="2"/>
  <c r="H2971" i="2"/>
  <c r="G2971" i="2"/>
  <c r="F2971" i="2"/>
  <c r="E2971" i="2"/>
  <c r="D2971" i="2"/>
  <c r="C2971" i="2"/>
  <c r="B2971" i="2"/>
  <c r="A2971" i="2"/>
  <c r="H2970" i="2"/>
  <c r="G2970" i="2"/>
  <c r="F2970" i="2"/>
  <c r="E2970" i="2"/>
  <c r="D2970" i="2"/>
  <c r="C2970" i="2"/>
  <c r="B2970" i="2"/>
  <c r="A2970" i="2"/>
  <c r="H2969" i="2"/>
  <c r="G2969" i="2"/>
  <c r="F2969" i="2"/>
  <c r="E2969" i="2"/>
  <c r="D2969" i="2"/>
  <c r="C2969" i="2"/>
  <c r="B2969" i="2"/>
  <c r="A2969" i="2"/>
  <c r="H2968" i="2"/>
  <c r="G2968" i="2"/>
  <c r="F2968" i="2"/>
  <c r="E2968" i="2"/>
  <c r="D2968" i="2"/>
  <c r="C2968" i="2"/>
  <c r="B2968" i="2"/>
  <c r="A2968" i="2"/>
  <c r="H2967" i="2"/>
  <c r="G2967" i="2"/>
  <c r="F2967" i="2"/>
  <c r="E2967" i="2"/>
  <c r="D2967" i="2"/>
  <c r="C2967" i="2"/>
  <c r="B2967" i="2"/>
  <c r="A2967" i="2"/>
  <c r="H2966" i="2"/>
  <c r="G2966" i="2"/>
  <c r="F2966" i="2"/>
  <c r="E2966" i="2"/>
  <c r="D2966" i="2"/>
  <c r="C2966" i="2"/>
  <c r="B2966" i="2"/>
  <c r="A2966" i="2"/>
  <c r="H2965" i="2"/>
  <c r="G2965" i="2"/>
  <c r="F2965" i="2"/>
  <c r="E2965" i="2"/>
  <c r="D2965" i="2"/>
  <c r="C2965" i="2"/>
  <c r="B2965" i="2"/>
  <c r="A2965" i="2"/>
  <c r="H2964" i="2"/>
  <c r="G2964" i="2"/>
  <c r="F2964" i="2"/>
  <c r="E2964" i="2"/>
  <c r="D2964" i="2"/>
  <c r="C2964" i="2"/>
  <c r="B2964" i="2"/>
  <c r="A2964" i="2"/>
  <c r="H2963" i="2"/>
  <c r="G2963" i="2"/>
  <c r="F2963" i="2"/>
  <c r="E2963" i="2"/>
  <c r="D2963" i="2"/>
  <c r="C2963" i="2"/>
  <c r="B2963" i="2"/>
  <c r="A2963" i="2"/>
  <c r="H2962" i="2"/>
  <c r="G2962" i="2"/>
  <c r="F2962" i="2"/>
  <c r="E2962" i="2"/>
  <c r="D2962" i="2"/>
  <c r="C2962" i="2"/>
  <c r="B2962" i="2"/>
  <c r="A2962" i="2"/>
  <c r="H2961" i="2"/>
  <c r="G2961" i="2"/>
  <c r="F2961" i="2"/>
  <c r="E2961" i="2"/>
  <c r="D2961" i="2"/>
  <c r="C2961" i="2"/>
  <c r="B2961" i="2"/>
  <c r="A2961" i="2"/>
  <c r="H2960" i="2"/>
  <c r="G2960" i="2"/>
  <c r="F2960" i="2"/>
  <c r="E2960" i="2"/>
  <c r="D2960" i="2"/>
  <c r="C2960" i="2"/>
  <c r="B2960" i="2"/>
  <c r="A2960" i="2"/>
  <c r="H2959" i="2"/>
  <c r="G2959" i="2"/>
  <c r="F2959" i="2"/>
  <c r="E2959" i="2"/>
  <c r="D2959" i="2"/>
  <c r="C2959" i="2"/>
  <c r="B2959" i="2"/>
  <c r="A2959" i="2"/>
  <c r="H2958" i="2"/>
  <c r="G2958" i="2"/>
  <c r="F2958" i="2"/>
  <c r="E2958" i="2"/>
  <c r="D2958" i="2"/>
  <c r="C2958" i="2"/>
  <c r="B2958" i="2"/>
  <c r="A2958" i="2"/>
  <c r="H2957" i="2"/>
  <c r="G2957" i="2"/>
  <c r="F2957" i="2"/>
  <c r="E2957" i="2"/>
  <c r="D2957" i="2"/>
  <c r="C2957" i="2"/>
  <c r="B2957" i="2"/>
  <c r="A2957" i="2"/>
  <c r="H2956" i="2"/>
  <c r="G2956" i="2"/>
  <c r="F2956" i="2"/>
  <c r="E2956" i="2"/>
  <c r="D2956" i="2"/>
  <c r="C2956" i="2"/>
  <c r="B2956" i="2"/>
  <c r="A2956" i="2"/>
  <c r="H2955" i="2"/>
  <c r="G2955" i="2"/>
  <c r="F2955" i="2"/>
  <c r="E2955" i="2"/>
  <c r="D2955" i="2"/>
  <c r="C2955" i="2"/>
  <c r="B2955" i="2"/>
  <c r="A2955" i="2"/>
  <c r="H2954" i="2"/>
  <c r="G2954" i="2"/>
  <c r="F2954" i="2"/>
  <c r="E2954" i="2"/>
  <c r="D2954" i="2"/>
  <c r="C2954" i="2"/>
  <c r="B2954" i="2"/>
  <c r="A2954" i="2"/>
  <c r="H2953" i="2"/>
  <c r="G2953" i="2"/>
  <c r="F2953" i="2"/>
  <c r="E2953" i="2"/>
  <c r="D2953" i="2"/>
  <c r="C2953" i="2"/>
  <c r="B2953" i="2"/>
  <c r="A2953" i="2"/>
  <c r="H2952" i="2"/>
  <c r="G2952" i="2"/>
  <c r="F2952" i="2"/>
  <c r="E2952" i="2"/>
  <c r="D2952" i="2"/>
  <c r="C2952" i="2"/>
  <c r="B2952" i="2"/>
  <c r="A2952" i="2"/>
  <c r="H2951" i="2"/>
  <c r="G2951" i="2"/>
  <c r="F2951" i="2"/>
  <c r="E2951" i="2"/>
  <c r="D2951" i="2"/>
  <c r="C2951" i="2"/>
  <c r="B2951" i="2"/>
  <c r="A2951" i="2"/>
  <c r="H2950" i="2"/>
  <c r="G2950" i="2"/>
  <c r="F2950" i="2"/>
  <c r="E2950" i="2"/>
  <c r="D2950" i="2"/>
  <c r="C2950" i="2"/>
  <c r="B2950" i="2"/>
  <c r="A2950" i="2"/>
  <c r="H2949" i="2"/>
  <c r="G2949" i="2"/>
  <c r="F2949" i="2"/>
  <c r="E2949" i="2"/>
  <c r="D2949" i="2"/>
  <c r="C2949" i="2"/>
  <c r="B2949" i="2"/>
  <c r="A2949" i="2"/>
  <c r="H2948" i="2"/>
  <c r="G2948" i="2"/>
  <c r="F2948" i="2"/>
  <c r="E2948" i="2"/>
  <c r="D2948" i="2"/>
  <c r="C2948" i="2"/>
  <c r="B2948" i="2"/>
  <c r="A2948" i="2"/>
  <c r="H2947" i="2"/>
  <c r="G2947" i="2"/>
  <c r="F2947" i="2"/>
  <c r="E2947" i="2"/>
  <c r="D2947" i="2"/>
  <c r="C2947" i="2"/>
  <c r="B2947" i="2"/>
  <c r="A2947" i="2"/>
  <c r="H2946" i="2"/>
  <c r="G2946" i="2"/>
  <c r="F2946" i="2"/>
  <c r="E2946" i="2"/>
  <c r="D2946" i="2"/>
  <c r="C2946" i="2"/>
  <c r="B2946" i="2"/>
  <c r="A2946" i="2"/>
  <c r="H2945" i="2"/>
  <c r="G2945" i="2"/>
  <c r="F2945" i="2"/>
  <c r="E2945" i="2"/>
  <c r="D2945" i="2"/>
  <c r="C2945" i="2"/>
  <c r="B2945" i="2"/>
  <c r="A2945" i="2"/>
  <c r="H2944" i="2"/>
  <c r="G2944" i="2"/>
  <c r="F2944" i="2"/>
  <c r="E2944" i="2"/>
  <c r="D2944" i="2"/>
  <c r="C2944" i="2"/>
  <c r="B2944" i="2"/>
  <c r="A2944" i="2"/>
  <c r="H2943" i="2"/>
  <c r="G2943" i="2"/>
  <c r="F2943" i="2"/>
  <c r="E2943" i="2"/>
  <c r="D2943" i="2"/>
  <c r="C2943" i="2"/>
  <c r="B2943" i="2"/>
  <c r="A2943" i="2"/>
  <c r="H2942" i="2"/>
  <c r="G2942" i="2"/>
  <c r="F2942" i="2"/>
  <c r="E2942" i="2"/>
  <c r="D2942" i="2"/>
  <c r="C2942" i="2"/>
  <c r="B2942" i="2"/>
  <c r="A2942" i="2"/>
  <c r="H2941" i="2"/>
  <c r="G2941" i="2"/>
  <c r="F2941" i="2"/>
  <c r="E2941" i="2"/>
  <c r="D2941" i="2"/>
  <c r="C2941" i="2"/>
  <c r="B2941" i="2"/>
  <c r="A2941" i="2"/>
  <c r="H2940" i="2"/>
  <c r="G2940" i="2"/>
  <c r="F2940" i="2"/>
  <c r="E2940" i="2"/>
  <c r="D2940" i="2"/>
  <c r="C2940" i="2"/>
  <c r="B2940" i="2"/>
  <c r="A2940" i="2"/>
  <c r="H2939" i="2"/>
  <c r="G2939" i="2"/>
  <c r="F2939" i="2"/>
  <c r="E2939" i="2"/>
  <c r="D2939" i="2"/>
  <c r="C2939" i="2"/>
  <c r="B2939" i="2"/>
  <c r="A2939" i="2"/>
  <c r="H2938" i="2"/>
  <c r="G2938" i="2"/>
  <c r="F2938" i="2"/>
  <c r="E2938" i="2"/>
  <c r="D2938" i="2"/>
  <c r="C2938" i="2"/>
  <c r="B2938" i="2"/>
  <c r="A2938" i="2"/>
  <c r="H2937" i="2"/>
  <c r="G2937" i="2"/>
  <c r="F2937" i="2"/>
  <c r="E2937" i="2"/>
  <c r="D2937" i="2"/>
  <c r="C2937" i="2"/>
  <c r="B2937" i="2"/>
  <c r="A2937" i="2"/>
  <c r="H2936" i="2"/>
  <c r="G2936" i="2"/>
  <c r="F2936" i="2"/>
  <c r="E2936" i="2"/>
  <c r="D2936" i="2"/>
  <c r="C2936" i="2"/>
  <c r="B2936" i="2"/>
  <c r="A2936" i="2"/>
  <c r="H2935" i="2"/>
  <c r="G2935" i="2"/>
  <c r="F2935" i="2"/>
  <c r="E2935" i="2"/>
  <c r="D2935" i="2"/>
  <c r="C2935" i="2"/>
  <c r="B2935" i="2"/>
  <c r="A2935" i="2"/>
  <c r="H2934" i="2"/>
  <c r="G2934" i="2"/>
  <c r="F2934" i="2"/>
  <c r="E2934" i="2"/>
  <c r="D2934" i="2"/>
  <c r="C2934" i="2"/>
  <c r="B2934" i="2"/>
  <c r="A2934" i="2"/>
  <c r="H2933" i="2"/>
  <c r="G2933" i="2"/>
  <c r="F2933" i="2"/>
  <c r="E2933" i="2"/>
  <c r="D2933" i="2"/>
  <c r="C2933" i="2"/>
  <c r="B2933" i="2"/>
  <c r="A2933" i="2"/>
  <c r="H2932" i="2"/>
  <c r="G2932" i="2"/>
  <c r="F2932" i="2"/>
  <c r="E2932" i="2"/>
  <c r="D2932" i="2"/>
  <c r="C2932" i="2"/>
  <c r="B2932" i="2"/>
  <c r="A2932" i="2"/>
  <c r="H2931" i="2"/>
  <c r="G2931" i="2"/>
  <c r="F2931" i="2"/>
  <c r="E2931" i="2"/>
  <c r="D2931" i="2"/>
  <c r="C2931" i="2"/>
  <c r="B2931" i="2"/>
  <c r="A2931" i="2"/>
  <c r="H2930" i="2"/>
  <c r="G2930" i="2"/>
  <c r="F2930" i="2"/>
  <c r="E2930" i="2"/>
  <c r="D2930" i="2"/>
  <c r="C2930" i="2"/>
  <c r="B2930" i="2"/>
  <c r="A2930" i="2"/>
  <c r="H2929" i="2"/>
  <c r="G2929" i="2"/>
  <c r="F2929" i="2"/>
  <c r="E2929" i="2"/>
  <c r="D2929" i="2"/>
  <c r="C2929" i="2"/>
  <c r="B2929" i="2"/>
  <c r="A2929" i="2"/>
  <c r="H2928" i="2"/>
  <c r="G2928" i="2"/>
  <c r="F2928" i="2"/>
  <c r="E2928" i="2"/>
  <c r="D2928" i="2"/>
  <c r="C2928" i="2"/>
  <c r="B2928" i="2"/>
  <c r="A2928" i="2"/>
  <c r="H2927" i="2"/>
  <c r="G2927" i="2"/>
  <c r="F2927" i="2"/>
  <c r="E2927" i="2"/>
  <c r="D2927" i="2"/>
  <c r="C2927" i="2"/>
  <c r="B2927" i="2"/>
  <c r="A2927" i="2"/>
  <c r="H2926" i="2"/>
  <c r="G2926" i="2"/>
  <c r="F2926" i="2"/>
  <c r="E2926" i="2"/>
  <c r="D2926" i="2"/>
  <c r="C2926" i="2"/>
  <c r="B2926" i="2"/>
  <c r="A2926" i="2"/>
  <c r="H2925" i="2"/>
  <c r="G2925" i="2"/>
  <c r="F2925" i="2"/>
  <c r="E2925" i="2"/>
  <c r="D2925" i="2"/>
  <c r="C2925" i="2"/>
  <c r="B2925" i="2"/>
  <c r="A2925" i="2"/>
  <c r="H2924" i="2"/>
  <c r="G2924" i="2"/>
  <c r="F2924" i="2"/>
  <c r="E2924" i="2"/>
  <c r="D2924" i="2"/>
  <c r="C2924" i="2"/>
  <c r="B2924" i="2"/>
  <c r="A2924" i="2"/>
  <c r="H2923" i="2"/>
  <c r="G2923" i="2"/>
  <c r="F2923" i="2"/>
  <c r="E2923" i="2"/>
  <c r="D2923" i="2"/>
  <c r="C2923" i="2"/>
  <c r="B2923" i="2"/>
  <c r="A2923" i="2"/>
  <c r="H2922" i="2"/>
  <c r="G2922" i="2"/>
  <c r="F2922" i="2"/>
  <c r="E2922" i="2"/>
  <c r="D2922" i="2"/>
  <c r="C2922" i="2"/>
  <c r="B2922" i="2"/>
  <c r="A2922" i="2"/>
  <c r="H2921" i="2"/>
  <c r="G2921" i="2"/>
  <c r="F2921" i="2"/>
  <c r="E2921" i="2"/>
  <c r="D2921" i="2"/>
  <c r="C2921" i="2"/>
  <c r="B2921" i="2"/>
  <c r="A2921" i="2"/>
  <c r="H2920" i="2"/>
  <c r="G2920" i="2"/>
  <c r="F2920" i="2"/>
  <c r="E2920" i="2"/>
  <c r="D2920" i="2"/>
  <c r="C2920" i="2"/>
  <c r="B2920" i="2"/>
  <c r="A2920" i="2"/>
  <c r="H2919" i="2"/>
  <c r="G2919" i="2"/>
  <c r="F2919" i="2"/>
  <c r="E2919" i="2"/>
  <c r="D2919" i="2"/>
  <c r="C2919" i="2"/>
  <c r="B2919" i="2"/>
  <c r="A2919" i="2"/>
  <c r="H2918" i="2"/>
  <c r="G2918" i="2"/>
  <c r="F2918" i="2"/>
  <c r="E2918" i="2"/>
  <c r="D2918" i="2"/>
  <c r="C2918" i="2"/>
  <c r="B2918" i="2"/>
  <c r="A2918" i="2"/>
  <c r="H2917" i="2"/>
  <c r="G2917" i="2"/>
  <c r="F2917" i="2"/>
  <c r="E2917" i="2"/>
  <c r="D2917" i="2"/>
  <c r="C2917" i="2"/>
  <c r="B2917" i="2"/>
  <c r="A2917" i="2"/>
  <c r="H2916" i="2"/>
  <c r="G2916" i="2"/>
  <c r="F2916" i="2"/>
  <c r="E2916" i="2"/>
  <c r="D2916" i="2"/>
  <c r="C2916" i="2"/>
  <c r="B2916" i="2"/>
  <c r="A2916" i="2"/>
  <c r="H2915" i="2"/>
  <c r="G2915" i="2"/>
  <c r="F2915" i="2"/>
  <c r="E2915" i="2"/>
  <c r="D2915" i="2"/>
  <c r="C2915" i="2"/>
  <c r="B2915" i="2"/>
  <c r="A2915" i="2"/>
  <c r="H2914" i="2"/>
  <c r="G2914" i="2"/>
  <c r="F2914" i="2"/>
  <c r="E2914" i="2"/>
  <c r="D2914" i="2"/>
  <c r="C2914" i="2"/>
  <c r="B2914" i="2"/>
  <c r="A2914" i="2"/>
  <c r="H2913" i="2"/>
  <c r="G2913" i="2"/>
  <c r="F2913" i="2"/>
  <c r="E2913" i="2"/>
  <c r="D2913" i="2"/>
  <c r="C2913" i="2"/>
  <c r="B2913" i="2"/>
  <c r="A2913" i="2"/>
  <c r="H2912" i="2"/>
  <c r="G2912" i="2"/>
  <c r="F2912" i="2"/>
  <c r="E2912" i="2"/>
  <c r="D2912" i="2"/>
  <c r="C2912" i="2"/>
  <c r="B2912" i="2"/>
  <c r="A2912" i="2"/>
  <c r="H2911" i="2"/>
  <c r="G2911" i="2"/>
  <c r="F2911" i="2"/>
  <c r="E2911" i="2"/>
  <c r="D2911" i="2"/>
  <c r="C2911" i="2"/>
  <c r="B2911" i="2"/>
  <c r="A2911" i="2"/>
  <c r="H2910" i="2"/>
  <c r="G2910" i="2"/>
  <c r="F2910" i="2"/>
  <c r="E2910" i="2"/>
  <c r="D2910" i="2"/>
  <c r="C2910" i="2"/>
  <c r="B2910" i="2"/>
  <c r="A2910" i="2"/>
  <c r="H2909" i="2"/>
  <c r="G2909" i="2"/>
  <c r="F2909" i="2"/>
  <c r="E2909" i="2"/>
  <c r="D2909" i="2"/>
  <c r="C2909" i="2"/>
  <c r="B2909" i="2"/>
  <c r="A2909" i="2"/>
  <c r="H2908" i="2"/>
  <c r="G2908" i="2"/>
  <c r="F2908" i="2"/>
  <c r="E2908" i="2"/>
  <c r="D2908" i="2"/>
  <c r="C2908" i="2"/>
  <c r="B2908" i="2"/>
  <c r="A2908" i="2"/>
  <c r="H2907" i="2"/>
  <c r="G2907" i="2"/>
  <c r="F2907" i="2"/>
  <c r="E2907" i="2"/>
  <c r="D2907" i="2"/>
  <c r="C2907" i="2"/>
  <c r="B2907" i="2"/>
  <c r="A2907" i="2"/>
  <c r="H2906" i="2"/>
  <c r="G2906" i="2"/>
  <c r="F2906" i="2"/>
  <c r="E2906" i="2"/>
  <c r="D2906" i="2"/>
  <c r="C2906" i="2"/>
  <c r="B2906" i="2"/>
  <c r="A2906" i="2"/>
  <c r="H2905" i="2"/>
  <c r="G2905" i="2"/>
  <c r="F2905" i="2"/>
  <c r="E2905" i="2"/>
  <c r="D2905" i="2"/>
  <c r="C2905" i="2"/>
  <c r="B2905" i="2"/>
  <c r="A2905" i="2"/>
  <c r="H2904" i="2"/>
  <c r="G2904" i="2"/>
  <c r="F2904" i="2"/>
  <c r="E2904" i="2"/>
  <c r="D2904" i="2"/>
  <c r="C2904" i="2"/>
  <c r="B2904" i="2"/>
  <c r="A2904" i="2"/>
  <c r="H2903" i="2"/>
  <c r="G2903" i="2"/>
  <c r="F2903" i="2"/>
  <c r="E2903" i="2"/>
  <c r="D2903" i="2"/>
  <c r="C2903" i="2"/>
  <c r="B2903" i="2"/>
  <c r="A2903" i="2"/>
  <c r="H2902" i="2"/>
  <c r="G2902" i="2"/>
  <c r="F2902" i="2"/>
  <c r="E2902" i="2"/>
  <c r="D2902" i="2"/>
  <c r="C2902" i="2"/>
  <c r="B2902" i="2"/>
  <c r="A2902" i="2"/>
  <c r="H2901" i="2"/>
  <c r="G2901" i="2"/>
  <c r="F2901" i="2"/>
  <c r="E2901" i="2"/>
  <c r="D2901" i="2"/>
  <c r="C2901" i="2"/>
  <c r="B2901" i="2"/>
  <c r="A2901" i="2"/>
  <c r="H2900" i="2"/>
  <c r="G2900" i="2"/>
  <c r="F2900" i="2"/>
  <c r="E2900" i="2"/>
  <c r="D2900" i="2"/>
  <c r="C2900" i="2"/>
  <c r="B2900" i="2"/>
  <c r="A2900" i="2"/>
  <c r="H2899" i="2"/>
  <c r="G2899" i="2"/>
  <c r="F2899" i="2"/>
  <c r="E2899" i="2"/>
  <c r="D2899" i="2"/>
  <c r="C2899" i="2"/>
  <c r="B2899" i="2"/>
  <c r="A2899" i="2"/>
  <c r="H2898" i="2"/>
  <c r="G2898" i="2"/>
  <c r="F2898" i="2"/>
  <c r="E2898" i="2"/>
  <c r="D2898" i="2"/>
  <c r="C2898" i="2"/>
  <c r="B2898" i="2"/>
  <c r="A2898" i="2"/>
  <c r="H2897" i="2"/>
  <c r="G2897" i="2"/>
  <c r="F2897" i="2"/>
  <c r="E2897" i="2"/>
  <c r="D2897" i="2"/>
  <c r="C2897" i="2"/>
  <c r="B2897" i="2"/>
  <c r="A2897" i="2"/>
  <c r="H2896" i="2"/>
  <c r="G2896" i="2"/>
  <c r="F2896" i="2"/>
  <c r="E2896" i="2"/>
  <c r="D2896" i="2"/>
  <c r="C2896" i="2"/>
  <c r="B2896" i="2"/>
  <c r="A2896" i="2"/>
  <c r="H2895" i="2"/>
  <c r="G2895" i="2"/>
  <c r="F2895" i="2"/>
  <c r="E2895" i="2"/>
  <c r="D2895" i="2"/>
  <c r="C2895" i="2"/>
  <c r="B2895" i="2"/>
  <c r="A2895" i="2"/>
  <c r="H2894" i="2"/>
  <c r="G2894" i="2"/>
  <c r="F2894" i="2"/>
  <c r="E2894" i="2"/>
  <c r="D2894" i="2"/>
  <c r="C2894" i="2"/>
  <c r="B2894" i="2"/>
  <c r="A2894" i="2"/>
  <c r="H2893" i="2"/>
  <c r="G2893" i="2"/>
  <c r="F2893" i="2"/>
  <c r="E2893" i="2"/>
  <c r="D2893" i="2"/>
  <c r="C2893" i="2"/>
  <c r="B2893" i="2"/>
  <c r="A2893" i="2"/>
  <c r="H2892" i="2"/>
  <c r="G2892" i="2"/>
  <c r="F2892" i="2"/>
  <c r="E2892" i="2"/>
  <c r="D2892" i="2"/>
  <c r="C2892" i="2"/>
  <c r="B2892" i="2"/>
  <c r="A2892" i="2"/>
  <c r="H2891" i="2"/>
  <c r="G2891" i="2"/>
  <c r="F2891" i="2"/>
  <c r="E2891" i="2"/>
  <c r="D2891" i="2"/>
  <c r="C2891" i="2"/>
  <c r="B2891" i="2"/>
  <c r="A2891" i="2"/>
  <c r="H2890" i="2"/>
  <c r="G2890" i="2"/>
  <c r="F2890" i="2"/>
  <c r="E2890" i="2"/>
  <c r="D2890" i="2"/>
  <c r="C2890" i="2"/>
  <c r="B2890" i="2"/>
  <c r="A2890" i="2"/>
  <c r="H2889" i="2"/>
  <c r="G2889" i="2"/>
  <c r="F2889" i="2"/>
  <c r="E2889" i="2"/>
  <c r="D2889" i="2"/>
  <c r="C2889" i="2"/>
  <c r="B2889" i="2"/>
  <c r="A2889" i="2"/>
  <c r="H2888" i="2"/>
  <c r="G2888" i="2"/>
  <c r="F2888" i="2"/>
  <c r="E2888" i="2"/>
  <c r="D2888" i="2"/>
  <c r="C2888" i="2"/>
  <c r="B2888" i="2"/>
  <c r="A2888" i="2"/>
  <c r="H2887" i="2"/>
  <c r="G2887" i="2"/>
  <c r="F2887" i="2"/>
  <c r="E2887" i="2"/>
  <c r="D2887" i="2"/>
  <c r="C2887" i="2"/>
  <c r="B2887" i="2"/>
  <c r="A2887" i="2"/>
  <c r="H2886" i="2"/>
  <c r="G2886" i="2"/>
  <c r="F2886" i="2"/>
  <c r="E2886" i="2"/>
  <c r="D2886" i="2"/>
  <c r="C2886" i="2"/>
  <c r="B2886" i="2"/>
  <c r="A2886" i="2"/>
  <c r="H2885" i="2"/>
  <c r="G2885" i="2"/>
  <c r="F2885" i="2"/>
  <c r="E2885" i="2"/>
  <c r="D2885" i="2"/>
  <c r="C2885" i="2"/>
  <c r="B2885" i="2"/>
  <c r="A2885" i="2"/>
  <c r="H2884" i="2"/>
  <c r="G2884" i="2"/>
  <c r="F2884" i="2"/>
  <c r="E2884" i="2"/>
  <c r="D2884" i="2"/>
  <c r="C2884" i="2"/>
  <c r="B2884" i="2"/>
  <c r="A2884" i="2"/>
  <c r="H2883" i="2"/>
  <c r="G2883" i="2"/>
  <c r="F2883" i="2"/>
  <c r="E2883" i="2"/>
  <c r="D2883" i="2"/>
  <c r="C2883" i="2"/>
  <c r="B2883" i="2"/>
  <c r="A2883" i="2"/>
  <c r="H2882" i="2"/>
  <c r="G2882" i="2"/>
  <c r="F2882" i="2"/>
  <c r="E2882" i="2"/>
  <c r="D2882" i="2"/>
  <c r="C2882" i="2"/>
  <c r="B2882" i="2"/>
  <c r="A2882" i="2"/>
  <c r="H2881" i="2"/>
  <c r="G2881" i="2"/>
  <c r="F2881" i="2"/>
  <c r="E2881" i="2"/>
  <c r="D2881" i="2"/>
  <c r="C2881" i="2"/>
  <c r="B2881" i="2"/>
  <c r="A2881" i="2"/>
  <c r="H2880" i="2"/>
  <c r="G2880" i="2"/>
  <c r="F2880" i="2"/>
  <c r="E2880" i="2"/>
  <c r="D2880" i="2"/>
  <c r="C2880" i="2"/>
  <c r="B2880" i="2"/>
  <c r="A2880" i="2"/>
  <c r="H2879" i="2"/>
  <c r="G2879" i="2"/>
  <c r="F2879" i="2"/>
  <c r="E2879" i="2"/>
  <c r="D2879" i="2"/>
  <c r="C2879" i="2"/>
  <c r="B2879" i="2"/>
  <c r="A2879" i="2"/>
  <c r="H2878" i="2"/>
  <c r="G2878" i="2"/>
  <c r="F2878" i="2"/>
  <c r="E2878" i="2"/>
  <c r="D2878" i="2"/>
  <c r="C2878" i="2"/>
  <c r="B2878" i="2"/>
  <c r="A2878" i="2"/>
  <c r="H2877" i="2"/>
  <c r="G2877" i="2"/>
  <c r="F2877" i="2"/>
  <c r="E2877" i="2"/>
  <c r="D2877" i="2"/>
  <c r="C2877" i="2"/>
  <c r="B2877" i="2"/>
  <c r="A2877" i="2"/>
  <c r="H2876" i="2"/>
  <c r="G2876" i="2"/>
  <c r="F2876" i="2"/>
  <c r="E2876" i="2"/>
  <c r="D2876" i="2"/>
  <c r="C2876" i="2"/>
  <c r="B2876" i="2"/>
  <c r="A2876" i="2"/>
  <c r="H2875" i="2"/>
  <c r="G2875" i="2"/>
  <c r="F2875" i="2"/>
  <c r="E2875" i="2"/>
  <c r="D2875" i="2"/>
  <c r="C2875" i="2"/>
  <c r="B2875" i="2"/>
  <c r="A2875" i="2"/>
  <c r="H2874" i="2"/>
  <c r="G2874" i="2"/>
  <c r="F2874" i="2"/>
  <c r="E2874" i="2"/>
  <c r="D2874" i="2"/>
  <c r="C2874" i="2"/>
  <c r="B2874" i="2"/>
  <c r="A2874" i="2"/>
  <c r="H2873" i="2"/>
  <c r="G2873" i="2"/>
  <c r="F2873" i="2"/>
  <c r="E2873" i="2"/>
  <c r="D2873" i="2"/>
  <c r="C2873" i="2"/>
  <c r="B2873" i="2"/>
  <c r="A2873" i="2"/>
  <c r="H2872" i="2"/>
  <c r="G2872" i="2"/>
  <c r="F2872" i="2"/>
  <c r="E2872" i="2"/>
  <c r="D2872" i="2"/>
  <c r="C2872" i="2"/>
  <c r="B2872" i="2"/>
  <c r="A2872" i="2"/>
  <c r="H2871" i="2"/>
  <c r="G2871" i="2"/>
  <c r="F2871" i="2"/>
  <c r="E2871" i="2"/>
  <c r="D2871" i="2"/>
  <c r="C2871" i="2"/>
  <c r="B2871" i="2"/>
  <c r="A2871" i="2"/>
  <c r="H2870" i="2"/>
  <c r="G2870" i="2"/>
  <c r="F2870" i="2"/>
  <c r="E2870" i="2"/>
  <c r="D2870" i="2"/>
  <c r="C2870" i="2"/>
  <c r="B2870" i="2"/>
  <c r="A2870" i="2"/>
  <c r="H2869" i="2"/>
  <c r="G2869" i="2"/>
  <c r="F2869" i="2"/>
  <c r="E2869" i="2"/>
  <c r="D2869" i="2"/>
  <c r="C2869" i="2"/>
  <c r="B2869" i="2"/>
  <c r="A2869" i="2"/>
  <c r="H2868" i="2"/>
  <c r="G2868" i="2"/>
  <c r="F2868" i="2"/>
  <c r="E2868" i="2"/>
  <c r="D2868" i="2"/>
  <c r="C2868" i="2"/>
  <c r="B2868" i="2"/>
  <c r="A2868" i="2"/>
  <c r="H2867" i="2"/>
  <c r="G2867" i="2"/>
  <c r="F2867" i="2"/>
  <c r="E2867" i="2"/>
  <c r="D2867" i="2"/>
  <c r="C2867" i="2"/>
  <c r="B2867" i="2"/>
  <c r="A2867" i="2"/>
  <c r="H2866" i="2"/>
  <c r="G2866" i="2"/>
  <c r="F2866" i="2"/>
  <c r="E2866" i="2"/>
  <c r="D2866" i="2"/>
  <c r="C2866" i="2"/>
  <c r="B2866" i="2"/>
  <c r="A2866" i="2"/>
  <c r="H2865" i="2"/>
  <c r="G2865" i="2"/>
  <c r="F2865" i="2"/>
  <c r="E2865" i="2"/>
  <c r="D2865" i="2"/>
  <c r="C2865" i="2"/>
  <c r="B2865" i="2"/>
  <c r="A2865" i="2"/>
  <c r="H2864" i="2"/>
  <c r="G2864" i="2"/>
  <c r="F2864" i="2"/>
  <c r="E2864" i="2"/>
  <c r="D2864" i="2"/>
  <c r="C2864" i="2"/>
  <c r="B2864" i="2"/>
  <c r="A2864" i="2"/>
  <c r="H2863" i="2"/>
  <c r="G2863" i="2"/>
  <c r="F2863" i="2"/>
  <c r="E2863" i="2"/>
  <c r="D2863" i="2"/>
  <c r="C2863" i="2"/>
  <c r="B2863" i="2"/>
  <c r="A2863" i="2"/>
  <c r="H2862" i="2"/>
  <c r="G2862" i="2"/>
  <c r="F2862" i="2"/>
  <c r="E2862" i="2"/>
  <c r="D2862" i="2"/>
  <c r="C2862" i="2"/>
  <c r="B2862" i="2"/>
  <c r="A2862" i="2"/>
  <c r="H2861" i="2"/>
  <c r="G2861" i="2"/>
  <c r="F2861" i="2"/>
  <c r="E2861" i="2"/>
  <c r="D2861" i="2"/>
  <c r="C2861" i="2"/>
  <c r="B2861" i="2"/>
  <c r="A2861" i="2"/>
  <c r="H2860" i="2"/>
  <c r="G2860" i="2"/>
  <c r="F2860" i="2"/>
  <c r="E2860" i="2"/>
  <c r="D2860" i="2"/>
  <c r="C2860" i="2"/>
  <c r="B2860" i="2"/>
  <c r="A2860" i="2"/>
  <c r="H2859" i="2"/>
  <c r="G2859" i="2"/>
  <c r="F2859" i="2"/>
  <c r="E2859" i="2"/>
  <c r="D2859" i="2"/>
  <c r="C2859" i="2"/>
  <c r="B2859" i="2"/>
  <c r="A2859" i="2"/>
  <c r="H2858" i="2"/>
  <c r="G2858" i="2"/>
  <c r="F2858" i="2"/>
  <c r="E2858" i="2"/>
  <c r="D2858" i="2"/>
  <c r="C2858" i="2"/>
  <c r="B2858" i="2"/>
  <c r="A2858" i="2"/>
  <c r="H2857" i="2"/>
  <c r="G2857" i="2"/>
  <c r="F2857" i="2"/>
  <c r="E2857" i="2"/>
  <c r="D2857" i="2"/>
  <c r="C2857" i="2"/>
  <c r="B2857" i="2"/>
  <c r="A2857" i="2"/>
  <c r="H2856" i="2"/>
  <c r="G2856" i="2"/>
  <c r="F2856" i="2"/>
  <c r="E2856" i="2"/>
  <c r="D2856" i="2"/>
  <c r="C2856" i="2"/>
  <c r="B2856" i="2"/>
  <c r="A2856" i="2"/>
  <c r="H2855" i="2"/>
  <c r="G2855" i="2"/>
  <c r="F2855" i="2"/>
  <c r="E2855" i="2"/>
  <c r="D2855" i="2"/>
  <c r="C2855" i="2"/>
  <c r="B2855" i="2"/>
  <c r="A2855" i="2"/>
  <c r="H2854" i="2"/>
  <c r="G2854" i="2"/>
  <c r="F2854" i="2"/>
  <c r="E2854" i="2"/>
  <c r="D2854" i="2"/>
  <c r="C2854" i="2"/>
  <c r="B2854" i="2"/>
  <c r="A2854" i="2"/>
  <c r="H2853" i="2"/>
  <c r="G2853" i="2"/>
  <c r="F2853" i="2"/>
  <c r="E2853" i="2"/>
  <c r="D2853" i="2"/>
  <c r="C2853" i="2"/>
  <c r="B2853" i="2"/>
  <c r="A2853" i="2"/>
  <c r="H2852" i="2"/>
  <c r="G2852" i="2"/>
  <c r="F2852" i="2"/>
  <c r="E2852" i="2"/>
  <c r="D2852" i="2"/>
  <c r="C2852" i="2"/>
  <c r="B2852" i="2"/>
  <c r="A2852" i="2"/>
  <c r="H2851" i="2"/>
  <c r="G2851" i="2"/>
  <c r="F2851" i="2"/>
  <c r="E2851" i="2"/>
  <c r="D2851" i="2"/>
  <c r="C2851" i="2"/>
  <c r="B2851" i="2"/>
  <c r="A2851" i="2"/>
  <c r="H2850" i="2"/>
  <c r="G2850" i="2"/>
  <c r="F2850" i="2"/>
  <c r="E2850" i="2"/>
  <c r="D2850" i="2"/>
  <c r="C2850" i="2"/>
  <c r="B2850" i="2"/>
  <c r="A2850" i="2"/>
  <c r="H2849" i="2"/>
  <c r="G2849" i="2"/>
  <c r="F2849" i="2"/>
  <c r="E2849" i="2"/>
  <c r="D2849" i="2"/>
  <c r="C2849" i="2"/>
  <c r="B2849" i="2"/>
  <c r="A2849" i="2"/>
  <c r="H2848" i="2"/>
  <c r="G2848" i="2"/>
  <c r="F2848" i="2"/>
  <c r="E2848" i="2"/>
  <c r="D2848" i="2"/>
  <c r="C2848" i="2"/>
  <c r="B2848" i="2"/>
  <c r="A2848" i="2"/>
  <c r="H2847" i="2"/>
  <c r="G2847" i="2"/>
  <c r="F2847" i="2"/>
  <c r="E2847" i="2"/>
  <c r="D2847" i="2"/>
  <c r="C2847" i="2"/>
  <c r="B2847" i="2"/>
  <c r="A2847" i="2"/>
  <c r="H2846" i="2"/>
  <c r="G2846" i="2"/>
  <c r="F2846" i="2"/>
  <c r="E2846" i="2"/>
  <c r="D2846" i="2"/>
  <c r="C2846" i="2"/>
  <c r="B2846" i="2"/>
  <c r="A2846" i="2"/>
  <c r="H2845" i="2"/>
  <c r="G2845" i="2"/>
  <c r="F2845" i="2"/>
  <c r="E2845" i="2"/>
  <c r="D2845" i="2"/>
  <c r="C2845" i="2"/>
  <c r="B2845" i="2"/>
  <c r="A2845" i="2"/>
  <c r="H2844" i="2"/>
  <c r="G2844" i="2"/>
  <c r="F2844" i="2"/>
  <c r="E2844" i="2"/>
  <c r="D2844" i="2"/>
  <c r="C2844" i="2"/>
  <c r="B2844" i="2"/>
  <c r="A2844" i="2"/>
  <c r="H2843" i="2"/>
  <c r="G2843" i="2"/>
  <c r="F2843" i="2"/>
  <c r="E2843" i="2"/>
  <c r="D2843" i="2"/>
  <c r="C2843" i="2"/>
  <c r="B2843" i="2"/>
  <c r="A2843" i="2"/>
  <c r="H2842" i="2"/>
  <c r="G2842" i="2"/>
  <c r="F2842" i="2"/>
  <c r="E2842" i="2"/>
  <c r="D2842" i="2"/>
  <c r="C2842" i="2"/>
  <c r="B2842" i="2"/>
  <c r="A2842" i="2"/>
  <c r="H2841" i="2"/>
  <c r="G2841" i="2"/>
  <c r="F2841" i="2"/>
  <c r="E2841" i="2"/>
  <c r="D2841" i="2"/>
  <c r="C2841" i="2"/>
  <c r="B2841" i="2"/>
  <c r="A2841" i="2"/>
  <c r="H2840" i="2"/>
  <c r="G2840" i="2"/>
  <c r="F2840" i="2"/>
  <c r="E2840" i="2"/>
  <c r="D2840" i="2"/>
  <c r="C2840" i="2"/>
  <c r="B2840" i="2"/>
  <c r="A2840" i="2"/>
  <c r="H2839" i="2"/>
  <c r="G2839" i="2"/>
  <c r="F2839" i="2"/>
  <c r="E2839" i="2"/>
  <c r="D2839" i="2"/>
  <c r="C2839" i="2"/>
  <c r="B2839" i="2"/>
  <c r="A2839" i="2"/>
  <c r="H2838" i="2"/>
  <c r="G2838" i="2"/>
  <c r="F2838" i="2"/>
  <c r="E2838" i="2"/>
  <c r="D2838" i="2"/>
  <c r="C2838" i="2"/>
  <c r="B2838" i="2"/>
  <c r="A2838" i="2"/>
  <c r="H2837" i="2"/>
  <c r="G2837" i="2"/>
  <c r="F2837" i="2"/>
  <c r="E2837" i="2"/>
  <c r="D2837" i="2"/>
  <c r="C2837" i="2"/>
  <c r="B2837" i="2"/>
  <c r="A2837" i="2"/>
  <c r="H2836" i="2"/>
  <c r="G2836" i="2"/>
  <c r="F2836" i="2"/>
  <c r="E2836" i="2"/>
  <c r="D2836" i="2"/>
  <c r="C2836" i="2"/>
  <c r="B2836" i="2"/>
  <c r="A2836" i="2"/>
  <c r="H2835" i="2"/>
  <c r="G2835" i="2"/>
  <c r="F2835" i="2"/>
  <c r="E2835" i="2"/>
  <c r="D2835" i="2"/>
  <c r="C2835" i="2"/>
  <c r="B2835" i="2"/>
  <c r="A2835" i="2"/>
  <c r="H2834" i="2"/>
  <c r="G2834" i="2"/>
  <c r="F2834" i="2"/>
  <c r="E2834" i="2"/>
  <c r="D2834" i="2"/>
  <c r="C2834" i="2"/>
  <c r="B2834" i="2"/>
  <c r="A2834" i="2"/>
  <c r="H2833" i="2"/>
  <c r="G2833" i="2"/>
  <c r="F2833" i="2"/>
  <c r="E2833" i="2"/>
  <c r="D2833" i="2"/>
  <c r="C2833" i="2"/>
  <c r="B2833" i="2"/>
  <c r="A2833" i="2"/>
  <c r="H2832" i="2"/>
  <c r="G2832" i="2"/>
  <c r="F2832" i="2"/>
  <c r="E2832" i="2"/>
  <c r="D2832" i="2"/>
  <c r="C2832" i="2"/>
  <c r="B2832" i="2"/>
  <c r="A2832" i="2"/>
  <c r="H2831" i="2"/>
  <c r="G2831" i="2"/>
  <c r="F2831" i="2"/>
  <c r="E2831" i="2"/>
  <c r="D2831" i="2"/>
  <c r="C2831" i="2"/>
  <c r="B2831" i="2"/>
  <c r="A2831" i="2"/>
  <c r="H2830" i="2"/>
  <c r="G2830" i="2"/>
  <c r="F2830" i="2"/>
  <c r="E2830" i="2"/>
  <c r="D2830" i="2"/>
  <c r="C2830" i="2"/>
  <c r="B2830" i="2"/>
  <c r="A2830" i="2"/>
  <c r="H2829" i="2"/>
  <c r="G2829" i="2"/>
  <c r="F2829" i="2"/>
  <c r="E2829" i="2"/>
  <c r="D2829" i="2"/>
  <c r="C2829" i="2"/>
  <c r="B2829" i="2"/>
  <c r="A2829" i="2"/>
  <c r="H2828" i="2"/>
  <c r="G2828" i="2"/>
  <c r="F2828" i="2"/>
  <c r="E2828" i="2"/>
  <c r="D2828" i="2"/>
  <c r="C2828" i="2"/>
  <c r="B2828" i="2"/>
  <c r="A2828" i="2"/>
  <c r="H2827" i="2"/>
  <c r="G2827" i="2"/>
  <c r="F2827" i="2"/>
  <c r="E2827" i="2"/>
  <c r="D2827" i="2"/>
  <c r="C2827" i="2"/>
  <c r="B2827" i="2"/>
  <c r="A2827" i="2"/>
  <c r="H2826" i="2"/>
  <c r="G2826" i="2"/>
  <c r="F2826" i="2"/>
  <c r="E2826" i="2"/>
  <c r="D2826" i="2"/>
  <c r="C2826" i="2"/>
  <c r="B2826" i="2"/>
  <c r="A2826" i="2"/>
  <c r="H2825" i="2"/>
  <c r="G2825" i="2"/>
  <c r="F2825" i="2"/>
  <c r="E2825" i="2"/>
  <c r="D2825" i="2"/>
  <c r="C2825" i="2"/>
  <c r="B2825" i="2"/>
  <c r="A2825" i="2"/>
  <c r="H2824" i="2"/>
  <c r="G2824" i="2"/>
  <c r="F2824" i="2"/>
  <c r="E2824" i="2"/>
  <c r="D2824" i="2"/>
  <c r="C2824" i="2"/>
  <c r="B2824" i="2"/>
  <c r="A2824" i="2"/>
  <c r="H2823" i="2"/>
  <c r="G2823" i="2"/>
  <c r="F2823" i="2"/>
  <c r="E2823" i="2"/>
  <c r="D2823" i="2"/>
  <c r="C2823" i="2"/>
  <c r="B2823" i="2"/>
  <c r="A2823" i="2"/>
  <c r="H2822" i="2"/>
  <c r="G2822" i="2"/>
  <c r="F2822" i="2"/>
  <c r="E2822" i="2"/>
  <c r="D2822" i="2"/>
  <c r="C2822" i="2"/>
  <c r="B2822" i="2"/>
  <c r="A2822" i="2"/>
  <c r="H2821" i="2"/>
  <c r="G2821" i="2"/>
  <c r="F2821" i="2"/>
  <c r="E2821" i="2"/>
  <c r="D2821" i="2"/>
  <c r="C2821" i="2"/>
  <c r="B2821" i="2"/>
  <c r="A2821" i="2"/>
  <c r="H2820" i="2"/>
  <c r="G2820" i="2"/>
  <c r="F2820" i="2"/>
  <c r="E2820" i="2"/>
  <c r="D2820" i="2"/>
  <c r="C2820" i="2"/>
  <c r="B2820" i="2"/>
  <c r="A2820" i="2"/>
  <c r="H2819" i="2"/>
  <c r="G2819" i="2"/>
  <c r="F2819" i="2"/>
  <c r="E2819" i="2"/>
  <c r="D2819" i="2"/>
  <c r="C2819" i="2"/>
  <c r="B2819" i="2"/>
  <c r="A2819" i="2"/>
  <c r="H2818" i="2"/>
  <c r="G2818" i="2"/>
  <c r="F2818" i="2"/>
  <c r="E2818" i="2"/>
  <c r="D2818" i="2"/>
  <c r="C2818" i="2"/>
  <c r="B2818" i="2"/>
  <c r="A2818" i="2"/>
  <c r="H2817" i="2"/>
  <c r="G2817" i="2"/>
  <c r="F2817" i="2"/>
  <c r="E2817" i="2"/>
  <c r="D2817" i="2"/>
  <c r="C2817" i="2"/>
  <c r="B2817" i="2"/>
  <c r="A2817" i="2"/>
  <c r="H2816" i="2"/>
  <c r="G2816" i="2"/>
  <c r="F2816" i="2"/>
  <c r="E2816" i="2"/>
  <c r="D2816" i="2"/>
  <c r="C2816" i="2"/>
  <c r="B2816" i="2"/>
  <c r="A2816" i="2"/>
  <c r="H2815" i="2"/>
  <c r="G2815" i="2"/>
  <c r="F2815" i="2"/>
  <c r="E2815" i="2"/>
  <c r="D2815" i="2"/>
  <c r="C2815" i="2"/>
  <c r="B2815" i="2"/>
  <c r="A2815" i="2"/>
  <c r="H2814" i="2"/>
  <c r="G2814" i="2"/>
  <c r="F2814" i="2"/>
  <c r="E2814" i="2"/>
  <c r="D2814" i="2"/>
  <c r="C2814" i="2"/>
  <c r="B2814" i="2"/>
  <c r="A2814" i="2"/>
  <c r="H2813" i="2"/>
  <c r="G2813" i="2"/>
  <c r="F2813" i="2"/>
  <c r="E2813" i="2"/>
  <c r="D2813" i="2"/>
  <c r="C2813" i="2"/>
  <c r="B2813" i="2"/>
  <c r="A2813" i="2"/>
  <c r="H2812" i="2"/>
  <c r="G2812" i="2"/>
  <c r="F2812" i="2"/>
  <c r="E2812" i="2"/>
  <c r="D2812" i="2"/>
  <c r="C2812" i="2"/>
  <c r="B2812" i="2"/>
  <c r="A2812" i="2"/>
  <c r="H2811" i="2"/>
  <c r="G2811" i="2"/>
  <c r="F2811" i="2"/>
  <c r="E2811" i="2"/>
  <c r="D2811" i="2"/>
  <c r="C2811" i="2"/>
  <c r="B2811" i="2"/>
  <c r="A2811" i="2"/>
  <c r="H2810" i="2"/>
  <c r="G2810" i="2"/>
  <c r="F2810" i="2"/>
  <c r="E2810" i="2"/>
  <c r="D2810" i="2"/>
  <c r="C2810" i="2"/>
  <c r="B2810" i="2"/>
  <c r="A2810" i="2"/>
  <c r="H2809" i="2"/>
  <c r="G2809" i="2"/>
  <c r="F2809" i="2"/>
  <c r="E2809" i="2"/>
  <c r="D2809" i="2"/>
  <c r="C2809" i="2"/>
  <c r="B2809" i="2"/>
  <c r="A2809" i="2"/>
  <c r="H2808" i="2"/>
  <c r="G2808" i="2"/>
  <c r="F2808" i="2"/>
  <c r="E2808" i="2"/>
  <c r="D2808" i="2"/>
  <c r="C2808" i="2"/>
  <c r="B2808" i="2"/>
  <c r="A2808" i="2"/>
  <c r="H2807" i="2"/>
  <c r="G2807" i="2"/>
  <c r="F2807" i="2"/>
  <c r="E2807" i="2"/>
  <c r="D2807" i="2"/>
  <c r="C2807" i="2"/>
  <c r="B2807" i="2"/>
  <c r="A2807" i="2"/>
  <c r="H2806" i="2"/>
  <c r="G2806" i="2"/>
  <c r="F2806" i="2"/>
  <c r="E2806" i="2"/>
  <c r="D2806" i="2"/>
  <c r="C2806" i="2"/>
  <c r="B2806" i="2"/>
  <c r="A2806" i="2"/>
  <c r="H2805" i="2"/>
  <c r="G2805" i="2"/>
  <c r="F2805" i="2"/>
  <c r="E2805" i="2"/>
  <c r="D2805" i="2"/>
  <c r="C2805" i="2"/>
  <c r="B2805" i="2"/>
  <c r="A2805" i="2"/>
  <c r="H2804" i="2"/>
  <c r="G2804" i="2"/>
  <c r="F2804" i="2"/>
  <c r="E2804" i="2"/>
  <c r="D2804" i="2"/>
  <c r="C2804" i="2"/>
  <c r="B2804" i="2"/>
  <c r="A2804" i="2"/>
  <c r="H2803" i="2"/>
  <c r="G2803" i="2"/>
  <c r="F2803" i="2"/>
  <c r="E2803" i="2"/>
  <c r="D2803" i="2"/>
  <c r="C2803" i="2"/>
  <c r="B2803" i="2"/>
  <c r="A2803" i="2"/>
  <c r="H2802" i="2"/>
  <c r="G2802" i="2"/>
  <c r="F2802" i="2"/>
  <c r="E2802" i="2"/>
  <c r="D2802" i="2"/>
  <c r="C2802" i="2"/>
  <c r="B2802" i="2"/>
  <c r="A2802" i="2"/>
  <c r="H2801" i="2"/>
  <c r="G2801" i="2"/>
  <c r="F2801" i="2"/>
  <c r="E2801" i="2"/>
  <c r="D2801" i="2"/>
  <c r="C2801" i="2"/>
  <c r="B2801" i="2"/>
  <c r="A2801" i="2"/>
  <c r="H2800" i="2"/>
  <c r="G2800" i="2"/>
  <c r="F2800" i="2"/>
  <c r="E2800" i="2"/>
  <c r="D2800" i="2"/>
  <c r="C2800" i="2"/>
  <c r="B2800" i="2"/>
  <c r="A2800" i="2"/>
  <c r="H2799" i="2"/>
  <c r="G2799" i="2"/>
  <c r="F2799" i="2"/>
  <c r="E2799" i="2"/>
  <c r="D2799" i="2"/>
  <c r="C2799" i="2"/>
  <c r="B2799" i="2"/>
  <c r="A2799" i="2"/>
  <c r="H2798" i="2"/>
  <c r="G2798" i="2"/>
  <c r="F2798" i="2"/>
  <c r="E2798" i="2"/>
  <c r="D2798" i="2"/>
  <c r="C2798" i="2"/>
  <c r="B2798" i="2"/>
  <c r="A2798" i="2"/>
  <c r="H2797" i="2"/>
  <c r="G2797" i="2"/>
  <c r="F2797" i="2"/>
  <c r="E2797" i="2"/>
  <c r="D2797" i="2"/>
  <c r="C2797" i="2"/>
  <c r="B2797" i="2"/>
  <c r="A2797" i="2"/>
  <c r="H2796" i="2"/>
  <c r="G2796" i="2"/>
  <c r="F2796" i="2"/>
  <c r="E2796" i="2"/>
  <c r="D2796" i="2"/>
  <c r="C2796" i="2"/>
  <c r="B2796" i="2"/>
  <c r="A2796" i="2"/>
  <c r="H2795" i="2"/>
  <c r="G2795" i="2"/>
  <c r="F2795" i="2"/>
  <c r="E2795" i="2"/>
  <c r="D2795" i="2"/>
  <c r="C2795" i="2"/>
  <c r="B2795" i="2"/>
  <c r="A2795" i="2"/>
  <c r="H2794" i="2"/>
  <c r="G2794" i="2"/>
  <c r="F2794" i="2"/>
  <c r="E2794" i="2"/>
  <c r="D2794" i="2"/>
  <c r="C2794" i="2"/>
  <c r="B2794" i="2"/>
  <c r="A2794" i="2"/>
  <c r="H2793" i="2"/>
  <c r="G2793" i="2"/>
  <c r="F2793" i="2"/>
  <c r="E2793" i="2"/>
  <c r="D2793" i="2"/>
  <c r="C2793" i="2"/>
  <c r="B2793" i="2"/>
  <c r="A2793" i="2"/>
  <c r="H2792" i="2"/>
  <c r="G2792" i="2"/>
  <c r="F2792" i="2"/>
  <c r="E2792" i="2"/>
  <c r="D2792" i="2"/>
  <c r="C2792" i="2"/>
  <c r="B2792" i="2"/>
  <c r="A2792" i="2"/>
  <c r="H2791" i="2"/>
  <c r="G2791" i="2"/>
  <c r="F2791" i="2"/>
  <c r="E2791" i="2"/>
  <c r="D2791" i="2"/>
  <c r="C2791" i="2"/>
  <c r="B2791" i="2"/>
  <c r="A2791" i="2"/>
  <c r="H2790" i="2"/>
  <c r="G2790" i="2"/>
  <c r="F2790" i="2"/>
  <c r="E2790" i="2"/>
  <c r="D2790" i="2"/>
  <c r="C2790" i="2"/>
  <c r="B2790" i="2"/>
  <c r="A2790" i="2"/>
  <c r="H2789" i="2"/>
  <c r="G2789" i="2"/>
  <c r="F2789" i="2"/>
  <c r="E2789" i="2"/>
  <c r="D2789" i="2"/>
  <c r="C2789" i="2"/>
  <c r="B2789" i="2"/>
  <c r="A2789" i="2"/>
  <c r="H2788" i="2"/>
  <c r="G2788" i="2"/>
  <c r="F2788" i="2"/>
  <c r="E2788" i="2"/>
  <c r="D2788" i="2"/>
  <c r="C2788" i="2"/>
  <c r="B2788" i="2"/>
  <c r="A2788" i="2"/>
  <c r="H2787" i="2"/>
  <c r="G2787" i="2"/>
  <c r="F2787" i="2"/>
  <c r="E2787" i="2"/>
  <c r="D2787" i="2"/>
  <c r="C2787" i="2"/>
  <c r="B2787" i="2"/>
  <c r="A2787" i="2"/>
  <c r="H2786" i="2"/>
  <c r="G2786" i="2"/>
  <c r="F2786" i="2"/>
  <c r="E2786" i="2"/>
  <c r="D2786" i="2"/>
  <c r="C2786" i="2"/>
  <c r="B2786" i="2"/>
  <c r="A2786" i="2"/>
  <c r="H2785" i="2"/>
  <c r="G2785" i="2"/>
  <c r="F2785" i="2"/>
  <c r="E2785" i="2"/>
  <c r="D2785" i="2"/>
  <c r="C2785" i="2"/>
  <c r="B2785" i="2"/>
  <c r="A2785" i="2"/>
  <c r="H2784" i="2"/>
  <c r="G2784" i="2"/>
  <c r="F2784" i="2"/>
  <c r="E2784" i="2"/>
  <c r="D2784" i="2"/>
  <c r="C2784" i="2"/>
  <c r="B2784" i="2"/>
  <c r="A2784" i="2"/>
  <c r="H2783" i="2"/>
  <c r="G2783" i="2"/>
  <c r="F2783" i="2"/>
  <c r="E2783" i="2"/>
  <c r="D2783" i="2"/>
  <c r="C2783" i="2"/>
  <c r="B2783" i="2"/>
  <c r="A2783" i="2"/>
  <c r="H2782" i="2"/>
  <c r="G2782" i="2"/>
  <c r="F2782" i="2"/>
  <c r="E2782" i="2"/>
  <c r="D2782" i="2"/>
  <c r="C2782" i="2"/>
  <c r="B2782" i="2"/>
  <c r="A2782" i="2"/>
  <c r="H2781" i="2"/>
  <c r="G2781" i="2"/>
  <c r="F2781" i="2"/>
  <c r="E2781" i="2"/>
  <c r="D2781" i="2"/>
  <c r="C2781" i="2"/>
  <c r="B2781" i="2"/>
  <c r="A2781" i="2"/>
  <c r="H2780" i="2"/>
  <c r="G2780" i="2"/>
  <c r="F2780" i="2"/>
  <c r="E2780" i="2"/>
  <c r="D2780" i="2"/>
  <c r="C2780" i="2"/>
  <c r="B2780" i="2"/>
  <c r="A2780" i="2"/>
  <c r="H2779" i="2"/>
  <c r="G2779" i="2"/>
  <c r="F2779" i="2"/>
  <c r="E2779" i="2"/>
  <c r="D2779" i="2"/>
  <c r="C2779" i="2"/>
  <c r="B2779" i="2"/>
  <c r="A2779" i="2"/>
  <c r="H2778" i="2"/>
  <c r="G2778" i="2"/>
  <c r="F2778" i="2"/>
  <c r="E2778" i="2"/>
  <c r="D2778" i="2"/>
  <c r="C2778" i="2"/>
  <c r="B2778" i="2"/>
  <c r="A2778" i="2"/>
  <c r="H2777" i="2"/>
  <c r="G2777" i="2"/>
  <c r="F2777" i="2"/>
  <c r="E2777" i="2"/>
  <c r="D2777" i="2"/>
  <c r="C2777" i="2"/>
  <c r="B2777" i="2"/>
  <c r="A2777" i="2"/>
  <c r="H2776" i="2"/>
  <c r="G2776" i="2"/>
  <c r="F2776" i="2"/>
  <c r="E2776" i="2"/>
  <c r="D2776" i="2"/>
  <c r="C2776" i="2"/>
  <c r="B2776" i="2"/>
  <c r="A2776" i="2"/>
  <c r="H2775" i="2"/>
  <c r="G2775" i="2"/>
  <c r="F2775" i="2"/>
  <c r="E2775" i="2"/>
  <c r="D2775" i="2"/>
  <c r="C2775" i="2"/>
  <c r="B2775" i="2"/>
  <c r="A2775" i="2"/>
  <c r="H2774" i="2"/>
  <c r="G2774" i="2"/>
  <c r="F2774" i="2"/>
  <c r="E2774" i="2"/>
  <c r="D2774" i="2"/>
  <c r="C2774" i="2"/>
  <c r="B2774" i="2"/>
  <c r="A2774" i="2"/>
  <c r="H2773" i="2"/>
  <c r="G2773" i="2"/>
  <c r="F2773" i="2"/>
  <c r="E2773" i="2"/>
  <c r="D2773" i="2"/>
  <c r="C2773" i="2"/>
  <c r="B2773" i="2"/>
  <c r="A2773" i="2"/>
  <c r="H2772" i="2"/>
  <c r="G2772" i="2"/>
  <c r="F2772" i="2"/>
  <c r="E2772" i="2"/>
  <c r="D2772" i="2"/>
  <c r="C2772" i="2"/>
  <c r="B2772" i="2"/>
  <c r="A2772" i="2"/>
  <c r="H2771" i="2"/>
  <c r="G2771" i="2"/>
  <c r="F2771" i="2"/>
  <c r="E2771" i="2"/>
  <c r="D2771" i="2"/>
  <c r="C2771" i="2"/>
  <c r="B2771" i="2"/>
  <c r="A2771" i="2"/>
  <c r="H2770" i="2"/>
  <c r="G2770" i="2"/>
  <c r="F2770" i="2"/>
  <c r="E2770" i="2"/>
  <c r="D2770" i="2"/>
  <c r="C2770" i="2"/>
  <c r="B2770" i="2"/>
  <c r="A2770" i="2"/>
  <c r="H2769" i="2"/>
  <c r="G2769" i="2"/>
  <c r="F2769" i="2"/>
  <c r="E2769" i="2"/>
  <c r="D2769" i="2"/>
  <c r="C2769" i="2"/>
  <c r="B2769" i="2"/>
  <c r="A2769" i="2"/>
  <c r="H2768" i="2"/>
  <c r="G2768" i="2"/>
  <c r="F2768" i="2"/>
  <c r="E2768" i="2"/>
  <c r="D2768" i="2"/>
  <c r="C2768" i="2"/>
  <c r="B2768" i="2"/>
  <c r="A2768" i="2"/>
  <c r="H2767" i="2"/>
  <c r="G2767" i="2"/>
  <c r="F2767" i="2"/>
  <c r="E2767" i="2"/>
  <c r="D2767" i="2"/>
  <c r="C2767" i="2"/>
  <c r="B2767" i="2"/>
  <c r="A2767" i="2"/>
  <c r="H2766" i="2"/>
  <c r="G2766" i="2"/>
  <c r="F2766" i="2"/>
  <c r="E2766" i="2"/>
  <c r="D2766" i="2"/>
  <c r="C2766" i="2"/>
  <c r="B2766" i="2"/>
  <c r="A2766" i="2"/>
  <c r="H2765" i="2"/>
  <c r="G2765" i="2"/>
  <c r="F2765" i="2"/>
  <c r="E2765" i="2"/>
  <c r="D2765" i="2"/>
  <c r="C2765" i="2"/>
  <c r="B2765" i="2"/>
  <c r="A2765" i="2"/>
  <c r="H2764" i="2"/>
  <c r="G2764" i="2"/>
  <c r="F2764" i="2"/>
  <c r="E2764" i="2"/>
  <c r="D2764" i="2"/>
  <c r="C2764" i="2"/>
  <c r="B2764" i="2"/>
  <c r="A2764" i="2"/>
  <c r="H2763" i="2"/>
  <c r="G2763" i="2"/>
  <c r="F2763" i="2"/>
  <c r="E2763" i="2"/>
  <c r="D2763" i="2"/>
  <c r="C2763" i="2"/>
  <c r="B2763" i="2"/>
  <c r="A2763" i="2"/>
  <c r="H2762" i="2"/>
  <c r="G2762" i="2"/>
  <c r="F2762" i="2"/>
  <c r="E2762" i="2"/>
  <c r="D2762" i="2"/>
  <c r="C2762" i="2"/>
  <c r="B2762" i="2"/>
  <c r="A2762" i="2"/>
  <c r="H2761" i="2"/>
  <c r="G2761" i="2"/>
  <c r="F2761" i="2"/>
  <c r="E2761" i="2"/>
  <c r="D2761" i="2"/>
  <c r="C2761" i="2"/>
  <c r="B2761" i="2"/>
  <c r="A2761" i="2"/>
  <c r="H2760" i="2"/>
  <c r="G2760" i="2"/>
  <c r="F2760" i="2"/>
  <c r="E2760" i="2"/>
  <c r="D2760" i="2"/>
  <c r="C2760" i="2"/>
  <c r="B2760" i="2"/>
  <c r="A2760" i="2"/>
  <c r="H2759" i="2"/>
  <c r="G2759" i="2"/>
  <c r="F2759" i="2"/>
  <c r="E2759" i="2"/>
  <c r="D2759" i="2"/>
  <c r="C2759" i="2"/>
  <c r="B2759" i="2"/>
  <c r="A2759" i="2"/>
  <c r="H2758" i="2"/>
  <c r="G2758" i="2"/>
  <c r="F2758" i="2"/>
  <c r="E2758" i="2"/>
  <c r="D2758" i="2"/>
  <c r="C2758" i="2"/>
  <c r="B2758" i="2"/>
  <c r="A2758" i="2"/>
  <c r="H2757" i="2"/>
  <c r="G2757" i="2"/>
  <c r="F2757" i="2"/>
  <c r="E2757" i="2"/>
  <c r="D2757" i="2"/>
  <c r="C2757" i="2"/>
  <c r="B2757" i="2"/>
  <c r="A2757" i="2"/>
  <c r="H2756" i="2"/>
  <c r="G2756" i="2"/>
  <c r="F2756" i="2"/>
  <c r="E2756" i="2"/>
  <c r="D2756" i="2"/>
  <c r="C2756" i="2"/>
  <c r="B2756" i="2"/>
  <c r="A2756" i="2"/>
  <c r="H2755" i="2"/>
  <c r="G2755" i="2"/>
  <c r="F2755" i="2"/>
  <c r="E2755" i="2"/>
  <c r="D2755" i="2"/>
  <c r="C2755" i="2"/>
  <c r="B2755" i="2"/>
  <c r="A2755" i="2"/>
  <c r="H2754" i="2"/>
  <c r="G2754" i="2"/>
  <c r="F2754" i="2"/>
  <c r="E2754" i="2"/>
  <c r="D2754" i="2"/>
  <c r="C2754" i="2"/>
  <c r="B2754" i="2"/>
  <c r="A2754" i="2"/>
  <c r="H2753" i="2"/>
  <c r="G2753" i="2"/>
  <c r="F2753" i="2"/>
  <c r="E2753" i="2"/>
  <c r="D2753" i="2"/>
  <c r="C2753" i="2"/>
  <c r="B2753" i="2"/>
  <c r="A2753" i="2"/>
  <c r="H2752" i="2"/>
  <c r="G2752" i="2"/>
  <c r="F2752" i="2"/>
  <c r="E2752" i="2"/>
  <c r="D2752" i="2"/>
  <c r="C2752" i="2"/>
  <c r="B2752" i="2"/>
  <c r="A2752" i="2"/>
  <c r="H2751" i="2"/>
  <c r="G2751" i="2"/>
  <c r="F2751" i="2"/>
  <c r="E2751" i="2"/>
  <c r="D2751" i="2"/>
  <c r="C2751" i="2"/>
  <c r="B2751" i="2"/>
  <c r="A2751" i="2"/>
  <c r="H2750" i="2"/>
  <c r="G2750" i="2"/>
  <c r="F2750" i="2"/>
  <c r="E2750" i="2"/>
  <c r="D2750" i="2"/>
  <c r="C2750" i="2"/>
  <c r="B2750" i="2"/>
  <c r="A2750" i="2"/>
  <c r="H2749" i="2"/>
  <c r="G2749" i="2"/>
  <c r="F2749" i="2"/>
  <c r="E2749" i="2"/>
  <c r="D2749" i="2"/>
  <c r="C2749" i="2"/>
  <c r="B2749" i="2"/>
  <c r="A2749" i="2"/>
  <c r="H2748" i="2"/>
  <c r="G2748" i="2"/>
  <c r="F2748" i="2"/>
  <c r="E2748" i="2"/>
  <c r="D2748" i="2"/>
  <c r="C2748" i="2"/>
  <c r="B2748" i="2"/>
  <c r="A2748" i="2"/>
  <c r="H2747" i="2"/>
  <c r="G2747" i="2"/>
  <c r="F2747" i="2"/>
  <c r="E2747" i="2"/>
  <c r="D2747" i="2"/>
  <c r="C2747" i="2"/>
  <c r="B2747" i="2"/>
  <c r="A2747" i="2"/>
  <c r="H2746" i="2"/>
  <c r="G2746" i="2"/>
  <c r="F2746" i="2"/>
  <c r="E2746" i="2"/>
  <c r="D2746" i="2"/>
  <c r="C2746" i="2"/>
  <c r="B2746" i="2"/>
  <c r="A2746" i="2"/>
  <c r="H2745" i="2"/>
  <c r="G2745" i="2"/>
  <c r="F2745" i="2"/>
  <c r="E2745" i="2"/>
  <c r="D2745" i="2"/>
  <c r="C2745" i="2"/>
  <c r="B2745" i="2"/>
  <c r="A2745" i="2"/>
  <c r="H2744" i="2"/>
  <c r="G2744" i="2"/>
  <c r="F2744" i="2"/>
  <c r="E2744" i="2"/>
  <c r="D2744" i="2"/>
  <c r="C2744" i="2"/>
  <c r="B2744" i="2"/>
  <c r="A2744" i="2"/>
  <c r="H2743" i="2"/>
  <c r="G2743" i="2"/>
  <c r="F2743" i="2"/>
  <c r="E2743" i="2"/>
  <c r="D2743" i="2"/>
  <c r="C2743" i="2"/>
  <c r="B2743" i="2"/>
  <c r="A2743" i="2"/>
  <c r="H2742" i="2"/>
  <c r="G2742" i="2"/>
  <c r="F2742" i="2"/>
  <c r="E2742" i="2"/>
  <c r="D2742" i="2"/>
  <c r="C2742" i="2"/>
  <c r="B2742" i="2"/>
  <c r="A2742" i="2"/>
  <c r="H2741" i="2"/>
  <c r="G2741" i="2"/>
  <c r="F2741" i="2"/>
  <c r="E2741" i="2"/>
  <c r="D2741" i="2"/>
  <c r="C2741" i="2"/>
  <c r="B2741" i="2"/>
  <c r="A2741" i="2"/>
  <c r="H2740" i="2"/>
  <c r="G2740" i="2"/>
  <c r="F2740" i="2"/>
  <c r="E2740" i="2"/>
  <c r="D2740" i="2"/>
  <c r="C2740" i="2"/>
  <c r="B2740" i="2"/>
  <c r="A2740" i="2"/>
  <c r="H2739" i="2"/>
  <c r="G2739" i="2"/>
  <c r="F2739" i="2"/>
  <c r="E2739" i="2"/>
  <c r="D2739" i="2"/>
  <c r="C2739" i="2"/>
  <c r="B2739" i="2"/>
  <c r="A2739" i="2"/>
  <c r="H2738" i="2"/>
  <c r="G2738" i="2"/>
  <c r="F2738" i="2"/>
  <c r="E2738" i="2"/>
  <c r="D2738" i="2"/>
  <c r="C2738" i="2"/>
  <c r="B2738" i="2"/>
  <c r="A2738" i="2"/>
  <c r="H2737" i="2"/>
  <c r="G2737" i="2"/>
  <c r="F2737" i="2"/>
  <c r="E2737" i="2"/>
  <c r="D2737" i="2"/>
  <c r="C2737" i="2"/>
  <c r="B2737" i="2"/>
  <c r="A2737" i="2"/>
  <c r="H2736" i="2"/>
  <c r="G2736" i="2"/>
  <c r="F2736" i="2"/>
  <c r="E2736" i="2"/>
  <c r="D2736" i="2"/>
  <c r="C2736" i="2"/>
  <c r="B2736" i="2"/>
  <c r="A2736" i="2"/>
  <c r="H2735" i="2"/>
  <c r="G2735" i="2"/>
  <c r="F2735" i="2"/>
  <c r="E2735" i="2"/>
  <c r="D2735" i="2"/>
  <c r="C2735" i="2"/>
  <c r="B2735" i="2"/>
  <c r="A2735" i="2"/>
  <c r="H2734" i="2"/>
  <c r="G2734" i="2"/>
  <c r="F2734" i="2"/>
  <c r="E2734" i="2"/>
  <c r="D2734" i="2"/>
  <c r="C2734" i="2"/>
  <c r="B2734" i="2"/>
  <c r="A2734" i="2"/>
  <c r="H2733" i="2"/>
  <c r="G2733" i="2"/>
  <c r="F2733" i="2"/>
  <c r="E2733" i="2"/>
  <c r="D2733" i="2"/>
  <c r="C2733" i="2"/>
  <c r="B2733" i="2"/>
  <c r="A2733" i="2"/>
  <c r="H2732" i="2"/>
  <c r="G2732" i="2"/>
  <c r="F2732" i="2"/>
  <c r="E2732" i="2"/>
  <c r="D2732" i="2"/>
  <c r="C2732" i="2"/>
  <c r="B2732" i="2"/>
  <c r="A2732" i="2"/>
  <c r="H2731" i="2"/>
  <c r="G2731" i="2"/>
  <c r="F2731" i="2"/>
  <c r="E2731" i="2"/>
  <c r="D2731" i="2"/>
  <c r="C2731" i="2"/>
  <c r="B2731" i="2"/>
  <c r="A2731" i="2"/>
  <c r="H2730" i="2"/>
  <c r="G2730" i="2"/>
  <c r="F2730" i="2"/>
  <c r="E2730" i="2"/>
  <c r="D2730" i="2"/>
  <c r="C2730" i="2"/>
  <c r="B2730" i="2"/>
  <c r="A2730" i="2"/>
  <c r="H2729" i="2"/>
  <c r="G2729" i="2"/>
  <c r="F2729" i="2"/>
  <c r="E2729" i="2"/>
  <c r="D2729" i="2"/>
  <c r="C2729" i="2"/>
  <c r="B2729" i="2"/>
  <c r="A2729" i="2"/>
  <c r="H2728" i="2"/>
  <c r="G2728" i="2"/>
  <c r="F2728" i="2"/>
  <c r="E2728" i="2"/>
  <c r="D2728" i="2"/>
  <c r="C2728" i="2"/>
  <c r="B2728" i="2"/>
  <c r="A2728" i="2"/>
  <c r="H2727" i="2"/>
  <c r="G2727" i="2"/>
  <c r="F2727" i="2"/>
  <c r="E2727" i="2"/>
  <c r="D2727" i="2"/>
  <c r="C2727" i="2"/>
  <c r="B2727" i="2"/>
  <c r="A2727" i="2"/>
  <c r="H2726" i="2"/>
  <c r="G2726" i="2"/>
  <c r="F2726" i="2"/>
  <c r="E2726" i="2"/>
  <c r="D2726" i="2"/>
  <c r="C2726" i="2"/>
  <c r="B2726" i="2"/>
  <c r="A2726" i="2"/>
  <c r="H2725" i="2"/>
  <c r="G2725" i="2"/>
  <c r="F2725" i="2"/>
  <c r="E2725" i="2"/>
  <c r="D2725" i="2"/>
  <c r="C2725" i="2"/>
  <c r="B2725" i="2"/>
  <c r="A2725" i="2"/>
  <c r="H2724" i="2"/>
  <c r="G2724" i="2"/>
  <c r="F2724" i="2"/>
  <c r="E2724" i="2"/>
  <c r="D2724" i="2"/>
  <c r="C2724" i="2"/>
  <c r="B2724" i="2"/>
  <c r="A2724" i="2"/>
  <c r="H2723" i="2"/>
  <c r="G2723" i="2"/>
  <c r="F2723" i="2"/>
  <c r="E2723" i="2"/>
  <c r="D2723" i="2"/>
  <c r="C2723" i="2"/>
  <c r="B2723" i="2"/>
  <c r="A2723" i="2"/>
  <c r="H2722" i="2"/>
  <c r="G2722" i="2"/>
  <c r="F2722" i="2"/>
  <c r="E2722" i="2"/>
  <c r="D2722" i="2"/>
  <c r="C2722" i="2"/>
  <c r="B2722" i="2"/>
  <c r="A2722" i="2"/>
  <c r="H2721" i="2"/>
  <c r="G2721" i="2"/>
  <c r="F2721" i="2"/>
  <c r="E2721" i="2"/>
  <c r="D2721" i="2"/>
  <c r="C2721" i="2"/>
  <c r="B2721" i="2"/>
  <c r="A2721" i="2"/>
  <c r="H2720" i="2"/>
  <c r="G2720" i="2"/>
  <c r="F2720" i="2"/>
  <c r="E2720" i="2"/>
  <c r="D2720" i="2"/>
  <c r="C2720" i="2"/>
  <c r="B2720" i="2"/>
  <c r="A2720" i="2"/>
  <c r="H2719" i="2"/>
  <c r="G2719" i="2"/>
  <c r="F2719" i="2"/>
  <c r="E2719" i="2"/>
  <c r="D2719" i="2"/>
  <c r="C2719" i="2"/>
  <c r="B2719" i="2"/>
  <c r="A2719" i="2"/>
  <c r="H2718" i="2"/>
  <c r="G2718" i="2"/>
  <c r="F2718" i="2"/>
  <c r="E2718" i="2"/>
  <c r="D2718" i="2"/>
  <c r="C2718" i="2"/>
  <c r="B2718" i="2"/>
  <c r="A2718" i="2"/>
  <c r="H2717" i="2"/>
  <c r="G2717" i="2"/>
  <c r="F2717" i="2"/>
  <c r="E2717" i="2"/>
  <c r="D2717" i="2"/>
  <c r="C2717" i="2"/>
  <c r="B2717" i="2"/>
  <c r="A2717" i="2"/>
  <c r="H2716" i="2"/>
  <c r="G2716" i="2"/>
  <c r="F2716" i="2"/>
  <c r="E2716" i="2"/>
  <c r="D2716" i="2"/>
  <c r="C2716" i="2"/>
  <c r="B2716" i="2"/>
  <c r="A2716" i="2"/>
  <c r="H2715" i="2"/>
  <c r="G2715" i="2"/>
  <c r="F2715" i="2"/>
  <c r="E2715" i="2"/>
  <c r="D2715" i="2"/>
  <c r="C2715" i="2"/>
  <c r="B2715" i="2"/>
  <c r="A2715" i="2"/>
  <c r="H2714" i="2"/>
  <c r="G2714" i="2"/>
  <c r="F2714" i="2"/>
  <c r="E2714" i="2"/>
  <c r="D2714" i="2"/>
  <c r="C2714" i="2"/>
  <c r="B2714" i="2"/>
  <c r="A2714" i="2"/>
  <c r="H2713" i="2"/>
  <c r="G2713" i="2"/>
  <c r="F2713" i="2"/>
  <c r="E2713" i="2"/>
  <c r="D2713" i="2"/>
  <c r="C2713" i="2"/>
  <c r="B2713" i="2"/>
  <c r="A2713" i="2"/>
  <c r="H2712" i="2"/>
  <c r="G2712" i="2"/>
  <c r="F2712" i="2"/>
  <c r="E2712" i="2"/>
  <c r="D2712" i="2"/>
  <c r="C2712" i="2"/>
  <c r="B2712" i="2"/>
  <c r="A2712" i="2"/>
  <c r="H2711" i="2"/>
  <c r="G2711" i="2"/>
  <c r="F2711" i="2"/>
  <c r="E2711" i="2"/>
  <c r="D2711" i="2"/>
  <c r="C2711" i="2"/>
  <c r="B2711" i="2"/>
  <c r="A2711" i="2"/>
  <c r="H2710" i="2"/>
  <c r="G2710" i="2"/>
  <c r="F2710" i="2"/>
  <c r="E2710" i="2"/>
  <c r="D2710" i="2"/>
  <c r="C2710" i="2"/>
  <c r="B2710" i="2"/>
  <c r="A2710" i="2"/>
  <c r="H2709" i="2"/>
  <c r="G2709" i="2"/>
  <c r="F2709" i="2"/>
  <c r="E2709" i="2"/>
  <c r="D2709" i="2"/>
  <c r="C2709" i="2"/>
  <c r="B2709" i="2"/>
  <c r="A2709" i="2"/>
  <c r="H2708" i="2"/>
  <c r="G2708" i="2"/>
  <c r="F2708" i="2"/>
  <c r="E2708" i="2"/>
  <c r="D2708" i="2"/>
  <c r="C2708" i="2"/>
  <c r="B2708" i="2"/>
  <c r="A2708" i="2"/>
  <c r="H2707" i="2"/>
  <c r="G2707" i="2"/>
  <c r="F2707" i="2"/>
  <c r="E2707" i="2"/>
  <c r="D2707" i="2"/>
  <c r="C2707" i="2"/>
  <c r="B2707" i="2"/>
  <c r="A2707" i="2"/>
  <c r="H2706" i="2"/>
  <c r="G2706" i="2"/>
  <c r="F2706" i="2"/>
  <c r="E2706" i="2"/>
  <c r="D2706" i="2"/>
  <c r="C2706" i="2"/>
  <c r="B2706" i="2"/>
  <c r="A2706" i="2"/>
  <c r="H2705" i="2"/>
  <c r="G2705" i="2"/>
  <c r="F2705" i="2"/>
  <c r="E2705" i="2"/>
  <c r="D2705" i="2"/>
  <c r="C2705" i="2"/>
  <c r="B2705" i="2"/>
  <c r="A2705" i="2"/>
  <c r="H2704" i="2"/>
  <c r="G2704" i="2"/>
  <c r="F2704" i="2"/>
  <c r="E2704" i="2"/>
  <c r="D2704" i="2"/>
  <c r="C2704" i="2"/>
  <c r="B2704" i="2"/>
  <c r="A2704" i="2"/>
  <c r="H2703" i="2"/>
  <c r="G2703" i="2"/>
  <c r="F2703" i="2"/>
  <c r="E2703" i="2"/>
  <c r="D2703" i="2"/>
  <c r="C2703" i="2"/>
  <c r="B2703" i="2"/>
  <c r="A2703" i="2"/>
  <c r="H2702" i="2"/>
  <c r="G2702" i="2"/>
  <c r="F2702" i="2"/>
  <c r="E2702" i="2"/>
  <c r="D2702" i="2"/>
  <c r="C2702" i="2"/>
  <c r="B2702" i="2"/>
  <c r="A2702" i="2"/>
  <c r="H2701" i="2"/>
  <c r="G2701" i="2"/>
  <c r="F2701" i="2"/>
  <c r="E2701" i="2"/>
  <c r="D2701" i="2"/>
  <c r="C2701" i="2"/>
  <c r="B2701" i="2"/>
  <c r="A2701" i="2"/>
  <c r="H2700" i="2"/>
  <c r="G2700" i="2"/>
  <c r="F2700" i="2"/>
  <c r="E2700" i="2"/>
  <c r="D2700" i="2"/>
  <c r="C2700" i="2"/>
  <c r="B2700" i="2"/>
  <c r="A2700" i="2"/>
  <c r="H2699" i="2"/>
  <c r="G2699" i="2"/>
  <c r="F2699" i="2"/>
  <c r="E2699" i="2"/>
  <c r="D2699" i="2"/>
  <c r="C2699" i="2"/>
  <c r="B2699" i="2"/>
  <c r="A2699" i="2"/>
  <c r="H2698" i="2"/>
  <c r="G2698" i="2"/>
  <c r="F2698" i="2"/>
  <c r="E2698" i="2"/>
  <c r="D2698" i="2"/>
  <c r="C2698" i="2"/>
  <c r="B2698" i="2"/>
  <c r="A2698" i="2"/>
  <c r="H2697" i="2"/>
  <c r="G2697" i="2"/>
  <c r="F2697" i="2"/>
  <c r="E2697" i="2"/>
  <c r="D2697" i="2"/>
  <c r="C2697" i="2"/>
  <c r="B2697" i="2"/>
  <c r="A2697" i="2"/>
  <c r="H2696" i="2"/>
  <c r="G2696" i="2"/>
  <c r="F2696" i="2"/>
  <c r="E2696" i="2"/>
  <c r="D2696" i="2"/>
  <c r="C2696" i="2"/>
  <c r="B2696" i="2"/>
  <c r="A2696" i="2"/>
  <c r="H2695" i="2"/>
  <c r="G2695" i="2"/>
  <c r="F2695" i="2"/>
  <c r="E2695" i="2"/>
  <c r="D2695" i="2"/>
  <c r="C2695" i="2"/>
  <c r="B2695" i="2"/>
  <c r="A2695" i="2"/>
  <c r="H2694" i="2"/>
  <c r="G2694" i="2"/>
  <c r="F2694" i="2"/>
  <c r="E2694" i="2"/>
  <c r="D2694" i="2"/>
  <c r="C2694" i="2"/>
  <c r="B2694" i="2"/>
  <c r="A2694" i="2"/>
  <c r="H2693" i="2"/>
  <c r="G2693" i="2"/>
  <c r="F2693" i="2"/>
  <c r="E2693" i="2"/>
  <c r="D2693" i="2"/>
  <c r="C2693" i="2"/>
  <c r="B2693" i="2"/>
  <c r="A2693" i="2"/>
  <c r="H2692" i="2"/>
  <c r="G2692" i="2"/>
  <c r="F2692" i="2"/>
  <c r="E2692" i="2"/>
  <c r="D2692" i="2"/>
  <c r="C2692" i="2"/>
  <c r="B2692" i="2"/>
  <c r="A2692" i="2"/>
  <c r="H2691" i="2"/>
  <c r="G2691" i="2"/>
  <c r="F2691" i="2"/>
  <c r="E2691" i="2"/>
  <c r="D2691" i="2"/>
  <c r="C2691" i="2"/>
  <c r="B2691" i="2"/>
  <c r="A2691" i="2"/>
  <c r="H2690" i="2"/>
  <c r="G2690" i="2"/>
  <c r="F2690" i="2"/>
  <c r="E2690" i="2"/>
  <c r="D2690" i="2"/>
  <c r="C2690" i="2"/>
  <c r="B2690" i="2"/>
  <c r="A2690" i="2"/>
  <c r="H2689" i="2"/>
  <c r="G2689" i="2"/>
  <c r="F2689" i="2"/>
  <c r="E2689" i="2"/>
  <c r="D2689" i="2"/>
  <c r="C2689" i="2"/>
  <c r="B2689" i="2"/>
  <c r="A2689" i="2"/>
  <c r="H2688" i="2"/>
  <c r="G2688" i="2"/>
  <c r="F2688" i="2"/>
  <c r="E2688" i="2"/>
  <c r="D2688" i="2"/>
  <c r="C2688" i="2"/>
  <c r="B2688" i="2"/>
  <c r="A2688" i="2"/>
  <c r="H2687" i="2"/>
  <c r="G2687" i="2"/>
  <c r="F2687" i="2"/>
  <c r="E2687" i="2"/>
  <c r="D2687" i="2"/>
  <c r="C2687" i="2"/>
  <c r="B2687" i="2"/>
  <c r="A2687" i="2"/>
  <c r="H2686" i="2"/>
  <c r="G2686" i="2"/>
  <c r="F2686" i="2"/>
  <c r="E2686" i="2"/>
  <c r="D2686" i="2"/>
  <c r="C2686" i="2"/>
  <c r="B2686" i="2"/>
  <c r="A2686" i="2"/>
  <c r="H2685" i="2"/>
  <c r="G2685" i="2"/>
  <c r="F2685" i="2"/>
  <c r="E2685" i="2"/>
  <c r="D2685" i="2"/>
  <c r="C2685" i="2"/>
  <c r="B2685" i="2"/>
  <c r="A2685" i="2"/>
  <c r="H2684" i="2"/>
  <c r="G2684" i="2"/>
  <c r="F2684" i="2"/>
  <c r="E2684" i="2"/>
  <c r="D2684" i="2"/>
  <c r="C2684" i="2"/>
  <c r="B2684" i="2"/>
  <c r="A2684" i="2"/>
  <c r="H2683" i="2"/>
  <c r="G2683" i="2"/>
  <c r="F2683" i="2"/>
  <c r="E2683" i="2"/>
  <c r="D2683" i="2"/>
  <c r="C2683" i="2"/>
  <c r="B2683" i="2"/>
  <c r="A2683" i="2"/>
  <c r="H2682" i="2"/>
  <c r="G2682" i="2"/>
  <c r="F2682" i="2"/>
  <c r="E2682" i="2"/>
  <c r="D2682" i="2"/>
  <c r="C2682" i="2"/>
  <c r="B2682" i="2"/>
  <c r="A2682" i="2"/>
  <c r="H2681" i="2"/>
  <c r="G2681" i="2"/>
  <c r="F2681" i="2"/>
  <c r="E2681" i="2"/>
  <c r="D2681" i="2"/>
  <c r="C2681" i="2"/>
  <c r="B2681" i="2"/>
  <c r="A2681" i="2"/>
  <c r="H2680" i="2"/>
  <c r="G2680" i="2"/>
  <c r="F2680" i="2"/>
  <c r="E2680" i="2"/>
  <c r="D2680" i="2"/>
  <c r="C2680" i="2"/>
  <c r="B2680" i="2"/>
  <c r="A2680" i="2"/>
  <c r="H2679" i="2"/>
  <c r="G2679" i="2"/>
  <c r="F2679" i="2"/>
  <c r="E2679" i="2"/>
  <c r="D2679" i="2"/>
  <c r="C2679" i="2"/>
  <c r="B2679" i="2"/>
  <c r="A2679" i="2"/>
  <c r="H2678" i="2"/>
  <c r="G2678" i="2"/>
  <c r="F2678" i="2"/>
  <c r="E2678" i="2"/>
  <c r="D2678" i="2"/>
  <c r="C2678" i="2"/>
  <c r="B2678" i="2"/>
  <c r="A2678" i="2"/>
  <c r="H2677" i="2"/>
  <c r="G2677" i="2"/>
  <c r="F2677" i="2"/>
  <c r="E2677" i="2"/>
  <c r="D2677" i="2"/>
  <c r="C2677" i="2"/>
  <c r="B2677" i="2"/>
  <c r="A2677" i="2"/>
  <c r="H2676" i="2"/>
  <c r="G2676" i="2"/>
  <c r="F2676" i="2"/>
  <c r="E2676" i="2"/>
  <c r="D2676" i="2"/>
  <c r="C2676" i="2"/>
  <c r="B2676" i="2"/>
  <c r="A2676" i="2"/>
  <c r="H2675" i="2"/>
  <c r="G2675" i="2"/>
  <c r="F2675" i="2"/>
  <c r="E2675" i="2"/>
  <c r="D2675" i="2"/>
  <c r="C2675" i="2"/>
  <c r="B2675" i="2"/>
  <c r="A2675" i="2"/>
  <c r="H2674" i="2"/>
  <c r="G2674" i="2"/>
  <c r="F2674" i="2"/>
  <c r="E2674" i="2"/>
  <c r="D2674" i="2"/>
  <c r="C2674" i="2"/>
  <c r="B2674" i="2"/>
  <c r="A2674" i="2"/>
  <c r="H2673" i="2"/>
  <c r="G2673" i="2"/>
  <c r="F2673" i="2"/>
  <c r="E2673" i="2"/>
  <c r="D2673" i="2"/>
  <c r="C2673" i="2"/>
  <c r="B2673" i="2"/>
  <c r="A2673" i="2"/>
  <c r="H2672" i="2"/>
  <c r="G2672" i="2"/>
  <c r="F2672" i="2"/>
  <c r="E2672" i="2"/>
  <c r="D2672" i="2"/>
  <c r="C2672" i="2"/>
  <c r="B2672" i="2"/>
  <c r="A2672" i="2"/>
  <c r="H2671" i="2"/>
  <c r="G2671" i="2"/>
  <c r="F2671" i="2"/>
  <c r="E2671" i="2"/>
  <c r="D2671" i="2"/>
  <c r="C2671" i="2"/>
  <c r="B2671" i="2"/>
  <c r="A2671" i="2"/>
  <c r="H2670" i="2"/>
  <c r="G2670" i="2"/>
  <c r="F2670" i="2"/>
  <c r="E2670" i="2"/>
  <c r="D2670" i="2"/>
  <c r="C2670" i="2"/>
  <c r="B2670" i="2"/>
  <c r="A2670" i="2"/>
  <c r="H2669" i="2"/>
  <c r="G2669" i="2"/>
  <c r="F2669" i="2"/>
  <c r="E2669" i="2"/>
  <c r="D2669" i="2"/>
  <c r="C2669" i="2"/>
  <c r="B2669" i="2"/>
  <c r="A2669" i="2"/>
  <c r="H2668" i="2"/>
  <c r="G2668" i="2"/>
  <c r="F2668" i="2"/>
  <c r="E2668" i="2"/>
  <c r="D2668" i="2"/>
  <c r="C2668" i="2"/>
  <c r="B2668" i="2"/>
  <c r="A2668" i="2"/>
  <c r="H2667" i="2"/>
  <c r="G2667" i="2"/>
  <c r="F2667" i="2"/>
  <c r="E2667" i="2"/>
  <c r="D2667" i="2"/>
  <c r="C2667" i="2"/>
  <c r="B2667" i="2"/>
  <c r="A2667" i="2"/>
  <c r="H2666" i="2"/>
  <c r="G2666" i="2"/>
  <c r="F2666" i="2"/>
  <c r="E2666" i="2"/>
  <c r="D2666" i="2"/>
  <c r="C2666" i="2"/>
  <c r="B2666" i="2"/>
  <c r="A2666" i="2"/>
  <c r="H2665" i="2"/>
  <c r="G2665" i="2"/>
  <c r="F2665" i="2"/>
  <c r="E2665" i="2"/>
  <c r="D2665" i="2"/>
  <c r="C2665" i="2"/>
  <c r="B2665" i="2"/>
  <c r="A2665" i="2"/>
  <c r="H2664" i="2"/>
  <c r="G2664" i="2"/>
  <c r="F2664" i="2"/>
  <c r="E2664" i="2"/>
  <c r="D2664" i="2"/>
  <c r="C2664" i="2"/>
  <c r="B2664" i="2"/>
  <c r="A2664" i="2"/>
  <c r="H2663" i="2"/>
  <c r="G2663" i="2"/>
  <c r="F2663" i="2"/>
  <c r="E2663" i="2"/>
  <c r="D2663" i="2"/>
  <c r="C2663" i="2"/>
  <c r="B2663" i="2"/>
  <c r="A2663" i="2"/>
  <c r="H2662" i="2"/>
  <c r="G2662" i="2"/>
  <c r="F2662" i="2"/>
  <c r="E2662" i="2"/>
  <c r="D2662" i="2"/>
  <c r="C2662" i="2"/>
  <c r="B2662" i="2"/>
  <c r="A2662" i="2"/>
  <c r="H2661" i="2"/>
  <c r="G2661" i="2"/>
  <c r="F2661" i="2"/>
  <c r="E2661" i="2"/>
  <c r="D2661" i="2"/>
  <c r="C2661" i="2"/>
  <c r="B2661" i="2"/>
  <c r="A2661" i="2"/>
  <c r="H2660" i="2"/>
  <c r="G2660" i="2"/>
  <c r="F2660" i="2"/>
  <c r="E2660" i="2"/>
  <c r="D2660" i="2"/>
  <c r="C2660" i="2"/>
  <c r="B2660" i="2"/>
  <c r="A2660" i="2"/>
  <c r="H2659" i="2"/>
  <c r="G2659" i="2"/>
  <c r="F2659" i="2"/>
  <c r="E2659" i="2"/>
  <c r="D2659" i="2"/>
  <c r="C2659" i="2"/>
  <c r="B2659" i="2"/>
  <c r="A2659" i="2"/>
  <c r="H2658" i="2"/>
  <c r="G2658" i="2"/>
  <c r="F2658" i="2"/>
  <c r="E2658" i="2"/>
  <c r="D2658" i="2"/>
  <c r="C2658" i="2"/>
  <c r="B2658" i="2"/>
  <c r="A2658" i="2"/>
  <c r="H2657" i="2"/>
  <c r="G2657" i="2"/>
  <c r="F2657" i="2"/>
  <c r="E2657" i="2"/>
  <c r="D2657" i="2"/>
  <c r="C2657" i="2"/>
  <c r="B2657" i="2"/>
  <c r="A2657" i="2"/>
  <c r="H2656" i="2"/>
  <c r="G2656" i="2"/>
  <c r="F2656" i="2"/>
  <c r="E2656" i="2"/>
  <c r="D2656" i="2"/>
  <c r="C2656" i="2"/>
  <c r="B2656" i="2"/>
  <c r="A2656" i="2"/>
  <c r="H2655" i="2"/>
  <c r="G2655" i="2"/>
  <c r="F2655" i="2"/>
  <c r="E2655" i="2"/>
  <c r="D2655" i="2"/>
  <c r="C2655" i="2"/>
  <c r="B2655" i="2"/>
  <c r="A2655" i="2"/>
  <c r="H2654" i="2"/>
  <c r="G2654" i="2"/>
  <c r="F2654" i="2"/>
  <c r="E2654" i="2"/>
  <c r="D2654" i="2"/>
  <c r="C2654" i="2"/>
  <c r="B2654" i="2"/>
  <c r="A2654" i="2"/>
  <c r="H2653" i="2"/>
  <c r="G2653" i="2"/>
  <c r="F2653" i="2"/>
  <c r="E2653" i="2"/>
  <c r="D2653" i="2"/>
  <c r="C2653" i="2"/>
  <c r="B2653" i="2"/>
  <c r="A2653" i="2"/>
  <c r="H2652" i="2"/>
  <c r="G2652" i="2"/>
  <c r="F2652" i="2"/>
  <c r="E2652" i="2"/>
  <c r="D2652" i="2"/>
  <c r="C2652" i="2"/>
  <c r="B2652" i="2"/>
  <c r="A2652" i="2"/>
  <c r="H2651" i="2"/>
  <c r="G2651" i="2"/>
  <c r="F2651" i="2"/>
  <c r="E2651" i="2"/>
  <c r="D2651" i="2"/>
  <c r="C2651" i="2"/>
  <c r="B2651" i="2"/>
  <c r="A2651" i="2"/>
  <c r="H2650" i="2"/>
  <c r="G2650" i="2"/>
  <c r="F2650" i="2"/>
  <c r="E2650" i="2"/>
  <c r="D2650" i="2"/>
  <c r="C2650" i="2"/>
  <c r="B2650" i="2"/>
  <c r="A2650" i="2"/>
  <c r="H2649" i="2"/>
  <c r="G2649" i="2"/>
  <c r="F2649" i="2"/>
  <c r="E2649" i="2"/>
  <c r="D2649" i="2"/>
  <c r="C2649" i="2"/>
  <c r="B2649" i="2"/>
  <c r="A2649" i="2"/>
  <c r="H2648" i="2"/>
  <c r="G2648" i="2"/>
  <c r="F2648" i="2"/>
  <c r="E2648" i="2"/>
  <c r="D2648" i="2"/>
  <c r="C2648" i="2"/>
  <c r="B2648" i="2"/>
  <c r="A2648" i="2"/>
  <c r="H2647" i="2"/>
  <c r="G2647" i="2"/>
  <c r="F2647" i="2"/>
  <c r="E2647" i="2"/>
  <c r="D2647" i="2"/>
  <c r="C2647" i="2"/>
  <c r="B2647" i="2"/>
  <c r="A2647" i="2"/>
  <c r="H2646" i="2"/>
  <c r="G2646" i="2"/>
  <c r="F2646" i="2"/>
  <c r="E2646" i="2"/>
  <c r="D2646" i="2"/>
  <c r="C2646" i="2"/>
  <c r="B2646" i="2"/>
  <c r="A2646" i="2"/>
  <c r="H2645" i="2"/>
  <c r="G2645" i="2"/>
  <c r="F2645" i="2"/>
  <c r="E2645" i="2"/>
  <c r="D2645" i="2"/>
  <c r="C2645" i="2"/>
  <c r="B2645" i="2"/>
  <c r="A2645" i="2"/>
  <c r="H2644" i="2"/>
  <c r="G2644" i="2"/>
  <c r="F2644" i="2"/>
  <c r="E2644" i="2"/>
  <c r="D2644" i="2"/>
  <c r="C2644" i="2"/>
  <c r="B2644" i="2"/>
  <c r="A2644" i="2"/>
  <c r="H2643" i="2"/>
  <c r="G2643" i="2"/>
  <c r="F2643" i="2"/>
  <c r="E2643" i="2"/>
  <c r="D2643" i="2"/>
  <c r="C2643" i="2"/>
  <c r="B2643" i="2"/>
  <c r="A2643" i="2"/>
  <c r="H2642" i="2"/>
  <c r="G2642" i="2"/>
  <c r="F2642" i="2"/>
  <c r="E2642" i="2"/>
  <c r="D2642" i="2"/>
  <c r="C2642" i="2"/>
  <c r="B2642" i="2"/>
  <c r="A2642" i="2"/>
  <c r="H2641" i="2"/>
  <c r="G2641" i="2"/>
  <c r="F2641" i="2"/>
  <c r="E2641" i="2"/>
  <c r="D2641" i="2"/>
  <c r="C2641" i="2"/>
  <c r="B2641" i="2"/>
  <c r="A2641" i="2"/>
  <c r="H2640" i="2"/>
  <c r="G2640" i="2"/>
  <c r="F2640" i="2"/>
  <c r="E2640" i="2"/>
  <c r="D2640" i="2"/>
  <c r="C2640" i="2"/>
  <c r="B2640" i="2"/>
  <c r="A2640" i="2"/>
  <c r="H2639" i="2"/>
  <c r="G2639" i="2"/>
  <c r="F2639" i="2"/>
  <c r="E2639" i="2"/>
  <c r="D2639" i="2"/>
  <c r="C2639" i="2"/>
  <c r="B2639" i="2"/>
  <c r="A2639" i="2"/>
  <c r="H2638" i="2"/>
  <c r="G2638" i="2"/>
  <c r="F2638" i="2"/>
  <c r="E2638" i="2"/>
  <c r="D2638" i="2"/>
  <c r="C2638" i="2"/>
  <c r="B2638" i="2"/>
  <c r="A2638" i="2"/>
  <c r="H2637" i="2"/>
  <c r="G2637" i="2"/>
  <c r="F2637" i="2"/>
  <c r="E2637" i="2"/>
  <c r="D2637" i="2"/>
  <c r="C2637" i="2"/>
  <c r="B2637" i="2"/>
  <c r="A2637" i="2"/>
  <c r="H2636" i="2"/>
  <c r="G2636" i="2"/>
  <c r="F2636" i="2"/>
  <c r="E2636" i="2"/>
  <c r="D2636" i="2"/>
  <c r="C2636" i="2"/>
  <c r="B2636" i="2"/>
  <c r="A2636" i="2"/>
  <c r="H2635" i="2"/>
  <c r="G2635" i="2"/>
  <c r="F2635" i="2"/>
  <c r="E2635" i="2"/>
  <c r="D2635" i="2"/>
  <c r="C2635" i="2"/>
  <c r="B2635" i="2"/>
  <c r="A2635" i="2"/>
  <c r="H2634" i="2"/>
  <c r="G2634" i="2"/>
  <c r="F2634" i="2"/>
  <c r="E2634" i="2"/>
  <c r="D2634" i="2"/>
  <c r="C2634" i="2"/>
  <c r="B2634" i="2"/>
  <c r="A2634" i="2"/>
  <c r="H2633" i="2"/>
  <c r="G2633" i="2"/>
  <c r="F2633" i="2"/>
  <c r="E2633" i="2"/>
  <c r="D2633" i="2"/>
  <c r="C2633" i="2"/>
  <c r="B2633" i="2"/>
  <c r="A2633" i="2"/>
  <c r="H2632" i="2"/>
  <c r="G2632" i="2"/>
  <c r="F2632" i="2"/>
  <c r="E2632" i="2"/>
  <c r="D2632" i="2"/>
  <c r="C2632" i="2"/>
  <c r="B2632" i="2"/>
  <c r="A2632" i="2"/>
  <c r="H2631" i="2"/>
  <c r="G2631" i="2"/>
  <c r="F2631" i="2"/>
  <c r="E2631" i="2"/>
  <c r="D2631" i="2"/>
  <c r="C2631" i="2"/>
  <c r="B2631" i="2"/>
  <c r="A2631" i="2"/>
  <c r="H2630" i="2"/>
  <c r="G2630" i="2"/>
  <c r="F2630" i="2"/>
  <c r="E2630" i="2"/>
  <c r="D2630" i="2"/>
  <c r="C2630" i="2"/>
  <c r="B2630" i="2"/>
  <c r="A2630" i="2"/>
  <c r="H2629" i="2"/>
  <c r="G2629" i="2"/>
  <c r="F2629" i="2"/>
  <c r="E2629" i="2"/>
  <c r="D2629" i="2"/>
  <c r="C2629" i="2"/>
  <c r="B2629" i="2"/>
  <c r="A2629" i="2"/>
  <c r="H2628" i="2"/>
  <c r="G2628" i="2"/>
  <c r="F2628" i="2"/>
  <c r="E2628" i="2"/>
  <c r="D2628" i="2"/>
  <c r="C2628" i="2"/>
  <c r="B2628" i="2"/>
  <c r="A2628" i="2"/>
  <c r="H2627" i="2"/>
  <c r="G2627" i="2"/>
  <c r="F2627" i="2"/>
  <c r="E2627" i="2"/>
  <c r="D2627" i="2"/>
  <c r="C2627" i="2"/>
  <c r="B2627" i="2"/>
  <c r="A2627" i="2"/>
  <c r="H2626" i="2"/>
  <c r="G2626" i="2"/>
  <c r="F2626" i="2"/>
  <c r="E2626" i="2"/>
  <c r="D2626" i="2"/>
  <c r="C2626" i="2"/>
  <c r="B2626" i="2"/>
  <c r="A2626" i="2"/>
  <c r="H2625" i="2"/>
  <c r="G2625" i="2"/>
  <c r="F2625" i="2"/>
  <c r="E2625" i="2"/>
  <c r="D2625" i="2"/>
  <c r="C2625" i="2"/>
  <c r="B2625" i="2"/>
  <c r="A2625" i="2"/>
  <c r="H2624" i="2"/>
  <c r="G2624" i="2"/>
  <c r="F2624" i="2"/>
  <c r="E2624" i="2"/>
  <c r="D2624" i="2"/>
  <c r="C2624" i="2"/>
  <c r="B2624" i="2"/>
  <c r="A2624" i="2"/>
  <c r="H2623" i="2"/>
  <c r="G2623" i="2"/>
  <c r="F2623" i="2"/>
  <c r="E2623" i="2"/>
  <c r="D2623" i="2"/>
  <c r="C2623" i="2"/>
  <c r="B2623" i="2"/>
  <c r="A2623" i="2"/>
  <c r="H2622" i="2"/>
  <c r="G2622" i="2"/>
  <c r="F2622" i="2"/>
  <c r="E2622" i="2"/>
  <c r="D2622" i="2"/>
  <c r="C2622" i="2"/>
  <c r="B2622" i="2"/>
  <c r="A2622" i="2"/>
  <c r="H2621" i="2"/>
  <c r="G2621" i="2"/>
  <c r="F2621" i="2"/>
  <c r="E2621" i="2"/>
  <c r="D2621" i="2"/>
  <c r="C2621" i="2"/>
  <c r="B2621" i="2"/>
  <c r="A2621" i="2"/>
  <c r="H2620" i="2"/>
  <c r="G2620" i="2"/>
  <c r="F2620" i="2"/>
  <c r="E2620" i="2"/>
  <c r="D2620" i="2"/>
  <c r="C2620" i="2"/>
  <c r="B2620" i="2"/>
  <c r="A2620" i="2"/>
  <c r="H2619" i="2"/>
  <c r="G2619" i="2"/>
  <c r="F2619" i="2"/>
  <c r="E2619" i="2"/>
  <c r="D2619" i="2"/>
  <c r="C2619" i="2"/>
  <c r="B2619" i="2"/>
  <c r="A2619" i="2"/>
  <c r="H2618" i="2"/>
  <c r="G2618" i="2"/>
  <c r="F2618" i="2"/>
  <c r="E2618" i="2"/>
  <c r="D2618" i="2"/>
  <c r="C2618" i="2"/>
  <c r="B2618" i="2"/>
  <c r="A2618" i="2"/>
  <c r="H2617" i="2"/>
  <c r="G2617" i="2"/>
  <c r="F2617" i="2"/>
  <c r="E2617" i="2"/>
  <c r="D2617" i="2"/>
  <c r="C2617" i="2"/>
  <c r="B2617" i="2"/>
  <c r="A2617" i="2"/>
  <c r="H2616" i="2"/>
  <c r="G2616" i="2"/>
  <c r="F2616" i="2"/>
  <c r="E2616" i="2"/>
  <c r="D2616" i="2"/>
  <c r="C2616" i="2"/>
  <c r="B2616" i="2"/>
  <c r="A2616" i="2"/>
  <c r="H2615" i="2"/>
  <c r="G2615" i="2"/>
  <c r="F2615" i="2"/>
  <c r="E2615" i="2"/>
  <c r="D2615" i="2"/>
  <c r="C2615" i="2"/>
  <c r="B2615" i="2"/>
  <c r="A2615" i="2"/>
  <c r="H2614" i="2"/>
  <c r="G2614" i="2"/>
  <c r="F2614" i="2"/>
  <c r="E2614" i="2"/>
  <c r="D2614" i="2"/>
  <c r="C2614" i="2"/>
  <c r="B2614" i="2"/>
  <c r="A2614" i="2"/>
  <c r="H2613" i="2"/>
  <c r="G2613" i="2"/>
  <c r="F2613" i="2"/>
  <c r="E2613" i="2"/>
  <c r="D2613" i="2"/>
  <c r="C2613" i="2"/>
  <c r="B2613" i="2"/>
  <c r="A2613" i="2"/>
  <c r="H2612" i="2"/>
  <c r="G2612" i="2"/>
  <c r="F2612" i="2"/>
  <c r="E2612" i="2"/>
  <c r="D2612" i="2"/>
  <c r="C2612" i="2"/>
  <c r="B2612" i="2"/>
  <c r="A2612" i="2"/>
  <c r="H2611" i="2"/>
  <c r="G2611" i="2"/>
  <c r="F2611" i="2"/>
  <c r="E2611" i="2"/>
  <c r="D2611" i="2"/>
  <c r="C2611" i="2"/>
  <c r="B2611" i="2"/>
  <c r="A2611" i="2"/>
  <c r="H2610" i="2"/>
  <c r="G2610" i="2"/>
  <c r="F2610" i="2"/>
  <c r="E2610" i="2"/>
  <c r="D2610" i="2"/>
  <c r="C2610" i="2"/>
  <c r="B2610" i="2"/>
  <c r="A2610" i="2"/>
  <c r="H2609" i="2"/>
  <c r="G2609" i="2"/>
  <c r="F2609" i="2"/>
  <c r="E2609" i="2"/>
  <c r="D2609" i="2"/>
  <c r="C2609" i="2"/>
  <c r="B2609" i="2"/>
  <c r="A2609" i="2"/>
  <c r="H2608" i="2"/>
  <c r="G2608" i="2"/>
  <c r="F2608" i="2"/>
  <c r="E2608" i="2"/>
  <c r="D2608" i="2"/>
  <c r="C2608" i="2"/>
  <c r="B2608" i="2"/>
  <c r="A2608" i="2"/>
  <c r="H2607" i="2"/>
  <c r="G2607" i="2"/>
  <c r="F2607" i="2"/>
  <c r="E2607" i="2"/>
  <c r="D2607" i="2"/>
  <c r="C2607" i="2"/>
  <c r="B2607" i="2"/>
  <c r="A2607" i="2"/>
  <c r="H2606" i="2"/>
  <c r="G2606" i="2"/>
  <c r="F2606" i="2"/>
  <c r="E2606" i="2"/>
  <c r="D2606" i="2"/>
  <c r="C2606" i="2"/>
  <c r="B2606" i="2"/>
  <c r="A2606" i="2"/>
  <c r="H2605" i="2"/>
  <c r="G2605" i="2"/>
  <c r="F2605" i="2"/>
  <c r="E2605" i="2"/>
  <c r="D2605" i="2"/>
  <c r="C2605" i="2"/>
  <c r="B2605" i="2"/>
  <c r="A2605" i="2"/>
  <c r="H2604" i="2"/>
  <c r="G2604" i="2"/>
  <c r="F2604" i="2"/>
  <c r="E2604" i="2"/>
  <c r="D2604" i="2"/>
  <c r="C2604" i="2"/>
  <c r="B2604" i="2"/>
  <c r="A2604" i="2"/>
  <c r="H2603" i="2"/>
  <c r="G2603" i="2"/>
  <c r="F2603" i="2"/>
  <c r="E2603" i="2"/>
  <c r="D2603" i="2"/>
  <c r="C2603" i="2"/>
  <c r="B2603" i="2"/>
  <c r="A2603" i="2"/>
  <c r="H2602" i="2"/>
  <c r="G2602" i="2"/>
  <c r="F2602" i="2"/>
  <c r="E2602" i="2"/>
  <c r="D2602" i="2"/>
  <c r="C2602" i="2"/>
  <c r="B2602" i="2"/>
  <c r="A2602" i="2"/>
  <c r="H2601" i="2"/>
  <c r="G2601" i="2"/>
  <c r="F2601" i="2"/>
  <c r="E2601" i="2"/>
  <c r="D2601" i="2"/>
  <c r="C2601" i="2"/>
  <c r="B2601" i="2"/>
  <c r="A2601" i="2"/>
  <c r="H2600" i="2"/>
  <c r="G2600" i="2"/>
  <c r="F2600" i="2"/>
  <c r="E2600" i="2"/>
  <c r="D2600" i="2"/>
  <c r="C2600" i="2"/>
  <c r="B2600" i="2"/>
  <c r="A2600" i="2"/>
  <c r="H2599" i="2"/>
  <c r="G2599" i="2"/>
  <c r="F2599" i="2"/>
  <c r="E2599" i="2"/>
  <c r="D2599" i="2"/>
  <c r="C2599" i="2"/>
  <c r="B2599" i="2"/>
  <c r="A2599" i="2"/>
  <c r="H2598" i="2"/>
  <c r="G2598" i="2"/>
  <c r="F2598" i="2"/>
  <c r="E2598" i="2"/>
  <c r="D2598" i="2"/>
  <c r="C2598" i="2"/>
  <c r="B2598" i="2"/>
  <c r="A2598" i="2"/>
  <c r="H2597" i="2"/>
  <c r="G2597" i="2"/>
  <c r="F2597" i="2"/>
  <c r="E2597" i="2"/>
  <c r="D2597" i="2"/>
  <c r="C2597" i="2"/>
  <c r="B2597" i="2"/>
  <c r="A2597" i="2"/>
  <c r="H2596" i="2"/>
  <c r="G2596" i="2"/>
  <c r="F2596" i="2"/>
  <c r="E2596" i="2"/>
  <c r="D2596" i="2"/>
  <c r="C2596" i="2"/>
  <c r="B2596" i="2"/>
  <c r="A2596" i="2"/>
  <c r="H2595" i="2"/>
  <c r="G2595" i="2"/>
  <c r="F2595" i="2"/>
  <c r="E2595" i="2"/>
  <c r="D2595" i="2"/>
  <c r="C2595" i="2"/>
  <c r="B2595" i="2"/>
  <c r="A2595" i="2"/>
  <c r="H2594" i="2"/>
  <c r="G2594" i="2"/>
  <c r="F2594" i="2"/>
  <c r="E2594" i="2"/>
  <c r="D2594" i="2"/>
  <c r="C2594" i="2"/>
  <c r="B2594" i="2"/>
  <c r="A2594" i="2"/>
  <c r="H2593" i="2"/>
  <c r="G2593" i="2"/>
  <c r="F2593" i="2"/>
  <c r="E2593" i="2"/>
  <c r="D2593" i="2"/>
  <c r="C2593" i="2"/>
  <c r="B2593" i="2"/>
  <c r="A2593" i="2"/>
  <c r="H2592" i="2"/>
  <c r="G2592" i="2"/>
  <c r="F2592" i="2"/>
  <c r="E2592" i="2"/>
  <c r="D2592" i="2"/>
  <c r="C2592" i="2"/>
  <c r="B2592" i="2"/>
  <c r="A2592" i="2"/>
  <c r="H2591" i="2"/>
  <c r="G2591" i="2"/>
  <c r="F2591" i="2"/>
  <c r="E2591" i="2"/>
  <c r="D2591" i="2"/>
  <c r="C2591" i="2"/>
  <c r="B2591" i="2"/>
  <c r="A2591" i="2"/>
  <c r="H2590" i="2"/>
  <c r="G2590" i="2"/>
  <c r="F2590" i="2"/>
  <c r="E2590" i="2"/>
  <c r="D2590" i="2"/>
  <c r="C2590" i="2"/>
  <c r="B2590" i="2"/>
  <c r="A2590" i="2"/>
  <c r="H2589" i="2"/>
  <c r="G2589" i="2"/>
  <c r="F2589" i="2"/>
  <c r="E2589" i="2"/>
  <c r="D2589" i="2"/>
  <c r="C2589" i="2"/>
  <c r="B2589" i="2"/>
  <c r="A2589" i="2"/>
  <c r="H2588" i="2"/>
  <c r="G2588" i="2"/>
  <c r="F2588" i="2"/>
  <c r="E2588" i="2"/>
  <c r="D2588" i="2"/>
  <c r="C2588" i="2"/>
  <c r="B2588" i="2"/>
  <c r="A2588" i="2"/>
  <c r="H2587" i="2"/>
  <c r="G2587" i="2"/>
  <c r="F2587" i="2"/>
  <c r="E2587" i="2"/>
  <c r="D2587" i="2"/>
  <c r="C2587" i="2"/>
  <c r="B2587" i="2"/>
  <c r="A2587" i="2"/>
  <c r="H2586" i="2"/>
  <c r="G2586" i="2"/>
  <c r="F2586" i="2"/>
  <c r="E2586" i="2"/>
  <c r="D2586" i="2"/>
  <c r="C2586" i="2"/>
  <c r="B2586" i="2"/>
  <c r="A2586" i="2"/>
  <c r="H2585" i="2"/>
  <c r="G2585" i="2"/>
  <c r="F2585" i="2"/>
  <c r="E2585" i="2"/>
  <c r="D2585" i="2"/>
  <c r="C2585" i="2"/>
  <c r="B2585" i="2"/>
  <c r="A2585" i="2"/>
  <c r="H2584" i="2"/>
  <c r="G2584" i="2"/>
  <c r="F2584" i="2"/>
  <c r="E2584" i="2"/>
  <c r="D2584" i="2"/>
  <c r="C2584" i="2"/>
  <c r="B2584" i="2"/>
  <c r="A2584" i="2"/>
  <c r="H2583" i="2"/>
  <c r="G2583" i="2"/>
  <c r="F2583" i="2"/>
  <c r="E2583" i="2"/>
  <c r="D2583" i="2"/>
  <c r="C2583" i="2"/>
  <c r="B2583" i="2"/>
  <c r="A2583" i="2"/>
  <c r="H2582" i="2"/>
  <c r="G2582" i="2"/>
  <c r="F2582" i="2"/>
  <c r="E2582" i="2"/>
  <c r="D2582" i="2"/>
  <c r="C2582" i="2"/>
  <c r="B2582" i="2"/>
  <c r="A2582" i="2"/>
  <c r="H2581" i="2"/>
  <c r="G2581" i="2"/>
  <c r="F2581" i="2"/>
  <c r="E2581" i="2"/>
  <c r="D2581" i="2"/>
  <c r="C2581" i="2"/>
  <c r="B2581" i="2"/>
  <c r="A2581" i="2"/>
  <c r="H2580" i="2"/>
  <c r="G2580" i="2"/>
  <c r="F2580" i="2"/>
  <c r="E2580" i="2"/>
  <c r="D2580" i="2"/>
  <c r="C2580" i="2"/>
  <c r="B2580" i="2"/>
  <c r="A2580" i="2"/>
  <c r="H2579" i="2"/>
  <c r="G2579" i="2"/>
  <c r="F2579" i="2"/>
  <c r="E2579" i="2"/>
  <c r="D2579" i="2"/>
  <c r="C2579" i="2"/>
  <c r="B2579" i="2"/>
  <c r="A2579" i="2"/>
  <c r="H2578" i="2"/>
  <c r="G2578" i="2"/>
  <c r="F2578" i="2"/>
  <c r="E2578" i="2"/>
  <c r="D2578" i="2"/>
  <c r="C2578" i="2"/>
  <c r="B2578" i="2"/>
  <c r="A2578" i="2"/>
  <c r="H2577" i="2"/>
  <c r="G2577" i="2"/>
  <c r="F2577" i="2"/>
  <c r="E2577" i="2"/>
  <c r="D2577" i="2"/>
  <c r="C2577" i="2"/>
  <c r="B2577" i="2"/>
  <c r="A2577" i="2"/>
  <c r="H2576" i="2"/>
  <c r="G2576" i="2"/>
  <c r="F2576" i="2"/>
  <c r="E2576" i="2"/>
  <c r="D2576" i="2"/>
  <c r="C2576" i="2"/>
  <c r="B2576" i="2"/>
  <c r="A2576" i="2"/>
  <c r="H2575" i="2"/>
  <c r="G2575" i="2"/>
  <c r="F2575" i="2"/>
  <c r="E2575" i="2"/>
  <c r="D2575" i="2"/>
  <c r="C2575" i="2"/>
  <c r="B2575" i="2"/>
  <c r="A2575" i="2"/>
  <c r="H2574" i="2"/>
  <c r="G2574" i="2"/>
  <c r="F2574" i="2"/>
  <c r="E2574" i="2"/>
  <c r="D2574" i="2"/>
  <c r="C2574" i="2"/>
  <c r="B2574" i="2"/>
  <c r="A2574" i="2"/>
  <c r="H2573" i="2"/>
  <c r="G2573" i="2"/>
  <c r="F2573" i="2"/>
  <c r="E2573" i="2"/>
  <c r="D2573" i="2"/>
  <c r="C2573" i="2"/>
  <c r="B2573" i="2"/>
  <c r="A2573" i="2"/>
  <c r="H2572" i="2"/>
  <c r="G2572" i="2"/>
  <c r="F2572" i="2"/>
  <c r="E2572" i="2"/>
  <c r="D2572" i="2"/>
  <c r="C2572" i="2"/>
  <c r="B2572" i="2"/>
  <c r="A2572" i="2"/>
  <c r="H2571" i="2"/>
  <c r="G2571" i="2"/>
  <c r="F2571" i="2"/>
  <c r="E2571" i="2"/>
  <c r="D2571" i="2"/>
  <c r="C2571" i="2"/>
  <c r="B2571" i="2"/>
  <c r="A2571" i="2"/>
  <c r="H2570" i="2"/>
  <c r="G2570" i="2"/>
  <c r="F2570" i="2"/>
  <c r="E2570" i="2"/>
  <c r="D2570" i="2"/>
  <c r="C2570" i="2"/>
  <c r="B2570" i="2"/>
  <c r="A2570" i="2"/>
  <c r="H2569" i="2"/>
  <c r="G2569" i="2"/>
  <c r="F2569" i="2"/>
  <c r="E2569" i="2"/>
  <c r="D2569" i="2"/>
  <c r="C2569" i="2"/>
  <c r="B2569" i="2"/>
  <c r="A2569" i="2"/>
  <c r="H2568" i="2"/>
  <c r="G2568" i="2"/>
  <c r="F2568" i="2"/>
  <c r="E2568" i="2"/>
  <c r="D2568" i="2"/>
  <c r="C2568" i="2"/>
  <c r="B2568" i="2"/>
  <c r="A2568" i="2"/>
  <c r="H2567" i="2"/>
  <c r="G2567" i="2"/>
  <c r="F2567" i="2"/>
  <c r="E2567" i="2"/>
  <c r="D2567" i="2"/>
  <c r="C2567" i="2"/>
  <c r="B2567" i="2"/>
  <c r="A2567" i="2"/>
  <c r="H2566" i="2"/>
  <c r="G2566" i="2"/>
  <c r="F2566" i="2"/>
  <c r="E2566" i="2"/>
  <c r="D2566" i="2"/>
  <c r="C2566" i="2"/>
  <c r="B2566" i="2"/>
  <c r="A2566" i="2"/>
  <c r="H2565" i="2"/>
  <c r="G2565" i="2"/>
  <c r="F2565" i="2"/>
  <c r="E2565" i="2"/>
  <c r="D2565" i="2"/>
  <c r="C2565" i="2"/>
  <c r="B2565" i="2"/>
  <c r="A2565" i="2"/>
  <c r="H2564" i="2"/>
  <c r="G2564" i="2"/>
  <c r="F2564" i="2"/>
  <c r="E2564" i="2"/>
  <c r="D2564" i="2"/>
  <c r="C2564" i="2"/>
  <c r="B2564" i="2"/>
  <c r="A2564" i="2"/>
  <c r="H2563" i="2"/>
  <c r="G2563" i="2"/>
  <c r="F2563" i="2"/>
  <c r="E2563" i="2"/>
  <c r="D2563" i="2"/>
  <c r="C2563" i="2"/>
  <c r="B2563" i="2"/>
  <c r="A2563" i="2"/>
  <c r="H2562" i="2"/>
  <c r="G2562" i="2"/>
  <c r="F2562" i="2"/>
  <c r="E2562" i="2"/>
  <c r="D2562" i="2"/>
  <c r="C2562" i="2"/>
  <c r="B2562" i="2"/>
  <c r="A2562" i="2"/>
  <c r="H2561" i="2"/>
  <c r="G2561" i="2"/>
  <c r="F2561" i="2"/>
  <c r="E2561" i="2"/>
  <c r="D2561" i="2"/>
  <c r="C2561" i="2"/>
  <c r="B2561" i="2"/>
  <c r="A2561" i="2"/>
  <c r="H2560" i="2"/>
  <c r="G2560" i="2"/>
  <c r="F2560" i="2"/>
  <c r="E2560" i="2"/>
  <c r="D2560" i="2"/>
  <c r="C2560" i="2"/>
  <c r="B2560" i="2"/>
  <c r="A2560" i="2"/>
  <c r="H2559" i="2"/>
  <c r="G2559" i="2"/>
  <c r="F2559" i="2"/>
  <c r="E2559" i="2"/>
  <c r="D2559" i="2"/>
  <c r="C2559" i="2"/>
  <c r="B2559" i="2"/>
  <c r="A2559" i="2"/>
  <c r="H2558" i="2"/>
  <c r="G2558" i="2"/>
  <c r="F2558" i="2"/>
  <c r="E2558" i="2"/>
  <c r="D2558" i="2"/>
  <c r="C2558" i="2"/>
  <c r="B2558" i="2"/>
  <c r="A2558" i="2"/>
  <c r="H2557" i="2"/>
  <c r="G2557" i="2"/>
  <c r="F2557" i="2"/>
  <c r="E2557" i="2"/>
  <c r="D2557" i="2"/>
  <c r="C2557" i="2"/>
  <c r="B2557" i="2"/>
  <c r="A2557" i="2"/>
  <c r="H2556" i="2"/>
  <c r="G2556" i="2"/>
  <c r="F2556" i="2"/>
  <c r="E2556" i="2"/>
  <c r="D2556" i="2"/>
  <c r="C2556" i="2"/>
  <c r="B2556" i="2"/>
  <c r="A2556" i="2"/>
  <c r="H2555" i="2"/>
  <c r="G2555" i="2"/>
  <c r="F2555" i="2"/>
  <c r="E2555" i="2"/>
  <c r="D2555" i="2"/>
  <c r="C2555" i="2"/>
  <c r="B2555" i="2"/>
  <c r="A2555" i="2"/>
  <c r="H2554" i="2"/>
  <c r="G2554" i="2"/>
  <c r="F2554" i="2"/>
  <c r="E2554" i="2"/>
  <c r="D2554" i="2"/>
  <c r="C2554" i="2"/>
  <c r="B2554" i="2"/>
  <c r="A2554" i="2"/>
  <c r="H2553" i="2"/>
  <c r="G2553" i="2"/>
  <c r="F2553" i="2"/>
  <c r="E2553" i="2"/>
  <c r="D2553" i="2"/>
  <c r="C2553" i="2"/>
  <c r="B2553" i="2"/>
  <c r="A2553" i="2"/>
  <c r="H2552" i="2"/>
  <c r="G2552" i="2"/>
  <c r="F2552" i="2"/>
  <c r="E2552" i="2"/>
  <c r="D2552" i="2"/>
  <c r="C2552" i="2"/>
  <c r="B2552" i="2"/>
  <c r="A2552" i="2"/>
  <c r="H2551" i="2"/>
  <c r="G2551" i="2"/>
  <c r="F2551" i="2"/>
  <c r="E2551" i="2"/>
  <c r="D2551" i="2"/>
  <c r="C2551" i="2"/>
  <c r="B2551" i="2"/>
  <c r="A2551" i="2"/>
  <c r="H2550" i="2"/>
  <c r="G2550" i="2"/>
  <c r="F2550" i="2"/>
  <c r="E2550" i="2"/>
  <c r="D2550" i="2"/>
  <c r="C2550" i="2"/>
  <c r="B2550" i="2"/>
  <c r="A2550" i="2"/>
  <c r="H2549" i="2"/>
  <c r="G2549" i="2"/>
  <c r="F2549" i="2"/>
  <c r="E2549" i="2"/>
  <c r="D2549" i="2"/>
  <c r="C2549" i="2"/>
  <c r="B2549" i="2"/>
  <c r="A2549" i="2"/>
  <c r="H2548" i="2"/>
  <c r="G2548" i="2"/>
  <c r="F2548" i="2"/>
  <c r="E2548" i="2"/>
  <c r="D2548" i="2"/>
  <c r="C2548" i="2"/>
  <c r="B2548" i="2"/>
  <c r="A2548" i="2"/>
  <c r="H2547" i="2"/>
  <c r="G2547" i="2"/>
  <c r="F2547" i="2"/>
  <c r="E2547" i="2"/>
  <c r="D2547" i="2"/>
  <c r="C2547" i="2"/>
  <c r="B2547" i="2"/>
  <c r="A2547" i="2"/>
  <c r="H2546" i="2"/>
  <c r="G2546" i="2"/>
  <c r="F2546" i="2"/>
  <c r="E2546" i="2"/>
  <c r="D2546" i="2"/>
  <c r="C2546" i="2"/>
  <c r="B2546" i="2"/>
  <c r="A2546" i="2"/>
  <c r="H2545" i="2"/>
  <c r="G2545" i="2"/>
  <c r="F2545" i="2"/>
  <c r="E2545" i="2"/>
  <c r="D2545" i="2"/>
  <c r="C2545" i="2"/>
  <c r="B2545" i="2"/>
  <c r="A2545" i="2"/>
  <c r="H2544" i="2"/>
  <c r="G2544" i="2"/>
  <c r="F2544" i="2"/>
  <c r="E2544" i="2"/>
  <c r="D2544" i="2"/>
  <c r="C2544" i="2"/>
  <c r="B2544" i="2"/>
  <c r="A2544" i="2"/>
  <c r="H2543" i="2"/>
  <c r="G2543" i="2"/>
  <c r="F2543" i="2"/>
  <c r="E2543" i="2"/>
  <c r="D2543" i="2"/>
  <c r="C2543" i="2"/>
  <c r="B2543" i="2"/>
  <c r="A2543" i="2"/>
  <c r="H2542" i="2"/>
  <c r="G2542" i="2"/>
  <c r="F2542" i="2"/>
  <c r="E2542" i="2"/>
  <c r="D2542" i="2"/>
  <c r="C2542" i="2"/>
  <c r="B2542" i="2"/>
  <c r="A2542" i="2"/>
  <c r="H2541" i="2"/>
  <c r="G2541" i="2"/>
  <c r="F2541" i="2"/>
  <c r="E2541" i="2"/>
  <c r="D2541" i="2"/>
  <c r="C2541" i="2"/>
  <c r="B2541" i="2"/>
  <c r="A2541" i="2"/>
  <c r="H2540" i="2"/>
  <c r="G2540" i="2"/>
  <c r="F2540" i="2"/>
  <c r="E2540" i="2"/>
  <c r="D2540" i="2"/>
  <c r="C2540" i="2"/>
  <c r="B2540" i="2"/>
  <c r="A2540" i="2"/>
  <c r="H2539" i="2"/>
  <c r="G2539" i="2"/>
  <c r="F2539" i="2"/>
  <c r="E2539" i="2"/>
  <c r="D2539" i="2"/>
  <c r="C2539" i="2"/>
  <c r="B2539" i="2"/>
  <c r="A2539" i="2"/>
  <c r="H2538" i="2"/>
  <c r="G2538" i="2"/>
  <c r="F2538" i="2"/>
  <c r="E2538" i="2"/>
  <c r="D2538" i="2"/>
  <c r="C2538" i="2"/>
  <c r="B2538" i="2"/>
  <c r="A2538" i="2"/>
  <c r="H2537" i="2"/>
  <c r="G2537" i="2"/>
  <c r="F2537" i="2"/>
  <c r="E2537" i="2"/>
  <c r="D2537" i="2"/>
  <c r="C2537" i="2"/>
  <c r="B2537" i="2"/>
  <c r="A2537" i="2"/>
  <c r="H2536" i="2"/>
  <c r="G2536" i="2"/>
  <c r="F2536" i="2"/>
  <c r="E2536" i="2"/>
  <c r="D2536" i="2"/>
  <c r="C2536" i="2"/>
  <c r="B2536" i="2"/>
  <c r="A2536" i="2"/>
  <c r="H2535" i="2"/>
  <c r="G2535" i="2"/>
  <c r="F2535" i="2"/>
  <c r="E2535" i="2"/>
  <c r="D2535" i="2"/>
  <c r="C2535" i="2"/>
  <c r="B2535" i="2"/>
  <c r="A2535" i="2"/>
  <c r="H2534" i="2"/>
  <c r="G2534" i="2"/>
  <c r="F2534" i="2"/>
  <c r="E2534" i="2"/>
  <c r="D2534" i="2"/>
  <c r="C2534" i="2"/>
  <c r="B2534" i="2"/>
  <c r="A2534" i="2"/>
  <c r="H2533" i="2"/>
  <c r="G2533" i="2"/>
  <c r="F2533" i="2"/>
  <c r="E2533" i="2"/>
  <c r="D2533" i="2"/>
  <c r="C2533" i="2"/>
  <c r="B2533" i="2"/>
  <c r="A2533" i="2"/>
  <c r="H2532" i="2"/>
  <c r="G2532" i="2"/>
  <c r="F2532" i="2"/>
  <c r="E2532" i="2"/>
  <c r="D2532" i="2"/>
  <c r="C2532" i="2"/>
  <c r="B2532" i="2"/>
  <c r="A2532" i="2"/>
  <c r="H2531" i="2"/>
  <c r="G2531" i="2"/>
  <c r="F2531" i="2"/>
  <c r="E2531" i="2"/>
  <c r="D2531" i="2"/>
  <c r="C2531" i="2"/>
  <c r="B2531" i="2"/>
  <c r="A2531" i="2"/>
  <c r="H2530" i="2"/>
  <c r="G2530" i="2"/>
  <c r="F2530" i="2"/>
  <c r="E2530" i="2"/>
  <c r="D2530" i="2"/>
  <c r="C2530" i="2"/>
  <c r="B2530" i="2"/>
  <c r="A2530" i="2"/>
  <c r="H2529" i="2"/>
  <c r="G2529" i="2"/>
  <c r="F2529" i="2"/>
  <c r="E2529" i="2"/>
  <c r="D2529" i="2"/>
  <c r="C2529" i="2"/>
  <c r="B2529" i="2"/>
  <c r="A2529" i="2"/>
  <c r="H2528" i="2"/>
  <c r="G2528" i="2"/>
  <c r="F2528" i="2"/>
  <c r="E2528" i="2"/>
  <c r="D2528" i="2"/>
  <c r="C2528" i="2"/>
  <c r="B2528" i="2"/>
  <c r="A2528" i="2"/>
  <c r="H2527" i="2"/>
  <c r="G2527" i="2"/>
  <c r="F2527" i="2"/>
  <c r="E2527" i="2"/>
  <c r="D2527" i="2"/>
  <c r="C2527" i="2"/>
  <c r="B2527" i="2"/>
  <c r="A2527" i="2"/>
  <c r="H2526" i="2"/>
  <c r="G2526" i="2"/>
  <c r="F2526" i="2"/>
  <c r="E2526" i="2"/>
  <c r="D2526" i="2"/>
  <c r="C2526" i="2"/>
  <c r="B2526" i="2"/>
  <c r="A2526" i="2"/>
  <c r="H2525" i="2"/>
  <c r="G2525" i="2"/>
  <c r="F2525" i="2"/>
  <c r="E2525" i="2"/>
  <c r="D2525" i="2"/>
  <c r="C2525" i="2"/>
  <c r="B2525" i="2"/>
  <c r="A2525" i="2"/>
  <c r="H2524" i="2"/>
  <c r="G2524" i="2"/>
  <c r="F2524" i="2"/>
  <c r="E2524" i="2"/>
  <c r="D2524" i="2"/>
  <c r="C2524" i="2"/>
  <c r="B2524" i="2"/>
  <c r="A2524" i="2"/>
  <c r="H2523" i="2"/>
  <c r="G2523" i="2"/>
  <c r="F2523" i="2"/>
  <c r="E2523" i="2"/>
  <c r="D2523" i="2"/>
  <c r="C2523" i="2"/>
  <c r="B2523" i="2"/>
  <c r="A2523" i="2"/>
  <c r="H2522" i="2"/>
  <c r="G2522" i="2"/>
  <c r="F2522" i="2"/>
  <c r="E2522" i="2"/>
  <c r="D2522" i="2"/>
  <c r="C2522" i="2"/>
  <c r="B2522" i="2"/>
  <c r="A2522" i="2"/>
  <c r="H2521" i="2"/>
  <c r="G2521" i="2"/>
  <c r="F2521" i="2"/>
  <c r="E2521" i="2"/>
  <c r="D2521" i="2"/>
  <c r="C2521" i="2"/>
  <c r="B2521" i="2"/>
  <c r="A2521" i="2"/>
  <c r="H2520" i="2"/>
  <c r="G2520" i="2"/>
  <c r="F2520" i="2"/>
  <c r="E2520" i="2"/>
  <c r="D2520" i="2"/>
  <c r="C2520" i="2"/>
  <c r="B2520" i="2"/>
  <c r="A2520" i="2"/>
  <c r="H2519" i="2"/>
  <c r="G2519" i="2"/>
  <c r="F2519" i="2"/>
  <c r="E2519" i="2"/>
  <c r="D2519" i="2"/>
  <c r="C2519" i="2"/>
  <c r="B2519" i="2"/>
  <c r="A2519" i="2"/>
  <c r="H2518" i="2"/>
  <c r="G2518" i="2"/>
  <c r="F2518" i="2"/>
  <c r="E2518" i="2"/>
  <c r="D2518" i="2"/>
  <c r="C2518" i="2"/>
  <c r="B2518" i="2"/>
  <c r="A2518" i="2"/>
  <c r="H2517" i="2"/>
  <c r="G2517" i="2"/>
  <c r="F2517" i="2"/>
  <c r="E2517" i="2"/>
  <c r="D2517" i="2"/>
  <c r="C2517" i="2"/>
  <c r="B2517" i="2"/>
  <c r="A2517" i="2"/>
  <c r="H2516" i="2"/>
  <c r="G2516" i="2"/>
  <c r="F2516" i="2"/>
  <c r="E2516" i="2"/>
  <c r="D2516" i="2"/>
  <c r="C2516" i="2"/>
  <c r="B2516" i="2"/>
  <c r="A2516" i="2"/>
  <c r="H2515" i="2"/>
  <c r="G2515" i="2"/>
  <c r="F2515" i="2"/>
  <c r="E2515" i="2"/>
  <c r="D2515" i="2"/>
  <c r="C2515" i="2"/>
  <c r="B2515" i="2"/>
  <c r="A2515" i="2"/>
  <c r="H2514" i="2"/>
  <c r="G2514" i="2"/>
  <c r="F2514" i="2"/>
  <c r="E2514" i="2"/>
  <c r="D2514" i="2"/>
  <c r="C2514" i="2"/>
  <c r="B2514" i="2"/>
  <c r="A2514" i="2"/>
  <c r="H2513" i="2"/>
  <c r="G2513" i="2"/>
  <c r="F2513" i="2"/>
  <c r="E2513" i="2"/>
  <c r="D2513" i="2"/>
  <c r="C2513" i="2"/>
  <c r="B2513" i="2"/>
  <c r="A2513" i="2"/>
  <c r="H2512" i="2"/>
  <c r="G2512" i="2"/>
  <c r="F2512" i="2"/>
  <c r="E2512" i="2"/>
  <c r="D2512" i="2"/>
  <c r="C2512" i="2"/>
  <c r="B2512" i="2"/>
  <c r="A2512" i="2"/>
  <c r="H2511" i="2"/>
  <c r="G2511" i="2"/>
  <c r="F2511" i="2"/>
  <c r="E2511" i="2"/>
  <c r="D2511" i="2"/>
  <c r="C2511" i="2"/>
  <c r="B2511" i="2"/>
  <c r="A2511" i="2"/>
  <c r="H2510" i="2"/>
  <c r="G2510" i="2"/>
  <c r="F2510" i="2"/>
  <c r="E2510" i="2"/>
  <c r="D2510" i="2"/>
  <c r="C2510" i="2"/>
  <c r="B2510" i="2"/>
  <c r="A2510" i="2"/>
  <c r="H2509" i="2"/>
  <c r="G2509" i="2"/>
  <c r="F2509" i="2"/>
  <c r="E2509" i="2"/>
  <c r="D2509" i="2"/>
  <c r="C2509" i="2"/>
  <c r="B2509" i="2"/>
  <c r="A2509" i="2"/>
  <c r="H2508" i="2"/>
  <c r="G2508" i="2"/>
  <c r="F2508" i="2"/>
  <c r="E2508" i="2"/>
  <c r="D2508" i="2"/>
  <c r="C2508" i="2"/>
  <c r="B2508" i="2"/>
  <c r="A2508" i="2"/>
  <c r="H2507" i="2"/>
  <c r="G2507" i="2"/>
  <c r="F2507" i="2"/>
  <c r="E2507" i="2"/>
  <c r="D2507" i="2"/>
  <c r="C2507" i="2"/>
  <c r="B2507" i="2"/>
  <c r="A2507" i="2"/>
  <c r="H2506" i="2"/>
  <c r="G2506" i="2"/>
  <c r="F2506" i="2"/>
  <c r="E2506" i="2"/>
  <c r="D2506" i="2"/>
  <c r="C2506" i="2"/>
  <c r="B2506" i="2"/>
  <c r="A2506" i="2"/>
  <c r="H2505" i="2"/>
  <c r="G2505" i="2"/>
  <c r="F2505" i="2"/>
  <c r="E2505" i="2"/>
  <c r="D2505" i="2"/>
  <c r="C2505" i="2"/>
  <c r="B2505" i="2"/>
  <c r="A2505" i="2"/>
  <c r="H2504" i="2"/>
  <c r="G2504" i="2"/>
  <c r="F2504" i="2"/>
  <c r="E2504" i="2"/>
  <c r="D2504" i="2"/>
  <c r="C2504" i="2"/>
  <c r="B2504" i="2"/>
  <c r="A2504" i="2"/>
  <c r="H2503" i="2"/>
  <c r="G2503" i="2"/>
  <c r="F2503" i="2"/>
  <c r="E2503" i="2"/>
  <c r="D2503" i="2"/>
  <c r="C2503" i="2"/>
  <c r="B2503" i="2"/>
  <c r="A2503" i="2"/>
  <c r="H2502" i="2"/>
  <c r="G2502" i="2"/>
  <c r="F2502" i="2"/>
  <c r="E2502" i="2"/>
  <c r="D2502" i="2"/>
  <c r="C2502" i="2"/>
  <c r="B2502" i="2"/>
  <c r="A2502" i="2"/>
  <c r="H2501" i="2"/>
  <c r="G2501" i="2"/>
  <c r="F2501" i="2"/>
  <c r="E2501" i="2"/>
  <c r="D2501" i="2"/>
  <c r="C2501" i="2"/>
  <c r="B2501" i="2"/>
  <c r="A2501" i="2"/>
  <c r="H2500" i="2"/>
  <c r="G2500" i="2"/>
  <c r="F2500" i="2"/>
  <c r="E2500" i="2"/>
  <c r="D2500" i="2"/>
  <c r="C2500" i="2"/>
  <c r="B2500" i="2"/>
  <c r="A2500" i="2"/>
  <c r="H2499" i="2"/>
  <c r="G2499" i="2"/>
  <c r="F2499" i="2"/>
  <c r="E2499" i="2"/>
  <c r="D2499" i="2"/>
  <c r="C2499" i="2"/>
  <c r="B2499" i="2"/>
  <c r="A2499" i="2"/>
  <c r="H2498" i="2"/>
  <c r="G2498" i="2"/>
  <c r="F2498" i="2"/>
  <c r="E2498" i="2"/>
  <c r="D2498" i="2"/>
  <c r="C2498" i="2"/>
  <c r="B2498" i="2"/>
  <c r="A2498" i="2"/>
  <c r="H2497" i="2"/>
  <c r="G2497" i="2"/>
  <c r="F2497" i="2"/>
  <c r="E2497" i="2"/>
  <c r="D2497" i="2"/>
  <c r="C2497" i="2"/>
  <c r="B2497" i="2"/>
  <c r="A2497" i="2"/>
  <c r="H2496" i="2"/>
  <c r="G2496" i="2"/>
  <c r="F2496" i="2"/>
  <c r="E2496" i="2"/>
  <c r="D2496" i="2"/>
  <c r="C2496" i="2"/>
  <c r="B2496" i="2"/>
  <c r="A2496" i="2"/>
  <c r="H2495" i="2"/>
  <c r="G2495" i="2"/>
  <c r="F2495" i="2"/>
  <c r="E2495" i="2"/>
  <c r="D2495" i="2"/>
  <c r="C2495" i="2"/>
  <c r="B2495" i="2"/>
  <c r="A2495" i="2"/>
  <c r="H2494" i="2"/>
  <c r="G2494" i="2"/>
  <c r="F2494" i="2"/>
  <c r="E2494" i="2"/>
  <c r="D2494" i="2"/>
  <c r="C2494" i="2"/>
  <c r="B2494" i="2"/>
  <c r="A2494" i="2"/>
  <c r="H2493" i="2"/>
  <c r="G2493" i="2"/>
  <c r="F2493" i="2"/>
  <c r="E2493" i="2"/>
  <c r="D2493" i="2"/>
  <c r="C2493" i="2"/>
  <c r="B2493" i="2"/>
  <c r="A2493" i="2"/>
  <c r="H2492" i="2"/>
  <c r="G2492" i="2"/>
  <c r="F2492" i="2"/>
  <c r="E2492" i="2"/>
  <c r="D2492" i="2"/>
  <c r="C2492" i="2"/>
  <c r="B2492" i="2"/>
  <c r="A2492" i="2"/>
  <c r="H2491" i="2"/>
  <c r="G2491" i="2"/>
  <c r="F2491" i="2"/>
  <c r="E2491" i="2"/>
  <c r="D2491" i="2"/>
  <c r="C2491" i="2"/>
  <c r="B2491" i="2"/>
  <c r="A2491" i="2"/>
  <c r="H2490" i="2"/>
  <c r="G2490" i="2"/>
  <c r="F2490" i="2"/>
  <c r="E2490" i="2"/>
  <c r="D2490" i="2"/>
  <c r="C2490" i="2"/>
  <c r="B2490" i="2"/>
  <c r="A2490" i="2"/>
  <c r="H2489" i="2"/>
  <c r="G2489" i="2"/>
  <c r="F2489" i="2"/>
  <c r="E2489" i="2"/>
  <c r="D2489" i="2"/>
  <c r="C2489" i="2"/>
  <c r="B2489" i="2"/>
  <c r="A2489" i="2"/>
  <c r="H2488" i="2"/>
  <c r="G2488" i="2"/>
  <c r="F2488" i="2"/>
  <c r="E2488" i="2"/>
  <c r="D2488" i="2"/>
  <c r="C2488" i="2"/>
  <c r="B2488" i="2"/>
  <c r="A2488" i="2"/>
  <c r="H2487" i="2"/>
  <c r="G2487" i="2"/>
  <c r="F2487" i="2"/>
  <c r="E2487" i="2"/>
  <c r="D2487" i="2"/>
  <c r="C2487" i="2"/>
  <c r="B2487" i="2"/>
  <c r="A2487" i="2"/>
  <c r="H2486" i="2"/>
  <c r="G2486" i="2"/>
  <c r="F2486" i="2"/>
  <c r="E2486" i="2"/>
  <c r="D2486" i="2"/>
  <c r="C2486" i="2"/>
  <c r="B2486" i="2"/>
  <c r="A2486" i="2"/>
  <c r="H2485" i="2"/>
  <c r="G2485" i="2"/>
  <c r="F2485" i="2"/>
  <c r="E2485" i="2"/>
  <c r="D2485" i="2"/>
  <c r="C2485" i="2"/>
  <c r="B2485" i="2"/>
  <c r="A2485" i="2"/>
  <c r="H2484" i="2"/>
  <c r="G2484" i="2"/>
  <c r="F2484" i="2"/>
  <c r="E2484" i="2"/>
  <c r="D2484" i="2"/>
  <c r="C2484" i="2"/>
  <c r="B2484" i="2"/>
  <c r="A2484" i="2"/>
  <c r="H2483" i="2"/>
  <c r="G2483" i="2"/>
  <c r="F2483" i="2"/>
  <c r="E2483" i="2"/>
  <c r="D2483" i="2"/>
  <c r="C2483" i="2"/>
  <c r="B2483" i="2"/>
  <c r="A2483" i="2"/>
  <c r="H2482" i="2"/>
  <c r="G2482" i="2"/>
  <c r="F2482" i="2"/>
  <c r="E2482" i="2"/>
  <c r="D2482" i="2"/>
  <c r="C2482" i="2"/>
  <c r="B2482" i="2"/>
  <c r="A2482" i="2"/>
  <c r="H2481" i="2"/>
  <c r="G2481" i="2"/>
  <c r="F2481" i="2"/>
  <c r="E2481" i="2"/>
  <c r="D2481" i="2"/>
  <c r="C2481" i="2"/>
  <c r="B2481" i="2"/>
  <c r="A2481" i="2"/>
  <c r="H2480" i="2"/>
  <c r="G2480" i="2"/>
  <c r="F2480" i="2"/>
  <c r="E2480" i="2"/>
  <c r="D2480" i="2"/>
  <c r="C2480" i="2"/>
  <c r="B2480" i="2"/>
  <c r="A2480" i="2"/>
  <c r="H2479" i="2"/>
  <c r="G2479" i="2"/>
  <c r="F2479" i="2"/>
  <c r="E2479" i="2"/>
  <c r="D2479" i="2"/>
  <c r="C2479" i="2"/>
  <c r="B2479" i="2"/>
  <c r="A2479" i="2"/>
  <c r="H2478" i="2"/>
  <c r="G2478" i="2"/>
  <c r="F2478" i="2"/>
  <c r="E2478" i="2"/>
  <c r="D2478" i="2"/>
  <c r="C2478" i="2"/>
  <c r="B2478" i="2"/>
  <c r="A2478" i="2"/>
  <c r="H2477" i="2"/>
  <c r="G2477" i="2"/>
  <c r="F2477" i="2"/>
  <c r="E2477" i="2"/>
  <c r="D2477" i="2"/>
  <c r="C2477" i="2"/>
  <c r="B2477" i="2"/>
  <c r="A2477" i="2"/>
  <c r="H2476" i="2"/>
  <c r="G2476" i="2"/>
  <c r="F2476" i="2"/>
  <c r="E2476" i="2"/>
  <c r="D2476" i="2"/>
  <c r="C2476" i="2"/>
  <c r="B2476" i="2"/>
  <c r="A2476" i="2"/>
  <c r="H2475" i="2"/>
  <c r="G2475" i="2"/>
  <c r="F2475" i="2"/>
  <c r="E2475" i="2"/>
  <c r="D2475" i="2"/>
  <c r="C2475" i="2"/>
  <c r="B2475" i="2"/>
  <c r="A2475" i="2"/>
  <c r="H2474" i="2"/>
  <c r="G2474" i="2"/>
  <c r="F2474" i="2"/>
  <c r="E2474" i="2"/>
  <c r="D2474" i="2"/>
  <c r="C2474" i="2"/>
  <c r="B2474" i="2"/>
  <c r="A2474" i="2"/>
  <c r="H2473" i="2"/>
  <c r="G2473" i="2"/>
  <c r="F2473" i="2"/>
  <c r="E2473" i="2"/>
  <c r="D2473" i="2"/>
  <c r="C2473" i="2"/>
  <c r="B2473" i="2"/>
  <c r="A2473" i="2"/>
  <c r="H2472" i="2"/>
  <c r="G2472" i="2"/>
  <c r="F2472" i="2"/>
  <c r="E2472" i="2"/>
  <c r="D2472" i="2"/>
  <c r="C2472" i="2"/>
  <c r="B2472" i="2"/>
  <c r="A2472" i="2"/>
  <c r="H2471" i="2"/>
  <c r="G2471" i="2"/>
  <c r="F2471" i="2"/>
  <c r="E2471" i="2"/>
  <c r="D2471" i="2"/>
  <c r="C2471" i="2"/>
  <c r="B2471" i="2"/>
  <c r="A2471" i="2"/>
  <c r="H2470" i="2"/>
  <c r="G2470" i="2"/>
  <c r="F2470" i="2"/>
  <c r="E2470" i="2"/>
  <c r="D2470" i="2"/>
  <c r="C2470" i="2"/>
  <c r="B2470" i="2"/>
  <c r="A2470" i="2"/>
  <c r="H2469" i="2"/>
  <c r="G2469" i="2"/>
  <c r="F2469" i="2"/>
  <c r="E2469" i="2"/>
  <c r="D2469" i="2"/>
  <c r="C2469" i="2"/>
  <c r="B2469" i="2"/>
  <c r="A2469" i="2"/>
  <c r="H2468" i="2"/>
  <c r="G2468" i="2"/>
  <c r="F2468" i="2"/>
  <c r="E2468" i="2"/>
  <c r="D2468" i="2"/>
  <c r="C2468" i="2"/>
  <c r="B2468" i="2"/>
  <c r="A2468" i="2"/>
  <c r="H2467" i="2"/>
  <c r="G2467" i="2"/>
  <c r="F2467" i="2"/>
  <c r="E2467" i="2"/>
  <c r="D2467" i="2"/>
  <c r="C2467" i="2"/>
  <c r="B2467" i="2"/>
  <c r="A2467" i="2"/>
  <c r="H2466" i="2"/>
  <c r="G2466" i="2"/>
  <c r="F2466" i="2"/>
  <c r="E2466" i="2"/>
  <c r="D2466" i="2"/>
  <c r="C2466" i="2"/>
  <c r="B2466" i="2"/>
  <c r="A2466" i="2"/>
  <c r="H2465" i="2"/>
  <c r="G2465" i="2"/>
  <c r="F2465" i="2"/>
  <c r="E2465" i="2"/>
  <c r="D2465" i="2"/>
  <c r="C2465" i="2"/>
  <c r="B2465" i="2"/>
  <c r="A2465" i="2"/>
  <c r="H2464" i="2"/>
  <c r="G2464" i="2"/>
  <c r="F2464" i="2"/>
  <c r="E2464" i="2"/>
  <c r="D2464" i="2"/>
  <c r="C2464" i="2"/>
  <c r="B2464" i="2"/>
  <c r="A2464" i="2"/>
  <c r="H2463" i="2"/>
  <c r="G2463" i="2"/>
  <c r="F2463" i="2"/>
  <c r="E2463" i="2"/>
  <c r="D2463" i="2"/>
  <c r="C2463" i="2"/>
  <c r="B2463" i="2"/>
  <c r="A2463" i="2"/>
  <c r="H2462" i="2"/>
  <c r="G2462" i="2"/>
  <c r="F2462" i="2"/>
  <c r="E2462" i="2"/>
  <c r="D2462" i="2"/>
  <c r="C2462" i="2"/>
  <c r="B2462" i="2"/>
  <c r="A2462" i="2"/>
  <c r="H2461" i="2"/>
  <c r="G2461" i="2"/>
  <c r="F2461" i="2"/>
  <c r="E2461" i="2"/>
  <c r="D2461" i="2"/>
  <c r="C2461" i="2"/>
  <c r="B2461" i="2"/>
  <c r="A2461" i="2"/>
  <c r="H2460" i="2"/>
  <c r="G2460" i="2"/>
  <c r="F2460" i="2"/>
  <c r="E2460" i="2"/>
  <c r="D2460" i="2"/>
  <c r="C2460" i="2"/>
  <c r="B2460" i="2"/>
  <c r="A2460" i="2"/>
  <c r="H2459" i="2"/>
  <c r="G2459" i="2"/>
  <c r="F2459" i="2"/>
  <c r="E2459" i="2"/>
  <c r="D2459" i="2"/>
  <c r="C2459" i="2"/>
  <c r="B2459" i="2"/>
  <c r="A2459" i="2"/>
  <c r="H2458" i="2"/>
  <c r="G2458" i="2"/>
  <c r="F2458" i="2"/>
  <c r="E2458" i="2"/>
  <c r="D2458" i="2"/>
  <c r="C2458" i="2"/>
  <c r="B2458" i="2"/>
  <c r="A2458" i="2"/>
  <c r="H2457" i="2"/>
  <c r="G2457" i="2"/>
  <c r="F2457" i="2"/>
  <c r="E2457" i="2"/>
  <c r="D2457" i="2"/>
  <c r="C2457" i="2"/>
  <c r="B2457" i="2"/>
  <c r="A2457" i="2"/>
  <c r="H2456" i="2"/>
  <c r="G2456" i="2"/>
  <c r="F2456" i="2"/>
  <c r="E2456" i="2"/>
  <c r="D2456" i="2"/>
  <c r="C2456" i="2"/>
  <c r="B2456" i="2"/>
  <c r="A2456" i="2"/>
  <c r="H2455" i="2"/>
  <c r="G2455" i="2"/>
  <c r="F2455" i="2"/>
  <c r="E2455" i="2"/>
  <c r="D2455" i="2"/>
  <c r="C2455" i="2"/>
  <c r="B2455" i="2"/>
  <c r="A2455" i="2"/>
  <c r="H2454" i="2"/>
  <c r="G2454" i="2"/>
  <c r="F2454" i="2"/>
  <c r="E2454" i="2"/>
  <c r="D2454" i="2"/>
  <c r="C2454" i="2"/>
  <c r="B2454" i="2"/>
  <c r="A2454" i="2"/>
  <c r="H2453" i="2"/>
  <c r="G2453" i="2"/>
  <c r="F2453" i="2"/>
  <c r="E2453" i="2"/>
  <c r="D2453" i="2"/>
  <c r="C2453" i="2"/>
  <c r="B2453" i="2"/>
  <c r="A2453" i="2"/>
  <c r="H2452" i="2"/>
  <c r="G2452" i="2"/>
  <c r="F2452" i="2"/>
  <c r="E2452" i="2"/>
  <c r="D2452" i="2"/>
  <c r="C2452" i="2"/>
  <c r="B2452" i="2"/>
  <c r="A2452" i="2"/>
  <c r="H2451" i="2"/>
  <c r="G2451" i="2"/>
  <c r="F2451" i="2"/>
  <c r="E2451" i="2"/>
  <c r="D2451" i="2"/>
  <c r="C2451" i="2"/>
  <c r="B2451" i="2"/>
  <c r="A2451" i="2"/>
  <c r="H2450" i="2"/>
  <c r="G2450" i="2"/>
  <c r="F2450" i="2"/>
  <c r="E2450" i="2"/>
  <c r="D2450" i="2"/>
  <c r="C2450" i="2"/>
  <c r="B2450" i="2"/>
  <c r="A2450" i="2"/>
  <c r="H2449" i="2"/>
  <c r="G2449" i="2"/>
  <c r="F2449" i="2"/>
  <c r="E2449" i="2"/>
  <c r="D2449" i="2"/>
  <c r="C2449" i="2"/>
  <c r="B2449" i="2"/>
  <c r="A2449" i="2"/>
  <c r="H2448" i="2"/>
  <c r="G2448" i="2"/>
  <c r="F2448" i="2"/>
  <c r="E2448" i="2"/>
  <c r="D2448" i="2"/>
  <c r="C2448" i="2"/>
  <c r="B2448" i="2"/>
  <c r="A2448" i="2"/>
  <c r="H2447" i="2"/>
  <c r="G2447" i="2"/>
  <c r="F2447" i="2"/>
  <c r="E2447" i="2"/>
  <c r="D2447" i="2"/>
  <c r="C2447" i="2"/>
  <c r="B2447" i="2"/>
  <c r="A2447" i="2"/>
  <c r="H2446" i="2"/>
  <c r="G2446" i="2"/>
  <c r="F2446" i="2"/>
  <c r="E2446" i="2"/>
  <c r="D2446" i="2"/>
  <c r="C2446" i="2"/>
  <c r="B2446" i="2"/>
  <c r="A2446" i="2"/>
  <c r="H2445" i="2"/>
  <c r="G2445" i="2"/>
  <c r="F2445" i="2"/>
  <c r="E2445" i="2"/>
  <c r="D2445" i="2"/>
  <c r="C2445" i="2"/>
  <c r="B2445" i="2"/>
  <c r="A2445" i="2"/>
  <c r="H2444" i="2"/>
  <c r="G2444" i="2"/>
  <c r="F2444" i="2"/>
  <c r="E2444" i="2"/>
  <c r="D2444" i="2"/>
  <c r="C2444" i="2"/>
  <c r="B2444" i="2"/>
  <c r="A2444" i="2"/>
  <c r="H2443" i="2"/>
  <c r="G2443" i="2"/>
  <c r="F2443" i="2"/>
  <c r="E2443" i="2"/>
  <c r="D2443" i="2"/>
  <c r="C2443" i="2"/>
  <c r="B2443" i="2"/>
  <c r="A2443" i="2"/>
  <c r="H2442" i="2"/>
  <c r="G2442" i="2"/>
  <c r="F2442" i="2"/>
  <c r="E2442" i="2"/>
  <c r="D2442" i="2"/>
  <c r="C2442" i="2"/>
  <c r="B2442" i="2"/>
  <c r="A2442" i="2"/>
  <c r="H2441" i="2"/>
  <c r="G2441" i="2"/>
  <c r="F2441" i="2"/>
  <c r="E2441" i="2"/>
  <c r="D2441" i="2"/>
  <c r="C2441" i="2"/>
  <c r="B2441" i="2"/>
  <c r="A2441" i="2"/>
  <c r="H2440" i="2"/>
  <c r="G2440" i="2"/>
  <c r="F2440" i="2"/>
  <c r="E2440" i="2"/>
  <c r="D2440" i="2"/>
  <c r="C2440" i="2"/>
  <c r="B2440" i="2"/>
  <c r="A2440" i="2"/>
  <c r="H2439" i="2"/>
  <c r="G2439" i="2"/>
  <c r="F2439" i="2"/>
  <c r="E2439" i="2"/>
  <c r="D2439" i="2"/>
  <c r="C2439" i="2"/>
  <c r="B2439" i="2"/>
  <c r="A2439" i="2"/>
  <c r="H2438" i="2"/>
  <c r="G2438" i="2"/>
  <c r="F2438" i="2"/>
  <c r="E2438" i="2"/>
  <c r="D2438" i="2"/>
  <c r="C2438" i="2"/>
  <c r="B2438" i="2"/>
  <c r="A2438" i="2"/>
  <c r="H2437" i="2"/>
  <c r="G2437" i="2"/>
  <c r="F2437" i="2"/>
  <c r="E2437" i="2"/>
  <c r="D2437" i="2"/>
  <c r="C2437" i="2"/>
  <c r="B2437" i="2"/>
  <c r="A2437" i="2"/>
  <c r="H2436" i="2"/>
  <c r="G2436" i="2"/>
  <c r="F2436" i="2"/>
  <c r="E2436" i="2"/>
  <c r="D2436" i="2"/>
  <c r="C2436" i="2"/>
  <c r="B2436" i="2"/>
  <c r="A2436" i="2"/>
  <c r="H2435" i="2"/>
  <c r="G2435" i="2"/>
  <c r="F2435" i="2"/>
  <c r="E2435" i="2"/>
  <c r="D2435" i="2"/>
  <c r="C2435" i="2"/>
  <c r="B2435" i="2"/>
  <c r="A2435" i="2"/>
  <c r="H2434" i="2"/>
  <c r="G2434" i="2"/>
  <c r="F2434" i="2"/>
  <c r="E2434" i="2"/>
  <c r="D2434" i="2"/>
  <c r="C2434" i="2"/>
  <c r="B2434" i="2"/>
  <c r="A2434" i="2"/>
  <c r="H2433" i="2"/>
  <c r="G2433" i="2"/>
  <c r="F2433" i="2"/>
  <c r="E2433" i="2"/>
  <c r="D2433" i="2"/>
  <c r="C2433" i="2"/>
  <c r="B2433" i="2"/>
  <c r="A2433" i="2"/>
  <c r="H2432" i="2"/>
  <c r="G2432" i="2"/>
  <c r="F2432" i="2"/>
  <c r="E2432" i="2"/>
  <c r="D2432" i="2"/>
  <c r="C2432" i="2"/>
  <c r="B2432" i="2"/>
  <c r="A2432" i="2"/>
  <c r="H2431" i="2"/>
  <c r="G2431" i="2"/>
  <c r="F2431" i="2"/>
  <c r="E2431" i="2"/>
  <c r="D2431" i="2"/>
  <c r="C2431" i="2"/>
  <c r="B2431" i="2"/>
  <c r="A2431" i="2"/>
  <c r="H2430" i="2"/>
  <c r="G2430" i="2"/>
  <c r="F2430" i="2"/>
  <c r="E2430" i="2"/>
  <c r="D2430" i="2"/>
  <c r="C2430" i="2"/>
  <c r="B2430" i="2"/>
  <c r="A2430" i="2"/>
  <c r="H2429" i="2"/>
  <c r="G2429" i="2"/>
  <c r="F2429" i="2"/>
  <c r="E2429" i="2"/>
  <c r="D2429" i="2"/>
  <c r="C2429" i="2"/>
  <c r="B2429" i="2"/>
  <c r="A2429" i="2"/>
  <c r="H2428" i="2"/>
  <c r="G2428" i="2"/>
  <c r="F2428" i="2"/>
  <c r="E2428" i="2"/>
  <c r="D2428" i="2"/>
  <c r="C2428" i="2"/>
  <c r="B2428" i="2"/>
  <c r="A2428" i="2"/>
  <c r="H2427" i="2"/>
  <c r="G2427" i="2"/>
  <c r="F2427" i="2"/>
  <c r="E2427" i="2"/>
  <c r="D2427" i="2"/>
  <c r="C2427" i="2"/>
  <c r="B2427" i="2"/>
  <c r="A2427" i="2"/>
  <c r="H2426" i="2"/>
  <c r="G2426" i="2"/>
  <c r="F2426" i="2"/>
  <c r="E2426" i="2"/>
  <c r="D2426" i="2"/>
  <c r="C2426" i="2"/>
  <c r="B2426" i="2"/>
  <c r="A2426" i="2"/>
  <c r="H2425" i="2"/>
  <c r="G2425" i="2"/>
  <c r="F2425" i="2"/>
  <c r="E2425" i="2"/>
  <c r="D2425" i="2"/>
  <c r="C2425" i="2"/>
  <c r="B2425" i="2"/>
  <c r="A2425" i="2"/>
  <c r="H2424" i="2"/>
  <c r="G2424" i="2"/>
  <c r="F2424" i="2"/>
  <c r="E2424" i="2"/>
  <c r="D2424" i="2"/>
  <c r="C2424" i="2"/>
  <c r="B2424" i="2"/>
  <c r="A2424" i="2"/>
  <c r="H2423" i="2"/>
  <c r="G2423" i="2"/>
  <c r="F2423" i="2"/>
  <c r="E2423" i="2"/>
  <c r="D2423" i="2"/>
  <c r="C2423" i="2"/>
  <c r="B2423" i="2"/>
  <c r="A2423" i="2"/>
  <c r="H2422" i="2"/>
  <c r="G2422" i="2"/>
  <c r="F2422" i="2"/>
  <c r="E2422" i="2"/>
  <c r="D2422" i="2"/>
  <c r="C2422" i="2"/>
  <c r="B2422" i="2"/>
  <c r="A2422" i="2"/>
  <c r="H2421" i="2"/>
  <c r="G2421" i="2"/>
  <c r="F2421" i="2"/>
  <c r="E2421" i="2"/>
  <c r="D2421" i="2"/>
  <c r="C2421" i="2"/>
  <c r="B2421" i="2"/>
  <c r="A2421" i="2"/>
  <c r="H2420" i="2"/>
  <c r="G2420" i="2"/>
  <c r="F2420" i="2"/>
  <c r="E2420" i="2"/>
  <c r="D2420" i="2"/>
  <c r="C2420" i="2"/>
  <c r="B2420" i="2"/>
  <c r="A2420" i="2"/>
  <c r="H2419" i="2"/>
  <c r="G2419" i="2"/>
  <c r="F2419" i="2"/>
  <c r="E2419" i="2"/>
  <c r="D2419" i="2"/>
  <c r="C2419" i="2"/>
  <c r="B2419" i="2"/>
  <c r="A2419" i="2"/>
  <c r="H2418" i="2"/>
  <c r="G2418" i="2"/>
  <c r="F2418" i="2"/>
  <c r="E2418" i="2"/>
  <c r="D2418" i="2"/>
  <c r="C2418" i="2"/>
  <c r="B2418" i="2"/>
  <c r="A2418" i="2"/>
  <c r="H2417" i="2"/>
  <c r="G2417" i="2"/>
  <c r="F2417" i="2"/>
  <c r="E2417" i="2"/>
  <c r="D2417" i="2"/>
  <c r="C2417" i="2"/>
  <c r="B2417" i="2"/>
  <c r="A2417" i="2"/>
  <c r="H2416" i="2"/>
  <c r="G2416" i="2"/>
  <c r="F2416" i="2"/>
  <c r="E2416" i="2"/>
  <c r="D2416" i="2"/>
  <c r="C2416" i="2"/>
  <c r="B2416" i="2"/>
  <c r="A2416" i="2"/>
  <c r="H2415" i="2"/>
  <c r="G2415" i="2"/>
  <c r="F2415" i="2"/>
  <c r="E2415" i="2"/>
  <c r="D2415" i="2"/>
  <c r="C2415" i="2"/>
  <c r="B2415" i="2"/>
  <c r="A2415" i="2"/>
  <c r="H2414" i="2"/>
  <c r="G2414" i="2"/>
  <c r="F2414" i="2"/>
  <c r="E2414" i="2"/>
  <c r="D2414" i="2"/>
  <c r="C2414" i="2"/>
  <c r="B2414" i="2"/>
  <c r="A2414" i="2"/>
  <c r="H2413" i="2"/>
  <c r="G2413" i="2"/>
  <c r="F2413" i="2"/>
  <c r="E2413" i="2"/>
  <c r="D2413" i="2"/>
  <c r="C2413" i="2"/>
  <c r="B2413" i="2"/>
  <c r="A2413" i="2"/>
  <c r="H2412" i="2"/>
  <c r="G2412" i="2"/>
  <c r="F2412" i="2"/>
  <c r="E2412" i="2"/>
  <c r="D2412" i="2"/>
  <c r="C2412" i="2"/>
  <c r="B2412" i="2"/>
  <c r="A2412" i="2"/>
  <c r="H2411" i="2"/>
  <c r="G2411" i="2"/>
  <c r="F2411" i="2"/>
  <c r="E2411" i="2"/>
  <c r="D2411" i="2"/>
  <c r="C2411" i="2"/>
  <c r="B2411" i="2"/>
  <c r="A2411" i="2"/>
  <c r="H2410" i="2"/>
  <c r="G2410" i="2"/>
  <c r="F2410" i="2"/>
  <c r="E2410" i="2"/>
  <c r="D2410" i="2"/>
  <c r="C2410" i="2"/>
  <c r="B2410" i="2"/>
  <c r="A2410" i="2"/>
  <c r="H2409" i="2"/>
  <c r="G2409" i="2"/>
  <c r="F2409" i="2"/>
  <c r="E2409" i="2"/>
  <c r="D2409" i="2"/>
  <c r="C2409" i="2"/>
  <c r="B2409" i="2"/>
  <c r="A2409" i="2"/>
  <c r="H2408" i="2"/>
  <c r="G2408" i="2"/>
  <c r="F2408" i="2"/>
  <c r="E2408" i="2"/>
  <c r="D2408" i="2"/>
  <c r="C2408" i="2"/>
  <c r="B2408" i="2"/>
  <c r="A2408" i="2"/>
  <c r="H2407" i="2"/>
  <c r="G2407" i="2"/>
  <c r="F2407" i="2"/>
  <c r="E2407" i="2"/>
  <c r="D2407" i="2"/>
  <c r="C2407" i="2"/>
  <c r="B2407" i="2"/>
  <c r="A2407" i="2"/>
  <c r="H2406" i="2"/>
  <c r="G2406" i="2"/>
  <c r="F2406" i="2"/>
  <c r="E2406" i="2"/>
  <c r="D2406" i="2"/>
  <c r="C2406" i="2"/>
  <c r="B2406" i="2"/>
  <c r="A2406" i="2"/>
  <c r="H2405" i="2"/>
  <c r="G2405" i="2"/>
  <c r="F2405" i="2"/>
  <c r="E2405" i="2"/>
  <c r="D2405" i="2"/>
  <c r="C2405" i="2"/>
  <c r="B2405" i="2"/>
  <c r="A2405" i="2"/>
  <c r="H2404" i="2"/>
  <c r="G2404" i="2"/>
  <c r="F2404" i="2"/>
  <c r="E2404" i="2"/>
  <c r="D2404" i="2"/>
  <c r="C2404" i="2"/>
  <c r="B2404" i="2"/>
  <c r="A2404" i="2"/>
  <c r="H2403" i="2"/>
  <c r="G2403" i="2"/>
  <c r="F2403" i="2"/>
  <c r="E2403" i="2"/>
  <c r="D2403" i="2"/>
  <c r="C2403" i="2"/>
  <c r="B2403" i="2"/>
  <c r="A2403" i="2"/>
  <c r="H2402" i="2"/>
  <c r="G2402" i="2"/>
  <c r="F2402" i="2"/>
  <c r="E2402" i="2"/>
  <c r="D2402" i="2"/>
  <c r="C2402" i="2"/>
  <c r="B2402" i="2"/>
  <c r="A2402" i="2"/>
  <c r="H2401" i="2"/>
  <c r="G2401" i="2"/>
  <c r="F2401" i="2"/>
  <c r="E2401" i="2"/>
  <c r="D2401" i="2"/>
  <c r="C2401" i="2"/>
  <c r="B2401" i="2"/>
  <c r="A2401" i="2"/>
  <c r="H2400" i="2"/>
  <c r="G2400" i="2"/>
  <c r="F2400" i="2"/>
  <c r="E2400" i="2"/>
  <c r="D2400" i="2"/>
  <c r="C2400" i="2"/>
  <c r="B2400" i="2"/>
  <c r="A2400" i="2"/>
  <c r="H2399" i="2"/>
  <c r="G2399" i="2"/>
  <c r="F2399" i="2"/>
  <c r="E2399" i="2"/>
  <c r="D2399" i="2"/>
  <c r="C2399" i="2"/>
  <c r="B2399" i="2"/>
  <c r="A2399" i="2"/>
  <c r="H2398" i="2"/>
  <c r="G2398" i="2"/>
  <c r="F2398" i="2"/>
  <c r="E2398" i="2"/>
  <c r="D2398" i="2"/>
  <c r="C2398" i="2"/>
  <c r="B2398" i="2"/>
  <c r="A2398" i="2"/>
  <c r="H2397" i="2"/>
  <c r="G2397" i="2"/>
  <c r="F2397" i="2"/>
  <c r="E2397" i="2"/>
  <c r="D2397" i="2"/>
  <c r="C2397" i="2"/>
  <c r="B2397" i="2"/>
  <c r="A2397" i="2"/>
  <c r="H2396" i="2"/>
  <c r="G2396" i="2"/>
  <c r="F2396" i="2"/>
  <c r="E2396" i="2"/>
  <c r="D2396" i="2"/>
  <c r="C2396" i="2"/>
  <c r="B2396" i="2"/>
  <c r="A2396" i="2"/>
  <c r="H2395" i="2"/>
  <c r="G2395" i="2"/>
  <c r="F2395" i="2"/>
  <c r="E2395" i="2"/>
  <c r="D2395" i="2"/>
  <c r="C2395" i="2"/>
  <c r="B2395" i="2"/>
  <c r="A2395" i="2"/>
  <c r="H2394" i="2"/>
  <c r="G2394" i="2"/>
  <c r="F2394" i="2"/>
  <c r="E2394" i="2"/>
  <c r="D2394" i="2"/>
  <c r="C2394" i="2"/>
  <c r="B2394" i="2"/>
  <c r="A2394" i="2"/>
  <c r="H2393" i="2"/>
  <c r="G2393" i="2"/>
  <c r="F2393" i="2"/>
  <c r="E2393" i="2"/>
  <c r="D2393" i="2"/>
  <c r="C2393" i="2"/>
  <c r="B2393" i="2"/>
  <c r="A2393" i="2"/>
  <c r="H2392" i="2"/>
  <c r="G2392" i="2"/>
  <c r="F2392" i="2"/>
  <c r="E2392" i="2"/>
  <c r="D2392" i="2"/>
  <c r="C2392" i="2"/>
  <c r="B2392" i="2"/>
  <c r="A2392" i="2"/>
  <c r="H2391" i="2"/>
  <c r="G2391" i="2"/>
  <c r="F2391" i="2"/>
  <c r="E2391" i="2"/>
  <c r="D2391" i="2"/>
  <c r="C2391" i="2"/>
  <c r="B2391" i="2"/>
  <c r="A2391" i="2"/>
  <c r="H2390" i="2"/>
  <c r="G2390" i="2"/>
  <c r="F2390" i="2"/>
  <c r="E2390" i="2"/>
  <c r="D2390" i="2"/>
  <c r="C2390" i="2"/>
  <c r="B2390" i="2"/>
  <c r="A2390" i="2"/>
  <c r="H2389" i="2"/>
  <c r="G2389" i="2"/>
  <c r="F2389" i="2"/>
  <c r="E2389" i="2"/>
  <c r="D2389" i="2"/>
  <c r="C2389" i="2"/>
  <c r="B2389" i="2"/>
  <c r="A2389" i="2"/>
  <c r="H2388" i="2"/>
  <c r="G2388" i="2"/>
  <c r="F2388" i="2"/>
  <c r="E2388" i="2"/>
  <c r="D2388" i="2"/>
  <c r="C2388" i="2"/>
  <c r="B2388" i="2"/>
  <c r="A2388" i="2"/>
  <c r="H2387" i="2"/>
  <c r="G2387" i="2"/>
  <c r="F2387" i="2"/>
  <c r="E2387" i="2"/>
  <c r="D2387" i="2"/>
  <c r="C2387" i="2"/>
  <c r="B2387" i="2"/>
  <c r="A2387" i="2"/>
  <c r="H2386" i="2"/>
  <c r="G2386" i="2"/>
  <c r="F2386" i="2"/>
  <c r="E2386" i="2"/>
  <c r="D2386" i="2"/>
  <c r="C2386" i="2"/>
  <c r="B2386" i="2"/>
  <c r="A2386" i="2"/>
  <c r="H2385" i="2"/>
  <c r="G2385" i="2"/>
  <c r="F2385" i="2"/>
  <c r="E2385" i="2"/>
  <c r="D2385" i="2"/>
  <c r="C2385" i="2"/>
  <c r="B2385" i="2"/>
  <c r="A2385" i="2"/>
  <c r="H2384" i="2"/>
  <c r="G2384" i="2"/>
  <c r="F2384" i="2"/>
  <c r="E2384" i="2"/>
  <c r="D2384" i="2"/>
  <c r="C2384" i="2"/>
  <c r="B2384" i="2"/>
  <c r="A2384" i="2"/>
  <c r="H2383" i="2"/>
  <c r="G2383" i="2"/>
  <c r="F2383" i="2"/>
  <c r="E2383" i="2"/>
  <c r="D2383" i="2"/>
  <c r="C2383" i="2"/>
  <c r="B2383" i="2"/>
  <c r="A2383" i="2"/>
  <c r="H2382" i="2"/>
  <c r="G2382" i="2"/>
  <c r="F2382" i="2"/>
  <c r="E2382" i="2"/>
  <c r="D2382" i="2"/>
  <c r="C2382" i="2"/>
  <c r="B2382" i="2"/>
  <c r="A2382" i="2"/>
  <c r="H2381" i="2"/>
  <c r="G2381" i="2"/>
  <c r="F2381" i="2"/>
  <c r="E2381" i="2"/>
  <c r="D2381" i="2"/>
  <c r="C2381" i="2"/>
  <c r="B2381" i="2"/>
  <c r="A2381" i="2"/>
  <c r="H2380" i="2"/>
  <c r="G2380" i="2"/>
  <c r="F2380" i="2"/>
  <c r="E2380" i="2"/>
  <c r="D2380" i="2"/>
  <c r="C2380" i="2"/>
  <c r="B2380" i="2"/>
  <c r="A2380" i="2"/>
  <c r="H2379" i="2"/>
  <c r="G2379" i="2"/>
  <c r="F2379" i="2"/>
  <c r="E2379" i="2"/>
  <c r="D2379" i="2"/>
  <c r="C2379" i="2"/>
  <c r="B2379" i="2"/>
  <c r="A2379" i="2"/>
  <c r="H2378" i="2"/>
  <c r="G2378" i="2"/>
  <c r="F2378" i="2"/>
  <c r="E2378" i="2"/>
  <c r="D2378" i="2"/>
  <c r="C2378" i="2"/>
  <c r="B2378" i="2"/>
  <c r="A2378" i="2"/>
  <c r="H2377" i="2"/>
  <c r="G2377" i="2"/>
  <c r="F2377" i="2"/>
  <c r="E2377" i="2"/>
  <c r="D2377" i="2"/>
  <c r="C2377" i="2"/>
  <c r="B2377" i="2"/>
  <c r="A2377" i="2"/>
  <c r="H2376" i="2"/>
  <c r="G2376" i="2"/>
  <c r="F2376" i="2"/>
  <c r="E2376" i="2"/>
  <c r="D2376" i="2"/>
  <c r="C2376" i="2"/>
  <c r="B2376" i="2"/>
  <c r="A2376" i="2"/>
  <c r="H2375" i="2"/>
  <c r="G2375" i="2"/>
  <c r="F2375" i="2"/>
  <c r="E2375" i="2"/>
  <c r="D2375" i="2"/>
  <c r="C2375" i="2"/>
  <c r="B2375" i="2"/>
  <c r="A2375" i="2"/>
  <c r="H2374" i="2"/>
  <c r="G2374" i="2"/>
  <c r="F2374" i="2"/>
  <c r="E2374" i="2"/>
  <c r="D2374" i="2"/>
  <c r="C2374" i="2"/>
  <c r="B2374" i="2"/>
  <c r="A2374" i="2"/>
  <c r="H2373" i="2"/>
  <c r="G2373" i="2"/>
  <c r="F2373" i="2"/>
  <c r="E2373" i="2"/>
  <c r="D2373" i="2"/>
  <c r="C2373" i="2"/>
  <c r="B2373" i="2"/>
  <c r="A2373" i="2"/>
  <c r="H2372" i="2"/>
  <c r="G2372" i="2"/>
  <c r="F2372" i="2"/>
  <c r="E2372" i="2"/>
  <c r="D2372" i="2"/>
  <c r="C2372" i="2"/>
  <c r="B2372" i="2"/>
  <c r="A2372" i="2"/>
  <c r="H2371" i="2"/>
  <c r="G2371" i="2"/>
  <c r="F2371" i="2"/>
  <c r="E2371" i="2"/>
  <c r="D2371" i="2"/>
  <c r="C2371" i="2"/>
  <c r="B2371" i="2"/>
  <c r="A2371" i="2"/>
  <c r="H2370" i="2"/>
  <c r="G2370" i="2"/>
  <c r="F2370" i="2"/>
  <c r="E2370" i="2"/>
  <c r="D2370" i="2"/>
  <c r="C2370" i="2"/>
  <c r="B2370" i="2"/>
  <c r="A2370" i="2"/>
  <c r="H2369" i="2"/>
  <c r="G2369" i="2"/>
  <c r="F2369" i="2"/>
  <c r="E2369" i="2"/>
  <c r="D2369" i="2"/>
  <c r="C2369" i="2"/>
  <c r="B2369" i="2"/>
  <c r="A2369" i="2"/>
  <c r="H2368" i="2"/>
  <c r="G2368" i="2"/>
  <c r="F2368" i="2"/>
  <c r="E2368" i="2"/>
  <c r="D2368" i="2"/>
  <c r="C2368" i="2"/>
  <c r="B2368" i="2"/>
  <c r="A2368" i="2"/>
  <c r="H2367" i="2"/>
  <c r="G2367" i="2"/>
  <c r="F2367" i="2"/>
  <c r="E2367" i="2"/>
  <c r="D2367" i="2"/>
  <c r="C2367" i="2"/>
  <c r="B2367" i="2"/>
  <c r="A2367" i="2"/>
  <c r="H2366" i="2"/>
  <c r="G2366" i="2"/>
  <c r="F2366" i="2"/>
  <c r="E2366" i="2"/>
  <c r="D2366" i="2"/>
  <c r="C2366" i="2"/>
  <c r="B2366" i="2"/>
  <c r="A2366" i="2"/>
  <c r="H2365" i="2"/>
  <c r="G2365" i="2"/>
  <c r="F2365" i="2"/>
  <c r="E2365" i="2"/>
  <c r="D2365" i="2"/>
  <c r="C2365" i="2"/>
  <c r="B2365" i="2"/>
  <c r="A2365" i="2"/>
  <c r="H2364" i="2"/>
  <c r="G2364" i="2"/>
  <c r="F2364" i="2"/>
  <c r="E2364" i="2"/>
  <c r="D2364" i="2"/>
  <c r="C2364" i="2"/>
  <c r="B2364" i="2"/>
  <c r="A2364" i="2"/>
  <c r="H2363" i="2"/>
  <c r="G2363" i="2"/>
  <c r="F2363" i="2"/>
  <c r="E2363" i="2"/>
  <c r="D2363" i="2"/>
  <c r="C2363" i="2"/>
  <c r="B2363" i="2"/>
  <c r="A2363" i="2"/>
  <c r="H2362" i="2"/>
  <c r="G2362" i="2"/>
  <c r="F2362" i="2"/>
  <c r="E2362" i="2"/>
  <c r="D2362" i="2"/>
  <c r="C2362" i="2"/>
  <c r="B2362" i="2"/>
  <c r="A2362" i="2"/>
  <c r="H2361" i="2"/>
  <c r="G2361" i="2"/>
  <c r="F2361" i="2"/>
  <c r="E2361" i="2"/>
  <c r="D2361" i="2"/>
  <c r="C2361" i="2"/>
  <c r="B2361" i="2"/>
  <c r="A2361" i="2"/>
  <c r="H2360" i="2"/>
  <c r="G2360" i="2"/>
  <c r="F2360" i="2"/>
  <c r="E2360" i="2"/>
  <c r="D2360" i="2"/>
  <c r="C2360" i="2"/>
  <c r="B2360" i="2"/>
  <c r="A2360" i="2"/>
  <c r="H2359" i="2"/>
  <c r="G2359" i="2"/>
  <c r="F2359" i="2"/>
  <c r="E2359" i="2"/>
  <c r="D2359" i="2"/>
  <c r="C2359" i="2"/>
  <c r="B2359" i="2"/>
  <c r="A2359" i="2"/>
  <c r="H2358" i="2"/>
  <c r="G2358" i="2"/>
  <c r="F2358" i="2"/>
  <c r="E2358" i="2"/>
  <c r="D2358" i="2"/>
  <c r="C2358" i="2"/>
  <c r="B2358" i="2"/>
  <c r="A2358" i="2"/>
  <c r="H2357" i="2"/>
  <c r="G2357" i="2"/>
  <c r="F2357" i="2"/>
  <c r="E2357" i="2"/>
  <c r="D2357" i="2"/>
  <c r="C2357" i="2"/>
  <c r="B2357" i="2"/>
  <c r="A2357" i="2"/>
  <c r="H2356" i="2"/>
  <c r="G2356" i="2"/>
  <c r="F2356" i="2"/>
  <c r="E2356" i="2"/>
  <c r="D2356" i="2"/>
  <c r="C2356" i="2"/>
  <c r="B2356" i="2"/>
  <c r="A2356" i="2"/>
  <c r="H2355" i="2"/>
  <c r="G2355" i="2"/>
  <c r="F2355" i="2"/>
  <c r="E2355" i="2"/>
  <c r="D2355" i="2"/>
  <c r="C2355" i="2"/>
  <c r="B2355" i="2"/>
  <c r="A2355" i="2"/>
  <c r="H2354" i="2"/>
  <c r="G2354" i="2"/>
  <c r="F2354" i="2"/>
  <c r="E2354" i="2"/>
  <c r="D2354" i="2"/>
  <c r="C2354" i="2"/>
  <c r="B2354" i="2"/>
  <c r="A2354" i="2"/>
  <c r="H2353" i="2"/>
  <c r="G2353" i="2"/>
  <c r="F2353" i="2"/>
  <c r="E2353" i="2"/>
  <c r="D2353" i="2"/>
  <c r="C2353" i="2"/>
  <c r="B2353" i="2"/>
  <c r="A2353" i="2"/>
  <c r="H2352" i="2"/>
  <c r="G2352" i="2"/>
  <c r="F2352" i="2"/>
  <c r="E2352" i="2"/>
  <c r="D2352" i="2"/>
  <c r="C2352" i="2"/>
  <c r="B2352" i="2"/>
  <c r="A2352" i="2"/>
  <c r="H2351" i="2"/>
  <c r="G2351" i="2"/>
  <c r="F2351" i="2"/>
  <c r="E2351" i="2"/>
  <c r="D2351" i="2"/>
  <c r="C2351" i="2"/>
  <c r="B2351" i="2"/>
  <c r="A2351" i="2"/>
  <c r="H2350" i="2"/>
  <c r="G2350" i="2"/>
  <c r="F2350" i="2"/>
  <c r="E2350" i="2"/>
  <c r="D2350" i="2"/>
  <c r="C2350" i="2"/>
  <c r="B2350" i="2"/>
  <c r="A2350" i="2"/>
  <c r="H2349" i="2"/>
  <c r="G2349" i="2"/>
  <c r="F2349" i="2"/>
  <c r="E2349" i="2"/>
  <c r="D2349" i="2"/>
  <c r="C2349" i="2"/>
  <c r="B2349" i="2"/>
  <c r="A2349" i="2"/>
  <c r="H2348" i="2"/>
  <c r="G2348" i="2"/>
  <c r="F2348" i="2"/>
  <c r="E2348" i="2"/>
  <c r="D2348" i="2"/>
  <c r="C2348" i="2"/>
  <c r="B2348" i="2"/>
  <c r="A2348" i="2"/>
  <c r="H2347" i="2"/>
  <c r="G2347" i="2"/>
  <c r="F2347" i="2"/>
  <c r="E2347" i="2"/>
  <c r="D2347" i="2"/>
  <c r="C2347" i="2"/>
  <c r="B2347" i="2"/>
  <c r="A2347" i="2"/>
  <c r="H2346" i="2"/>
  <c r="G2346" i="2"/>
  <c r="F2346" i="2"/>
  <c r="E2346" i="2"/>
  <c r="D2346" i="2"/>
  <c r="C2346" i="2"/>
  <c r="B2346" i="2"/>
  <c r="A2346" i="2"/>
  <c r="H2345" i="2"/>
  <c r="G2345" i="2"/>
  <c r="F2345" i="2"/>
  <c r="E2345" i="2"/>
  <c r="D2345" i="2"/>
  <c r="C2345" i="2"/>
  <c r="B2345" i="2"/>
  <c r="A2345" i="2"/>
  <c r="H2344" i="2"/>
  <c r="G2344" i="2"/>
  <c r="F2344" i="2"/>
  <c r="E2344" i="2"/>
  <c r="D2344" i="2"/>
  <c r="C2344" i="2"/>
  <c r="B2344" i="2"/>
  <c r="A2344" i="2"/>
  <c r="H2343" i="2"/>
  <c r="G2343" i="2"/>
  <c r="F2343" i="2"/>
  <c r="E2343" i="2"/>
  <c r="D2343" i="2"/>
  <c r="C2343" i="2"/>
  <c r="B2343" i="2"/>
  <c r="A2343" i="2"/>
  <c r="H2342" i="2"/>
  <c r="G2342" i="2"/>
  <c r="F2342" i="2"/>
  <c r="E2342" i="2"/>
  <c r="D2342" i="2"/>
  <c r="C2342" i="2"/>
  <c r="B2342" i="2"/>
  <c r="A2342" i="2"/>
  <c r="H2341" i="2"/>
  <c r="G2341" i="2"/>
  <c r="F2341" i="2"/>
  <c r="E2341" i="2"/>
  <c r="D2341" i="2"/>
  <c r="C2341" i="2"/>
  <c r="B2341" i="2"/>
  <c r="A2341" i="2"/>
  <c r="H2340" i="2"/>
  <c r="G2340" i="2"/>
  <c r="F2340" i="2"/>
  <c r="E2340" i="2"/>
  <c r="D2340" i="2"/>
  <c r="C2340" i="2"/>
  <c r="B2340" i="2"/>
  <c r="A2340" i="2"/>
  <c r="H2339" i="2"/>
  <c r="G2339" i="2"/>
  <c r="F2339" i="2"/>
  <c r="E2339" i="2"/>
  <c r="D2339" i="2"/>
  <c r="C2339" i="2"/>
  <c r="B2339" i="2"/>
  <c r="A2339" i="2"/>
  <c r="H2338" i="2"/>
  <c r="G2338" i="2"/>
  <c r="F2338" i="2"/>
  <c r="E2338" i="2"/>
  <c r="D2338" i="2"/>
  <c r="C2338" i="2"/>
  <c r="B2338" i="2"/>
  <c r="A2338" i="2"/>
  <c r="H2337" i="2"/>
  <c r="G2337" i="2"/>
  <c r="F2337" i="2"/>
  <c r="E2337" i="2"/>
  <c r="D2337" i="2"/>
  <c r="C2337" i="2"/>
  <c r="B2337" i="2"/>
  <c r="A2337" i="2"/>
  <c r="H2336" i="2"/>
  <c r="G2336" i="2"/>
  <c r="F2336" i="2"/>
  <c r="E2336" i="2"/>
  <c r="D2336" i="2"/>
  <c r="C2336" i="2"/>
  <c r="B2336" i="2"/>
  <c r="A2336" i="2"/>
  <c r="H2335" i="2"/>
  <c r="G2335" i="2"/>
  <c r="F2335" i="2"/>
  <c r="E2335" i="2"/>
  <c r="D2335" i="2"/>
  <c r="C2335" i="2"/>
  <c r="B2335" i="2"/>
  <c r="A2335" i="2"/>
  <c r="H2334" i="2"/>
  <c r="G2334" i="2"/>
  <c r="F2334" i="2"/>
  <c r="E2334" i="2"/>
  <c r="D2334" i="2"/>
  <c r="C2334" i="2"/>
  <c r="B2334" i="2"/>
  <c r="A2334" i="2"/>
  <c r="H2333" i="2"/>
  <c r="G2333" i="2"/>
  <c r="F2333" i="2"/>
  <c r="E2333" i="2"/>
  <c r="D2333" i="2"/>
  <c r="C2333" i="2"/>
  <c r="B2333" i="2"/>
  <c r="A2333" i="2"/>
  <c r="H2332" i="2"/>
  <c r="G2332" i="2"/>
  <c r="F2332" i="2"/>
  <c r="E2332" i="2"/>
  <c r="D2332" i="2"/>
  <c r="C2332" i="2"/>
  <c r="B2332" i="2"/>
  <c r="A2332" i="2"/>
  <c r="H2331" i="2"/>
  <c r="G2331" i="2"/>
  <c r="F2331" i="2"/>
  <c r="E2331" i="2"/>
  <c r="D2331" i="2"/>
  <c r="C2331" i="2"/>
  <c r="B2331" i="2"/>
  <c r="A2331" i="2"/>
  <c r="H2330" i="2"/>
  <c r="G2330" i="2"/>
  <c r="F2330" i="2"/>
  <c r="E2330" i="2"/>
  <c r="D2330" i="2"/>
  <c r="C2330" i="2"/>
  <c r="B2330" i="2"/>
  <c r="A2330" i="2"/>
  <c r="H2329" i="2"/>
  <c r="G2329" i="2"/>
  <c r="F2329" i="2"/>
  <c r="E2329" i="2"/>
  <c r="D2329" i="2"/>
  <c r="C2329" i="2"/>
  <c r="B2329" i="2"/>
  <c r="A2329" i="2"/>
  <c r="H2328" i="2"/>
  <c r="G2328" i="2"/>
  <c r="F2328" i="2"/>
  <c r="E2328" i="2"/>
  <c r="D2328" i="2"/>
  <c r="C2328" i="2"/>
  <c r="B2328" i="2"/>
  <c r="A2328" i="2"/>
  <c r="H2327" i="2"/>
  <c r="G2327" i="2"/>
  <c r="F2327" i="2"/>
  <c r="E2327" i="2"/>
  <c r="D2327" i="2"/>
  <c r="C2327" i="2"/>
  <c r="B2327" i="2"/>
  <c r="A2327" i="2"/>
  <c r="H2326" i="2"/>
  <c r="G2326" i="2"/>
  <c r="F2326" i="2"/>
  <c r="E2326" i="2"/>
  <c r="D2326" i="2"/>
  <c r="C2326" i="2"/>
  <c r="B2326" i="2"/>
  <c r="A2326" i="2"/>
  <c r="H2325" i="2"/>
  <c r="G2325" i="2"/>
  <c r="F2325" i="2"/>
  <c r="E2325" i="2"/>
  <c r="D2325" i="2"/>
  <c r="C2325" i="2"/>
  <c r="B2325" i="2"/>
  <c r="A2325" i="2"/>
  <c r="H2324" i="2"/>
  <c r="G2324" i="2"/>
  <c r="F2324" i="2"/>
  <c r="E2324" i="2"/>
  <c r="D2324" i="2"/>
  <c r="C2324" i="2"/>
  <c r="B2324" i="2"/>
  <c r="A2324" i="2"/>
  <c r="H2323" i="2"/>
  <c r="G2323" i="2"/>
  <c r="F2323" i="2"/>
  <c r="E2323" i="2"/>
  <c r="D2323" i="2"/>
  <c r="C2323" i="2"/>
  <c r="B2323" i="2"/>
  <c r="A2323" i="2"/>
  <c r="H2322" i="2"/>
  <c r="G2322" i="2"/>
  <c r="F2322" i="2"/>
  <c r="E2322" i="2"/>
  <c r="D2322" i="2"/>
  <c r="C2322" i="2"/>
  <c r="B2322" i="2"/>
  <c r="A2322" i="2"/>
  <c r="H2321" i="2"/>
  <c r="G2321" i="2"/>
  <c r="F2321" i="2"/>
  <c r="E2321" i="2"/>
  <c r="D2321" i="2"/>
  <c r="C2321" i="2"/>
  <c r="B2321" i="2"/>
  <c r="A2321" i="2"/>
  <c r="H2320" i="2"/>
  <c r="G2320" i="2"/>
  <c r="F2320" i="2"/>
  <c r="E2320" i="2"/>
  <c r="D2320" i="2"/>
  <c r="C2320" i="2"/>
  <c r="B2320" i="2"/>
  <c r="A2320" i="2"/>
  <c r="H2319" i="2"/>
  <c r="G2319" i="2"/>
  <c r="F2319" i="2"/>
  <c r="E2319" i="2"/>
  <c r="D2319" i="2"/>
  <c r="C2319" i="2"/>
  <c r="B2319" i="2"/>
  <c r="A2319" i="2"/>
  <c r="H2318" i="2"/>
  <c r="G2318" i="2"/>
  <c r="F2318" i="2"/>
  <c r="E2318" i="2"/>
  <c r="D2318" i="2"/>
  <c r="C2318" i="2"/>
  <c r="B2318" i="2"/>
  <c r="A2318" i="2"/>
  <c r="H2317" i="2"/>
  <c r="G2317" i="2"/>
  <c r="F2317" i="2"/>
  <c r="E2317" i="2"/>
  <c r="D2317" i="2"/>
  <c r="C2317" i="2"/>
  <c r="B2317" i="2"/>
  <c r="A2317" i="2"/>
  <c r="H2316" i="2"/>
  <c r="G2316" i="2"/>
  <c r="F2316" i="2"/>
  <c r="E2316" i="2"/>
  <c r="D2316" i="2"/>
  <c r="C2316" i="2"/>
  <c r="B2316" i="2"/>
  <c r="A2316" i="2"/>
  <c r="H2315" i="2"/>
  <c r="G2315" i="2"/>
  <c r="F2315" i="2"/>
  <c r="E2315" i="2"/>
  <c r="D2315" i="2"/>
  <c r="C2315" i="2"/>
  <c r="B2315" i="2"/>
  <c r="A2315" i="2"/>
  <c r="H2314" i="2"/>
  <c r="G2314" i="2"/>
  <c r="F2314" i="2"/>
  <c r="E2314" i="2"/>
  <c r="D2314" i="2"/>
  <c r="C2314" i="2"/>
  <c r="B2314" i="2"/>
  <c r="A2314" i="2"/>
  <c r="H2313" i="2"/>
  <c r="G2313" i="2"/>
  <c r="F2313" i="2"/>
  <c r="E2313" i="2"/>
  <c r="D2313" i="2"/>
  <c r="C2313" i="2"/>
  <c r="B2313" i="2"/>
  <c r="A2313" i="2"/>
  <c r="H2312" i="2"/>
  <c r="G2312" i="2"/>
  <c r="F2312" i="2"/>
  <c r="E2312" i="2"/>
  <c r="D2312" i="2"/>
  <c r="C2312" i="2"/>
  <c r="B2312" i="2"/>
  <c r="A2312" i="2"/>
  <c r="H2311" i="2"/>
  <c r="G2311" i="2"/>
  <c r="F2311" i="2"/>
  <c r="E2311" i="2"/>
  <c r="D2311" i="2"/>
  <c r="C2311" i="2"/>
  <c r="B2311" i="2"/>
  <c r="A2311" i="2"/>
  <c r="H2310" i="2"/>
  <c r="G2310" i="2"/>
  <c r="F2310" i="2"/>
  <c r="E2310" i="2"/>
  <c r="D2310" i="2"/>
  <c r="C2310" i="2"/>
  <c r="B2310" i="2"/>
  <c r="A2310" i="2"/>
  <c r="H2309" i="2"/>
  <c r="G2309" i="2"/>
  <c r="F2309" i="2"/>
  <c r="E2309" i="2"/>
  <c r="D2309" i="2"/>
  <c r="C2309" i="2"/>
  <c r="B2309" i="2"/>
  <c r="A2309" i="2"/>
  <c r="H2308" i="2"/>
  <c r="G2308" i="2"/>
  <c r="F2308" i="2"/>
  <c r="E2308" i="2"/>
  <c r="D2308" i="2"/>
  <c r="C2308" i="2"/>
  <c r="B2308" i="2"/>
  <c r="A2308" i="2"/>
  <c r="H2307" i="2"/>
  <c r="G2307" i="2"/>
  <c r="F2307" i="2"/>
  <c r="E2307" i="2"/>
  <c r="D2307" i="2"/>
  <c r="C2307" i="2"/>
  <c r="B2307" i="2"/>
  <c r="A2307" i="2"/>
  <c r="H2306" i="2"/>
  <c r="G2306" i="2"/>
  <c r="F2306" i="2"/>
  <c r="E2306" i="2"/>
  <c r="D2306" i="2"/>
  <c r="C2306" i="2"/>
  <c r="B2306" i="2"/>
  <c r="A2306" i="2"/>
  <c r="H2305" i="2"/>
  <c r="G2305" i="2"/>
  <c r="F2305" i="2"/>
  <c r="E2305" i="2"/>
  <c r="D2305" i="2"/>
  <c r="C2305" i="2"/>
  <c r="B2305" i="2"/>
  <c r="A2305" i="2"/>
  <c r="H2304" i="2"/>
  <c r="G2304" i="2"/>
  <c r="F2304" i="2"/>
  <c r="E2304" i="2"/>
  <c r="D2304" i="2"/>
  <c r="C2304" i="2"/>
  <c r="B2304" i="2"/>
  <c r="A2304" i="2"/>
  <c r="H2303" i="2"/>
  <c r="G2303" i="2"/>
  <c r="F2303" i="2"/>
  <c r="E2303" i="2"/>
  <c r="D2303" i="2"/>
  <c r="C2303" i="2"/>
  <c r="B2303" i="2"/>
  <c r="A2303" i="2"/>
  <c r="H2302" i="2"/>
  <c r="G2302" i="2"/>
  <c r="F2302" i="2"/>
  <c r="E2302" i="2"/>
  <c r="D2302" i="2"/>
  <c r="C2302" i="2"/>
  <c r="B2302" i="2"/>
  <c r="A2302" i="2"/>
  <c r="H2301" i="2"/>
  <c r="G2301" i="2"/>
  <c r="F2301" i="2"/>
  <c r="E2301" i="2"/>
  <c r="D2301" i="2"/>
  <c r="C2301" i="2"/>
  <c r="B2301" i="2"/>
  <c r="A2301" i="2"/>
  <c r="H2300" i="2"/>
  <c r="G2300" i="2"/>
  <c r="F2300" i="2"/>
  <c r="E2300" i="2"/>
  <c r="D2300" i="2"/>
  <c r="C2300" i="2"/>
  <c r="B2300" i="2"/>
  <c r="A2300" i="2"/>
  <c r="H2299" i="2"/>
  <c r="G2299" i="2"/>
  <c r="F2299" i="2"/>
  <c r="E2299" i="2"/>
  <c r="D2299" i="2"/>
  <c r="C2299" i="2"/>
  <c r="B2299" i="2"/>
  <c r="A2299" i="2"/>
  <c r="H2298" i="2"/>
  <c r="G2298" i="2"/>
  <c r="F2298" i="2"/>
  <c r="E2298" i="2"/>
  <c r="D2298" i="2"/>
  <c r="C2298" i="2"/>
  <c r="B2298" i="2"/>
  <c r="A2298" i="2"/>
  <c r="H2297" i="2"/>
  <c r="G2297" i="2"/>
  <c r="F2297" i="2"/>
  <c r="E2297" i="2"/>
  <c r="D2297" i="2"/>
  <c r="C2297" i="2"/>
  <c r="B2297" i="2"/>
  <c r="A2297" i="2"/>
  <c r="H2296" i="2"/>
  <c r="G2296" i="2"/>
  <c r="F2296" i="2"/>
  <c r="E2296" i="2"/>
  <c r="D2296" i="2"/>
  <c r="C2296" i="2"/>
  <c r="B2296" i="2"/>
  <c r="A2296" i="2"/>
  <c r="H2295" i="2"/>
  <c r="G2295" i="2"/>
  <c r="F2295" i="2"/>
  <c r="E2295" i="2"/>
  <c r="D2295" i="2"/>
  <c r="C2295" i="2"/>
  <c r="B2295" i="2"/>
  <c r="A2295" i="2"/>
  <c r="H2294" i="2"/>
  <c r="G2294" i="2"/>
  <c r="F2294" i="2"/>
  <c r="E2294" i="2"/>
  <c r="D2294" i="2"/>
  <c r="C2294" i="2"/>
  <c r="B2294" i="2"/>
  <c r="A2294" i="2"/>
  <c r="H2293" i="2"/>
  <c r="G2293" i="2"/>
  <c r="F2293" i="2"/>
  <c r="E2293" i="2"/>
  <c r="D2293" i="2"/>
  <c r="C2293" i="2"/>
  <c r="B2293" i="2"/>
  <c r="A2293" i="2"/>
  <c r="H2292" i="2"/>
  <c r="G2292" i="2"/>
  <c r="F2292" i="2"/>
  <c r="E2292" i="2"/>
  <c r="D2292" i="2"/>
  <c r="C2292" i="2"/>
  <c r="B2292" i="2"/>
  <c r="A2292" i="2"/>
  <c r="H2291" i="2"/>
  <c r="G2291" i="2"/>
  <c r="F2291" i="2"/>
  <c r="E2291" i="2"/>
  <c r="D2291" i="2"/>
  <c r="C2291" i="2"/>
  <c r="B2291" i="2"/>
  <c r="A2291" i="2"/>
  <c r="H2290" i="2"/>
  <c r="G2290" i="2"/>
  <c r="F2290" i="2"/>
  <c r="E2290" i="2"/>
  <c r="D2290" i="2"/>
  <c r="C2290" i="2"/>
  <c r="B2290" i="2"/>
  <c r="A2290" i="2"/>
  <c r="H2289" i="2"/>
  <c r="G2289" i="2"/>
  <c r="F2289" i="2"/>
  <c r="E2289" i="2"/>
  <c r="D2289" i="2"/>
  <c r="C2289" i="2"/>
  <c r="B2289" i="2"/>
  <c r="A2289" i="2"/>
  <c r="H2288" i="2"/>
  <c r="G2288" i="2"/>
  <c r="F2288" i="2"/>
  <c r="E2288" i="2"/>
  <c r="D2288" i="2"/>
  <c r="C2288" i="2"/>
  <c r="B2288" i="2"/>
  <c r="A2288" i="2"/>
  <c r="H2287" i="2"/>
  <c r="G2287" i="2"/>
  <c r="F2287" i="2"/>
  <c r="E2287" i="2"/>
  <c r="D2287" i="2"/>
  <c r="C2287" i="2"/>
  <c r="B2287" i="2"/>
  <c r="A2287" i="2"/>
  <c r="H2286" i="2"/>
  <c r="G2286" i="2"/>
  <c r="F2286" i="2"/>
  <c r="E2286" i="2"/>
  <c r="D2286" i="2"/>
  <c r="C2286" i="2"/>
  <c r="B2286" i="2"/>
  <c r="A2286" i="2"/>
  <c r="H2285" i="2"/>
  <c r="G2285" i="2"/>
  <c r="F2285" i="2"/>
  <c r="E2285" i="2"/>
  <c r="D2285" i="2"/>
  <c r="C2285" i="2"/>
  <c r="B2285" i="2"/>
  <c r="A2285" i="2"/>
  <c r="H2284" i="2"/>
  <c r="G2284" i="2"/>
  <c r="F2284" i="2"/>
  <c r="E2284" i="2"/>
  <c r="D2284" i="2"/>
  <c r="C2284" i="2"/>
  <c r="B2284" i="2"/>
  <c r="A2284" i="2"/>
  <c r="H2283" i="2"/>
  <c r="G2283" i="2"/>
  <c r="F2283" i="2"/>
  <c r="E2283" i="2"/>
  <c r="D2283" i="2"/>
  <c r="C2283" i="2"/>
  <c r="B2283" i="2"/>
  <c r="A2283" i="2"/>
  <c r="H2282" i="2"/>
  <c r="G2282" i="2"/>
  <c r="F2282" i="2"/>
  <c r="E2282" i="2"/>
  <c r="D2282" i="2"/>
  <c r="C2282" i="2"/>
  <c r="B2282" i="2"/>
  <c r="A2282" i="2"/>
  <c r="H2281" i="2"/>
  <c r="G2281" i="2"/>
  <c r="F2281" i="2"/>
  <c r="E2281" i="2"/>
  <c r="D2281" i="2"/>
  <c r="C2281" i="2"/>
  <c r="B2281" i="2"/>
  <c r="A2281" i="2"/>
  <c r="H2280" i="2"/>
  <c r="G2280" i="2"/>
  <c r="F2280" i="2"/>
  <c r="E2280" i="2"/>
  <c r="D2280" i="2"/>
  <c r="C2280" i="2"/>
  <c r="B2280" i="2"/>
  <c r="A2280" i="2"/>
  <c r="H2279" i="2"/>
  <c r="G2279" i="2"/>
  <c r="F2279" i="2"/>
  <c r="E2279" i="2"/>
  <c r="D2279" i="2"/>
  <c r="C2279" i="2"/>
  <c r="B2279" i="2"/>
  <c r="A2279" i="2"/>
  <c r="H2278" i="2"/>
  <c r="G2278" i="2"/>
  <c r="F2278" i="2"/>
  <c r="E2278" i="2"/>
  <c r="D2278" i="2"/>
  <c r="C2278" i="2"/>
  <c r="B2278" i="2"/>
  <c r="A2278" i="2"/>
  <c r="H2277" i="2"/>
  <c r="G2277" i="2"/>
  <c r="F2277" i="2"/>
  <c r="E2277" i="2"/>
  <c r="D2277" i="2"/>
  <c r="C2277" i="2"/>
  <c r="B2277" i="2"/>
  <c r="A2277" i="2"/>
  <c r="H2276" i="2"/>
  <c r="G2276" i="2"/>
  <c r="F2276" i="2"/>
  <c r="E2276" i="2"/>
  <c r="D2276" i="2"/>
  <c r="C2276" i="2"/>
  <c r="B2276" i="2"/>
  <c r="A2276" i="2"/>
  <c r="H2275" i="2"/>
  <c r="G2275" i="2"/>
  <c r="F2275" i="2"/>
  <c r="E2275" i="2"/>
  <c r="D2275" i="2"/>
  <c r="C2275" i="2"/>
  <c r="B2275" i="2"/>
  <c r="A2275" i="2"/>
  <c r="H2274" i="2"/>
  <c r="G2274" i="2"/>
  <c r="F2274" i="2"/>
  <c r="E2274" i="2"/>
  <c r="D2274" i="2"/>
  <c r="C2274" i="2"/>
  <c r="B2274" i="2"/>
  <c r="A2274" i="2"/>
  <c r="H2273" i="2"/>
  <c r="G2273" i="2"/>
  <c r="F2273" i="2"/>
  <c r="E2273" i="2"/>
  <c r="D2273" i="2"/>
  <c r="C2273" i="2"/>
  <c r="B2273" i="2"/>
  <c r="A2273" i="2"/>
  <c r="H2272" i="2"/>
  <c r="G2272" i="2"/>
  <c r="F2272" i="2"/>
  <c r="E2272" i="2"/>
  <c r="D2272" i="2"/>
  <c r="C2272" i="2"/>
  <c r="B2272" i="2"/>
  <c r="A2272" i="2"/>
  <c r="H2271" i="2"/>
  <c r="G2271" i="2"/>
  <c r="F2271" i="2"/>
  <c r="E2271" i="2"/>
  <c r="D2271" i="2"/>
  <c r="C2271" i="2"/>
  <c r="B2271" i="2"/>
  <c r="A2271" i="2"/>
  <c r="H2270" i="2"/>
  <c r="G2270" i="2"/>
  <c r="F2270" i="2"/>
  <c r="E2270" i="2"/>
  <c r="D2270" i="2"/>
  <c r="C2270" i="2"/>
  <c r="B2270" i="2"/>
  <c r="A2270" i="2"/>
  <c r="H2269" i="2"/>
  <c r="G2269" i="2"/>
  <c r="F2269" i="2"/>
  <c r="E2269" i="2"/>
  <c r="D2269" i="2"/>
  <c r="C2269" i="2"/>
  <c r="B2269" i="2"/>
  <c r="A2269" i="2"/>
  <c r="H2268" i="2"/>
  <c r="G2268" i="2"/>
  <c r="F2268" i="2"/>
  <c r="E2268" i="2"/>
  <c r="D2268" i="2"/>
  <c r="C2268" i="2"/>
  <c r="B2268" i="2"/>
  <c r="A2268" i="2"/>
  <c r="H2267" i="2"/>
  <c r="G2267" i="2"/>
  <c r="F2267" i="2"/>
  <c r="E2267" i="2"/>
  <c r="D2267" i="2"/>
  <c r="C2267" i="2"/>
  <c r="B2267" i="2"/>
  <c r="A2267" i="2"/>
  <c r="H2266" i="2"/>
  <c r="G2266" i="2"/>
  <c r="F2266" i="2"/>
  <c r="E2266" i="2"/>
  <c r="D2266" i="2"/>
  <c r="C2266" i="2"/>
  <c r="B2266" i="2"/>
  <c r="A2266" i="2"/>
  <c r="H2265" i="2"/>
  <c r="G2265" i="2"/>
  <c r="F2265" i="2"/>
  <c r="E2265" i="2"/>
  <c r="D2265" i="2"/>
  <c r="C2265" i="2"/>
  <c r="B2265" i="2"/>
  <c r="A2265" i="2"/>
  <c r="H2264" i="2"/>
  <c r="G2264" i="2"/>
  <c r="F2264" i="2"/>
  <c r="E2264" i="2"/>
  <c r="D2264" i="2"/>
  <c r="C2264" i="2"/>
  <c r="B2264" i="2"/>
  <c r="A2264" i="2"/>
  <c r="H2263" i="2"/>
  <c r="G2263" i="2"/>
  <c r="F2263" i="2"/>
  <c r="E2263" i="2"/>
  <c r="D2263" i="2"/>
  <c r="C2263" i="2"/>
  <c r="B2263" i="2"/>
  <c r="A2263" i="2"/>
  <c r="H2262" i="2"/>
  <c r="G2262" i="2"/>
  <c r="F2262" i="2"/>
  <c r="E2262" i="2"/>
  <c r="D2262" i="2"/>
  <c r="C2262" i="2"/>
  <c r="B2262" i="2"/>
  <c r="A2262" i="2"/>
  <c r="H2261" i="2"/>
  <c r="G2261" i="2"/>
  <c r="F2261" i="2"/>
  <c r="E2261" i="2"/>
  <c r="D2261" i="2"/>
  <c r="C2261" i="2"/>
  <c r="B2261" i="2"/>
  <c r="A2261" i="2"/>
  <c r="H2260" i="2"/>
  <c r="G2260" i="2"/>
  <c r="F2260" i="2"/>
  <c r="E2260" i="2"/>
  <c r="D2260" i="2"/>
  <c r="C2260" i="2"/>
  <c r="B2260" i="2"/>
  <c r="A2260" i="2"/>
  <c r="H2259" i="2"/>
  <c r="G2259" i="2"/>
  <c r="F2259" i="2"/>
  <c r="E2259" i="2"/>
  <c r="D2259" i="2"/>
  <c r="C2259" i="2"/>
  <c r="B2259" i="2"/>
  <c r="A2259" i="2"/>
  <c r="H2258" i="2"/>
  <c r="G2258" i="2"/>
  <c r="F2258" i="2"/>
  <c r="E2258" i="2"/>
  <c r="D2258" i="2"/>
  <c r="C2258" i="2"/>
  <c r="B2258" i="2"/>
  <c r="A2258" i="2"/>
  <c r="H2257" i="2"/>
  <c r="G2257" i="2"/>
  <c r="F2257" i="2"/>
  <c r="E2257" i="2"/>
  <c r="D2257" i="2"/>
  <c r="C2257" i="2"/>
  <c r="B2257" i="2"/>
  <c r="A2257" i="2"/>
  <c r="H2256" i="2"/>
  <c r="G2256" i="2"/>
  <c r="F2256" i="2"/>
  <c r="E2256" i="2"/>
  <c r="D2256" i="2"/>
  <c r="C2256" i="2"/>
  <c r="B2256" i="2"/>
  <c r="A2256" i="2"/>
  <c r="H2255" i="2"/>
  <c r="G2255" i="2"/>
  <c r="F2255" i="2"/>
  <c r="E2255" i="2"/>
  <c r="D2255" i="2"/>
  <c r="C2255" i="2"/>
  <c r="B2255" i="2"/>
  <c r="A2255" i="2"/>
  <c r="H2254" i="2"/>
  <c r="G2254" i="2"/>
  <c r="F2254" i="2"/>
  <c r="E2254" i="2"/>
  <c r="D2254" i="2"/>
  <c r="C2254" i="2"/>
  <c r="B2254" i="2"/>
  <c r="A2254" i="2"/>
  <c r="H2253" i="2"/>
  <c r="G2253" i="2"/>
  <c r="F2253" i="2"/>
  <c r="E2253" i="2"/>
  <c r="D2253" i="2"/>
  <c r="C2253" i="2"/>
  <c r="B2253" i="2"/>
  <c r="A2253" i="2"/>
  <c r="H2252" i="2"/>
  <c r="G2252" i="2"/>
  <c r="F2252" i="2"/>
  <c r="E2252" i="2"/>
  <c r="D2252" i="2"/>
  <c r="C2252" i="2"/>
  <c r="B2252" i="2"/>
  <c r="A2252" i="2"/>
  <c r="H2251" i="2"/>
  <c r="G2251" i="2"/>
  <c r="F2251" i="2"/>
  <c r="E2251" i="2"/>
  <c r="D2251" i="2"/>
  <c r="C2251" i="2"/>
  <c r="B2251" i="2"/>
  <c r="A2251" i="2"/>
  <c r="H2250" i="2"/>
  <c r="G2250" i="2"/>
  <c r="F2250" i="2"/>
  <c r="E2250" i="2"/>
  <c r="D2250" i="2"/>
  <c r="C2250" i="2"/>
  <c r="B2250" i="2"/>
  <c r="A2250" i="2"/>
  <c r="H2249" i="2"/>
  <c r="G2249" i="2"/>
  <c r="F2249" i="2"/>
  <c r="E2249" i="2"/>
  <c r="D2249" i="2"/>
  <c r="C2249" i="2"/>
  <c r="B2249" i="2"/>
  <c r="A2249" i="2"/>
  <c r="H2248" i="2"/>
  <c r="G2248" i="2"/>
  <c r="F2248" i="2"/>
  <c r="E2248" i="2"/>
  <c r="D2248" i="2"/>
  <c r="C2248" i="2"/>
  <c r="B2248" i="2"/>
  <c r="A2248" i="2"/>
  <c r="H2247" i="2"/>
  <c r="G2247" i="2"/>
  <c r="F2247" i="2"/>
  <c r="E2247" i="2"/>
  <c r="D2247" i="2"/>
  <c r="C2247" i="2"/>
  <c r="B2247" i="2"/>
  <c r="A2247" i="2"/>
  <c r="H2246" i="2"/>
  <c r="G2246" i="2"/>
  <c r="F2246" i="2"/>
  <c r="E2246" i="2"/>
  <c r="D2246" i="2"/>
  <c r="C2246" i="2"/>
  <c r="B2246" i="2"/>
  <c r="A2246" i="2"/>
  <c r="H2245" i="2"/>
  <c r="G2245" i="2"/>
  <c r="F2245" i="2"/>
  <c r="E2245" i="2"/>
  <c r="D2245" i="2"/>
  <c r="C2245" i="2"/>
  <c r="B2245" i="2"/>
  <c r="A2245" i="2"/>
  <c r="H2244" i="2"/>
  <c r="G2244" i="2"/>
  <c r="F2244" i="2"/>
  <c r="E2244" i="2"/>
  <c r="D2244" i="2"/>
  <c r="C2244" i="2"/>
  <c r="B2244" i="2"/>
  <c r="A2244" i="2"/>
  <c r="H2243" i="2"/>
  <c r="G2243" i="2"/>
  <c r="F2243" i="2"/>
  <c r="E2243" i="2"/>
  <c r="D2243" i="2"/>
  <c r="C2243" i="2"/>
  <c r="B2243" i="2"/>
  <c r="A2243" i="2"/>
  <c r="H2242" i="2"/>
  <c r="G2242" i="2"/>
  <c r="F2242" i="2"/>
  <c r="E2242" i="2"/>
  <c r="D2242" i="2"/>
  <c r="C2242" i="2"/>
  <c r="B2242" i="2"/>
  <c r="A2242" i="2"/>
  <c r="H2241" i="2"/>
  <c r="G2241" i="2"/>
  <c r="F2241" i="2"/>
  <c r="E2241" i="2"/>
  <c r="D2241" i="2"/>
  <c r="C2241" i="2"/>
  <c r="B2241" i="2"/>
  <c r="A2241" i="2"/>
  <c r="H2240" i="2"/>
  <c r="G2240" i="2"/>
  <c r="F2240" i="2"/>
  <c r="E2240" i="2"/>
  <c r="D2240" i="2"/>
  <c r="C2240" i="2"/>
  <c r="B2240" i="2"/>
  <c r="A2240" i="2"/>
  <c r="H2239" i="2"/>
  <c r="G2239" i="2"/>
  <c r="F2239" i="2"/>
  <c r="E2239" i="2"/>
  <c r="D2239" i="2"/>
  <c r="C2239" i="2"/>
  <c r="B2239" i="2"/>
  <c r="A2239" i="2"/>
  <c r="H2238" i="2"/>
  <c r="G2238" i="2"/>
  <c r="F2238" i="2"/>
  <c r="E2238" i="2"/>
  <c r="D2238" i="2"/>
  <c r="C2238" i="2"/>
  <c r="B2238" i="2"/>
  <c r="A2238" i="2"/>
  <c r="H2237" i="2"/>
  <c r="G2237" i="2"/>
  <c r="F2237" i="2"/>
  <c r="E2237" i="2"/>
  <c r="D2237" i="2"/>
  <c r="C2237" i="2"/>
  <c r="B2237" i="2"/>
  <c r="A2237" i="2"/>
  <c r="H2236" i="2"/>
  <c r="G2236" i="2"/>
  <c r="F2236" i="2"/>
  <c r="E2236" i="2"/>
  <c r="D2236" i="2"/>
  <c r="C2236" i="2"/>
  <c r="B2236" i="2"/>
  <c r="A2236" i="2"/>
  <c r="H2235" i="2"/>
  <c r="G2235" i="2"/>
  <c r="F2235" i="2"/>
  <c r="E2235" i="2"/>
  <c r="D2235" i="2"/>
  <c r="C2235" i="2"/>
  <c r="B2235" i="2"/>
  <c r="A2235" i="2"/>
  <c r="H2234" i="2"/>
  <c r="G2234" i="2"/>
  <c r="F2234" i="2"/>
  <c r="E2234" i="2"/>
  <c r="D2234" i="2"/>
  <c r="C2234" i="2"/>
  <c r="B2234" i="2"/>
  <c r="A2234" i="2"/>
  <c r="H2233" i="2"/>
  <c r="G2233" i="2"/>
  <c r="F2233" i="2"/>
  <c r="E2233" i="2"/>
  <c r="D2233" i="2"/>
  <c r="C2233" i="2"/>
  <c r="B2233" i="2"/>
  <c r="A2233" i="2"/>
  <c r="H2232" i="2"/>
  <c r="G2232" i="2"/>
  <c r="F2232" i="2"/>
  <c r="E2232" i="2"/>
  <c r="D2232" i="2"/>
  <c r="C2232" i="2"/>
  <c r="B2232" i="2"/>
  <c r="A2232" i="2"/>
  <c r="H2231" i="2"/>
  <c r="G2231" i="2"/>
  <c r="F2231" i="2"/>
  <c r="E2231" i="2"/>
  <c r="D2231" i="2"/>
  <c r="C2231" i="2"/>
  <c r="B2231" i="2"/>
  <c r="A2231" i="2"/>
  <c r="H2230" i="2"/>
  <c r="G2230" i="2"/>
  <c r="F2230" i="2"/>
  <c r="E2230" i="2"/>
  <c r="D2230" i="2"/>
  <c r="C2230" i="2"/>
  <c r="B2230" i="2"/>
  <c r="A2230" i="2"/>
  <c r="H2229" i="2"/>
  <c r="G2229" i="2"/>
  <c r="F2229" i="2"/>
  <c r="E2229" i="2"/>
  <c r="D2229" i="2"/>
  <c r="C2229" i="2"/>
  <c r="B2229" i="2"/>
  <c r="A2229" i="2"/>
  <c r="H2228" i="2"/>
  <c r="G2228" i="2"/>
  <c r="F2228" i="2"/>
  <c r="E2228" i="2"/>
  <c r="D2228" i="2"/>
  <c r="C2228" i="2"/>
  <c r="B2228" i="2"/>
  <c r="A2228" i="2"/>
  <c r="H2227" i="2"/>
  <c r="G2227" i="2"/>
  <c r="F2227" i="2"/>
  <c r="E2227" i="2"/>
  <c r="D2227" i="2"/>
  <c r="C2227" i="2"/>
  <c r="B2227" i="2"/>
  <c r="A2227" i="2"/>
  <c r="H2226" i="2"/>
  <c r="G2226" i="2"/>
  <c r="F2226" i="2"/>
  <c r="E2226" i="2"/>
  <c r="D2226" i="2"/>
  <c r="C2226" i="2"/>
  <c r="B2226" i="2"/>
  <c r="A2226" i="2"/>
  <c r="H2225" i="2"/>
  <c r="G2225" i="2"/>
  <c r="F2225" i="2"/>
  <c r="E2225" i="2"/>
  <c r="D2225" i="2"/>
  <c r="C2225" i="2"/>
  <c r="B2225" i="2"/>
  <c r="A2225" i="2"/>
  <c r="H2224" i="2"/>
  <c r="G2224" i="2"/>
  <c r="F2224" i="2"/>
  <c r="E2224" i="2"/>
  <c r="D2224" i="2"/>
  <c r="C2224" i="2"/>
  <c r="B2224" i="2"/>
  <c r="A2224" i="2"/>
  <c r="H2223" i="2"/>
  <c r="G2223" i="2"/>
  <c r="F2223" i="2"/>
  <c r="E2223" i="2"/>
  <c r="D2223" i="2"/>
  <c r="C2223" i="2"/>
  <c r="B2223" i="2"/>
  <c r="A2223" i="2"/>
  <c r="H2222" i="2"/>
  <c r="G2222" i="2"/>
  <c r="F2222" i="2"/>
  <c r="E2222" i="2"/>
  <c r="D2222" i="2"/>
  <c r="C2222" i="2"/>
  <c r="B2222" i="2"/>
  <c r="A2222" i="2"/>
  <c r="H2221" i="2"/>
  <c r="G2221" i="2"/>
  <c r="F2221" i="2"/>
  <c r="E2221" i="2"/>
  <c r="D2221" i="2"/>
  <c r="C2221" i="2"/>
  <c r="B2221" i="2"/>
  <c r="A2221" i="2"/>
  <c r="H2220" i="2"/>
  <c r="G2220" i="2"/>
  <c r="F2220" i="2"/>
  <c r="E2220" i="2"/>
  <c r="D2220" i="2"/>
  <c r="C2220" i="2"/>
  <c r="B2220" i="2"/>
  <c r="A2220" i="2"/>
  <c r="H2219" i="2"/>
  <c r="G2219" i="2"/>
  <c r="F2219" i="2"/>
  <c r="E2219" i="2"/>
  <c r="D2219" i="2"/>
  <c r="C2219" i="2"/>
  <c r="B2219" i="2"/>
  <c r="A2219" i="2"/>
  <c r="H2218" i="2"/>
  <c r="G2218" i="2"/>
  <c r="F2218" i="2"/>
  <c r="E2218" i="2"/>
  <c r="D2218" i="2"/>
  <c r="C2218" i="2"/>
  <c r="B2218" i="2"/>
  <c r="A2218" i="2"/>
  <c r="H2217" i="2"/>
  <c r="G2217" i="2"/>
  <c r="F2217" i="2"/>
  <c r="E2217" i="2"/>
  <c r="D2217" i="2"/>
  <c r="C2217" i="2"/>
  <c r="B2217" i="2"/>
  <c r="A2217" i="2"/>
  <c r="H2216" i="2"/>
  <c r="G2216" i="2"/>
  <c r="F2216" i="2"/>
  <c r="E2216" i="2"/>
  <c r="D2216" i="2"/>
  <c r="C2216" i="2"/>
  <c r="B2216" i="2"/>
  <c r="A2216" i="2"/>
  <c r="H2215" i="2"/>
  <c r="G2215" i="2"/>
  <c r="F2215" i="2"/>
  <c r="E2215" i="2"/>
  <c r="D2215" i="2"/>
  <c r="C2215" i="2"/>
  <c r="B2215" i="2"/>
  <c r="A2215" i="2"/>
  <c r="H2214" i="2"/>
  <c r="G2214" i="2"/>
  <c r="F2214" i="2"/>
  <c r="E2214" i="2"/>
  <c r="D2214" i="2"/>
  <c r="C2214" i="2"/>
  <c r="B2214" i="2"/>
  <c r="A2214" i="2"/>
  <c r="H2213" i="2"/>
  <c r="G2213" i="2"/>
  <c r="F2213" i="2"/>
  <c r="E2213" i="2"/>
  <c r="D2213" i="2"/>
  <c r="C2213" i="2"/>
  <c r="B2213" i="2"/>
  <c r="A2213" i="2"/>
  <c r="H2212" i="2"/>
  <c r="G2212" i="2"/>
  <c r="F2212" i="2"/>
  <c r="E2212" i="2"/>
  <c r="D2212" i="2"/>
  <c r="C2212" i="2"/>
  <c r="B2212" i="2"/>
  <c r="A2212" i="2"/>
  <c r="H2211" i="2"/>
  <c r="G2211" i="2"/>
  <c r="F2211" i="2"/>
  <c r="E2211" i="2"/>
  <c r="D2211" i="2"/>
  <c r="C2211" i="2"/>
  <c r="B2211" i="2"/>
  <c r="A2211" i="2"/>
  <c r="H2210" i="2"/>
  <c r="G2210" i="2"/>
  <c r="F2210" i="2"/>
  <c r="E2210" i="2"/>
  <c r="D2210" i="2"/>
  <c r="C2210" i="2"/>
  <c r="B2210" i="2"/>
  <c r="A2210" i="2"/>
  <c r="H2209" i="2"/>
  <c r="G2209" i="2"/>
  <c r="F2209" i="2"/>
  <c r="E2209" i="2"/>
  <c r="D2209" i="2"/>
  <c r="C2209" i="2"/>
  <c r="B2209" i="2"/>
  <c r="A2209" i="2"/>
  <c r="H2208" i="2"/>
  <c r="G2208" i="2"/>
  <c r="F2208" i="2"/>
  <c r="E2208" i="2"/>
  <c r="D2208" i="2"/>
  <c r="C2208" i="2"/>
  <c r="B2208" i="2"/>
  <c r="A2208" i="2"/>
  <c r="H2207" i="2"/>
  <c r="G2207" i="2"/>
  <c r="F2207" i="2"/>
  <c r="E2207" i="2"/>
  <c r="D2207" i="2"/>
  <c r="C2207" i="2"/>
  <c r="B2207" i="2"/>
  <c r="A2207" i="2"/>
  <c r="H2206" i="2"/>
  <c r="G2206" i="2"/>
  <c r="F2206" i="2"/>
  <c r="E2206" i="2"/>
  <c r="D2206" i="2"/>
  <c r="C2206" i="2"/>
  <c r="B2206" i="2"/>
  <c r="A2206" i="2"/>
  <c r="H2205" i="2"/>
  <c r="G2205" i="2"/>
  <c r="F2205" i="2"/>
  <c r="E2205" i="2"/>
  <c r="D2205" i="2"/>
  <c r="C2205" i="2"/>
  <c r="B2205" i="2"/>
  <c r="A2205" i="2"/>
  <c r="H2204" i="2"/>
  <c r="G2204" i="2"/>
  <c r="F2204" i="2"/>
  <c r="E2204" i="2"/>
  <c r="D2204" i="2"/>
  <c r="C2204" i="2"/>
  <c r="B2204" i="2"/>
  <c r="A2204" i="2"/>
  <c r="H2203" i="2"/>
  <c r="G2203" i="2"/>
  <c r="F2203" i="2"/>
  <c r="E2203" i="2"/>
  <c r="D2203" i="2"/>
  <c r="C2203" i="2"/>
  <c r="B2203" i="2"/>
  <c r="A2203" i="2"/>
  <c r="H2202" i="2"/>
  <c r="G2202" i="2"/>
  <c r="F2202" i="2"/>
  <c r="E2202" i="2"/>
  <c r="D2202" i="2"/>
  <c r="C2202" i="2"/>
  <c r="B2202" i="2"/>
  <c r="A2202" i="2"/>
  <c r="H2201" i="2"/>
  <c r="G2201" i="2"/>
  <c r="F2201" i="2"/>
  <c r="E2201" i="2"/>
  <c r="D2201" i="2"/>
  <c r="C2201" i="2"/>
  <c r="B2201" i="2"/>
  <c r="A2201" i="2"/>
  <c r="H2200" i="2"/>
  <c r="G2200" i="2"/>
  <c r="F2200" i="2"/>
  <c r="E2200" i="2"/>
  <c r="D2200" i="2"/>
  <c r="C2200" i="2"/>
  <c r="B2200" i="2"/>
  <c r="A2200" i="2"/>
  <c r="H2199" i="2"/>
  <c r="G2199" i="2"/>
  <c r="F2199" i="2"/>
  <c r="E2199" i="2"/>
  <c r="D2199" i="2"/>
  <c r="C2199" i="2"/>
  <c r="B2199" i="2"/>
  <c r="A2199" i="2"/>
  <c r="H2198" i="2"/>
  <c r="G2198" i="2"/>
  <c r="F2198" i="2"/>
  <c r="E2198" i="2"/>
  <c r="D2198" i="2"/>
  <c r="C2198" i="2"/>
  <c r="B2198" i="2"/>
  <c r="A2198" i="2"/>
  <c r="H2197" i="2"/>
  <c r="G2197" i="2"/>
  <c r="F2197" i="2"/>
  <c r="E2197" i="2"/>
  <c r="D2197" i="2"/>
  <c r="C2197" i="2"/>
  <c r="B2197" i="2"/>
  <c r="A2197" i="2"/>
  <c r="H2196" i="2"/>
  <c r="G2196" i="2"/>
  <c r="F2196" i="2"/>
  <c r="E2196" i="2"/>
  <c r="D2196" i="2"/>
  <c r="C2196" i="2"/>
  <c r="B2196" i="2"/>
  <c r="A2196" i="2"/>
  <c r="H2195" i="2"/>
  <c r="G2195" i="2"/>
  <c r="F2195" i="2"/>
  <c r="E2195" i="2"/>
  <c r="D2195" i="2"/>
  <c r="C2195" i="2"/>
  <c r="B2195" i="2"/>
  <c r="A2195" i="2"/>
  <c r="H2194" i="2"/>
  <c r="G2194" i="2"/>
  <c r="F2194" i="2"/>
  <c r="E2194" i="2"/>
  <c r="D2194" i="2"/>
  <c r="C2194" i="2"/>
  <c r="B2194" i="2"/>
  <c r="A2194" i="2"/>
  <c r="H2193" i="2"/>
  <c r="G2193" i="2"/>
  <c r="F2193" i="2"/>
  <c r="E2193" i="2"/>
  <c r="D2193" i="2"/>
  <c r="C2193" i="2"/>
  <c r="B2193" i="2"/>
  <c r="A2193" i="2"/>
  <c r="H2192" i="2"/>
  <c r="G2192" i="2"/>
  <c r="F2192" i="2"/>
  <c r="E2192" i="2"/>
  <c r="D2192" i="2"/>
  <c r="C2192" i="2"/>
  <c r="B2192" i="2"/>
  <c r="A2192" i="2"/>
  <c r="H2191" i="2"/>
  <c r="G2191" i="2"/>
  <c r="F2191" i="2"/>
  <c r="E2191" i="2"/>
  <c r="D2191" i="2"/>
  <c r="C2191" i="2"/>
  <c r="B2191" i="2"/>
  <c r="A2191" i="2"/>
  <c r="H2190" i="2"/>
  <c r="G2190" i="2"/>
  <c r="F2190" i="2"/>
  <c r="E2190" i="2"/>
  <c r="D2190" i="2"/>
  <c r="C2190" i="2"/>
  <c r="B2190" i="2"/>
  <c r="A2190" i="2"/>
  <c r="H2189" i="2"/>
  <c r="G2189" i="2"/>
  <c r="F2189" i="2"/>
  <c r="E2189" i="2"/>
  <c r="D2189" i="2"/>
  <c r="C2189" i="2"/>
  <c r="B2189" i="2"/>
  <c r="A2189" i="2"/>
  <c r="H2188" i="2"/>
  <c r="G2188" i="2"/>
  <c r="F2188" i="2"/>
  <c r="E2188" i="2"/>
  <c r="D2188" i="2"/>
  <c r="C2188" i="2"/>
  <c r="B2188" i="2"/>
  <c r="A2188" i="2"/>
  <c r="H2187" i="2"/>
  <c r="G2187" i="2"/>
  <c r="F2187" i="2"/>
  <c r="E2187" i="2"/>
  <c r="D2187" i="2"/>
  <c r="C2187" i="2"/>
  <c r="B2187" i="2"/>
  <c r="A2187" i="2"/>
  <c r="H2186" i="2"/>
  <c r="G2186" i="2"/>
  <c r="F2186" i="2"/>
  <c r="E2186" i="2"/>
  <c r="D2186" i="2"/>
  <c r="C2186" i="2"/>
  <c r="B2186" i="2"/>
  <c r="A2186" i="2"/>
  <c r="H2185" i="2"/>
  <c r="G2185" i="2"/>
  <c r="F2185" i="2"/>
  <c r="E2185" i="2"/>
  <c r="D2185" i="2"/>
  <c r="C2185" i="2"/>
  <c r="B2185" i="2"/>
  <c r="A2185" i="2"/>
  <c r="H2184" i="2"/>
  <c r="G2184" i="2"/>
  <c r="F2184" i="2"/>
  <c r="E2184" i="2"/>
  <c r="D2184" i="2"/>
  <c r="C2184" i="2"/>
  <c r="B2184" i="2"/>
  <c r="A2184" i="2"/>
  <c r="H2183" i="2"/>
  <c r="G2183" i="2"/>
  <c r="F2183" i="2"/>
  <c r="E2183" i="2"/>
  <c r="D2183" i="2"/>
  <c r="C2183" i="2"/>
  <c r="B2183" i="2"/>
  <c r="A2183" i="2"/>
  <c r="H2182" i="2"/>
  <c r="G2182" i="2"/>
  <c r="F2182" i="2"/>
  <c r="E2182" i="2"/>
  <c r="D2182" i="2"/>
  <c r="C2182" i="2"/>
  <c r="B2182" i="2"/>
  <c r="A2182" i="2"/>
  <c r="H2181" i="2"/>
  <c r="G2181" i="2"/>
  <c r="F2181" i="2"/>
  <c r="E2181" i="2"/>
  <c r="D2181" i="2"/>
  <c r="C2181" i="2"/>
  <c r="B2181" i="2"/>
  <c r="A2181" i="2"/>
  <c r="H2180" i="2"/>
  <c r="G2180" i="2"/>
  <c r="F2180" i="2"/>
  <c r="E2180" i="2"/>
  <c r="D2180" i="2"/>
  <c r="C2180" i="2"/>
  <c r="B2180" i="2"/>
  <c r="A2180" i="2"/>
  <c r="H2179" i="2"/>
  <c r="G2179" i="2"/>
  <c r="F2179" i="2"/>
  <c r="E2179" i="2"/>
  <c r="D2179" i="2"/>
  <c r="C2179" i="2"/>
  <c r="B2179" i="2"/>
  <c r="A2179" i="2"/>
  <c r="H2178" i="2"/>
  <c r="G2178" i="2"/>
  <c r="F2178" i="2"/>
  <c r="E2178" i="2"/>
  <c r="D2178" i="2"/>
  <c r="C2178" i="2"/>
  <c r="B2178" i="2"/>
  <c r="A2178" i="2"/>
  <c r="H2177" i="2"/>
  <c r="G2177" i="2"/>
  <c r="F2177" i="2"/>
  <c r="E2177" i="2"/>
  <c r="D2177" i="2"/>
  <c r="C2177" i="2"/>
  <c r="B2177" i="2"/>
  <c r="A2177" i="2"/>
  <c r="H2176" i="2"/>
  <c r="G2176" i="2"/>
  <c r="F2176" i="2"/>
  <c r="E2176" i="2"/>
  <c r="D2176" i="2"/>
  <c r="C2176" i="2"/>
  <c r="B2176" i="2"/>
  <c r="A2176" i="2"/>
  <c r="H2175" i="2"/>
  <c r="G2175" i="2"/>
  <c r="F2175" i="2"/>
  <c r="E2175" i="2"/>
  <c r="D2175" i="2"/>
  <c r="C2175" i="2"/>
  <c r="B2175" i="2"/>
  <c r="A2175" i="2"/>
  <c r="H2174" i="2"/>
  <c r="G2174" i="2"/>
  <c r="F2174" i="2"/>
  <c r="E2174" i="2"/>
  <c r="D2174" i="2"/>
  <c r="C2174" i="2"/>
  <c r="B2174" i="2"/>
  <c r="A2174" i="2"/>
  <c r="H2173" i="2"/>
  <c r="G2173" i="2"/>
  <c r="F2173" i="2"/>
  <c r="E2173" i="2"/>
  <c r="D2173" i="2"/>
  <c r="C2173" i="2"/>
  <c r="B2173" i="2"/>
  <c r="A2173" i="2"/>
  <c r="H2172" i="2"/>
  <c r="G2172" i="2"/>
  <c r="F2172" i="2"/>
  <c r="E2172" i="2"/>
  <c r="D2172" i="2"/>
  <c r="C2172" i="2"/>
  <c r="B2172" i="2"/>
  <c r="A2172" i="2"/>
  <c r="H2171" i="2"/>
  <c r="G2171" i="2"/>
  <c r="F2171" i="2"/>
  <c r="E2171" i="2"/>
  <c r="D2171" i="2"/>
  <c r="C2171" i="2"/>
  <c r="B2171" i="2"/>
  <c r="A2171" i="2"/>
  <c r="H2170" i="2"/>
  <c r="G2170" i="2"/>
  <c r="F2170" i="2"/>
  <c r="E2170" i="2"/>
  <c r="D2170" i="2"/>
  <c r="C2170" i="2"/>
  <c r="B2170" i="2"/>
  <c r="A2170" i="2"/>
  <c r="H2169" i="2"/>
  <c r="G2169" i="2"/>
  <c r="F2169" i="2"/>
  <c r="E2169" i="2"/>
  <c r="D2169" i="2"/>
  <c r="C2169" i="2"/>
  <c r="B2169" i="2"/>
  <c r="A2169" i="2"/>
  <c r="H2168" i="2"/>
  <c r="G2168" i="2"/>
  <c r="F2168" i="2"/>
  <c r="E2168" i="2"/>
  <c r="D2168" i="2"/>
  <c r="C2168" i="2"/>
  <c r="B2168" i="2"/>
  <c r="A2168" i="2"/>
  <c r="H2167" i="2"/>
  <c r="G2167" i="2"/>
  <c r="F2167" i="2"/>
  <c r="E2167" i="2"/>
  <c r="D2167" i="2"/>
  <c r="C2167" i="2"/>
  <c r="B2167" i="2"/>
  <c r="A2167" i="2"/>
  <c r="H2166" i="2"/>
  <c r="G2166" i="2"/>
  <c r="F2166" i="2"/>
  <c r="E2166" i="2"/>
  <c r="D2166" i="2"/>
  <c r="C2166" i="2"/>
  <c r="B2166" i="2"/>
  <c r="A2166" i="2"/>
  <c r="H2165" i="2"/>
  <c r="G2165" i="2"/>
  <c r="F2165" i="2"/>
  <c r="E2165" i="2"/>
  <c r="D2165" i="2"/>
  <c r="C2165" i="2"/>
  <c r="B2165" i="2"/>
  <c r="A2165" i="2"/>
  <c r="H2164" i="2"/>
  <c r="G2164" i="2"/>
  <c r="F2164" i="2"/>
  <c r="E2164" i="2"/>
  <c r="D2164" i="2"/>
  <c r="C2164" i="2"/>
  <c r="B2164" i="2"/>
  <c r="A2164" i="2"/>
  <c r="H2163" i="2"/>
  <c r="G2163" i="2"/>
  <c r="F2163" i="2"/>
  <c r="E2163" i="2"/>
  <c r="D2163" i="2"/>
  <c r="C2163" i="2"/>
  <c r="B2163" i="2"/>
  <c r="A2163" i="2"/>
  <c r="H2162" i="2"/>
  <c r="G2162" i="2"/>
  <c r="F2162" i="2"/>
  <c r="E2162" i="2"/>
  <c r="D2162" i="2"/>
  <c r="C2162" i="2"/>
  <c r="B2162" i="2"/>
  <c r="A2162" i="2"/>
  <c r="H2161" i="2"/>
  <c r="G2161" i="2"/>
  <c r="F2161" i="2"/>
  <c r="E2161" i="2"/>
  <c r="D2161" i="2"/>
  <c r="C2161" i="2"/>
  <c r="B2161" i="2"/>
  <c r="A2161" i="2"/>
  <c r="H2160" i="2"/>
  <c r="G2160" i="2"/>
  <c r="F2160" i="2"/>
  <c r="E2160" i="2"/>
  <c r="D2160" i="2"/>
  <c r="C2160" i="2"/>
  <c r="B2160" i="2"/>
  <c r="A2160" i="2"/>
  <c r="H2159" i="2"/>
  <c r="G2159" i="2"/>
  <c r="F2159" i="2"/>
  <c r="E2159" i="2"/>
  <c r="D2159" i="2"/>
  <c r="C2159" i="2"/>
  <c r="B2159" i="2"/>
  <c r="A2159" i="2"/>
  <c r="H2158" i="2"/>
  <c r="G2158" i="2"/>
  <c r="F2158" i="2"/>
  <c r="E2158" i="2"/>
  <c r="D2158" i="2"/>
  <c r="C2158" i="2"/>
  <c r="B2158" i="2"/>
  <c r="A2158" i="2"/>
  <c r="H2157" i="2"/>
  <c r="G2157" i="2"/>
  <c r="F2157" i="2"/>
  <c r="E2157" i="2"/>
  <c r="D2157" i="2"/>
  <c r="C2157" i="2"/>
  <c r="B2157" i="2"/>
  <c r="A2157" i="2"/>
  <c r="H2156" i="2"/>
  <c r="G2156" i="2"/>
  <c r="F2156" i="2"/>
  <c r="E2156" i="2"/>
  <c r="D2156" i="2"/>
  <c r="C2156" i="2"/>
  <c r="B2156" i="2"/>
  <c r="A2156" i="2"/>
  <c r="H2155" i="2"/>
  <c r="G2155" i="2"/>
  <c r="F2155" i="2"/>
  <c r="E2155" i="2"/>
  <c r="D2155" i="2"/>
  <c r="C2155" i="2"/>
  <c r="B2155" i="2"/>
  <c r="A2155" i="2"/>
  <c r="H2154" i="2"/>
  <c r="G2154" i="2"/>
  <c r="F2154" i="2"/>
  <c r="E2154" i="2"/>
  <c r="D2154" i="2"/>
  <c r="C2154" i="2"/>
  <c r="B2154" i="2"/>
  <c r="A2154" i="2"/>
  <c r="H2153" i="2"/>
  <c r="G2153" i="2"/>
  <c r="F2153" i="2"/>
  <c r="E2153" i="2"/>
  <c r="D2153" i="2"/>
  <c r="C2153" i="2"/>
  <c r="B2153" i="2"/>
  <c r="A2153" i="2"/>
  <c r="H2152" i="2"/>
  <c r="G2152" i="2"/>
  <c r="F2152" i="2"/>
  <c r="E2152" i="2"/>
  <c r="D2152" i="2"/>
  <c r="C2152" i="2"/>
  <c r="B2152" i="2"/>
  <c r="A2152" i="2"/>
  <c r="H2151" i="2"/>
  <c r="G2151" i="2"/>
  <c r="F2151" i="2"/>
  <c r="E2151" i="2"/>
  <c r="D2151" i="2"/>
  <c r="C2151" i="2"/>
  <c r="B2151" i="2"/>
  <c r="A2151" i="2"/>
  <c r="H2150" i="2"/>
  <c r="G2150" i="2"/>
  <c r="F2150" i="2"/>
  <c r="E2150" i="2"/>
  <c r="D2150" i="2"/>
  <c r="C2150" i="2"/>
  <c r="B2150" i="2"/>
  <c r="A2150" i="2"/>
  <c r="H2149" i="2"/>
  <c r="G2149" i="2"/>
  <c r="F2149" i="2"/>
  <c r="E2149" i="2"/>
  <c r="D2149" i="2"/>
  <c r="C2149" i="2"/>
  <c r="B2149" i="2"/>
  <c r="A2149" i="2"/>
  <c r="H2148" i="2"/>
  <c r="G2148" i="2"/>
  <c r="F2148" i="2"/>
  <c r="E2148" i="2"/>
  <c r="D2148" i="2"/>
  <c r="C2148" i="2"/>
  <c r="B2148" i="2"/>
  <c r="A2148" i="2"/>
  <c r="H2147" i="2"/>
  <c r="G2147" i="2"/>
  <c r="F2147" i="2"/>
  <c r="E2147" i="2"/>
  <c r="D2147" i="2"/>
  <c r="C2147" i="2"/>
  <c r="B2147" i="2"/>
  <c r="A2147" i="2"/>
  <c r="H2146" i="2"/>
  <c r="G2146" i="2"/>
  <c r="F2146" i="2"/>
  <c r="E2146" i="2"/>
  <c r="D2146" i="2"/>
  <c r="C2146" i="2"/>
  <c r="B2146" i="2"/>
  <c r="A2146" i="2"/>
  <c r="H2145" i="2"/>
  <c r="G2145" i="2"/>
  <c r="F2145" i="2"/>
  <c r="E2145" i="2"/>
  <c r="D2145" i="2"/>
  <c r="C2145" i="2"/>
  <c r="B2145" i="2"/>
  <c r="A2145" i="2"/>
  <c r="H2144" i="2"/>
  <c r="G2144" i="2"/>
  <c r="F2144" i="2"/>
  <c r="E2144" i="2"/>
  <c r="D2144" i="2"/>
  <c r="C2144" i="2"/>
  <c r="B2144" i="2"/>
  <c r="A2144" i="2"/>
  <c r="H2143" i="2"/>
  <c r="G2143" i="2"/>
  <c r="F2143" i="2"/>
  <c r="E2143" i="2"/>
  <c r="D2143" i="2"/>
  <c r="C2143" i="2"/>
  <c r="B2143" i="2"/>
  <c r="A2143" i="2"/>
  <c r="H2142" i="2"/>
  <c r="G2142" i="2"/>
  <c r="F2142" i="2"/>
  <c r="E2142" i="2"/>
  <c r="D2142" i="2"/>
  <c r="C2142" i="2"/>
  <c r="B2142" i="2"/>
  <c r="A2142" i="2"/>
  <c r="H2141" i="2"/>
  <c r="G2141" i="2"/>
  <c r="F2141" i="2"/>
  <c r="E2141" i="2"/>
  <c r="D2141" i="2"/>
  <c r="C2141" i="2"/>
  <c r="B2141" i="2"/>
  <c r="A2141" i="2"/>
  <c r="H2140" i="2"/>
  <c r="G2140" i="2"/>
  <c r="F2140" i="2"/>
  <c r="E2140" i="2"/>
  <c r="D2140" i="2"/>
  <c r="C2140" i="2"/>
  <c r="B2140" i="2"/>
  <c r="A2140" i="2"/>
  <c r="H2139" i="2"/>
  <c r="G2139" i="2"/>
  <c r="F2139" i="2"/>
  <c r="E2139" i="2"/>
  <c r="D2139" i="2"/>
  <c r="C2139" i="2"/>
  <c r="B2139" i="2"/>
  <c r="A2139" i="2"/>
  <c r="H2138" i="2"/>
  <c r="G2138" i="2"/>
  <c r="F2138" i="2"/>
  <c r="E2138" i="2"/>
  <c r="D2138" i="2"/>
  <c r="C2138" i="2"/>
  <c r="B2138" i="2"/>
  <c r="A2138" i="2"/>
  <c r="H2137" i="2"/>
  <c r="G2137" i="2"/>
  <c r="F2137" i="2"/>
  <c r="E2137" i="2"/>
  <c r="D2137" i="2"/>
  <c r="C2137" i="2"/>
  <c r="B2137" i="2"/>
  <c r="A2137" i="2"/>
  <c r="H2136" i="2"/>
  <c r="G2136" i="2"/>
  <c r="F2136" i="2"/>
  <c r="E2136" i="2"/>
  <c r="D2136" i="2"/>
  <c r="C2136" i="2"/>
  <c r="B2136" i="2"/>
  <c r="A2136" i="2"/>
  <c r="H2135" i="2"/>
  <c r="G2135" i="2"/>
  <c r="F2135" i="2"/>
  <c r="E2135" i="2"/>
  <c r="D2135" i="2"/>
  <c r="C2135" i="2"/>
  <c r="B2135" i="2"/>
  <c r="A2135" i="2"/>
  <c r="H2134" i="2"/>
  <c r="G2134" i="2"/>
  <c r="F2134" i="2"/>
  <c r="E2134" i="2"/>
  <c r="D2134" i="2"/>
  <c r="C2134" i="2"/>
  <c r="B2134" i="2"/>
  <c r="A2134" i="2"/>
  <c r="H2133" i="2"/>
  <c r="G2133" i="2"/>
  <c r="F2133" i="2"/>
  <c r="E2133" i="2"/>
  <c r="D2133" i="2"/>
  <c r="C2133" i="2"/>
  <c r="B2133" i="2"/>
  <c r="A2133" i="2"/>
  <c r="H2132" i="2"/>
  <c r="G2132" i="2"/>
  <c r="F2132" i="2"/>
  <c r="E2132" i="2"/>
  <c r="D2132" i="2"/>
  <c r="C2132" i="2"/>
  <c r="B2132" i="2"/>
  <c r="A2132" i="2"/>
  <c r="H2131" i="2"/>
  <c r="G2131" i="2"/>
  <c r="F2131" i="2"/>
  <c r="E2131" i="2"/>
  <c r="D2131" i="2"/>
  <c r="C2131" i="2"/>
  <c r="B2131" i="2"/>
  <c r="A2131" i="2"/>
  <c r="H2130" i="2"/>
  <c r="G2130" i="2"/>
  <c r="F2130" i="2"/>
  <c r="E2130" i="2"/>
  <c r="D2130" i="2"/>
  <c r="C2130" i="2"/>
  <c r="B2130" i="2"/>
  <c r="A2130" i="2"/>
  <c r="H2129" i="2"/>
  <c r="G2129" i="2"/>
  <c r="F2129" i="2"/>
  <c r="E2129" i="2"/>
  <c r="D2129" i="2"/>
  <c r="C2129" i="2"/>
  <c r="B2129" i="2"/>
  <c r="A2129" i="2"/>
  <c r="H2128" i="2"/>
  <c r="G2128" i="2"/>
  <c r="F2128" i="2"/>
  <c r="E2128" i="2"/>
  <c r="D2128" i="2"/>
  <c r="C2128" i="2"/>
  <c r="B2128" i="2"/>
  <c r="A2128" i="2"/>
  <c r="H2127" i="2"/>
  <c r="G2127" i="2"/>
  <c r="F2127" i="2"/>
  <c r="E2127" i="2"/>
  <c r="D2127" i="2"/>
  <c r="C2127" i="2"/>
  <c r="B2127" i="2"/>
  <c r="A2127" i="2"/>
  <c r="H2126" i="2"/>
  <c r="G2126" i="2"/>
  <c r="F2126" i="2"/>
  <c r="E2126" i="2"/>
  <c r="D2126" i="2"/>
  <c r="C2126" i="2"/>
  <c r="B2126" i="2"/>
  <c r="A2126" i="2"/>
  <c r="H2125" i="2"/>
  <c r="G2125" i="2"/>
  <c r="F2125" i="2"/>
  <c r="E2125" i="2"/>
  <c r="D2125" i="2"/>
  <c r="C2125" i="2"/>
  <c r="B2125" i="2"/>
  <c r="A2125" i="2"/>
  <c r="H2124" i="2"/>
  <c r="G2124" i="2"/>
  <c r="F2124" i="2"/>
  <c r="E2124" i="2"/>
  <c r="D2124" i="2"/>
  <c r="C2124" i="2"/>
  <c r="B2124" i="2"/>
  <c r="A2124" i="2"/>
  <c r="H2123" i="2"/>
  <c r="G2123" i="2"/>
  <c r="F2123" i="2"/>
  <c r="E2123" i="2"/>
  <c r="D2123" i="2"/>
  <c r="C2123" i="2"/>
  <c r="B2123" i="2"/>
  <c r="A2123" i="2"/>
  <c r="H2122" i="2"/>
  <c r="G2122" i="2"/>
  <c r="F2122" i="2"/>
  <c r="E2122" i="2"/>
  <c r="D2122" i="2"/>
  <c r="C2122" i="2"/>
  <c r="B2122" i="2"/>
  <c r="A2122" i="2"/>
  <c r="H2121" i="2"/>
  <c r="G2121" i="2"/>
  <c r="F2121" i="2"/>
  <c r="E2121" i="2"/>
  <c r="D2121" i="2"/>
  <c r="C2121" i="2"/>
  <c r="B2121" i="2"/>
  <c r="A2121" i="2"/>
  <c r="H2120" i="2"/>
  <c r="G2120" i="2"/>
  <c r="F2120" i="2"/>
  <c r="E2120" i="2"/>
  <c r="D2120" i="2"/>
  <c r="C2120" i="2"/>
  <c r="B2120" i="2"/>
  <c r="A2120" i="2"/>
  <c r="H2119" i="2"/>
  <c r="G2119" i="2"/>
  <c r="F2119" i="2"/>
  <c r="E2119" i="2"/>
  <c r="D2119" i="2"/>
  <c r="C2119" i="2"/>
  <c r="B2119" i="2"/>
  <c r="A2119" i="2"/>
  <c r="H2118" i="2"/>
  <c r="G2118" i="2"/>
  <c r="F2118" i="2"/>
  <c r="E2118" i="2"/>
  <c r="D2118" i="2"/>
  <c r="C2118" i="2"/>
  <c r="B2118" i="2"/>
  <c r="A2118" i="2"/>
  <c r="H2117" i="2"/>
  <c r="G2117" i="2"/>
  <c r="F2117" i="2"/>
  <c r="E2117" i="2"/>
  <c r="D2117" i="2"/>
  <c r="C2117" i="2"/>
  <c r="B2117" i="2"/>
  <c r="A2117" i="2"/>
  <c r="H2116" i="2"/>
  <c r="G2116" i="2"/>
  <c r="F2116" i="2"/>
  <c r="E2116" i="2"/>
  <c r="D2116" i="2"/>
  <c r="C2116" i="2"/>
  <c r="B2116" i="2"/>
  <c r="A2116" i="2"/>
  <c r="H2115" i="2"/>
  <c r="G2115" i="2"/>
  <c r="F2115" i="2"/>
  <c r="E2115" i="2"/>
  <c r="D2115" i="2"/>
  <c r="C2115" i="2"/>
  <c r="B2115" i="2"/>
  <c r="A2115" i="2"/>
  <c r="H2114" i="2"/>
  <c r="G2114" i="2"/>
  <c r="F2114" i="2"/>
  <c r="E2114" i="2"/>
  <c r="D2114" i="2"/>
  <c r="C2114" i="2"/>
  <c r="B2114" i="2"/>
  <c r="A2114" i="2"/>
  <c r="H2113" i="2"/>
  <c r="G2113" i="2"/>
  <c r="F2113" i="2"/>
  <c r="E2113" i="2"/>
  <c r="D2113" i="2"/>
  <c r="C2113" i="2"/>
  <c r="B2113" i="2"/>
  <c r="A2113" i="2"/>
  <c r="H2112" i="2"/>
  <c r="G2112" i="2"/>
  <c r="F2112" i="2"/>
  <c r="E2112" i="2"/>
  <c r="D2112" i="2"/>
  <c r="C2112" i="2"/>
  <c r="B2112" i="2"/>
  <c r="A2112" i="2"/>
  <c r="H2111" i="2"/>
  <c r="G2111" i="2"/>
  <c r="F2111" i="2"/>
  <c r="E2111" i="2"/>
  <c r="D2111" i="2"/>
  <c r="C2111" i="2"/>
  <c r="B2111" i="2"/>
  <c r="A2111" i="2"/>
  <c r="H2110" i="2"/>
  <c r="G2110" i="2"/>
  <c r="F2110" i="2"/>
  <c r="E2110" i="2"/>
  <c r="D2110" i="2"/>
  <c r="C2110" i="2"/>
  <c r="B2110" i="2"/>
  <c r="A2110" i="2"/>
  <c r="H2109" i="2"/>
  <c r="G2109" i="2"/>
  <c r="F2109" i="2"/>
  <c r="E2109" i="2"/>
  <c r="D2109" i="2"/>
  <c r="C2109" i="2"/>
  <c r="B2109" i="2"/>
  <c r="A2109" i="2"/>
  <c r="H2108" i="2"/>
  <c r="G2108" i="2"/>
  <c r="F2108" i="2"/>
  <c r="E2108" i="2"/>
  <c r="D2108" i="2"/>
  <c r="C2108" i="2"/>
  <c r="B2108" i="2"/>
  <c r="A2108" i="2"/>
  <c r="H2107" i="2"/>
  <c r="G2107" i="2"/>
  <c r="F2107" i="2"/>
  <c r="E2107" i="2"/>
  <c r="D2107" i="2"/>
  <c r="C2107" i="2"/>
  <c r="B2107" i="2"/>
  <c r="A2107" i="2"/>
  <c r="H2106" i="2"/>
  <c r="G2106" i="2"/>
  <c r="F2106" i="2"/>
  <c r="E2106" i="2"/>
  <c r="D2106" i="2"/>
  <c r="C2106" i="2"/>
  <c r="B2106" i="2"/>
  <c r="A2106" i="2"/>
  <c r="H2105" i="2"/>
  <c r="G2105" i="2"/>
  <c r="F2105" i="2"/>
  <c r="E2105" i="2"/>
  <c r="D2105" i="2"/>
  <c r="C2105" i="2"/>
  <c r="B2105" i="2"/>
  <c r="A2105" i="2"/>
  <c r="H2104" i="2"/>
  <c r="G2104" i="2"/>
  <c r="F2104" i="2"/>
  <c r="E2104" i="2"/>
  <c r="D2104" i="2"/>
  <c r="C2104" i="2"/>
  <c r="B2104" i="2"/>
  <c r="A2104" i="2"/>
  <c r="H2103" i="2"/>
  <c r="G2103" i="2"/>
  <c r="F2103" i="2"/>
  <c r="E2103" i="2"/>
  <c r="D2103" i="2"/>
  <c r="C2103" i="2"/>
  <c r="B2103" i="2"/>
  <c r="A2103" i="2"/>
  <c r="H2102" i="2"/>
  <c r="G2102" i="2"/>
  <c r="F2102" i="2"/>
  <c r="E2102" i="2"/>
  <c r="D2102" i="2"/>
  <c r="C2102" i="2"/>
  <c r="B2102" i="2"/>
  <c r="A2102" i="2"/>
  <c r="H2101" i="2"/>
  <c r="G2101" i="2"/>
  <c r="F2101" i="2"/>
  <c r="E2101" i="2"/>
  <c r="D2101" i="2"/>
  <c r="C2101" i="2"/>
  <c r="B2101" i="2"/>
  <c r="A2101" i="2"/>
  <c r="H2100" i="2"/>
  <c r="G2100" i="2"/>
  <c r="F2100" i="2"/>
  <c r="E2100" i="2"/>
  <c r="D2100" i="2"/>
  <c r="C2100" i="2"/>
  <c r="B2100" i="2"/>
  <c r="A2100" i="2"/>
  <c r="H2099" i="2"/>
  <c r="G2099" i="2"/>
  <c r="F2099" i="2"/>
  <c r="E2099" i="2"/>
  <c r="D2099" i="2"/>
  <c r="C2099" i="2"/>
  <c r="B2099" i="2"/>
  <c r="A2099" i="2"/>
  <c r="H2098" i="2"/>
  <c r="G2098" i="2"/>
  <c r="F2098" i="2"/>
  <c r="E2098" i="2"/>
  <c r="D2098" i="2"/>
  <c r="C2098" i="2"/>
  <c r="B2098" i="2"/>
  <c r="A2098" i="2"/>
  <c r="H2097" i="2"/>
  <c r="G2097" i="2"/>
  <c r="F2097" i="2"/>
  <c r="E2097" i="2"/>
  <c r="D2097" i="2"/>
  <c r="C2097" i="2"/>
  <c r="B2097" i="2"/>
  <c r="A2097" i="2"/>
  <c r="H2096" i="2"/>
  <c r="G2096" i="2"/>
  <c r="F2096" i="2"/>
  <c r="E2096" i="2"/>
  <c r="D2096" i="2"/>
  <c r="C2096" i="2"/>
  <c r="B2096" i="2"/>
  <c r="A2096" i="2"/>
  <c r="H2095" i="2"/>
  <c r="G2095" i="2"/>
  <c r="F2095" i="2"/>
  <c r="E2095" i="2"/>
  <c r="D2095" i="2"/>
  <c r="C2095" i="2"/>
  <c r="B2095" i="2"/>
  <c r="A2095" i="2"/>
  <c r="H2094" i="2"/>
  <c r="G2094" i="2"/>
  <c r="F2094" i="2"/>
  <c r="E2094" i="2"/>
  <c r="D2094" i="2"/>
  <c r="C2094" i="2"/>
  <c r="B2094" i="2"/>
  <c r="A2094" i="2"/>
  <c r="H2093" i="2"/>
  <c r="G2093" i="2"/>
  <c r="F2093" i="2"/>
  <c r="E2093" i="2"/>
  <c r="D2093" i="2"/>
  <c r="C2093" i="2"/>
  <c r="B2093" i="2"/>
  <c r="A2093" i="2"/>
  <c r="H2092" i="2"/>
  <c r="G2092" i="2"/>
  <c r="F2092" i="2"/>
  <c r="E2092" i="2"/>
  <c r="D2092" i="2"/>
  <c r="C2092" i="2"/>
  <c r="B2092" i="2"/>
  <c r="A2092" i="2"/>
  <c r="H2091" i="2"/>
  <c r="G2091" i="2"/>
  <c r="F2091" i="2"/>
  <c r="E2091" i="2"/>
  <c r="D2091" i="2"/>
  <c r="C2091" i="2"/>
  <c r="B2091" i="2"/>
  <c r="A2091" i="2"/>
  <c r="H2090" i="2"/>
  <c r="G2090" i="2"/>
  <c r="F2090" i="2"/>
  <c r="E2090" i="2"/>
  <c r="D2090" i="2"/>
  <c r="C2090" i="2"/>
  <c r="B2090" i="2"/>
  <c r="A2090" i="2"/>
  <c r="H2089" i="2"/>
  <c r="G2089" i="2"/>
  <c r="F2089" i="2"/>
  <c r="E2089" i="2"/>
  <c r="D2089" i="2"/>
  <c r="C2089" i="2"/>
  <c r="B2089" i="2"/>
  <c r="A2089" i="2"/>
  <c r="H2088" i="2"/>
  <c r="G2088" i="2"/>
  <c r="F2088" i="2"/>
  <c r="E2088" i="2"/>
  <c r="D2088" i="2"/>
  <c r="C2088" i="2"/>
  <c r="B2088" i="2"/>
  <c r="A2088" i="2"/>
  <c r="H2087" i="2"/>
  <c r="G2087" i="2"/>
  <c r="F2087" i="2"/>
  <c r="E2087" i="2"/>
  <c r="D2087" i="2"/>
  <c r="C2087" i="2"/>
  <c r="B2087" i="2"/>
  <c r="A2087" i="2"/>
  <c r="H2086" i="2"/>
  <c r="G2086" i="2"/>
  <c r="F2086" i="2"/>
  <c r="E2086" i="2"/>
  <c r="D2086" i="2"/>
  <c r="C2086" i="2"/>
  <c r="B2086" i="2"/>
  <c r="A2086" i="2"/>
  <c r="H2085" i="2"/>
  <c r="G2085" i="2"/>
  <c r="F2085" i="2"/>
  <c r="E2085" i="2"/>
  <c r="D2085" i="2"/>
  <c r="C2085" i="2"/>
  <c r="B2085" i="2"/>
  <c r="A2085" i="2"/>
  <c r="H2084" i="2"/>
  <c r="G2084" i="2"/>
  <c r="F2084" i="2"/>
  <c r="E2084" i="2"/>
  <c r="D2084" i="2"/>
  <c r="C2084" i="2"/>
  <c r="B2084" i="2"/>
  <c r="A2084" i="2"/>
  <c r="H2083" i="2"/>
  <c r="G2083" i="2"/>
  <c r="F2083" i="2"/>
  <c r="E2083" i="2"/>
  <c r="D2083" i="2"/>
  <c r="C2083" i="2"/>
  <c r="B2083" i="2"/>
  <c r="A2083" i="2"/>
  <c r="H2082" i="2"/>
  <c r="G2082" i="2"/>
  <c r="F2082" i="2"/>
  <c r="E2082" i="2"/>
  <c r="D2082" i="2"/>
  <c r="C2082" i="2"/>
  <c r="B2082" i="2"/>
  <c r="A2082" i="2"/>
  <c r="H2081" i="2"/>
  <c r="G2081" i="2"/>
  <c r="F2081" i="2"/>
  <c r="E2081" i="2"/>
  <c r="D2081" i="2"/>
  <c r="C2081" i="2"/>
  <c r="B2081" i="2"/>
  <c r="A2081" i="2"/>
  <c r="H2080" i="2"/>
  <c r="G2080" i="2"/>
  <c r="F2080" i="2"/>
  <c r="E2080" i="2"/>
  <c r="D2080" i="2"/>
  <c r="C2080" i="2"/>
  <c r="B2080" i="2"/>
  <c r="A2080" i="2"/>
  <c r="H2079" i="2"/>
  <c r="G2079" i="2"/>
  <c r="F2079" i="2"/>
  <c r="E2079" i="2"/>
  <c r="D2079" i="2"/>
  <c r="C2079" i="2"/>
  <c r="B2079" i="2"/>
  <c r="A2079" i="2"/>
  <c r="H2078" i="2"/>
  <c r="G2078" i="2"/>
  <c r="F2078" i="2"/>
  <c r="E2078" i="2"/>
  <c r="D2078" i="2"/>
  <c r="C2078" i="2"/>
  <c r="B2078" i="2"/>
  <c r="A2078" i="2"/>
  <c r="H2077" i="2"/>
  <c r="G2077" i="2"/>
  <c r="F2077" i="2"/>
  <c r="E2077" i="2"/>
  <c r="D2077" i="2"/>
  <c r="C2077" i="2"/>
  <c r="B2077" i="2"/>
  <c r="A2077" i="2"/>
  <c r="H2076" i="2"/>
  <c r="G2076" i="2"/>
  <c r="F2076" i="2"/>
  <c r="E2076" i="2"/>
  <c r="D2076" i="2"/>
  <c r="C2076" i="2"/>
  <c r="B2076" i="2"/>
  <c r="A2076" i="2"/>
  <c r="H2075" i="2"/>
  <c r="G2075" i="2"/>
  <c r="F2075" i="2"/>
  <c r="E2075" i="2"/>
  <c r="D2075" i="2"/>
  <c r="C2075" i="2"/>
  <c r="B2075" i="2"/>
  <c r="A2075" i="2"/>
  <c r="H2074" i="2"/>
  <c r="G2074" i="2"/>
  <c r="F2074" i="2"/>
  <c r="E2074" i="2"/>
  <c r="D2074" i="2"/>
  <c r="C2074" i="2"/>
  <c r="B2074" i="2"/>
  <c r="A2074" i="2"/>
  <c r="H2073" i="2"/>
  <c r="G2073" i="2"/>
  <c r="F2073" i="2"/>
  <c r="E2073" i="2"/>
  <c r="D2073" i="2"/>
  <c r="C2073" i="2"/>
  <c r="B2073" i="2"/>
  <c r="A2073" i="2"/>
  <c r="H2072" i="2"/>
  <c r="G2072" i="2"/>
  <c r="F2072" i="2"/>
  <c r="E2072" i="2"/>
  <c r="D2072" i="2"/>
  <c r="C2072" i="2"/>
  <c r="B2072" i="2"/>
  <c r="A2072" i="2"/>
  <c r="H2071" i="2"/>
  <c r="G2071" i="2"/>
  <c r="F2071" i="2"/>
  <c r="E2071" i="2"/>
  <c r="D2071" i="2"/>
  <c r="C2071" i="2"/>
  <c r="B2071" i="2"/>
  <c r="A2071" i="2"/>
  <c r="H2070" i="2"/>
  <c r="G2070" i="2"/>
  <c r="F2070" i="2"/>
  <c r="E2070" i="2"/>
  <c r="D2070" i="2"/>
  <c r="C2070" i="2"/>
  <c r="B2070" i="2"/>
  <c r="A2070" i="2"/>
  <c r="H2069" i="2"/>
  <c r="G2069" i="2"/>
  <c r="F2069" i="2"/>
  <c r="E2069" i="2"/>
  <c r="D2069" i="2"/>
  <c r="C2069" i="2"/>
  <c r="B2069" i="2"/>
  <c r="A2069" i="2"/>
  <c r="H2068" i="2"/>
  <c r="G2068" i="2"/>
  <c r="F2068" i="2"/>
  <c r="E2068" i="2"/>
  <c r="D2068" i="2"/>
  <c r="C2068" i="2"/>
  <c r="B2068" i="2"/>
  <c r="A2068" i="2"/>
  <c r="H2067" i="2"/>
  <c r="G2067" i="2"/>
  <c r="F2067" i="2"/>
  <c r="E2067" i="2"/>
  <c r="D2067" i="2"/>
  <c r="C2067" i="2"/>
  <c r="B2067" i="2"/>
  <c r="A2067" i="2"/>
  <c r="H2066" i="2"/>
  <c r="G2066" i="2"/>
  <c r="F2066" i="2"/>
  <c r="E2066" i="2"/>
  <c r="D2066" i="2"/>
  <c r="C2066" i="2"/>
  <c r="B2066" i="2"/>
  <c r="A2066" i="2"/>
  <c r="H2065" i="2"/>
  <c r="G2065" i="2"/>
  <c r="F2065" i="2"/>
  <c r="E2065" i="2"/>
  <c r="D2065" i="2"/>
  <c r="C2065" i="2"/>
  <c r="B2065" i="2"/>
  <c r="A2065" i="2"/>
  <c r="H2064" i="2"/>
  <c r="G2064" i="2"/>
  <c r="F2064" i="2"/>
  <c r="E2064" i="2"/>
  <c r="D2064" i="2"/>
  <c r="C2064" i="2"/>
  <c r="B2064" i="2"/>
  <c r="A2064" i="2"/>
  <c r="H2063" i="2"/>
  <c r="G2063" i="2"/>
  <c r="F2063" i="2"/>
  <c r="E2063" i="2"/>
  <c r="D2063" i="2"/>
  <c r="C2063" i="2"/>
  <c r="B2063" i="2"/>
  <c r="A2063" i="2"/>
  <c r="H2062" i="2"/>
  <c r="G2062" i="2"/>
  <c r="F2062" i="2"/>
  <c r="E2062" i="2"/>
  <c r="D2062" i="2"/>
  <c r="C2062" i="2"/>
  <c r="B2062" i="2"/>
  <c r="A2062" i="2"/>
  <c r="H2061" i="2"/>
  <c r="G2061" i="2"/>
  <c r="F2061" i="2"/>
  <c r="E2061" i="2"/>
  <c r="D2061" i="2"/>
  <c r="C2061" i="2"/>
  <c r="B2061" i="2"/>
  <c r="A2061" i="2"/>
  <c r="H2060" i="2"/>
  <c r="G2060" i="2"/>
  <c r="F2060" i="2"/>
  <c r="E2060" i="2"/>
  <c r="D2060" i="2"/>
  <c r="C2060" i="2"/>
  <c r="B2060" i="2"/>
  <c r="A2060" i="2"/>
  <c r="H2059" i="2"/>
  <c r="G2059" i="2"/>
  <c r="F2059" i="2"/>
  <c r="E2059" i="2"/>
  <c r="D2059" i="2"/>
  <c r="C2059" i="2"/>
  <c r="B2059" i="2"/>
  <c r="A2059" i="2"/>
  <c r="H2058" i="2"/>
  <c r="G2058" i="2"/>
  <c r="F2058" i="2"/>
  <c r="E2058" i="2"/>
  <c r="D2058" i="2"/>
  <c r="C2058" i="2"/>
  <c r="B2058" i="2"/>
  <c r="A2058" i="2"/>
  <c r="H2057" i="2"/>
  <c r="G2057" i="2"/>
  <c r="F2057" i="2"/>
  <c r="E2057" i="2"/>
  <c r="D2057" i="2"/>
  <c r="C2057" i="2"/>
  <c r="B2057" i="2"/>
  <c r="A2057" i="2"/>
  <c r="H2056" i="2"/>
  <c r="G2056" i="2"/>
  <c r="F2056" i="2"/>
  <c r="E2056" i="2"/>
  <c r="D2056" i="2"/>
  <c r="C2056" i="2"/>
  <c r="B2056" i="2"/>
  <c r="A2056" i="2"/>
  <c r="H2055" i="2"/>
  <c r="G2055" i="2"/>
  <c r="F2055" i="2"/>
  <c r="E2055" i="2"/>
  <c r="D2055" i="2"/>
  <c r="C2055" i="2"/>
  <c r="B2055" i="2"/>
  <c r="A2055" i="2"/>
  <c r="H2054" i="2"/>
  <c r="G2054" i="2"/>
  <c r="F2054" i="2"/>
  <c r="E2054" i="2"/>
  <c r="D2054" i="2"/>
  <c r="C2054" i="2"/>
  <c r="B2054" i="2"/>
  <c r="A2054" i="2"/>
  <c r="H2053" i="2"/>
  <c r="G2053" i="2"/>
  <c r="F2053" i="2"/>
  <c r="E2053" i="2"/>
  <c r="D2053" i="2"/>
  <c r="C2053" i="2"/>
  <c r="B2053" i="2"/>
  <c r="A2053" i="2"/>
  <c r="H2052" i="2"/>
  <c r="G2052" i="2"/>
  <c r="F2052" i="2"/>
  <c r="E2052" i="2"/>
  <c r="D2052" i="2"/>
  <c r="C2052" i="2"/>
  <c r="B2052" i="2"/>
  <c r="A2052" i="2"/>
  <c r="H2051" i="2"/>
  <c r="G2051" i="2"/>
  <c r="F2051" i="2"/>
  <c r="E2051" i="2"/>
  <c r="D2051" i="2"/>
  <c r="C2051" i="2"/>
  <c r="B2051" i="2"/>
  <c r="A2051" i="2"/>
  <c r="H2050" i="2"/>
  <c r="G2050" i="2"/>
  <c r="F2050" i="2"/>
  <c r="E2050" i="2"/>
  <c r="D2050" i="2"/>
  <c r="C2050" i="2"/>
  <c r="B2050" i="2"/>
  <c r="A2050" i="2"/>
  <c r="H2049" i="2"/>
  <c r="G2049" i="2"/>
  <c r="F2049" i="2"/>
  <c r="E2049" i="2"/>
  <c r="D2049" i="2"/>
  <c r="C2049" i="2"/>
  <c r="B2049" i="2"/>
  <c r="A2049" i="2"/>
  <c r="H2048" i="2"/>
  <c r="G2048" i="2"/>
  <c r="F2048" i="2"/>
  <c r="E2048" i="2"/>
  <c r="D2048" i="2"/>
  <c r="C2048" i="2"/>
  <c r="B2048" i="2"/>
  <c r="A2048" i="2"/>
  <c r="H2047" i="2"/>
  <c r="G2047" i="2"/>
  <c r="F2047" i="2"/>
  <c r="E2047" i="2"/>
  <c r="D2047" i="2"/>
  <c r="C2047" i="2"/>
  <c r="B2047" i="2"/>
  <c r="A2047" i="2"/>
  <c r="H2046" i="2"/>
  <c r="G2046" i="2"/>
  <c r="F2046" i="2"/>
  <c r="E2046" i="2"/>
  <c r="D2046" i="2"/>
  <c r="C2046" i="2"/>
  <c r="B2046" i="2"/>
  <c r="A2046" i="2"/>
  <c r="H2045" i="2"/>
  <c r="G2045" i="2"/>
  <c r="F2045" i="2"/>
  <c r="E2045" i="2"/>
  <c r="D2045" i="2"/>
  <c r="C2045" i="2"/>
  <c r="B2045" i="2"/>
  <c r="A2045" i="2"/>
  <c r="H2044" i="2"/>
  <c r="G2044" i="2"/>
  <c r="F2044" i="2"/>
  <c r="E2044" i="2"/>
  <c r="D2044" i="2"/>
  <c r="C2044" i="2"/>
  <c r="B2044" i="2"/>
  <c r="A2044" i="2"/>
  <c r="H2043" i="2"/>
  <c r="G2043" i="2"/>
  <c r="F2043" i="2"/>
  <c r="E2043" i="2"/>
  <c r="D2043" i="2"/>
  <c r="C2043" i="2"/>
  <c r="B2043" i="2"/>
  <c r="A2043" i="2"/>
  <c r="H2042" i="2"/>
  <c r="G2042" i="2"/>
  <c r="F2042" i="2"/>
  <c r="E2042" i="2"/>
  <c r="D2042" i="2"/>
  <c r="C2042" i="2"/>
  <c r="B2042" i="2"/>
  <c r="A2042" i="2"/>
  <c r="H2041" i="2"/>
  <c r="G2041" i="2"/>
  <c r="F2041" i="2"/>
  <c r="E2041" i="2"/>
  <c r="D2041" i="2"/>
  <c r="C2041" i="2"/>
  <c r="B2041" i="2"/>
  <c r="A2041" i="2"/>
  <c r="H2040" i="2"/>
  <c r="G2040" i="2"/>
  <c r="F2040" i="2"/>
  <c r="E2040" i="2"/>
  <c r="D2040" i="2"/>
  <c r="C2040" i="2"/>
  <c r="B2040" i="2"/>
  <c r="A2040" i="2"/>
  <c r="H2039" i="2"/>
  <c r="G2039" i="2"/>
  <c r="F2039" i="2"/>
  <c r="E2039" i="2"/>
  <c r="D2039" i="2"/>
  <c r="C2039" i="2"/>
  <c r="B2039" i="2"/>
  <c r="A2039" i="2"/>
  <c r="H2038" i="2"/>
  <c r="G2038" i="2"/>
  <c r="F2038" i="2"/>
  <c r="E2038" i="2"/>
  <c r="D2038" i="2"/>
  <c r="C2038" i="2"/>
  <c r="B2038" i="2"/>
  <c r="A2038" i="2"/>
  <c r="H2037" i="2"/>
  <c r="G2037" i="2"/>
  <c r="F2037" i="2"/>
  <c r="E2037" i="2"/>
  <c r="D2037" i="2"/>
  <c r="C2037" i="2"/>
  <c r="B2037" i="2"/>
  <c r="A2037" i="2"/>
  <c r="H2036" i="2"/>
  <c r="G2036" i="2"/>
  <c r="F2036" i="2"/>
  <c r="E2036" i="2"/>
  <c r="D2036" i="2"/>
  <c r="C2036" i="2"/>
  <c r="B2036" i="2"/>
  <c r="A2036" i="2"/>
  <c r="H2035" i="2"/>
  <c r="G2035" i="2"/>
  <c r="F2035" i="2"/>
  <c r="E2035" i="2"/>
  <c r="D2035" i="2"/>
  <c r="C2035" i="2"/>
  <c r="B2035" i="2"/>
  <c r="A2035" i="2"/>
  <c r="H2034" i="2"/>
  <c r="G2034" i="2"/>
  <c r="F2034" i="2"/>
  <c r="E2034" i="2"/>
  <c r="D2034" i="2"/>
  <c r="C2034" i="2"/>
  <c r="B2034" i="2"/>
  <c r="A2034" i="2"/>
  <c r="H2033" i="2"/>
  <c r="G2033" i="2"/>
  <c r="F2033" i="2"/>
  <c r="E2033" i="2"/>
  <c r="D2033" i="2"/>
  <c r="C2033" i="2"/>
  <c r="B2033" i="2"/>
  <c r="A2033" i="2"/>
  <c r="H2032" i="2"/>
  <c r="G2032" i="2"/>
  <c r="F2032" i="2"/>
  <c r="E2032" i="2"/>
  <c r="D2032" i="2"/>
  <c r="C2032" i="2"/>
  <c r="B2032" i="2"/>
  <c r="A2032" i="2"/>
  <c r="H2031" i="2"/>
  <c r="G2031" i="2"/>
  <c r="F2031" i="2"/>
  <c r="E2031" i="2"/>
  <c r="D2031" i="2"/>
  <c r="C2031" i="2"/>
  <c r="B2031" i="2"/>
  <c r="A2031" i="2"/>
  <c r="H2030" i="2"/>
  <c r="G2030" i="2"/>
  <c r="F2030" i="2"/>
  <c r="E2030" i="2"/>
  <c r="D2030" i="2"/>
  <c r="C2030" i="2"/>
  <c r="B2030" i="2"/>
  <c r="A2030" i="2"/>
  <c r="H2029" i="2"/>
  <c r="G2029" i="2"/>
  <c r="F2029" i="2"/>
  <c r="E2029" i="2"/>
  <c r="D2029" i="2"/>
  <c r="C2029" i="2"/>
  <c r="B2029" i="2"/>
  <c r="A2029" i="2"/>
  <c r="H2028" i="2"/>
  <c r="G2028" i="2"/>
  <c r="F2028" i="2"/>
  <c r="E2028" i="2"/>
  <c r="D2028" i="2"/>
  <c r="C2028" i="2"/>
  <c r="B2028" i="2"/>
  <c r="A2028" i="2"/>
  <c r="H2027" i="2"/>
  <c r="G2027" i="2"/>
  <c r="F2027" i="2"/>
  <c r="E2027" i="2"/>
  <c r="D2027" i="2"/>
  <c r="C2027" i="2"/>
  <c r="B2027" i="2"/>
  <c r="A2027" i="2"/>
  <c r="H2026" i="2"/>
  <c r="G2026" i="2"/>
  <c r="F2026" i="2"/>
  <c r="E2026" i="2"/>
  <c r="D2026" i="2"/>
  <c r="C2026" i="2"/>
  <c r="B2026" i="2"/>
  <c r="A2026" i="2"/>
  <c r="H2025" i="2"/>
  <c r="G2025" i="2"/>
  <c r="F2025" i="2"/>
  <c r="E2025" i="2"/>
  <c r="D2025" i="2"/>
  <c r="C2025" i="2"/>
  <c r="B2025" i="2"/>
  <c r="A2025" i="2"/>
  <c r="H2024" i="2"/>
  <c r="G2024" i="2"/>
  <c r="F2024" i="2"/>
  <c r="E2024" i="2"/>
  <c r="D2024" i="2"/>
  <c r="C2024" i="2"/>
  <c r="B2024" i="2"/>
  <c r="A2024" i="2"/>
  <c r="H2023" i="2"/>
  <c r="G2023" i="2"/>
  <c r="F2023" i="2"/>
  <c r="E2023" i="2"/>
  <c r="D2023" i="2"/>
  <c r="C2023" i="2"/>
  <c r="B2023" i="2"/>
  <c r="A2023" i="2"/>
  <c r="H2022" i="2"/>
  <c r="G2022" i="2"/>
  <c r="F2022" i="2"/>
  <c r="E2022" i="2"/>
  <c r="D2022" i="2"/>
  <c r="C2022" i="2"/>
  <c r="B2022" i="2"/>
  <c r="A2022" i="2"/>
  <c r="H2021" i="2"/>
  <c r="G2021" i="2"/>
  <c r="F2021" i="2"/>
  <c r="E2021" i="2"/>
  <c r="D2021" i="2"/>
  <c r="C2021" i="2"/>
  <c r="B2021" i="2"/>
  <c r="A2021" i="2"/>
  <c r="H2020" i="2"/>
  <c r="G2020" i="2"/>
  <c r="F2020" i="2"/>
  <c r="E2020" i="2"/>
  <c r="D2020" i="2"/>
  <c r="C2020" i="2"/>
  <c r="B2020" i="2"/>
  <c r="A2020" i="2"/>
  <c r="H2019" i="2"/>
  <c r="G2019" i="2"/>
  <c r="F2019" i="2"/>
  <c r="E2019" i="2"/>
  <c r="D2019" i="2"/>
  <c r="C2019" i="2"/>
  <c r="B2019" i="2"/>
  <c r="A2019" i="2"/>
  <c r="H2018" i="2"/>
  <c r="G2018" i="2"/>
  <c r="F2018" i="2"/>
  <c r="E2018" i="2"/>
  <c r="D2018" i="2"/>
  <c r="C2018" i="2"/>
  <c r="B2018" i="2"/>
  <c r="A2018" i="2"/>
  <c r="H2017" i="2"/>
  <c r="G2017" i="2"/>
  <c r="F2017" i="2"/>
  <c r="E2017" i="2"/>
  <c r="D2017" i="2"/>
  <c r="C2017" i="2"/>
  <c r="B2017" i="2"/>
  <c r="A2017" i="2"/>
  <c r="H2016" i="2"/>
  <c r="G2016" i="2"/>
  <c r="F2016" i="2"/>
  <c r="E2016" i="2"/>
  <c r="D2016" i="2"/>
  <c r="C2016" i="2"/>
  <c r="B2016" i="2"/>
  <c r="A2016" i="2"/>
  <c r="H2015" i="2"/>
  <c r="G2015" i="2"/>
  <c r="F2015" i="2"/>
  <c r="E2015" i="2"/>
  <c r="D2015" i="2"/>
  <c r="C2015" i="2"/>
  <c r="B2015" i="2"/>
  <c r="A2015" i="2"/>
  <c r="H2014" i="2"/>
  <c r="G2014" i="2"/>
  <c r="F2014" i="2"/>
  <c r="E2014" i="2"/>
  <c r="D2014" i="2"/>
  <c r="C2014" i="2"/>
  <c r="B2014" i="2"/>
  <c r="A2014" i="2"/>
  <c r="H2013" i="2"/>
  <c r="G2013" i="2"/>
  <c r="F2013" i="2"/>
  <c r="E2013" i="2"/>
  <c r="D2013" i="2"/>
  <c r="C2013" i="2"/>
  <c r="B2013" i="2"/>
  <c r="A2013" i="2"/>
  <c r="H2012" i="2"/>
  <c r="G2012" i="2"/>
  <c r="F2012" i="2"/>
  <c r="E2012" i="2"/>
  <c r="D2012" i="2"/>
  <c r="C2012" i="2"/>
  <c r="B2012" i="2"/>
  <c r="A2012" i="2"/>
  <c r="H2011" i="2"/>
  <c r="G2011" i="2"/>
  <c r="F2011" i="2"/>
  <c r="E2011" i="2"/>
  <c r="D2011" i="2"/>
  <c r="C2011" i="2"/>
  <c r="B2011" i="2"/>
  <c r="A2011" i="2"/>
  <c r="H2010" i="2"/>
  <c r="G2010" i="2"/>
  <c r="F2010" i="2"/>
  <c r="E2010" i="2"/>
  <c r="D2010" i="2"/>
  <c r="C2010" i="2"/>
  <c r="B2010" i="2"/>
  <c r="A2010" i="2"/>
  <c r="H2009" i="2"/>
  <c r="G2009" i="2"/>
  <c r="F2009" i="2"/>
  <c r="E2009" i="2"/>
  <c r="D2009" i="2"/>
  <c r="C2009" i="2"/>
  <c r="B2009" i="2"/>
  <c r="A2009" i="2"/>
  <c r="H2008" i="2"/>
  <c r="G2008" i="2"/>
  <c r="F2008" i="2"/>
  <c r="E2008" i="2"/>
  <c r="D2008" i="2"/>
  <c r="C2008" i="2"/>
  <c r="B2008" i="2"/>
  <c r="A2008" i="2"/>
  <c r="H2007" i="2"/>
  <c r="G2007" i="2"/>
  <c r="F2007" i="2"/>
  <c r="E2007" i="2"/>
  <c r="D2007" i="2"/>
  <c r="C2007" i="2"/>
  <c r="B2007" i="2"/>
  <c r="A2007" i="2"/>
  <c r="H2006" i="2"/>
  <c r="G2006" i="2"/>
  <c r="F2006" i="2"/>
  <c r="E2006" i="2"/>
  <c r="D2006" i="2"/>
  <c r="C2006" i="2"/>
  <c r="B2006" i="2"/>
  <c r="A2006" i="2"/>
  <c r="H2005" i="2"/>
  <c r="G2005" i="2"/>
  <c r="F2005" i="2"/>
  <c r="E2005" i="2"/>
  <c r="D2005" i="2"/>
  <c r="C2005" i="2"/>
  <c r="B2005" i="2"/>
  <c r="A2005" i="2"/>
  <c r="H2004" i="2"/>
  <c r="G2004" i="2"/>
  <c r="F2004" i="2"/>
  <c r="E2004" i="2"/>
  <c r="D2004" i="2"/>
  <c r="C2004" i="2"/>
  <c r="B2004" i="2"/>
  <c r="A2004" i="2"/>
  <c r="H2003" i="2"/>
  <c r="G2003" i="2"/>
  <c r="F2003" i="2"/>
  <c r="E2003" i="2"/>
  <c r="D2003" i="2"/>
  <c r="C2003" i="2"/>
  <c r="B2003" i="2"/>
  <c r="A2003" i="2"/>
  <c r="H2002" i="2"/>
  <c r="G2002" i="2"/>
  <c r="F2002" i="2"/>
  <c r="E2002" i="2"/>
  <c r="D2002" i="2"/>
  <c r="C2002" i="2"/>
  <c r="B2002" i="2"/>
  <c r="A2002" i="2"/>
  <c r="H2001" i="2"/>
  <c r="G2001" i="2"/>
  <c r="F2001" i="2"/>
  <c r="E2001" i="2"/>
  <c r="D2001" i="2"/>
  <c r="C2001" i="2"/>
  <c r="B2001" i="2"/>
  <c r="A2001" i="2"/>
  <c r="H2000" i="2"/>
  <c r="G2000" i="2"/>
  <c r="F2000" i="2"/>
  <c r="E2000" i="2"/>
  <c r="D2000" i="2"/>
  <c r="C2000" i="2"/>
  <c r="B2000" i="2"/>
  <c r="A2000" i="2"/>
  <c r="H1999" i="2"/>
  <c r="G1999" i="2"/>
  <c r="F1999" i="2"/>
  <c r="E1999" i="2"/>
  <c r="D1999" i="2"/>
  <c r="C1999" i="2"/>
  <c r="B1999" i="2"/>
  <c r="A1999" i="2"/>
  <c r="H1998" i="2"/>
  <c r="G1998" i="2"/>
  <c r="F1998" i="2"/>
  <c r="E1998" i="2"/>
  <c r="D1998" i="2"/>
  <c r="C1998" i="2"/>
  <c r="B1998" i="2"/>
  <c r="A1998" i="2"/>
  <c r="H1997" i="2"/>
  <c r="G1997" i="2"/>
  <c r="F1997" i="2"/>
  <c r="E1997" i="2"/>
  <c r="D1997" i="2"/>
  <c r="C1997" i="2"/>
  <c r="B1997" i="2"/>
  <c r="A1997" i="2"/>
  <c r="H1996" i="2"/>
  <c r="G1996" i="2"/>
  <c r="F1996" i="2"/>
  <c r="E1996" i="2"/>
  <c r="D1996" i="2"/>
  <c r="C1996" i="2"/>
  <c r="B1996" i="2"/>
  <c r="A1996" i="2"/>
  <c r="H1995" i="2"/>
  <c r="G1995" i="2"/>
  <c r="F1995" i="2"/>
  <c r="E1995" i="2"/>
  <c r="D1995" i="2"/>
  <c r="C1995" i="2"/>
  <c r="B1995" i="2"/>
  <c r="A1995" i="2"/>
  <c r="H1994" i="2"/>
  <c r="G1994" i="2"/>
  <c r="F1994" i="2"/>
  <c r="E1994" i="2"/>
  <c r="D1994" i="2"/>
  <c r="C1994" i="2"/>
  <c r="B1994" i="2"/>
  <c r="A1994" i="2"/>
  <c r="H1993" i="2"/>
  <c r="G1993" i="2"/>
  <c r="F1993" i="2"/>
  <c r="E1993" i="2"/>
  <c r="D1993" i="2"/>
  <c r="C1993" i="2"/>
  <c r="B1993" i="2"/>
  <c r="A1993" i="2"/>
  <c r="H1992" i="2"/>
  <c r="G1992" i="2"/>
  <c r="F1992" i="2"/>
  <c r="E1992" i="2"/>
  <c r="D1992" i="2"/>
  <c r="C1992" i="2"/>
  <c r="B1992" i="2"/>
  <c r="A1992" i="2"/>
  <c r="H1991" i="2"/>
  <c r="G1991" i="2"/>
  <c r="F1991" i="2"/>
  <c r="E1991" i="2"/>
  <c r="D1991" i="2"/>
  <c r="C1991" i="2"/>
  <c r="B1991" i="2"/>
  <c r="A1991" i="2"/>
  <c r="H1990" i="2"/>
  <c r="G1990" i="2"/>
  <c r="F1990" i="2"/>
  <c r="E1990" i="2"/>
  <c r="D1990" i="2"/>
  <c r="C1990" i="2"/>
  <c r="B1990" i="2"/>
  <c r="A1990" i="2"/>
  <c r="H1989" i="2"/>
  <c r="G1989" i="2"/>
  <c r="F1989" i="2"/>
  <c r="E1989" i="2"/>
  <c r="D1989" i="2"/>
  <c r="C1989" i="2"/>
  <c r="B1989" i="2"/>
  <c r="A1989" i="2"/>
  <c r="H1988" i="2"/>
  <c r="G1988" i="2"/>
  <c r="F1988" i="2"/>
  <c r="E1988" i="2"/>
  <c r="D1988" i="2"/>
  <c r="C1988" i="2"/>
  <c r="B1988" i="2"/>
  <c r="A1988" i="2"/>
  <c r="H1987" i="2"/>
  <c r="G1987" i="2"/>
  <c r="F1987" i="2"/>
  <c r="E1987" i="2"/>
  <c r="D1987" i="2"/>
  <c r="C1987" i="2"/>
  <c r="B1987" i="2"/>
  <c r="A1987" i="2"/>
  <c r="H1986" i="2"/>
  <c r="G1986" i="2"/>
  <c r="F1986" i="2"/>
  <c r="E1986" i="2"/>
  <c r="D1986" i="2"/>
  <c r="C1986" i="2"/>
  <c r="B1986" i="2"/>
  <c r="A1986" i="2"/>
  <c r="H1985" i="2"/>
  <c r="G1985" i="2"/>
  <c r="F1985" i="2"/>
  <c r="E1985" i="2"/>
  <c r="D1985" i="2"/>
  <c r="C1985" i="2"/>
  <c r="B1985" i="2"/>
  <c r="A1985" i="2"/>
  <c r="H1984" i="2"/>
  <c r="G1984" i="2"/>
  <c r="F1984" i="2"/>
  <c r="E1984" i="2"/>
  <c r="D1984" i="2"/>
  <c r="C1984" i="2"/>
  <c r="B1984" i="2"/>
  <c r="A1984" i="2"/>
  <c r="H1983" i="2"/>
  <c r="G1983" i="2"/>
  <c r="F1983" i="2"/>
  <c r="E1983" i="2"/>
  <c r="D1983" i="2"/>
  <c r="C1983" i="2"/>
  <c r="B1983" i="2"/>
  <c r="A1983" i="2"/>
  <c r="H1982" i="2"/>
  <c r="G1982" i="2"/>
  <c r="F1982" i="2"/>
  <c r="E1982" i="2"/>
  <c r="D1982" i="2"/>
  <c r="C1982" i="2"/>
  <c r="B1982" i="2"/>
  <c r="A1982" i="2"/>
  <c r="H1981" i="2"/>
  <c r="G1981" i="2"/>
  <c r="F1981" i="2"/>
  <c r="E1981" i="2"/>
  <c r="D1981" i="2"/>
  <c r="C1981" i="2"/>
  <c r="B1981" i="2"/>
  <c r="A1981" i="2"/>
  <c r="H1980" i="2"/>
  <c r="G1980" i="2"/>
  <c r="F1980" i="2"/>
  <c r="E1980" i="2"/>
  <c r="D1980" i="2"/>
  <c r="C1980" i="2"/>
  <c r="B1980" i="2"/>
  <c r="A1980" i="2"/>
  <c r="H1979" i="2"/>
  <c r="G1979" i="2"/>
  <c r="F1979" i="2"/>
  <c r="E1979" i="2"/>
  <c r="D1979" i="2"/>
  <c r="C1979" i="2"/>
  <c r="B1979" i="2"/>
  <c r="A1979" i="2"/>
  <c r="H1978" i="2"/>
  <c r="G1978" i="2"/>
  <c r="F1978" i="2"/>
  <c r="E1978" i="2"/>
  <c r="D1978" i="2"/>
  <c r="C1978" i="2"/>
  <c r="B1978" i="2"/>
  <c r="A1978" i="2"/>
  <c r="H1977" i="2"/>
  <c r="G1977" i="2"/>
  <c r="F1977" i="2"/>
  <c r="E1977" i="2"/>
  <c r="D1977" i="2"/>
  <c r="C1977" i="2"/>
  <c r="B1977" i="2"/>
  <c r="A1977" i="2"/>
  <c r="H1976" i="2"/>
  <c r="G1976" i="2"/>
  <c r="F1976" i="2"/>
  <c r="E1976" i="2"/>
  <c r="D1976" i="2"/>
  <c r="C1976" i="2"/>
  <c r="B1976" i="2"/>
  <c r="A1976" i="2"/>
  <c r="H1975" i="2"/>
  <c r="G1975" i="2"/>
  <c r="F1975" i="2"/>
  <c r="E1975" i="2"/>
  <c r="D1975" i="2"/>
  <c r="C1975" i="2"/>
  <c r="B1975" i="2"/>
  <c r="A1975" i="2"/>
  <c r="H1974" i="2"/>
  <c r="G1974" i="2"/>
  <c r="F1974" i="2"/>
  <c r="E1974" i="2"/>
  <c r="D1974" i="2"/>
  <c r="C1974" i="2"/>
  <c r="B1974" i="2"/>
  <c r="A1974" i="2"/>
  <c r="H1973" i="2"/>
  <c r="G1973" i="2"/>
  <c r="F1973" i="2"/>
  <c r="E1973" i="2"/>
  <c r="D1973" i="2"/>
  <c r="C1973" i="2"/>
  <c r="B1973" i="2"/>
  <c r="A1973" i="2"/>
  <c r="H1972" i="2"/>
  <c r="G1972" i="2"/>
  <c r="F1972" i="2"/>
  <c r="E1972" i="2"/>
  <c r="D1972" i="2"/>
  <c r="C1972" i="2"/>
  <c r="B1972" i="2"/>
  <c r="A1972" i="2"/>
  <c r="H1971" i="2"/>
  <c r="G1971" i="2"/>
  <c r="F1971" i="2"/>
  <c r="E1971" i="2"/>
  <c r="D1971" i="2"/>
  <c r="C1971" i="2"/>
  <c r="B1971" i="2"/>
  <c r="A1971" i="2"/>
  <c r="H1970" i="2"/>
  <c r="G1970" i="2"/>
  <c r="F1970" i="2"/>
  <c r="E1970" i="2"/>
  <c r="D1970" i="2"/>
  <c r="C1970" i="2"/>
  <c r="B1970" i="2"/>
  <c r="A1970" i="2"/>
  <c r="H1969" i="2"/>
  <c r="G1969" i="2"/>
  <c r="F1969" i="2"/>
  <c r="E1969" i="2"/>
  <c r="D1969" i="2"/>
  <c r="C1969" i="2"/>
  <c r="B1969" i="2"/>
  <c r="A1969" i="2"/>
  <c r="H1968" i="2"/>
  <c r="G1968" i="2"/>
  <c r="F1968" i="2"/>
  <c r="E1968" i="2"/>
  <c r="D1968" i="2"/>
  <c r="C1968" i="2"/>
  <c r="B1968" i="2"/>
  <c r="A1968" i="2"/>
  <c r="H1967" i="2"/>
  <c r="G1967" i="2"/>
  <c r="F1967" i="2"/>
  <c r="E1967" i="2"/>
  <c r="D1967" i="2"/>
  <c r="C1967" i="2"/>
  <c r="B1967" i="2"/>
  <c r="A1967" i="2"/>
  <c r="H1966" i="2"/>
  <c r="G1966" i="2"/>
  <c r="F1966" i="2"/>
  <c r="E1966" i="2"/>
  <c r="D1966" i="2"/>
  <c r="C1966" i="2"/>
  <c r="B1966" i="2"/>
  <c r="A1966" i="2"/>
  <c r="H1965" i="2"/>
  <c r="G1965" i="2"/>
  <c r="F1965" i="2"/>
  <c r="E1965" i="2"/>
  <c r="D1965" i="2"/>
  <c r="C1965" i="2"/>
  <c r="B1965" i="2"/>
  <c r="A1965" i="2"/>
  <c r="H1964" i="2"/>
  <c r="G1964" i="2"/>
  <c r="F1964" i="2"/>
  <c r="E1964" i="2"/>
  <c r="D1964" i="2"/>
  <c r="C1964" i="2"/>
  <c r="B1964" i="2"/>
  <c r="A1964" i="2"/>
  <c r="H1963" i="2"/>
  <c r="G1963" i="2"/>
  <c r="F1963" i="2"/>
  <c r="E1963" i="2"/>
  <c r="D1963" i="2"/>
  <c r="C1963" i="2"/>
  <c r="B1963" i="2"/>
  <c r="A1963" i="2"/>
  <c r="H1962" i="2"/>
  <c r="G1962" i="2"/>
  <c r="F1962" i="2"/>
  <c r="E1962" i="2"/>
  <c r="D1962" i="2"/>
  <c r="C1962" i="2"/>
  <c r="B1962" i="2"/>
  <c r="A1962" i="2"/>
  <c r="H1961" i="2"/>
  <c r="G1961" i="2"/>
  <c r="F1961" i="2"/>
  <c r="E1961" i="2"/>
  <c r="D1961" i="2"/>
  <c r="C1961" i="2"/>
  <c r="B1961" i="2"/>
  <c r="A1961" i="2"/>
  <c r="H1960" i="2"/>
  <c r="G1960" i="2"/>
  <c r="F1960" i="2"/>
  <c r="E1960" i="2"/>
  <c r="D1960" i="2"/>
  <c r="C1960" i="2"/>
  <c r="B1960" i="2"/>
  <c r="A1960" i="2"/>
  <c r="H1959" i="2"/>
  <c r="G1959" i="2"/>
  <c r="F1959" i="2"/>
  <c r="E1959" i="2"/>
  <c r="D1959" i="2"/>
  <c r="C1959" i="2"/>
  <c r="B1959" i="2"/>
  <c r="A1959" i="2"/>
  <c r="H1958" i="2"/>
  <c r="G1958" i="2"/>
  <c r="F1958" i="2"/>
  <c r="E1958" i="2"/>
  <c r="D1958" i="2"/>
  <c r="C1958" i="2"/>
  <c r="B1958" i="2"/>
  <c r="A1958" i="2"/>
  <c r="H1957" i="2"/>
  <c r="G1957" i="2"/>
  <c r="F1957" i="2"/>
  <c r="E1957" i="2"/>
  <c r="D1957" i="2"/>
  <c r="C1957" i="2"/>
  <c r="B1957" i="2"/>
  <c r="A1957" i="2"/>
  <c r="H1956" i="2"/>
  <c r="G1956" i="2"/>
  <c r="F1956" i="2"/>
  <c r="E1956" i="2"/>
  <c r="D1956" i="2"/>
  <c r="C1956" i="2"/>
  <c r="B1956" i="2"/>
  <c r="A1956" i="2"/>
  <c r="H1955" i="2"/>
  <c r="G1955" i="2"/>
  <c r="F1955" i="2"/>
  <c r="E1955" i="2"/>
  <c r="D1955" i="2"/>
  <c r="C1955" i="2"/>
  <c r="B1955" i="2"/>
  <c r="A1955" i="2"/>
  <c r="H1954" i="2"/>
  <c r="G1954" i="2"/>
  <c r="F1954" i="2"/>
  <c r="E1954" i="2"/>
  <c r="D1954" i="2"/>
  <c r="C1954" i="2"/>
  <c r="B1954" i="2"/>
  <c r="A1954" i="2"/>
  <c r="H1953" i="2"/>
  <c r="G1953" i="2"/>
  <c r="F1953" i="2"/>
  <c r="E1953" i="2"/>
  <c r="D1953" i="2"/>
  <c r="C1953" i="2"/>
  <c r="B1953" i="2"/>
  <c r="A1953" i="2"/>
  <c r="H1952" i="2"/>
  <c r="G1952" i="2"/>
  <c r="F1952" i="2"/>
  <c r="E1952" i="2"/>
  <c r="D1952" i="2"/>
  <c r="C1952" i="2"/>
  <c r="B1952" i="2"/>
  <c r="A1952" i="2"/>
  <c r="H1951" i="2"/>
  <c r="G1951" i="2"/>
  <c r="F1951" i="2"/>
  <c r="E1951" i="2"/>
  <c r="D1951" i="2"/>
  <c r="C1951" i="2"/>
  <c r="B1951" i="2"/>
  <c r="A1951" i="2"/>
  <c r="H1950" i="2"/>
  <c r="G1950" i="2"/>
  <c r="F1950" i="2"/>
  <c r="E1950" i="2"/>
  <c r="D1950" i="2"/>
  <c r="C1950" i="2"/>
  <c r="B1950" i="2"/>
  <c r="A1950" i="2"/>
  <c r="H1949" i="2"/>
  <c r="G1949" i="2"/>
  <c r="F1949" i="2"/>
  <c r="E1949" i="2"/>
  <c r="D1949" i="2"/>
  <c r="C1949" i="2"/>
  <c r="B1949" i="2"/>
  <c r="A1949" i="2"/>
  <c r="H1948" i="2"/>
  <c r="G1948" i="2"/>
  <c r="F1948" i="2"/>
  <c r="E1948" i="2"/>
  <c r="D1948" i="2"/>
  <c r="C1948" i="2"/>
  <c r="B1948" i="2"/>
  <c r="A1948" i="2"/>
  <c r="H1947" i="2"/>
  <c r="G1947" i="2"/>
  <c r="F1947" i="2"/>
  <c r="E1947" i="2"/>
  <c r="D1947" i="2"/>
  <c r="C1947" i="2"/>
  <c r="B1947" i="2"/>
  <c r="A1947" i="2"/>
  <c r="H1946" i="2"/>
  <c r="G1946" i="2"/>
  <c r="F1946" i="2"/>
  <c r="E1946" i="2"/>
  <c r="D1946" i="2"/>
  <c r="C1946" i="2"/>
  <c r="B1946" i="2"/>
  <c r="A1946" i="2"/>
  <c r="H1945" i="2"/>
  <c r="G1945" i="2"/>
  <c r="F1945" i="2"/>
  <c r="E1945" i="2"/>
  <c r="D1945" i="2"/>
  <c r="C1945" i="2"/>
  <c r="B1945" i="2"/>
  <c r="A1945" i="2"/>
  <c r="H1944" i="2"/>
  <c r="G1944" i="2"/>
  <c r="F1944" i="2"/>
  <c r="E1944" i="2"/>
  <c r="D1944" i="2"/>
  <c r="C1944" i="2"/>
  <c r="B1944" i="2"/>
  <c r="A1944" i="2"/>
  <c r="H1943" i="2"/>
  <c r="G1943" i="2"/>
  <c r="F1943" i="2"/>
  <c r="E1943" i="2"/>
  <c r="D1943" i="2"/>
  <c r="C1943" i="2"/>
  <c r="B1943" i="2"/>
  <c r="A1943" i="2"/>
  <c r="H1942" i="2"/>
  <c r="G1942" i="2"/>
  <c r="F1942" i="2"/>
  <c r="E1942" i="2"/>
  <c r="D1942" i="2"/>
  <c r="C1942" i="2"/>
  <c r="B1942" i="2"/>
  <c r="A1942" i="2"/>
  <c r="H1941" i="2"/>
  <c r="G1941" i="2"/>
  <c r="F1941" i="2"/>
  <c r="E1941" i="2"/>
  <c r="D1941" i="2"/>
  <c r="C1941" i="2"/>
  <c r="B1941" i="2"/>
  <c r="A1941" i="2"/>
  <c r="H1940" i="2"/>
  <c r="G1940" i="2"/>
  <c r="F1940" i="2"/>
  <c r="E1940" i="2"/>
  <c r="D1940" i="2"/>
  <c r="C1940" i="2"/>
  <c r="B1940" i="2"/>
  <c r="A1940" i="2"/>
  <c r="H1939" i="2"/>
  <c r="G1939" i="2"/>
  <c r="F1939" i="2"/>
  <c r="E1939" i="2"/>
  <c r="D1939" i="2"/>
  <c r="C1939" i="2"/>
  <c r="B1939" i="2"/>
  <c r="A1939" i="2"/>
  <c r="H1938" i="2"/>
  <c r="G1938" i="2"/>
  <c r="F1938" i="2"/>
  <c r="E1938" i="2"/>
  <c r="D1938" i="2"/>
  <c r="C1938" i="2"/>
  <c r="B1938" i="2"/>
  <c r="A1938" i="2"/>
  <c r="H1937" i="2"/>
  <c r="G1937" i="2"/>
  <c r="F1937" i="2"/>
  <c r="E1937" i="2"/>
  <c r="D1937" i="2"/>
  <c r="C1937" i="2"/>
  <c r="B1937" i="2"/>
  <c r="A1937" i="2"/>
  <c r="H1936" i="2"/>
  <c r="G1936" i="2"/>
  <c r="F1936" i="2"/>
  <c r="E1936" i="2"/>
  <c r="D1936" i="2"/>
  <c r="C1936" i="2"/>
  <c r="B1936" i="2"/>
  <c r="A1936" i="2"/>
  <c r="H1935" i="2"/>
  <c r="G1935" i="2"/>
  <c r="F1935" i="2"/>
  <c r="E1935" i="2"/>
  <c r="D1935" i="2"/>
  <c r="C1935" i="2"/>
  <c r="B1935" i="2"/>
  <c r="A1935" i="2"/>
  <c r="H1934" i="2"/>
  <c r="G1934" i="2"/>
  <c r="F1934" i="2"/>
  <c r="E1934" i="2"/>
  <c r="D1934" i="2"/>
  <c r="C1934" i="2"/>
  <c r="B1934" i="2"/>
  <c r="A1934" i="2"/>
  <c r="H1933" i="2"/>
  <c r="G1933" i="2"/>
  <c r="F1933" i="2"/>
  <c r="E1933" i="2"/>
  <c r="D1933" i="2"/>
  <c r="C1933" i="2"/>
  <c r="B1933" i="2"/>
  <c r="A1933" i="2"/>
  <c r="H1932" i="2"/>
  <c r="G1932" i="2"/>
  <c r="F1932" i="2"/>
  <c r="E1932" i="2"/>
  <c r="D1932" i="2"/>
  <c r="C1932" i="2"/>
  <c r="B1932" i="2"/>
  <c r="A1932" i="2"/>
  <c r="H1931" i="2"/>
  <c r="G1931" i="2"/>
  <c r="F1931" i="2"/>
  <c r="E1931" i="2"/>
  <c r="D1931" i="2"/>
  <c r="C1931" i="2"/>
  <c r="B1931" i="2"/>
  <c r="A1931" i="2"/>
  <c r="H1930" i="2"/>
  <c r="G1930" i="2"/>
  <c r="F1930" i="2"/>
  <c r="E1930" i="2"/>
  <c r="D1930" i="2"/>
  <c r="C1930" i="2"/>
  <c r="B1930" i="2"/>
  <c r="A1930" i="2"/>
  <c r="H1929" i="2"/>
  <c r="G1929" i="2"/>
  <c r="F1929" i="2"/>
  <c r="E1929" i="2"/>
  <c r="D1929" i="2"/>
  <c r="C1929" i="2"/>
  <c r="B1929" i="2"/>
  <c r="A1929" i="2"/>
  <c r="H1928" i="2"/>
  <c r="G1928" i="2"/>
  <c r="F1928" i="2"/>
  <c r="E1928" i="2"/>
  <c r="D1928" i="2"/>
  <c r="C1928" i="2"/>
  <c r="B1928" i="2"/>
  <c r="A1928" i="2"/>
  <c r="H1927" i="2"/>
  <c r="G1927" i="2"/>
  <c r="F1927" i="2"/>
  <c r="E1927" i="2"/>
  <c r="D1927" i="2"/>
  <c r="C1927" i="2"/>
  <c r="B1927" i="2"/>
  <c r="A1927" i="2"/>
  <c r="H1926" i="2"/>
  <c r="G1926" i="2"/>
  <c r="F1926" i="2"/>
  <c r="E1926" i="2"/>
  <c r="D1926" i="2"/>
  <c r="C1926" i="2"/>
  <c r="B1926" i="2"/>
  <c r="A1926" i="2"/>
  <c r="H1925" i="2"/>
  <c r="G1925" i="2"/>
  <c r="F1925" i="2"/>
  <c r="E1925" i="2"/>
  <c r="D1925" i="2"/>
  <c r="C1925" i="2"/>
  <c r="B1925" i="2"/>
  <c r="A1925" i="2"/>
  <c r="H1924" i="2"/>
  <c r="G1924" i="2"/>
  <c r="F1924" i="2"/>
  <c r="E1924" i="2"/>
  <c r="D1924" i="2"/>
  <c r="C1924" i="2"/>
  <c r="B1924" i="2"/>
  <c r="A1924" i="2"/>
  <c r="H1923" i="2"/>
  <c r="G1923" i="2"/>
  <c r="F1923" i="2"/>
  <c r="E1923" i="2"/>
  <c r="D1923" i="2"/>
  <c r="C1923" i="2"/>
  <c r="B1923" i="2"/>
  <c r="A1923" i="2"/>
  <c r="H1922" i="2"/>
  <c r="G1922" i="2"/>
  <c r="F1922" i="2"/>
  <c r="E1922" i="2"/>
  <c r="D1922" i="2"/>
  <c r="C1922" i="2"/>
  <c r="B1922" i="2"/>
  <c r="A1922" i="2"/>
  <c r="H1921" i="2"/>
  <c r="G1921" i="2"/>
  <c r="F1921" i="2"/>
  <c r="E1921" i="2"/>
  <c r="D1921" i="2"/>
  <c r="C1921" i="2"/>
  <c r="B1921" i="2"/>
  <c r="A1921" i="2"/>
  <c r="H1920" i="2"/>
  <c r="G1920" i="2"/>
  <c r="F1920" i="2"/>
  <c r="E1920" i="2"/>
  <c r="D1920" i="2"/>
  <c r="C1920" i="2"/>
  <c r="B1920" i="2"/>
  <c r="A1920" i="2"/>
  <c r="H1919" i="2"/>
  <c r="G1919" i="2"/>
  <c r="F1919" i="2"/>
  <c r="E1919" i="2"/>
  <c r="D1919" i="2"/>
  <c r="C1919" i="2"/>
  <c r="B1919" i="2"/>
  <c r="A1919" i="2"/>
  <c r="H1918" i="2"/>
  <c r="G1918" i="2"/>
  <c r="F1918" i="2"/>
  <c r="E1918" i="2"/>
  <c r="D1918" i="2"/>
  <c r="C1918" i="2"/>
  <c r="B1918" i="2"/>
  <c r="A1918" i="2"/>
  <c r="H1917" i="2"/>
  <c r="G1917" i="2"/>
  <c r="F1917" i="2"/>
  <c r="E1917" i="2"/>
  <c r="D1917" i="2"/>
  <c r="C1917" i="2"/>
  <c r="B1917" i="2"/>
  <c r="A1917" i="2"/>
  <c r="H1916" i="2"/>
  <c r="G1916" i="2"/>
  <c r="F1916" i="2"/>
  <c r="E1916" i="2"/>
  <c r="D1916" i="2"/>
  <c r="C1916" i="2"/>
  <c r="B1916" i="2"/>
  <c r="A1916" i="2"/>
  <c r="H1915" i="2"/>
  <c r="G1915" i="2"/>
  <c r="F1915" i="2"/>
  <c r="E1915" i="2"/>
  <c r="D1915" i="2"/>
  <c r="C1915" i="2"/>
  <c r="B1915" i="2"/>
  <c r="A1915" i="2"/>
  <c r="H1914" i="2"/>
  <c r="G1914" i="2"/>
  <c r="F1914" i="2"/>
  <c r="E1914" i="2"/>
  <c r="D1914" i="2"/>
  <c r="C1914" i="2"/>
  <c r="B1914" i="2"/>
  <c r="A1914" i="2"/>
  <c r="H1913" i="2"/>
  <c r="G1913" i="2"/>
  <c r="F1913" i="2"/>
  <c r="E1913" i="2"/>
  <c r="D1913" i="2"/>
  <c r="C1913" i="2"/>
  <c r="B1913" i="2"/>
  <c r="A1913" i="2"/>
  <c r="H1912" i="2"/>
  <c r="G1912" i="2"/>
  <c r="F1912" i="2"/>
  <c r="E1912" i="2"/>
  <c r="D1912" i="2"/>
  <c r="C1912" i="2"/>
  <c r="B1912" i="2"/>
  <c r="A1912" i="2"/>
  <c r="H1911" i="2"/>
  <c r="G1911" i="2"/>
  <c r="F1911" i="2"/>
  <c r="E1911" i="2"/>
  <c r="D1911" i="2"/>
  <c r="C1911" i="2"/>
  <c r="B1911" i="2"/>
  <c r="A1911" i="2"/>
  <c r="H1910" i="2"/>
  <c r="G1910" i="2"/>
  <c r="F1910" i="2"/>
  <c r="E1910" i="2"/>
  <c r="D1910" i="2"/>
  <c r="C1910" i="2"/>
  <c r="B1910" i="2"/>
  <c r="A1910" i="2"/>
  <c r="H1909" i="2"/>
  <c r="G1909" i="2"/>
  <c r="F1909" i="2"/>
  <c r="E1909" i="2"/>
  <c r="D1909" i="2"/>
  <c r="C1909" i="2"/>
  <c r="B1909" i="2"/>
  <c r="A1909" i="2"/>
  <c r="H1908" i="2"/>
  <c r="G1908" i="2"/>
  <c r="F1908" i="2"/>
  <c r="E1908" i="2"/>
  <c r="D1908" i="2"/>
  <c r="C1908" i="2"/>
  <c r="B1908" i="2"/>
  <c r="A1908" i="2"/>
  <c r="H1907" i="2"/>
  <c r="G1907" i="2"/>
  <c r="F1907" i="2"/>
  <c r="E1907" i="2"/>
  <c r="D1907" i="2"/>
  <c r="C1907" i="2"/>
  <c r="B1907" i="2"/>
  <c r="A1907" i="2"/>
  <c r="H1906" i="2"/>
  <c r="G1906" i="2"/>
  <c r="F1906" i="2"/>
  <c r="E1906" i="2"/>
  <c r="D1906" i="2"/>
  <c r="C1906" i="2"/>
  <c r="B1906" i="2"/>
  <c r="A1906" i="2"/>
  <c r="H1905" i="2"/>
  <c r="G1905" i="2"/>
  <c r="F1905" i="2"/>
  <c r="E1905" i="2"/>
  <c r="D1905" i="2"/>
  <c r="C1905" i="2"/>
  <c r="B1905" i="2"/>
  <c r="A1905" i="2"/>
  <c r="H1904" i="2"/>
  <c r="G1904" i="2"/>
  <c r="F1904" i="2"/>
  <c r="E1904" i="2"/>
  <c r="D1904" i="2"/>
  <c r="C1904" i="2"/>
  <c r="B1904" i="2"/>
  <c r="A1904" i="2"/>
  <c r="H1903" i="2"/>
  <c r="G1903" i="2"/>
  <c r="F1903" i="2"/>
  <c r="E1903" i="2"/>
  <c r="D1903" i="2"/>
  <c r="C1903" i="2"/>
  <c r="B1903" i="2"/>
  <c r="A1903" i="2"/>
  <c r="H1902" i="2"/>
  <c r="G1902" i="2"/>
  <c r="F1902" i="2"/>
  <c r="E1902" i="2"/>
  <c r="D1902" i="2"/>
  <c r="C1902" i="2"/>
  <c r="B1902" i="2"/>
  <c r="A1902" i="2"/>
  <c r="H1901" i="2"/>
  <c r="G1901" i="2"/>
  <c r="F1901" i="2"/>
  <c r="E1901" i="2"/>
  <c r="D1901" i="2"/>
  <c r="C1901" i="2"/>
  <c r="B1901" i="2"/>
  <c r="A1901" i="2"/>
  <c r="H1900" i="2"/>
  <c r="G1900" i="2"/>
  <c r="F1900" i="2"/>
  <c r="E1900" i="2"/>
  <c r="D1900" i="2"/>
  <c r="C1900" i="2"/>
  <c r="B1900" i="2"/>
  <c r="A1900" i="2"/>
  <c r="H1899" i="2"/>
  <c r="G1899" i="2"/>
  <c r="F1899" i="2"/>
  <c r="E1899" i="2"/>
  <c r="D1899" i="2"/>
  <c r="C1899" i="2"/>
  <c r="B1899" i="2"/>
  <c r="A1899" i="2"/>
  <c r="H1898" i="2"/>
  <c r="G1898" i="2"/>
  <c r="F1898" i="2"/>
  <c r="E1898" i="2"/>
  <c r="D1898" i="2"/>
  <c r="C1898" i="2"/>
  <c r="B1898" i="2"/>
  <c r="A1898" i="2"/>
  <c r="H1897" i="2"/>
  <c r="G1897" i="2"/>
  <c r="F1897" i="2"/>
  <c r="E1897" i="2"/>
  <c r="D1897" i="2"/>
  <c r="C1897" i="2"/>
  <c r="B1897" i="2"/>
  <c r="A1897" i="2"/>
  <c r="H1896" i="2"/>
  <c r="G1896" i="2"/>
  <c r="F1896" i="2"/>
  <c r="E1896" i="2"/>
  <c r="D1896" i="2"/>
  <c r="C1896" i="2"/>
  <c r="B1896" i="2"/>
  <c r="A1896" i="2"/>
  <c r="H1895" i="2"/>
  <c r="G1895" i="2"/>
  <c r="F1895" i="2"/>
  <c r="E1895" i="2"/>
  <c r="D1895" i="2"/>
  <c r="C1895" i="2"/>
  <c r="B1895" i="2"/>
  <c r="A1895" i="2"/>
  <c r="H1894" i="2"/>
  <c r="G1894" i="2"/>
  <c r="F1894" i="2"/>
  <c r="E1894" i="2"/>
  <c r="D1894" i="2"/>
  <c r="C1894" i="2"/>
  <c r="B1894" i="2"/>
  <c r="A1894" i="2"/>
  <c r="H1893" i="2"/>
  <c r="G1893" i="2"/>
  <c r="F1893" i="2"/>
  <c r="E1893" i="2"/>
  <c r="D1893" i="2"/>
  <c r="C1893" i="2"/>
  <c r="B1893" i="2"/>
  <c r="A1893" i="2"/>
  <c r="H1892" i="2"/>
  <c r="G1892" i="2"/>
  <c r="F1892" i="2"/>
  <c r="E1892" i="2"/>
  <c r="D1892" i="2"/>
  <c r="C1892" i="2"/>
  <c r="B1892" i="2"/>
  <c r="A1892" i="2"/>
  <c r="H1891" i="2"/>
  <c r="G1891" i="2"/>
  <c r="F1891" i="2"/>
  <c r="E1891" i="2"/>
  <c r="D1891" i="2"/>
  <c r="C1891" i="2"/>
  <c r="B1891" i="2"/>
  <c r="A1891" i="2"/>
  <c r="H1890" i="2"/>
  <c r="G1890" i="2"/>
  <c r="F1890" i="2"/>
  <c r="E1890" i="2"/>
  <c r="D1890" i="2"/>
  <c r="C1890" i="2"/>
  <c r="B1890" i="2"/>
  <c r="A1890" i="2"/>
  <c r="H1889" i="2"/>
  <c r="G1889" i="2"/>
  <c r="F1889" i="2"/>
  <c r="E1889" i="2"/>
  <c r="D1889" i="2"/>
  <c r="C1889" i="2"/>
  <c r="B1889" i="2"/>
  <c r="A1889" i="2"/>
  <c r="H1888" i="2"/>
  <c r="G1888" i="2"/>
  <c r="F1888" i="2"/>
  <c r="E1888" i="2"/>
  <c r="D1888" i="2"/>
  <c r="C1888" i="2"/>
  <c r="B1888" i="2"/>
  <c r="A1888" i="2"/>
  <c r="H1887" i="2"/>
  <c r="G1887" i="2"/>
  <c r="F1887" i="2"/>
  <c r="E1887" i="2"/>
  <c r="D1887" i="2"/>
  <c r="C1887" i="2"/>
  <c r="B1887" i="2"/>
  <c r="A1887" i="2"/>
  <c r="H1886" i="2"/>
  <c r="G1886" i="2"/>
  <c r="F1886" i="2"/>
  <c r="E1886" i="2"/>
  <c r="D1886" i="2"/>
  <c r="C1886" i="2"/>
  <c r="B1886" i="2"/>
  <c r="A1886" i="2"/>
  <c r="H1885" i="2"/>
  <c r="G1885" i="2"/>
  <c r="F1885" i="2"/>
  <c r="E1885" i="2"/>
  <c r="D1885" i="2"/>
  <c r="C1885" i="2"/>
  <c r="B1885" i="2"/>
  <c r="A1885" i="2"/>
  <c r="H1884" i="2"/>
  <c r="G1884" i="2"/>
  <c r="F1884" i="2"/>
  <c r="E1884" i="2"/>
  <c r="D1884" i="2"/>
  <c r="C1884" i="2"/>
  <c r="B1884" i="2"/>
  <c r="A1884" i="2"/>
  <c r="H1883" i="2"/>
  <c r="G1883" i="2"/>
  <c r="F1883" i="2"/>
  <c r="E1883" i="2"/>
  <c r="D1883" i="2"/>
  <c r="C1883" i="2"/>
  <c r="B1883" i="2"/>
  <c r="A1883" i="2"/>
  <c r="H1882" i="2"/>
  <c r="G1882" i="2"/>
  <c r="F1882" i="2"/>
  <c r="E1882" i="2"/>
  <c r="D1882" i="2"/>
  <c r="C1882" i="2"/>
  <c r="B1882" i="2"/>
  <c r="A1882" i="2"/>
  <c r="H1881" i="2"/>
  <c r="G1881" i="2"/>
  <c r="F1881" i="2"/>
  <c r="E1881" i="2"/>
  <c r="D1881" i="2"/>
  <c r="C1881" i="2"/>
  <c r="B1881" i="2"/>
  <c r="A1881" i="2"/>
  <c r="H1880" i="2"/>
  <c r="G1880" i="2"/>
  <c r="F1880" i="2"/>
  <c r="E1880" i="2"/>
  <c r="D1880" i="2"/>
  <c r="C1880" i="2"/>
  <c r="B1880" i="2"/>
  <c r="A1880" i="2"/>
  <c r="H1879" i="2"/>
  <c r="G1879" i="2"/>
  <c r="F1879" i="2"/>
  <c r="E1879" i="2"/>
  <c r="D1879" i="2"/>
  <c r="C1879" i="2"/>
  <c r="B1879" i="2"/>
  <c r="A1879" i="2"/>
  <c r="H1878" i="2"/>
  <c r="G1878" i="2"/>
  <c r="F1878" i="2"/>
  <c r="E1878" i="2"/>
  <c r="D1878" i="2"/>
  <c r="C1878" i="2"/>
  <c r="B1878" i="2"/>
  <c r="A1878" i="2"/>
  <c r="H1877" i="2"/>
  <c r="G1877" i="2"/>
  <c r="F1877" i="2"/>
  <c r="E1877" i="2"/>
  <c r="D1877" i="2"/>
  <c r="C1877" i="2"/>
  <c r="B1877" i="2"/>
  <c r="A1877" i="2"/>
  <c r="H1876" i="2"/>
  <c r="G1876" i="2"/>
  <c r="F1876" i="2"/>
  <c r="E1876" i="2"/>
  <c r="D1876" i="2"/>
  <c r="C1876" i="2"/>
  <c r="B1876" i="2"/>
  <c r="A1876" i="2"/>
  <c r="H1875" i="2"/>
  <c r="G1875" i="2"/>
  <c r="F1875" i="2"/>
  <c r="E1875" i="2"/>
  <c r="D1875" i="2"/>
  <c r="C1875" i="2"/>
  <c r="B1875" i="2"/>
  <c r="A1875" i="2"/>
  <c r="H1874" i="2"/>
  <c r="G1874" i="2"/>
  <c r="F1874" i="2"/>
  <c r="E1874" i="2"/>
  <c r="D1874" i="2"/>
  <c r="C1874" i="2"/>
  <c r="B1874" i="2"/>
  <c r="A1874" i="2"/>
  <c r="H1873" i="2"/>
  <c r="G1873" i="2"/>
  <c r="F1873" i="2"/>
  <c r="E1873" i="2"/>
  <c r="D1873" i="2"/>
  <c r="C1873" i="2"/>
  <c r="B1873" i="2"/>
  <c r="A1873" i="2"/>
  <c r="H1872" i="2"/>
  <c r="G1872" i="2"/>
  <c r="F1872" i="2"/>
  <c r="E1872" i="2"/>
  <c r="D1872" i="2"/>
  <c r="C1872" i="2"/>
  <c r="B1872" i="2"/>
  <c r="A1872" i="2"/>
  <c r="H1871" i="2"/>
  <c r="G1871" i="2"/>
  <c r="F1871" i="2"/>
  <c r="E1871" i="2"/>
  <c r="D1871" i="2"/>
  <c r="C1871" i="2"/>
  <c r="B1871" i="2"/>
  <c r="A1871" i="2"/>
  <c r="H1870" i="2"/>
  <c r="G1870" i="2"/>
  <c r="F1870" i="2"/>
  <c r="E1870" i="2"/>
  <c r="D1870" i="2"/>
  <c r="C1870" i="2"/>
  <c r="B1870" i="2"/>
  <c r="A1870" i="2"/>
  <c r="H1869" i="2"/>
  <c r="G1869" i="2"/>
  <c r="F1869" i="2"/>
  <c r="E1869" i="2"/>
  <c r="D1869" i="2"/>
  <c r="C1869" i="2"/>
  <c r="B1869" i="2"/>
  <c r="A1869" i="2"/>
  <c r="H1868" i="2"/>
  <c r="G1868" i="2"/>
  <c r="F1868" i="2"/>
  <c r="E1868" i="2"/>
  <c r="D1868" i="2"/>
  <c r="C1868" i="2"/>
  <c r="B1868" i="2"/>
  <c r="A1868" i="2"/>
  <c r="H1867" i="2"/>
  <c r="G1867" i="2"/>
  <c r="F1867" i="2"/>
  <c r="E1867" i="2"/>
  <c r="D1867" i="2"/>
  <c r="C1867" i="2"/>
  <c r="B1867" i="2"/>
  <c r="A1867" i="2"/>
  <c r="H1866" i="2"/>
  <c r="G1866" i="2"/>
  <c r="F1866" i="2"/>
  <c r="E1866" i="2"/>
  <c r="D1866" i="2"/>
  <c r="C1866" i="2"/>
  <c r="B1866" i="2"/>
  <c r="A1866" i="2"/>
  <c r="H1865" i="2"/>
  <c r="G1865" i="2"/>
  <c r="F1865" i="2"/>
  <c r="E1865" i="2"/>
  <c r="D1865" i="2"/>
  <c r="C1865" i="2"/>
  <c r="B1865" i="2"/>
  <c r="A1865" i="2"/>
  <c r="H1864" i="2"/>
  <c r="G1864" i="2"/>
  <c r="F1864" i="2"/>
  <c r="E1864" i="2"/>
  <c r="D1864" i="2"/>
  <c r="C1864" i="2"/>
  <c r="B1864" i="2"/>
  <c r="A1864" i="2"/>
  <c r="H1863" i="2"/>
  <c r="G1863" i="2"/>
  <c r="F1863" i="2"/>
  <c r="E1863" i="2"/>
  <c r="D1863" i="2"/>
  <c r="C1863" i="2"/>
  <c r="B1863" i="2"/>
  <c r="A1863" i="2"/>
  <c r="H1862" i="2"/>
  <c r="G1862" i="2"/>
  <c r="F1862" i="2"/>
  <c r="E1862" i="2"/>
  <c r="D1862" i="2"/>
  <c r="C1862" i="2"/>
  <c r="B1862" i="2"/>
  <c r="A1862" i="2"/>
  <c r="H1861" i="2"/>
  <c r="G1861" i="2"/>
  <c r="F1861" i="2"/>
  <c r="E1861" i="2"/>
  <c r="D1861" i="2"/>
  <c r="C1861" i="2"/>
  <c r="B1861" i="2"/>
  <c r="A1861" i="2"/>
  <c r="H1860" i="2"/>
  <c r="G1860" i="2"/>
  <c r="F1860" i="2"/>
  <c r="E1860" i="2"/>
  <c r="D1860" i="2"/>
  <c r="C1860" i="2"/>
  <c r="B1860" i="2"/>
  <c r="A1860" i="2"/>
  <c r="H1859" i="2"/>
  <c r="G1859" i="2"/>
  <c r="F1859" i="2"/>
  <c r="E1859" i="2"/>
  <c r="D1859" i="2"/>
  <c r="C1859" i="2"/>
  <c r="B1859" i="2"/>
  <c r="A1859" i="2"/>
  <c r="H1858" i="2"/>
  <c r="G1858" i="2"/>
  <c r="F1858" i="2"/>
  <c r="E1858" i="2"/>
  <c r="D1858" i="2"/>
  <c r="C1858" i="2"/>
  <c r="B1858" i="2"/>
  <c r="A1858" i="2"/>
  <c r="H1857" i="2"/>
  <c r="G1857" i="2"/>
  <c r="F1857" i="2"/>
  <c r="E1857" i="2"/>
  <c r="D1857" i="2"/>
  <c r="C1857" i="2"/>
  <c r="B1857" i="2"/>
  <c r="A1857" i="2"/>
  <c r="H1856" i="2"/>
  <c r="G1856" i="2"/>
  <c r="F1856" i="2"/>
  <c r="E1856" i="2"/>
  <c r="D1856" i="2"/>
  <c r="C1856" i="2"/>
  <c r="B1856" i="2"/>
  <c r="A1856" i="2"/>
  <c r="H1855" i="2"/>
  <c r="G1855" i="2"/>
  <c r="F1855" i="2"/>
  <c r="E1855" i="2"/>
  <c r="D1855" i="2"/>
  <c r="C1855" i="2"/>
  <c r="B1855" i="2"/>
  <c r="A1855" i="2"/>
  <c r="H1854" i="2"/>
  <c r="G1854" i="2"/>
  <c r="F1854" i="2"/>
  <c r="E1854" i="2"/>
  <c r="D1854" i="2"/>
  <c r="C1854" i="2"/>
  <c r="B1854" i="2"/>
  <c r="A1854" i="2"/>
  <c r="H1853" i="2"/>
  <c r="G1853" i="2"/>
  <c r="F1853" i="2"/>
  <c r="E1853" i="2"/>
  <c r="D1853" i="2"/>
  <c r="C1853" i="2"/>
  <c r="B1853" i="2"/>
  <c r="A1853" i="2"/>
  <c r="H1852" i="2"/>
  <c r="G1852" i="2"/>
  <c r="F1852" i="2"/>
  <c r="E1852" i="2"/>
  <c r="D1852" i="2"/>
  <c r="C1852" i="2"/>
  <c r="B1852" i="2"/>
  <c r="A1852" i="2"/>
  <c r="H1851" i="2"/>
  <c r="G1851" i="2"/>
  <c r="F1851" i="2"/>
  <c r="E1851" i="2"/>
  <c r="D1851" i="2"/>
  <c r="C1851" i="2"/>
  <c r="B1851" i="2"/>
  <c r="A1851" i="2"/>
  <c r="H1850" i="2"/>
  <c r="G1850" i="2"/>
  <c r="F1850" i="2"/>
  <c r="E1850" i="2"/>
  <c r="D1850" i="2"/>
  <c r="C1850" i="2"/>
  <c r="B1850" i="2"/>
  <c r="A1850" i="2"/>
  <c r="H1849" i="2"/>
  <c r="G1849" i="2"/>
  <c r="F1849" i="2"/>
  <c r="E1849" i="2"/>
  <c r="D1849" i="2"/>
  <c r="C1849" i="2"/>
  <c r="B1849" i="2"/>
  <c r="A1849" i="2"/>
  <c r="H1848" i="2"/>
  <c r="G1848" i="2"/>
  <c r="F1848" i="2"/>
  <c r="E1848" i="2"/>
  <c r="D1848" i="2"/>
  <c r="C1848" i="2"/>
  <c r="B1848" i="2"/>
  <c r="A1848" i="2"/>
  <c r="H1847" i="2"/>
  <c r="G1847" i="2"/>
  <c r="F1847" i="2"/>
  <c r="E1847" i="2"/>
  <c r="D1847" i="2"/>
  <c r="C1847" i="2"/>
  <c r="B1847" i="2"/>
  <c r="A1847" i="2"/>
  <c r="H1846" i="2"/>
  <c r="G1846" i="2"/>
  <c r="F1846" i="2"/>
  <c r="E1846" i="2"/>
  <c r="D1846" i="2"/>
  <c r="C1846" i="2"/>
  <c r="B1846" i="2"/>
  <c r="A1846" i="2"/>
  <c r="H1845" i="2"/>
  <c r="G1845" i="2"/>
  <c r="F1845" i="2"/>
  <c r="E1845" i="2"/>
  <c r="D1845" i="2"/>
  <c r="C1845" i="2"/>
  <c r="B1845" i="2"/>
  <c r="A1845" i="2"/>
  <c r="H1844" i="2"/>
  <c r="G1844" i="2"/>
  <c r="F1844" i="2"/>
  <c r="E1844" i="2"/>
  <c r="D1844" i="2"/>
  <c r="C1844" i="2"/>
  <c r="B1844" i="2"/>
  <c r="A1844" i="2"/>
  <c r="H1843" i="2"/>
  <c r="G1843" i="2"/>
  <c r="F1843" i="2"/>
  <c r="E1843" i="2"/>
  <c r="D1843" i="2"/>
  <c r="C1843" i="2"/>
  <c r="B1843" i="2"/>
  <c r="A1843" i="2"/>
  <c r="H1842" i="2"/>
  <c r="G1842" i="2"/>
  <c r="F1842" i="2"/>
  <c r="E1842" i="2"/>
  <c r="D1842" i="2"/>
  <c r="C1842" i="2"/>
  <c r="B1842" i="2"/>
  <c r="A1842" i="2"/>
  <c r="H1841" i="2"/>
  <c r="G1841" i="2"/>
  <c r="F1841" i="2"/>
  <c r="E1841" i="2"/>
  <c r="D1841" i="2"/>
  <c r="C1841" i="2"/>
  <c r="B1841" i="2"/>
  <c r="A1841" i="2"/>
  <c r="H1840" i="2"/>
  <c r="G1840" i="2"/>
  <c r="F1840" i="2"/>
  <c r="E1840" i="2"/>
  <c r="D1840" i="2"/>
  <c r="C1840" i="2"/>
  <c r="B1840" i="2"/>
  <c r="A1840" i="2"/>
  <c r="H1839" i="2"/>
  <c r="G1839" i="2"/>
  <c r="F1839" i="2"/>
  <c r="E1839" i="2"/>
  <c r="D1839" i="2"/>
  <c r="C1839" i="2"/>
  <c r="B1839" i="2"/>
  <c r="A1839" i="2"/>
  <c r="H1838" i="2"/>
  <c r="G1838" i="2"/>
  <c r="F1838" i="2"/>
  <c r="E1838" i="2"/>
  <c r="D1838" i="2"/>
  <c r="C1838" i="2"/>
  <c r="B1838" i="2"/>
  <c r="A1838" i="2"/>
  <c r="H1837" i="2"/>
  <c r="G1837" i="2"/>
  <c r="F1837" i="2"/>
  <c r="E1837" i="2"/>
  <c r="D1837" i="2"/>
  <c r="C1837" i="2"/>
  <c r="B1837" i="2"/>
  <c r="A1837" i="2"/>
  <c r="H1836" i="2"/>
  <c r="G1836" i="2"/>
  <c r="F1836" i="2"/>
  <c r="E1836" i="2"/>
  <c r="D1836" i="2"/>
  <c r="C1836" i="2"/>
  <c r="B1836" i="2"/>
  <c r="A1836" i="2"/>
  <c r="H1835" i="2"/>
  <c r="G1835" i="2"/>
  <c r="F1835" i="2"/>
  <c r="E1835" i="2"/>
  <c r="D1835" i="2"/>
  <c r="C1835" i="2"/>
  <c r="B1835" i="2"/>
  <c r="A1835" i="2"/>
  <c r="H1834" i="2"/>
  <c r="G1834" i="2"/>
  <c r="F1834" i="2"/>
  <c r="E1834" i="2"/>
  <c r="D1834" i="2"/>
  <c r="C1834" i="2"/>
  <c r="B1834" i="2"/>
  <c r="A1834" i="2"/>
  <c r="H1833" i="2"/>
  <c r="G1833" i="2"/>
  <c r="F1833" i="2"/>
  <c r="E1833" i="2"/>
  <c r="D1833" i="2"/>
  <c r="C1833" i="2"/>
  <c r="B1833" i="2"/>
  <c r="A1833" i="2"/>
  <c r="H1832" i="2"/>
  <c r="G1832" i="2"/>
  <c r="F1832" i="2"/>
  <c r="E1832" i="2"/>
  <c r="D1832" i="2"/>
  <c r="C1832" i="2"/>
  <c r="B1832" i="2"/>
  <c r="A1832" i="2"/>
  <c r="H1831" i="2"/>
  <c r="G1831" i="2"/>
  <c r="F1831" i="2"/>
  <c r="E1831" i="2"/>
  <c r="D1831" i="2"/>
  <c r="C1831" i="2"/>
  <c r="B1831" i="2"/>
  <c r="A1831" i="2"/>
  <c r="H1830" i="2"/>
  <c r="G1830" i="2"/>
  <c r="F1830" i="2"/>
  <c r="E1830" i="2"/>
  <c r="D1830" i="2"/>
  <c r="C1830" i="2"/>
  <c r="B1830" i="2"/>
  <c r="A1830" i="2"/>
  <c r="H1829" i="2"/>
  <c r="G1829" i="2"/>
  <c r="F1829" i="2"/>
  <c r="E1829" i="2"/>
  <c r="D1829" i="2"/>
  <c r="C1829" i="2"/>
  <c r="B1829" i="2"/>
  <c r="A1829" i="2"/>
  <c r="H1828" i="2"/>
  <c r="G1828" i="2"/>
  <c r="F1828" i="2"/>
  <c r="E1828" i="2"/>
  <c r="D1828" i="2"/>
  <c r="C1828" i="2"/>
  <c r="B1828" i="2"/>
  <c r="A1828" i="2"/>
  <c r="H1827" i="2"/>
  <c r="G1827" i="2"/>
  <c r="F1827" i="2"/>
  <c r="E1827" i="2"/>
  <c r="D1827" i="2"/>
  <c r="C1827" i="2"/>
  <c r="B1827" i="2"/>
  <c r="A1827" i="2"/>
  <c r="H1826" i="2"/>
  <c r="G1826" i="2"/>
  <c r="F1826" i="2"/>
  <c r="E1826" i="2"/>
  <c r="D1826" i="2"/>
  <c r="C1826" i="2"/>
  <c r="B1826" i="2"/>
  <c r="A1826" i="2"/>
  <c r="H1825" i="2"/>
  <c r="G1825" i="2"/>
  <c r="F1825" i="2"/>
  <c r="E1825" i="2"/>
  <c r="D1825" i="2"/>
  <c r="C1825" i="2"/>
  <c r="B1825" i="2"/>
  <c r="A1825" i="2"/>
  <c r="H1824" i="2"/>
  <c r="G1824" i="2"/>
  <c r="F1824" i="2"/>
  <c r="E1824" i="2"/>
  <c r="D1824" i="2"/>
  <c r="C1824" i="2"/>
  <c r="B1824" i="2"/>
  <c r="A1824" i="2"/>
  <c r="H1823" i="2"/>
  <c r="G1823" i="2"/>
  <c r="F1823" i="2"/>
  <c r="E1823" i="2"/>
  <c r="D1823" i="2"/>
  <c r="C1823" i="2"/>
  <c r="B1823" i="2"/>
  <c r="A1823" i="2"/>
  <c r="H1822" i="2"/>
  <c r="G1822" i="2"/>
  <c r="F1822" i="2"/>
  <c r="E1822" i="2"/>
  <c r="D1822" i="2"/>
  <c r="C1822" i="2"/>
  <c r="B1822" i="2"/>
  <c r="A1822" i="2"/>
  <c r="H1821" i="2"/>
  <c r="G1821" i="2"/>
  <c r="F1821" i="2"/>
  <c r="E1821" i="2"/>
  <c r="D1821" i="2"/>
  <c r="C1821" i="2"/>
  <c r="B1821" i="2"/>
  <c r="A1821" i="2"/>
  <c r="H1820" i="2"/>
  <c r="G1820" i="2"/>
  <c r="F1820" i="2"/>
  <c r="E1820" i="2"/>
  <c r="D1820" i="2"/>
  <c r="C1820" i="2"/>
  <c r="B1820" i="2"/>
  <c r="A1820" i="2"/>
  <c r="H1819" i="2"/>
  <c r="G1819" i="2"/>
  <c r="F1819" i="2"/>
  <c r="E1819" i="2"/>
  <c r="D1819" i="2"/>
  <c r="C1819" i="2"/>
  <c r="B1819" i="2"/>
  <c r="A1819" i="2"/>
  <c r="H1818" i="2"/>
  <c r="G1818" i="2"/>
  <c r="F1818" i="2"/>
  <c r="E1818" i="2"/>
  <c r="D1818" i="2"/>
  <c r="C1818" i="2"/>
  <c r="B1818" i="2"/>
  <c r="A1818" i="2"/>
  <c r="H1817" i="2"/>
  <c r="G1817" i="2"/>
  <c r="F1817" i="2"/>
  <c r="E1817" i="2"/>
  <c r="D1817" i="2"/>
  <c r="C1817" i="2"/>
  <c r="B1817" i="2"/>
  <c r="A1817" i="2"/>
  <c r="H1816" i="2"/>
  <c r="G1816" i="2"/>
  <c r="F1816" i="2"/>
  <c r="E1816" i="2"/>
  <c r="D1816" i="2"/>
  <c r="C1816" i="2"/>
  <c r="B1816" i="2"/>
  <c r="A1816" i="2"/>
  <c r="H1815" i="2"/>
  <c r="G1815" i="2"/>
  <c r="F1815" i="2"/>
  <c r="E1815" i="2"/>
  <c r="D1815" i="2"/>
  <c r="C1815" i="2"/>
  <c r="B1815" i="2"/>
  <c r="A1815" i="2"/>
  <c r="H1814" i="2"/>
  <c r="G1814" i="2"/>
  <c r="F1814" i="2"/>
  <c r="E1814" i="2"/>
  <c r="D1814" i="2"/>
  <c r="C1814" i="2"/>
  <c r="B1814" i="2"/>
  <c r="A1814" i="2"/>
  <c r="H1813" i="2"/>
  <c r="G1813" i="2"/>
  <c r="F1813" i="2"/>
  <c r="E1813" i="2"/>
  <c r="D1813" i="2"/>
  <c r="C1813" i="2"/>
  <c r="B1813" i="2"/>
  <c r="A1813" i="2"/>
  <c r="H1812" i="2"/>
  <c r="G1812" i="2"/>
  <c r="F1812" i="2"/>
  <c r="E1812" i="2"/>
  <c r="D1812" i="2"/>
  <c r="C1812" i="2"/>
  <c r="B1812" i="2"/>
  <c r="A1812" i="2"/>
  <c r="H1811" i="2"/>
  <c r="G1811" i="2"/>
  <c r="F1811" i="2"/>
  <c r="E1811" i="2"/>
  <c r="D1811" i="2"/>
  <c r="C1811" i="2"/>
  <c r="B1811" i="2"/>
  <c r="A1811" i="2"/>
  <c r="H1810" i="2"/>
  <c r="G1810" i="2"/>
  <c r="F1810" i="2"/>
  <c r="E1810" i="2"/>
  <c r="D1810" i="2"/>
  <c r="C1810" i="2"/>
  <c r="B1810" i="2"/>
  <c r="A1810" i="2"/>
  <c r="H1809" i="2"/>
  <c r="G1809" i="2"/>
  <c r="F1809" i="2"/>
  <c r="E1809" i="2"/>
  <c r="D1809" i="2"/>
  <c r="C1809" i="2"/>
  <c r="B1809" i="2"/>
  <c r="A1809" i="2"/>
  <c r="H1808" i="2"/>
  <c r="G1808" i="2"/>
  <c r="F1808" i="2"/>
  <c r="E1808" i="2"/>
  <c r="D1808" i="2"/>
  <c r="C1808" i="2"/>
  <c r="B1808" i="2"/>
  <c r="A1808" i="2"/>
  <c r="H1807" i="2"/>
  <c r="G1807" i="2"/>
  <c r="F1807" i="2"/>
  <c r="E1807" i="2"/>
  <c r="D1807" i="2"/>
  <c r="C1807" i="2"/>
  <c r="B1807" i="2"/>
  <c r="A1807" i="2"/>
  <c r="H1806" i="2"/>
  <c r="G1806" i="2"/>
  <c r="F1806" i="2"/>
  <c r="E1806" i="2"/>
  <c r="D1806" i="2"/>
  <c r="C1806" i="2"/>
  <c r="B1806" i="2"/>
  <c r="A1806" i="2"/>
  <c r="H1805" i="2"/>
  <c r="G1805" i="2"/>
  <c r="F1805" i="2"/>
  <c r="E1805" i="2"/>
  <c r="D1805" i="2"/>
  <c r="C1805" i="2"/>
  <c r="B1805" i="2"/>
  <c r="A1805" i="2"/>
  <c r="H1804" i="2"/>
  <c r="G1804" i="2"/>
  <c r="F1804" i="2"/>
  <c r="E1804" i="2"/>
  <c r="D1804" i="2"/>
  <c r="C1804" i="2"/>
  <c r="B1804" i="2"/>
  <c r="A1804" i="2"/>
  <c r="H1803" i="2"/>
  <c r="G1803" i="2"/>
  <c r="F1803" i="2"/>
  <c r="E1803" i="2"/>
  <c r="D1803" i="2"/>
  <c r="C1803" i="2"/>
  <c r="B1803" i="2"/>
  <c r="A1803" i="2"/>
  <c r="H1802" i="2"/>
  <c r="G1802" i="2"/>
  <c r="F1802" i="2"/>
  <c r="E1802" i="2"/>
  <c r="D1802" i="2"/>
  <c r="C1802" i="2"/>
  <c r="B1802" i="2"/>
  <c r="A1802" i="2"/>
  <c r="H1801" i="2"/>
  <c r="G1801" i="2"/>
  <c r="F1801" i="2"/>
  <c r="E1801" i="2"/>
  <c r="D1801" i="2"/>
  <c r="C1801" i="2"/>
  <c r="B1801" i="2"/>
  <c r="A1801" i="2"/>
  <c r="H1800" i="2"/>
  <c r="G1800" i="2"/>
  <c r="F1800" i="2"/>
  <c r="E1800" i="2"/>
  <c r="D1800" i="2"/>
  <c r="C1800" i="2"/>
  <c r="B1800" i="2"/>
  <c r="A1800" i="2"/>
  <c r="H1799" i="2"/>
  <c r="G1799" i="2"/>
  <c r="F1799" i="2"/>
  <c r="E1799" i="2"/>
  <c r="D1799" i="2"/>
  <c r="C1799" i="2"/>
  <c r="B1799" i="2"/>
  <c r="A1799" i="2"/>
  <c r="H1798" i="2"/>
  <c r="G1798" i="2"/>
  <c r="F1798" i="2"/>
  <c r="E1798" i="2"/>
  <c r="D1798" i="2"/>
  <c r="C1798" i="2"/>
  <c r="B1798" i="2"/>
  <c r="A1798" i="2"/>
  <c r="H1797" i="2"/>
  <c r="G1797" i="2"/>
  <c r="F1797" i="2"/>
  <c r="E1797" i="2"/>
  <c r="D1797" i="2"/>
  <c r="C1797" i="2"/>
  <c r="B1797" i="2"/>
  <c r="A1797" i="2"/>
  <c r="H1796" i="2"/>
  <c r="G1796" i="2"/>
  <c r="F1796" i="2"/>
  <c r="E1796" i="2"/>
  <c r="D1796" i="2"/>
  <c r="C1796" i="2"/>
  <c r="B1796" i="2"/>
  <c r="A1796" i="2"/>
  <c r="H1795" i="2"/>
  <c r="G1795" i="2"/>
  <c r="F1795" i="2"/>
  <c r="E1795" i="2"/>
  <c r="D1795" i="2"/>
  <c r="C1795" i="2"/>
  <c r="B1795" i="2"/>
  <c r="A1795" i="2"/>
  <c r="H1794" i="2"/>
  <c r="G1794" i="2"/>
  <c r="F1794" i="2"/>
  <c r="E1794" i="2"/>
  <c r="D1794" i="2"/>
  <c r="C1794" i="2"/>
  <c r="B1794" i="2"/>
  <c r="A1794" i="2"/>
  <c r="H1793" i="2"/>
  <c r="G1793" i="2"/>
  <c r="F1793" i="2"/>
  <c r="E1793" i="2"/>
  <c r="D1793" i="2"/>
  <c r="C1793" i="2"/>
  <c r="B1793" i="2"/>
  <c r="A1793" i="2"/>
  <c r="H1792" i="2"/>
  <c r="G1792" i="2"/>
  <c r="F1792" i="2"/>
  <c r="E1792" i="2"/>
  <c r="D1792" i="2"/>
  <c r="C1792" i="2"/>
  <c r="B1792" i="2"/>
  <c r="A1792" i="2"/>
  <c r="H1791" i="2"/>
  <c r="G1791" i="2"/>
  <c r="F1791" i="2"/>
  <c r="E1791" i="2"/>
  <c r="D1791" i="2"/>
  <c r="C1791" i="2"/>
  <c r="B1791" i="2"/>
  <c r="A1791" i="2"/>
  <c r="H1790" i="2"/>
  <c r="G1790" i="2"/>
  <c r="F1790" i="2"/>
  <c r="E1790" i="2"/>
  <c r="D1790" i="2"/>
  <c r="C1790" i="2"/>
  <c r="B1790" i="2"/>
  <c r="A1790" i="2"/>
  <c r="H1789" i="2"/>
  <c r="G1789" i="2"/>
  <c r="F1789" i="2"/>
  <c r="E1789" i="2"/>
  <c r="D1789" i="2"/>
  <c r="C1789" i="2"/>
  <c r="B1789" i="2"/>
  <c r="A1789" i="2"/>
  <c r="H1788" i="2"/>
  <c r="G1788" i="2"/>
  <c r="F1788" i="2"/>
  <c r="E1788" i="2"/>
  <c r="D1788" i="2"/>
  <c r="C1788" i="2"/>
  <c r="B1788" i="2"/>
  <c r="A1788" i="2"/>
  <c r="H1787" i="2"/>
  <c r="G1787" i="2"/>
  <c r="F1787" i="2"/>
  <c r="E1787" i="2"/>
  <c r="D1787" i="2"/>
  <c r="C1787" i="2"/>
  <c r="B1787" i="2"/>
  <c r="A1787" i="2"/>
  <c r="H1786" i="2"/>
  <c r="G1786" i="2"/>
  <c r="F1786" i="2"/>
  <c r="E1786" i="2"/>
  <c r="D1786" i="2"/>
  <c r="C1786" i="2"/>
  <c r="B1786" i="2"/>
  <c r="A1786" i="2"/>
  <c r="H1785" i="2"/>
  <c r="G1785" i="2"/>
  <c r="F1785" i="2"/>
  <c r="E1785" i="2"/>
  <c r="D1785" i="2"/>
  <c r="C1785" i="2"/>
  <c r="B1785" i="2"/>
  <c r="A1785" i="2"/>
  <c r="H1784" i="2"/>
  <c r="G1784" i="2"/>
  <c r="F1784" i="2"/>
  <c r="E1784" i="2"/>
  <c r="D1784" i="2"/>
  <c r="C1784" i="2"/>
  <c r="B1784" i="2"/>
  <c r="A1784" i="2"/>
  <c r="H1783" i="2"/>
  <c r="G1783" i="2"/>
  <c r="F1783" i="2"/>
  <c r="E1783" i="2"/>
  <c r="D1783" i="2"/>
  <c r="C1783" i="2"/>
  <c r="B1783" i="2"/>
  <c r="A1783" i="2"/>
  <c r="H1782" i="2"/>
  <c r="G1782" i="2"/>
  <c r="F1782" i="2"/>
  <c r="E1782" i="2"/>
  <c r="D1782" i="2"/>
  <c r="C1782" i="2"/>
  <c r="B1782" i="2"/>
  <c r="A1782" i="2"/>
  <c r="H1781" i="2"/>
  <c r="G1781" i="2"/>
  <c r="F1781" i="2"/>
  <c r="E1781" i="2"/>
  <c r="D1781" i="2"/>
  <c r="C1781" i="2"/>
  <c r="B1781" i="2"/>
  <c r="A1781" i="2"/>
  <c r="H1780" i="2"/>
  <c r="G1780" i="2"/>
  <c r="F1780" i="2"/>
  <c r="E1780" i="2"/>
  <c r="D1780" i="2"/>
  <c r="C1780" i="2"/>
  <c r="B1780" i="2"/>
  <c r="A1780" i="2"/>
  <c r="H1779" i="2"/>
  <c r="G1779" i="2"/>
  <c r="F1779" i="2"/>
  <c r="E1779" i="2"/>
  <c r="D1779" i="2"/>
  <c r="C1779" i="2"/>
  <c r="B1779" i="2"/>
  <c r="A1779" i="2"/>
  <c r="H1778" i="2"/>
  <c r="G1778" i="2"/>
  <c r="F1778" i="2"/>
  <c r="E1778" i="2"/>
  <c r="D1778" i="2"/>
  <c r="C1778" i="2"/>
  <c r="B1778" i="2"/>
  <c r="A1778" i="2"/>
  <c r="H1777" i="2"/>
  <c r="G1777" i="2"/>
  <c r="F1777" i="2"/>
  <c r="E1777" i="2"/>
  <c r="D1777" i="2"/>
  <c r="C1777" i="2"/>
  <c r="B1777" i="2"/>
  <c r="A1777" i="2"/>
  <c r="H1776" i="2"/>
  <c r="G1776" i="2"/>
  <c r="F1776" i="2"/>
  <c r="E1776" i="2"/>
  <c r="D1776" i="2"/>
  <c r="C1776" i="2"/>
  <c r="B1776" i="2"/>
  <c r="A1776" i="2"/>
  <c r="H1775" i="2"/>
  <c r="G1775" i="2"/>
  <c r="F1775" i="2"/>
  <c r="E1775" i="2"/>
  <c r="D1775" i="2"/>
  <c r="C1775" i="2"/>
  <c r="B1775" i="2"/>
  <c r="A1775" i="2"/>
  <c r="H1774" i="2"/>
  <c r="G1774" i="2"/>
  <c r="F1774" i="2"/>
  <c r="E1774" i="2"/>
  <c r="D1774" i="2"/>
  <c r="C1774" i="2"/>
  <c r="B1774" i="2"/>
  <c r="A1774" i="2"/>
  <c r="H1773" i="2"/>
  <c r="G1773" i="2"/>
  <c r="F1773" i="2"/>
  <c r="E1773" i="2"/>
  <c r="D1773" i="2"/>
  <c r="C1773" i="2"/>
  <c r="B1773" i="2"/>
  <c r="A1773" i="2"/>
  <c r="H1772" i="2"/>
  <c r="G1772" i="2"/>
  <c r="F1772" i="2"/>
  <c r="E1772" i="2"/>
  <c r="D1772" i="2"/>
  <c r="C1772" i="2"/>
  <c r="B1772" i="2"/>
  <c r="A1772" i="2"/>
  <c r="H1771" i="2"/>
  <c r="G1771" i="2"/>
  <c r="F1771" i="2"/>
  <c r="E1771" i="2"/>
  <c r="D1771" i="2"/>
  <c r="C1771" i="2"/>
  <c r="B1771" i="2"/>
  <c r="A1771" i="2"/>
  <c r="H1770" i="2"/>
  <c r="G1770" i="2"/>
  <c r="F1770" i="2"/>
  <c r="E1770" i="2"/>
  <c r="D1770" i="2"/>
  <c r="C1770" i="2"/>
  <c r="B1770" i="2"/>
  <c r="A1770" i="2"/>
  <c r="H1769" i="2"/>
  <c r="G1769" i="2"/>
  <c r="F1769" i="2"/>
  <c r="E1769" i="2"/>
  <c r="D1769" i="2"/>
  <c r="C1769" i="2"/>
  <c r="B1769" i="2"/>
  <c r="A1769" i="2"/>
  <c r="H1768" i="2"/>
  <c r="G1768" i="2"/>
  <c r="F1768" i="2"/>
  <c r="E1768" i="2"/>
  <c r="D1768" i="2"/>
  <c r="C1768" i="2"/>
  <c r="B1768" i="2"/>
  <c r="A1768" i="2"/>
  <c r="H1767" i="2"/>
  <c r="G1767" i="2"/>
  <c r="F1767" i="2"/>
  <c r="E1767" i="2"/>
  <c r="D1767" i="2"/>
  <c r="C1767" i="2"/>
  <c r="B1767" i="2"/>
  <c r="A1767" i="2"/>
  <c r="H1766" i="2"/>
  <c r="G1766" i="2"/>
  <c r="F1766" i="2"/>
  <c r="E1766" i="2"/>
  <c r="D1766" i="2"/>
  <c r="C1766" i="2"/>
  <c r="B1766" i="2"/>
  <c r="A1766" i="2"/>
  <c r="H1765" i="2"/>
  <c r="G1765" i="2"/>
  <c r="F1765" i="2"/>
  <c r="E1765" i="2"/>
  <c r="D1765" i="2"/>
  <c r="C1765" i="2"/>
  <c r="B1765" i="2"/>
  <c r="A1765" i="2"/>
  <c r="H1764" i="2"/>
  <c r="G1764" i="2"/>
  <c r="F1764" i="2"/>
  <c r="E1764" i="2"/>
  <c r="D1764" i="2"/>
  <c r="C1764" i="2"/>
  <c r="B1764" i="2"/>
  <c r="A1764" i="2"/>
  <c r="H1763" i="2"/>
  <c r="G1763" i="2"/>
  <c r="F1763" i="2"/>
  <c r="E1763" i="2"/>
  <c r="D1763" i="2"/>
  <c r="C1763" i="2"/>
  <c r="B1763" i="2"/>
  <c r="A1763" i="2"/>
  <c r="H1762" i="2"/>
  <c r="G1762" i="2"/>
  <c r="F1762" i="2"/>
  <c r="E1762" i="2"/>
  <c r="D1762" i="2"/>
  <c r="C1762" i="2"/>
  <c r="B1762" i="2"/>
  <c r="A1762" i="2"/>
  <c r="H1761" i="2"/>
  <c r="G1761" i="2"/>
  <c r="F1761" i="2"/>
  <c r="E1761" i="2"/>
  <c r="D1761" i="2"/>
  <c r="C1761" i="2"/>
  <c r="B1761" i="2"/>
  <c r="A1761" i="2"/>
  <c r="H1760" i="2"/>
  <c r="G1760" i="2"/>
  <c r="F1760" i="2"/>
  <c r="E1760" i="2"/>
  <c r="D1760" i="2"/>
  <c r="C1760" i="2"/>
  <c r="B1760" i="2"/>
  <c r="A1760" i="2"/>
  <c r="H1759" i="2"/>
  <c r="G1759" i="2"/>
  <c r="F1759" i="2"/>
  <c r="E1759" i="2"/>
  <c r="D1759" i="2"/>
  <c r="C1759" i="2"/>
  <c r="B1759" i="2"/>
  <c r="A1759" i="2"/>
  <c r="H1758" i="2"/>
  <c r="G1758" i="2"/>
  <c r="F1758" i="2"/>
  <c r="E1758" i="2"/>
  <c r="D1758" i="2"/>
  <c r="C1758" i="2"/>
  <c r="B1758" i="2"/>
  <c r="A1758" i="2"/>
  <c r="H1757" i="2"/>
  <c r="G1757" i="2"/>
  <c r="F1757" i="2"/>
  <c r="E1757" i="2"/>
  <c r="D1757" i="2"/>
  <c r="C1757" i="2"/>
  <c r="B1757" i="2"/>
  <c r="A1757" i="2"/>
  <c r="H1756" i="2"/>
  <c r="G1756" i="2"/>
  <c r="F1756" i="2"/>
  <c r="E1756" i="2"/>
  <c r="D1756" i="2"/>
  <c r="C1756" i="2"/>
  <c r="B1756" i="2"/>
  <c r="A1756" i="2"/>
  <c r="H1755" i="2"/>
  <c r="G1755" i="2"/>
  <c r="F1755" i="2"/>
  <c r="E1755" i="2"/>
  <c r="D1755" i="2"/>
  <c r="C1755" i="2"/>
  <c r="B1755" i="2"/>
  <c r="A1755" i="2"/>
  <c r="H1754" i="2"/>
  <c r="G1754" i="2"/>
  <c r="F1754" i="2"/>
  <c r="E1754" i="2"/>
  <c r="D1754" i="2"/>
  <c r="C1754" i="2"/>
  <c r="B1754" i="2"/>
  <c r="A1754" i="2"/>
  <c r="H1753" i="2"/>
  <c r="G1753" i="2"/>
  <c r="F1753" i="2"/>
  <c r="E1753" i="2"/>
  <c r="D1753" i="2"/>
  <c r="C1753" i="2"/>
  <c r="B1753" i="2"/>
  <c r="A1753" i="2"/>
  <c r="H1752" i="2"/>
  <c r="G1752" i="2"/>
  <c r="F1752" i="2"/>
  <c r="E1752" i="2"/>
  <c r="D1752" i="2"/>
  <c r="C1752" i="2"/>
  <c r="B1752" i="2"/>
  <c r="A1752" i="2"/>
  <c r="H1751" i="2"/>
  <c r="G1751" i="2"/>
  <c r="F1751" i="2"/>
  <c r="E1751" i="2"/>
  <c r="D1751" i="2"/>
  <c r="C1751" i="2"/>
  <c r="B1751" i="2"/>
  <c r="A1751" i="2"/>
  <c r="H1750" i="2"/>
  <c r="G1750" i="2"/>
  <c r="F1750" i="2"/>
  <c r="E1750" i="2"/>
  <c r="D1750" i="2"/>
  <c r="C1750" i="2"/>
  <c r="B1750" i="2"/>
  <c r="A1750" i="2"/>
  <c r="H1749" i="2"/>
  <c r="G1749" i="2"/>
  <c r="F1749" i="2"/>
  <c r="E1749" i="2"/>
  <c r="D1749" i="2"/>
  <c r="C1749" i="2"/>
  <c r="B1749" i="2"/>
  <c r="A1749" i="2"/>
  <c r="H1748" i="2"/>
  <c r="G1748" i="2"/>
  <c r="F1748" i="2"/>
  <c r="E1748" i="2"/>
  <c r="D1748" i="2"/>
  <c r="C1748" i="2"/>
  <c r="B1748" i="2"/>
  <c r="A1748" i="2"/>
  <c r="H1747" i="2"/>
  <c r="G1747" i="2"/>
  <c r="F1747" i="2"/>
  <c r="E1747" i="2"/>
  <c r="D1747" i="2"/>
  <c r="C1747" i="2"/>
  <c r="B1747" i="2"/>
  <c r="A1747" i="2"/>
  <c r="H1746" i="2"/>
  <c r="G1746" i="2"/>
  <c r="F1746" i="2"/>
  <c r="E1746" i="2"/>
  <c r="D1746" i="2"/>
  <c r="C1746" i="2"/>
  <c r="B1746" i="2"/>
  <c r="A1746" i="2"/>
  <c r="H1745" i="2"/>
  <c r="G1745" i="2"/>
  <c r="F1745" i="2"/>
  <c r="E1745" i="2"/>
  <c r="D1745" i="2"/>
  <c r="C1745" i="2"/>
  <c r="B1745" i="2"/>
  <c r="A1745" i="2"/>
  <c r="H1744" i="2"/>
  <c r="G1744" i="2"/>
  <c r="F1744" i="2"/>
  <c r="E1744" i="2"/>
  <c r="D1744" i="2"/>
  <c r="C1744" i="2"/>
  <c r="B1744" i="2"/>
  <c r="A1744" i="2"/>
  <c r="H1743" i="2"/>
  <c r="G1743" i="2"/>
  <c r="F1743" i="2"/>
  <c r="E1743" i="2"/>
  <c r="D1743" i="2"/>
  <c r="C1743" i="2"/>
  <c r="B1743" i="2"/>
  <c r="A1743" i="2"/>
  <c r="H1742" i="2"/>
  <c r="G1742" i="2"/>
  <c r="F1742" i="2"/>
  <c r="E1742" i="2"/>
  <c r="D1742" i="2"/>
  <c r="C1742" i="2"/>
  <c r="B1742" i="2"/>
  <c r="A1742" i="2"/>
  <c r="H1741" i="2"/>
  <c r="G1741" i="2"/>
  <c r="F1741" i="2"/>
  <c r="E1741" i="2"/>
  <c r="D1741" i="2"/>
  <c r="C1741" i="2"/>
  <c r="B1741" i="2"/>
  <c r="A1741" i="2"/>
  <c r="H1740" i="2"/>
  <c r="G1740" i="2"/>
  <c r="F1740" i="2"/>
  <c r="E1740" i="2"/>
  <c r="D1740" i="2"/>
  <c r="C1740" i="2"/>
  <c r="B1740" i="2"/>
  <c r="A1740" i="2"/>
  <c r="H1739" i="2"/>
  <c r="G1739" i="2"/>
  <c r="F1739" i="2"/>
  <c r="E1739" i="2"/>
  <c r="D1739" i="2"/>
  <c r="C1739" i="2"/>
  <c r="B1739" i="2"/>
  <c r="A1739" i="2"/>
  <c r="H1738" i="2"/>
  <c r="G1738" i="2"/>
  <c r="F1738" i="2"/>
  <c r="E1738" i="2"/>
  <c r="D1738" i="2"/>
  <c r="C1738" i="2"/>
  <c r="B1738" i="2"/>
  <c r="A1738" i="2"/>
  <c r="H1737" i="2"/>
  <c r="G1737" i="2"/>
  <c r="F1737" i="2"/>
  <c r="E1737" i="2"/>
  <c r="D1737" i="2"/>
  <c r="C1737" i="2"/>
  <c r="B1737" i="2"/>
  <c r="A1737" i="2"/>
  <c r="H1736" i="2"/>
  <c r="G1736" i="2"/>
  <c r="F1736" i="2"/>
  <c r="E1736" i="2"/>
  <c r="D1736" i="2"/>
  <c r="C1736" i="2"/>
  <c r="B1736" i="2"/>
  <c r="A1736" i="2"/>
  <c r="H1735" i="2"/>
  <c r="G1735" i="2"/>
  <c r="F1735" i="2"/>
  <c r="E1735" i="2"/>
  <c r="D1735" i="2"/>
  <c r="C1735" i="2"/>
  <c r="B1735" i="2"/>
  <c r="A1735" i="2"/>
  <c r="H1734" i="2"/>
  <c r="G1734" i="2"/>
  <c r="F1734" i="2"/>
  <c r="E1734" i="2"/>
  <c r="D1734" i="2"/>
  <c r="C1734" i="2"/>
  <c r="B1734" i="2"/>
  <c r="A1734" i="2"/>
  <c r="H1733" i="2"/>
  <c r="G1733" i="2"/>
  <c r="F1733" i="2"/>
  <c r="E1733" i="2"/>
  <c r="D1733" i="2"/>
  <c r="C1733" i="2"/>
  <c r="B1733" i="2"/>
  <c r="A1733" i="2"/>
  <c r="H1732" i="2"/>
  <c r="G1732" i="2"/>
  <c r="F1732" i="2"/>
  <c r="E1732" i="2"/>
  <c r="D1732" i="2"/>
  <c r="C1732" i="2"/>
  <c r="B1732" i="2"/>
  <c r="A1732" i="2"/>
  <c r="H1731" i="2"/>
  <c r="G1731" i="2"/>
  <c r="F1731" i="2"/>
  <c r="E1731" i="2"/>
  <c r="D1731" i="2"/>
  <c r="C1731" i="2"/>
  <c r="B1731" i="2"/>
  <c r="A1731" i="2"/>
  <c r="H1730" i="2"/>
  <c r="G1730" i="2"/>
  <c r="F1730" i="2"/>
  <c r="E1730" i="2"/>
  <c r="D1730" i="2"/>
  <c r="C1730" i="2"/>
  <c r="B1730" i="2"/>
  <c r="A1730" i="2"/>
  <c r="H1729" i="2"/>
  <c r="G1729" i="2"/>
  <c r="F1729" i="2"/>
  <c r="E1729" i="2"/>
  <c r="D1729" i="2"/>
  <c r="C1729" i="2"/>
  <c r="B1729" i="2"/>
  <c r="A1729" i="2"/>
  <c r="H1728" i="2"/>
  <c r="G1728" i="2"/>
  <c r="F1728" i="2"/>
  <c r="E1728" i="2"/>
  <c r="D1728" i="2"/>
  <c r="C1728" i="2"/>
  <c r="B1728" i="2"/>
  <c r="A1728" i="2"/>
  <c r="H1727" i="2"/>
  <c r="G1727" i="2"/>
  <c r="F1727" i="2"/>
  <c r="E1727" i="2"/>
  <c r="D1727" i="2"/>
  <c r="C1727" i="2"/>
  <c r="B1727" i="2"/>
  <c r="A1727" i="2"/>
  <c r="H1726" i="2"/>
  <c r="G1726" i="2"/>
  <c r="F1726" i="2"/>
  <c r="E1726" i="2"/>
  <c r="D1726" i="2"/>
  <c r="C1726" i="2"/>
  <c r="B1726" i="2"/>
  <c r="A1726" i="2"/>
  <c r="H1725" i="2"/>
  <c r="G1725" i="2"/>
  <c r="F1725" i="2"/>
  <c r="E1725" i="2"/>
  <c r="D1725" i="2"/>
  <c r="C1725" i="2"/>
  <c r="B1725" i="2"/>
  <c r="A1725" i="2"/>
  <c r="H1724" i="2"/>
  <c r="G1724" i="2"/>
  <c r="F1724" i="2"/>
  <c r="E1724" i="2"/>
  <c r="D1724" i="2"/>
  <c r="C1724" i="2"/>
  <c r="B1724" i="2"/>
  <c r="A1724" i="2"/>
  <c r="H1723" i="2"/>
  <c r="G1723" i="2"/>
  <c r="F1723" i="2"/>
  <c r="E1723" i="2"/>
  <c r="D1723" i="2"/>
  <c r="C1723" i="2"/>
  <c r="B1723" i="2"/>
  <c r="A1723" i="2"/>
  <c r="H1722" i="2"/>
  <c r="G1722" i="2"/>
  <c r="F1722" i="2"/>
  <c r="E1722" i="2"/>
  <c r="D1722" i="2"/>
  <c r="C1722" i="2"/>
  <c r="B1722" i="2"/>
  <c r="A1722" i="2"/>
  <c r="H1721" i="2"/>
  <c r="G1721" i="2"/>
  <c r="F1721" i="2"/>
  <c r="E1721" i="2"/>
  <c r="D1721" i="2"/>
  <c r="C1721" i="2"/>
  <c r="B1721" i="2"/>
  <c r="A1721" i="2"/>
  <c r="H1720" i="2"/>
  <c r="G1720" i="2"/>
  <c r="F1720" i="2"/>
  <c r="E1720" i="2"/>
  <c r="D1720" i="2"/>
  <c r="C1720" i="2"/>
  <c r="B1720" i="2"/>
  <c r="A1720" i="2"/>
  <c r="H1719" i="2"/>
  <c r="G1719" i="2"/>
  <c r="F1719" i="2"/>
  <c r="E1719" i="2"/>
  <c r="D1719" i="2"/>
  <c r="C1719" i="2"/>
  <c r="B1719" i="2"/>
  <c r="A1719" i="2"/>
  <c r="H1718" i="2"/>
  <c r="G1718" i="2"/>
  <c r="F1718" i="2"/>
  <c r="E1718" i="2"/>
  <c r="D1718" i="2"/>
  <c r="C1718" i="2"/>
  <c r="B1718" i="2"/>
  <c r="A1718" i="2"/>
  <c r="H1717" i="2"/>
  <c r="G1717" i="2"/>
  <c r="F1717" i="2"/>
  <c r="E1717" i="2"/>
  <c r="D1717" i="2"/>
  <c r="C1717" i="2"/>
  <c r="B1717" i="2"/>
  <c r="A1717" i="2"/>
  <c r="H1716" i="2"/>
  <c r="G1716" i="2"/>
  <c r="F1716" i="2"/>
  <c r="E1716" i="2"/>
  <c r="D1716" i="2"/>
  <c r="C1716" i="2"/>
  <c r="B1716" i="2"/>
  <c r="A1716" i="2"/>
  <c r="H1715" i="2"/>
  <c r="G1715" i="2"/>
  <c r="F1715" i="2"/>
  <c r="E1715" i="2"/>
  <c r="D1715" i="2"/>
  <c r="C1715" i="2"/>
  <c r="B1715" i="2"/>
  <c r="A1715" i="2"/>
  <c r="H1714" i="2"/>
  <c r="G1714" i="2"/>
  <c r="F1714" i="2"/>
  <c r="E1714" i="2"/>
  <c r="D1714" i="2"/>
  <c r="C1714" i="2"/>
  <c r="B1714" i="2"/>
  <c r="A1714" i="2"/>
  <c r="H1713" i="2"/>
  <c r="G1713" i="2"/>
  <c r="F1713" i="2"/>
  <c r="E1713" i="2"/>
  <c r="D1713" i="2"/>
  <c r="C1713" i="2"/>
  <c r="B1713" i="2"/>
  <c r="A1713" i="2"/>
  <c r="H1712" i="2"/>
  <c r="G1712" i="2"/>
  <c r="F1712" i="2"/>
  <c r="E1712" i="2"/>
  <c r="D1712" i="2"/>
  <c r="C1712" i="2"/>
  <c r="B1712" i="2"/>
  <c r="A1712" i="2"/>
  <c r="H1711" i="2"/>
  <c r="G1711" i="2"/>
  <c r="F1711" i="2"/>
  <c r="E1711" i="2"/>
  <c r="D1711" i="2"/>
  <c r="C1711" i="2"/>
  <c r="B1711" i="2"/>
  <c r="A1711" i="2"/>
  <c r="H1710" i="2"/>
  <c r="G1710" i="2"/>
  <c r="F1710" i="2"/>
  <c r="E1710" i="2"/>
  <c r="D1710" i="2"/>
  <c r="C1710" i="2"/>
  <c r="B1710" i="2"/>
  <c r="A1710" i="2"/>
  <c r="H1709" i="2"/>
  <c r="G1709" i="2"/>
  <c r="F1709" i="2"/>
  <c r="E1709" i="2"/>
  <c r="D1709" i="2"/>
  <c r="C1709" i="2"/>
  <c r="B1709" i="2"/>
  <c r="A1709" i="2"/>
  <c r="H1708" i="2"/>
  <c r="G1708" i="2"/>
  <c r="F1708" i="2"/>
  <c r="E1708" i="2"/>
  <c r="D1708" i="2"/>
  <c r="C1708" i="2"/>
  <c r="B1708" i="2"/>
  <c r="A1708" i="2"/>
  <c r="H1707" i="2"/>
  <c r="G1707" i="2"/>
  <c r="F1707" i="2"/>
  <c r="E1707" i="2"/>
  <c r="D1707" i="2"/>
  <c r="C1707" i="2"/>
  <c r="B1707" i="2"/>
  <c r="A1707" i="2"/>
  <c r="H1706" i="2"/>
  <c r="G1706" i="2"/>
  <c r="F1706" i="2"/>
  <c r="E1706" i="2"/>
  <c r="D1706" i="2"/>
  <c r="C1706" i="2"/>
  <c r="B1706" i="2"/>
  <c r="A1706" i="2"/>
  <c r="H1705" i="2"/>
  <c r="G1705" i="2"/>
  <c r="F1705" i="2"/>
  <c r="E1705" i="2"/>
  <c r="D1705" i="2"/>
  <c r="C1705" i="2"/>
  <c r="B1705" i="2"/>
  <c r="A1705" i="2"/>
  <c r="H1704" i="2"/>
  <c r="G1704" i="2"/>
  <c r="F1704" i="2"/>
  <c r="E1704" i="2"/>
  <c r="D1704" i="2"/>
  <c r="C1704" i="2"/>
  <c r="B1704" i="2"/>
  <c r="A1704" i="2"/>
  <c r="H1703" i="2"/>
  <c r="G1703" i="2"/>
  <c r="F1703" i="2"/>
  <c r="E1703" i="2"/>
  <c r="D1703" i="2"/>
  <c r="C1703" i="2"/>
  <c r="B1703" i="2"/>
  <c r="A1703" i="2"/>
  <c r="H1702" i="2"/>
  <c r="G1702" i="2"/>
  <c r="F1702" i="2"/>
  <c r="E1702" i="2"/>
  <c r="D1702" i="2"/>
  <c r="C1702" i="2"/>
  <c r="B1702" i="2"/>
  <c r="A1702" i="2"/>
  <c r="H1701" i="2"/>
  <c r="G1701" i="2"/>
  <c r="F1701" i="2"/>
  <c r="E1701" i="2"/>
  <c r="D1701" i="2"/>
  <c r="C1701" i="2"/>
  <c r="B1701" i="2"/>
  <c r="A1701" i="2"/>
  <c r="H1700" i="2"/>
  <c r="G1700" i="2"/>
  <c r="F1700" i="2"/>
  <c r="E1700" i="2"/>
  <c r="D1700" i="2"/>
  <c r="C1700" i="2"/>
  <c r="B1700" i="2"/>
  <c r="A1700" i="2"/>
  <c r="H1699" i="2"/>
  <c r="G1699" i="2"/>
  <c r="F1699" i="2"/>
  <c r="E1699" i="2"/>
  <c r="D1699" i="2"/>
  <c r="C1699" i="2"/>
  <c r="B1699" i="2"/>
  <c r="A1699" i="2"/>
  <c r="H1698" i="2"/>
  <c r="G1698" i="2"/>
  <c r="F1698" i="2"/>
  <c r="E1698" i="2"/>
  <c r="D1698" i="2"/>
  <c r="C1698" i="2"/>
  <c r="B1698" i="2"/>
  <c r="A1698" i="2"/>
  <c r="H1697" i="2"/>
  <c r="G1697" i="2"/>
  <c r="F1697" i="2"/>
  <c r="E1697" i="2"/>
  <c r="D1697" i="2"/>
  <c r="C1697" i="2"/>
  <c r="B1697" i="2"/>
  <c r="A1697" i="2"/>
  <c r="H1696" i="2"/>
  <c r="G1696" i="2"/>
  <c r="F1696" i="2"/>
  <c r="E1696" i="2"/>
  <c r="D1696" i="2"/>
  <c r="C1696" i="2"/>
  <c r="B1696" i="2"/>
  <c r="A1696" i="2"/>
  <c r="H1695" i="2"/>
  <c r="G1695" i="2"/>
  <c r="F1695" i="2"/>
  <c r="E1695" i="2"/>
  <c r="D1695" i="2"/>
  <c r="C1695" i="2"/>
  <c r="B1695" i="2"/>
  <c r="A1695" i="2"/>
  <c r="H1694" i="2"/>
  <c r="G1694" i="2"/>
  <c r="F1694" i="2"/>
  <c r="E1694" i="2"/>
  <c r="D1694" i="2"/>
  <c r="C1694" i="2"/>
  <c r="B1694" i="2"/>
  <c r="A1694" i="2"/>
  <c r="H1693" i="2"/>
  <c r="G1693" i="2"/>
  <c r="F1693" i="2"/>
  <c r="E1693" i="2"/>
  <c r="D1693" i="2"/>
  <c r="C1693" i="2"/>
  <c r="B1693" i="2"/>
  <c r="A1693" i="2"/>
  <c r="H1692" i="2"/>
  <c r="G1692" i="2"/>
  <c r="F1692" i="2"/>
  <c r="E1692" i="2"/>
  <c r="D1692" i="2"/>
  <c r="C1692" i="2"/>
  <c r="B1692" i="2"/>
  <c r="A1692" i="2"/>
  <c r="H1691" i="2"/>
  <c r="G1691" i="2"/>
  <c r="F1691" i="2"/>
  <c r="E1691" i="2"/>
  <c r="D1691" i="2"/>
  <c r="C1691" i="2"/>
  <c r="B1691" i="2"/>
  <c r="A1691" i="2"/>
  <c r="H1690" i="2"/>
  <c r="G1690" i="2"/>
  <c r="F1690" i="2"/>
  <c r="E1690" i="2"/>
  <c r="D1690" i="2"/>
  <c r="C1690" i="2"/>
  <c r="B1690" i="2"/>
  <c r="A1690" i="2"/>
  <c r="H1689" i="2"/>
  <c r="G1689" i="2"/>
  <c r="F1689" i="2"/>
  <c r="E1689" i="2"/>
  <c r="D1689" i="2"/>
  <c r="C1689" i="2"/>
  <c r="B1689" i="2"/>
  <c r="A1689" i="2"/>
  <c r="H1688" i="2"/>
  <c r="G1688" i="2"/>
  <c r="F1688" i="2"/>
  <c r="E1688" i="2"/>
  <c r="D1688" i="2"/>
  <c r="C1688" i="2"/>
  <c r="B1688" i="2"/>
  <c r="A1688" i="2"/>
  <c r="H1687" i="2"/>
  <c r="G1687" i="2"/>
  <c r="F1687" i="2"/>
  <c r="E1687" i="2"/>
  <c r="D1687" i="2"/>
  <c r="C1687" i="2"/>
  <c r="B1687" i="2"/>
  <c r="A1687" i="2"/>
  <c r="H1686" i="2"/>
  <c r="G1686" i="2"/>
  <c r="F1686" i="2"/>
  <c r="E1686" i="2"/>
  <c r="D1686" i="2"/>
  <c r="C1686" i="2"/>
  <c r="B1686" i="2"/>
  <c r="A1686" i="2"/>
  <c r="H1685" i="2"/>
  <c r="G1685" i="2"/>
  <c r="F1685" i="2"/>
  <c r="E1685" i="2"/>
  <c r="D1685" i="2"/>
  <c r="C1685" i="2"/>
  <c r="B1685" i="2"/>
  <c r="A1685" i="2"/>
  <c r="H1684" i="2"/>
  <c r="G1684" i="2"/>
  <c r="F1684" i="2"/>
  <c r="E1684" i="2"/>
  <c r="D1684" i="2"/>
  <c r="C1684" i="2"/>
  <c r="B1684" i="2"/>
  <c r="A1684" i="2"/>
  <c r="H1683" i="2"/>
  <c r="G1683" i="2"/>
  <c r="F1683" i="2"/>
  <c r="E1683" i="2"/>
  <c r="D1683" i="2"/>
  <c r="C1683" i="2"/>
  <c r="B1683" i="2"/>
  <c r="A1683" i="2"/>
  <c r="H1682" i="2"/>
  <c r="G1682" i="2"/>
  <c r="F1682" i="2"/>
  <c r="E1682" i="2"/>
  <c r="D1682" i="2"/>
  <c r="C1682" i="2"/>
  <c r="B1682" i="2"/>
  <c r="A1682" i="2"/>
  <c r="H1681" i="2"/>
  <c r="G1681" i="2"/>
  <c r="F1681" i="2"/>
  <c r="E1681" i="2"/>
  <c r="D1681" i="2"/>
  <c r="C1681" i="2"/>
  <c r="B1681" i="2"/>
  <c r="A1681" i="2"/>
  <c r="H1680" i="2"/>
  <c r="G1680" i="2"/>
  <c r="F1680" i="2"/>
  <c r="E1680" i="2"/>
  <c r="D1680" i="2"/>
  <c r="C1680" i="2"/>
  <c r="B1680" i="2"/>
  <c r="A1680" i="2"/>
  <c r="H1679" i="2"/>
  <c r="G1679" i="2"/>
  <c r="F1679" i="2"/>
  <c r="E1679" i="2"/>
  <c r="D1679" i="2"/>
  <c r="C1679" i="2"/>
  <c r="B1679" i="2"/>
  <c r="A1679" i="2"/>
  <c r="H1678" i="2"/>
  <c r="G1678" i="2"/>
  <c r="F1678" i="2"/>
  <c r="E1678" i="2"/>
  <c r="D1678" i="2"/>
  <c r="C1678" i="2"/>
  <c r="B1678" i="2"/>
  <c r="A1678" i="2"/>
  <c r="H1677" i="2"/>
  <c r="G1677" i="2"/>
  <c r="F1677" i="2"/>
  <c r="E1677" i="2"/>
  <c r="D1677" i="2"/>
  <c r="C1677" i="2"/>
  <c r="B1677" i="2"/>
  <c r="A1677" i="2"/>
  <c r="H1676" i="2"/>
  <c r="G1676" i="2"/>
  <c r="F1676" i="2"/>
  <c r="E1676" i="2"/>
  <c r="D1676" i="2"/>
  <c r="C1676" i="2"/>
  <c r="B1676" i="2"/>
  <c r="A1676" i="2"/>
  <c r="H1675" i="2"/>
  <c r="G1675" i="2"/>
  <c r="F1675" i="2"/>
  <c r="E1675" i="2"/>
  <c r="D1675" i="2"/>
  <c r="C1675" i="2"/>
  <c r="B1675" i="2"/>
  <c r="A1675" i="2"/>
  <c r="H1674" i="2"/>
  <c r="G1674" i="2"/>
  <c r="F1674" i="2"/>
  <c r="E1674" i="2"/>
  <c r="D1674" i="2"/>
  <c r="C1674" i="2"/>
  <c r="B1674" i="2"/>
  <c r="A1674" i="2"/>
  <c r="H1673" i="2"/>
  <c r="G1673" i="2"/>
  <c r="F1673" i="2"/>
  <c r="E1673" i="2"/>
  <c r="D1673" i="2"/>
  <c r="C1673" i="2"/>
  <c r="B1673" i="2"/>
  <c r="A1673" i="2"/>
  <c r="H1672" i="2"/>
  <c r="G1672" i="2"/>
  <c r="F1672" i="2"/>
  <c r="E1672" i="2"/>
  <c r="D1672" i="2"/>
  <c r="C1672" i="2"/>
  <c r="B1672" i="2"/>
  <c r="A1672" i="2"/>
  <c r="H1671" i="2"/>
  <c r="G1671" i="2"/>
  <c r="F1671" i="2"/>
  <c r="E1671" i="2"/>
  <c r="D1671" i="2"/>
  <c r="C1671" i="2"/>
  <c r="B1671" i="2"/>
  <c r="A1671" i="2"/>
  <c r="H1670" i="2"/>
  <c r="G1670" i="2"/>
  <c r="F1670" i="2"/>
  <c r="E1670" i="2"/>
  <c r="D1670" i="2"/>
  <c r="C1670" i="2"/>
  <c r="B1670" i="2"/>
  <c r="A1670" i="2"/>
  <c r="H1669" i="2"/>
  <c r="G1669" i="2"/>
  <c r="F1669" i="2"/>
  <c r="E1669" i="2"/>
  <c r="D1669" i="2"/>
  <c r="C1669" i="2"/>
  <c r="B1669" i="2"/>
  <c r="A1669" i="2"/>
  <c r="H1668" i="2"/>
  <c r="G1668" i="2"/>
  <c r="F1668" i="2"/>
  <c r="E1668" i="2"/>
  <c r="D1668" i="2"/>
  <c r="C1668" i="2"/>
  <c r="B1668" i="2"/>
  <c r="A1668" i="2"/>
  <c r="H1667" i="2"/>
  <c r="G1667" i="2"/>
  <c r="F1667" i="2"/>
  <c r="E1667" i="2"/>
  <c r="D1667" i="2"/>
  <c r="C1667" i="2"/>
  <c r="B1667" i="2"/>
  <c r="A1667" i="2"/>
  <c r="H1666" i="2"/>
  <c r="G1666" i="2"/>
  <c r="F1666" i="2"/>
  <c r="E1666" i="2"/>
  <c r="D1666" i="2"/>
  <c r="C1666" i="2"/>
  <c r="B1666" i="2"/>
  <c r="A1666" i="2"/>
  <c r="H1665" i="2"/>
  <c r="G1665" i="2"/>
  <c r="F1665" i="2"/>
  <c r="E1665" i="2"/>
  <c r="D1665" i="2"/>
  <c r="C1665" i="2"/>
  <c r="B1665" i="2"/>
  <c r="A1665" i="2"/>
  <c r="H1664" i="2"/>
  <c r="G1664" i="2"/>
  <c r="F1664" i="2"/>
  <c r="E1664" i="2"/>
  <c r="D1664" i="2"/>
  <c r="C1664" i="2"/>
  <c r="B1664" i="2"/>
  <c r="A1664" i="2"/>
  <c r="H1663" i="2"/>
  <c r="G1663" i="2"/>
  <c r="F1663" i="2"/>
  <c r="E1663" i="2"/>
  <c r="D1663" i="2"/>
  <c r="C1663" i="2"/>
  <c r="B1663" i="2"/>
  <c r="A1663" i="2"/>
  <c r="H1662" i="2"/>
  <c r="G1662" i="2"/>
  <c r="F1662" i="2"/>
  <c r="E1662" i="2"/>
  <c r="D1662" i="2"/>
  <c r="C1662" i="2"/>
  <c r="B1662" i="2"/>
  <c r="A1662" i="2"/>
  <c r="H1661" i="2"/>
  <c r="G1661" i="2"/>
  <c r="F1661" i="2"/>
  <c r="E1661" i="2"/>
  <c r="D1661" i="2"/>
  <c r="C1661" i="2"/>
  <c r="B1661" i="2"/>
  <c r="A1661" i="2"/>
  <c r="H1660" i="2"/>
  <c r="G1660" i="2"/>
  <c r="F1660" i="2"/>
  <c r="E1660" i="2"/>
  <c r="D1660" i="2"/>
  <c r="C1660" i="2"/>
  <c r="B1660" i="2"/>
  <c r="A1660" i="2"/>
  <c r="H1659" i="2"/>
  <c r="G1659" i="2"/>
  <c r="F1659" i="2"/>
  <c r="E1659" i="2"/>
  <c r="D1659" i="2"/>
  <c r="C1659" i="2"/>
  <c r="B1659" i="2"/>
  <c r="A1659" i="2"/>
  <c r="H1658" i="2"/>
  <c r="G1658" i="2"/>
  <c r="F1658" i="2"/>
  <c r="E1658" i="2"/>
  <c r="D1658" i="2"/>
  <c r="C1658" i="2"/>
  <c r="B1658" i="2"/>
  <c r="A1658" i="2"/>
  <c r="H1657" i="2"/>
  <c r="G1657" i="2"/>
  <c r="F1657" i="2"/>
  <c r="E1657" i="2"/>
  <c r="D1657" i="2"/>
  <c r="C1657" i="2"/>
  <c r="B1657" i="2"/>
  <c r="A1657" i="2"/>
  <c r="H1656" i="2"/>
  <c r="G1656" i="2"/>
  <c r="F1656" i="2"/>
  <c r="E1656" i="2"/>
  <c r="D1656" i="2"/>
  <c r="C1656" i="2"/>
  <c r="B1656" i="2"/>
  <c r="A1656" i="2"/>
  <c r="H1655" i="2"/>
  <c r="G1655" i="2"/>
  <c r="F1655" i="2"/>
  <c r="E1655" i="2"/>
  <c r="D1655" i="2"/>
  <c r="C1655" i="2"/>
  <c r="B1655" i="2"/>
  <c r="A1655" i="2"/>
  <c r="H1654" i="2"/>
  <c r="G1654" i="2"/>
  <c r="F1654" i="2"/>
  <c r="E1654" i="2"/>
  <c r="D1654" i="2"/>
  <c r="C1654" i="2"/>
  <c r="B1654" i="2"/>
  <c r="A1654" i="2"/>
  <c r="H1653" i="2"/>
  <c r="G1653" i="2"/>
  <c r="F1653" i="2"/>
  <c r="E1653" i="2"/>
  <c r="D1653" i="2"/>
  <c r="C1653" i="2"/>
  <c r="B1653" i="2"/>
  <c r="A1653" i="2"/>
  <c r="H1652" i="2"/>
  <c r="G1652" i="2"/>
  <c r="F1652" i="2"/>
  <c r="E1652" i="2"/>
  <c r="D1652" i="2"/>
  <c r="C1652" i="2"/>
  <c r="B1652" i="2"/>
  <c r="A1652" i="2"/>
  <c r="H1651" i="2"/>
  <c r="G1651" i="2"/>
  <c r="F1651" i="2"/>
  <c r="E1651" i="2"/>
  <c r="D1651" i="2"/>
  <c r="C1651" i="2"/>
  <c r="B1651" i="2"/>
  <c r="A1651" i="2"/>
  <c r="H1650" i="2"/>
  <c r="G1650" i="2"/>
  <c r="F1650" i="2"/>
  <c r="E1650" i="2"/>
  <c r="D1650" i="2"/>
  <c r="C1650" i="2"/>
  <c r="B1650" i="2"/>
  <c r="A1650" i="2"/>
  <c r="H1649" i="2"/>
  <c r="G1649" i="2"/>
  <c r="F1649" i="2"/>
  <c r="E1649" i="2"/>
  <c r="D1649" i="2"/>
  <c r="C1649" i="2"/>
  <c r="B1649" i="2"/>
  <c r="A1649" i="2"/>
  <c r="H1648" i="2"/>
  <c r="G1648" i="2"/>
  <c r="F1648" i="2"/>
  <c r="E1648" i="2"/>
  <c r="D1648" i="2"/>
  <c r="C1648" i="2"/>
  <c r="B1648" i="2"/>
  <c r="A1648" i="2"/>
  <c r="H1647" i="2"/>
  <c r="G1647" i="2"/>
  <c r="F1647" i="2"/>
  <c r="E1647" i="2"/>
  <c r="D1647" i="2"/>
  <c r="C1647" i="2"/>
  <c r="B1647" i="2"/>
  <c r="A1647" i="2"/>
  <c r="H1646" i="2"/>
  <c r="G1646" i="2"/>
  <c r="F1646" i="2"/>
  <c r="E1646" i="2"/>
  <c r="D1646" i="2"/>
  <c r="C1646" i="2"/>
  <c r="B1646" i="2"/>
  <c r="A1646" i="2"/>
  <c r="H1645" i="2"/>
  <c r="G1645" i="2"/>
  <c r="F1645" i="2"/>
  <c r="E1645" i="2"/>
  <c r="D1645" i="2"/>
  <c r="C1645" i="2"/>
  <c r="B1645" i="2"/>
  <c r="A1645" i="2"/>
  <c r="H1644" i="2"/>
  <c r="G1644" i="2"/>
  <c r="F1644" i="2"/>
  <c r="E1644" i="2"/>
  <c r="D1644" i="2"/>
  <c r="C1644" i="2"/>
  <c r="B1644" i="2"/>
  <c r="A1644" i="2"/>
  <c r="H1643" i="2"/>
  <c r="G1643" i="2"/>
  <c r="F1643" i="2"/>
  <c r="E1643" i="2"/>
  <c r="D1643" i="2"/>
  <c r="C1643" i="2"/>
  <c r="B1643" i="2"/>
  <c r="A1643" i="2"/>
  <c r="H1642" i="2"/>
  <c r="G1642" i="2"/>
  <c r="F1642" i="2"/>
  <c r="E1642" i="2"/>
  <c r="D1642" i="2"/>
  <c r="C1642" i="2"/>
  <c r="B1642" i="2"/>
  <c r="A1642" i="2"/>
  <c r="H1641" i="2"/>
  <c r="G1641" i="2"/>
  <c r="F1641" i="2"/>
  <c r="E1641" i="2"/>
  <c r="D1641" i="2"/>
  <c r="C1641" i="2"/>
  <c r="B1641" i="2"/>
  <c r="A1641" i="2"/>
  <c r="H1640" i="2"/>
  <c r="G1640" i="2"/>
  <c r="F1640" i="2"/>
  <c r="E1640" i="2"/>
  <c r="D1640" i="2"/>
  <c r="C1640" i="2"/>
  <c r="B1640" i="2"/>
  <c r="A1640" i="2"/>
  <c r="H1639" i="2"/>
  <c r="G1639" i="2"/>
  <c r="F1639" i="2"/>
  <c r="E1639" i="2"/>
  <c r="D1639" i="2"/>
  <c r="C1639" i="2"/>
  <c r="B1639" i="2"/>
  <c r="A1639" i="2"/>
  <c r="H1638" i="2"/>
  <c r="G1638" i="2"/>
  <c r="F1638" i="2"/>
  <c r="E1638" i="2"/>
  <c r="D1638" i="2"/>
  <c r="C1638" i="2"/>
  <c r="B1638" i="2"/>
  <c r="A1638" i="2"/>
  <c r="H1637" i="2"/>
  <c r="G1637" i="2"/>
  <c r="F1637" i="2"/>
  <c r="E1637" i="2"/>
  <c r="D1637" i="2"/>
  <c r="C1637" i="2"/>
  <c r="B1637" i="2"/>
  <c r="A1637" i="2"/>
  <c r="H1636" i="2"/>
  <c r="G1636" i="2"/>
  <c r="F1636" i="2"/>
  <c r="E1636" i="2"/>
  <c r="D1636" i="2"/>
  <c r="C1636" i="2"/>
  <c r="B1636" i="2"/>
  <c r="A1636" i="2"/>
  <c r="H1635" i="2"/>
  <c r="G1635" i="2"/>
  <c r="F1635" i="2"/>
  <c r="E1635" i="2"/>
  <c r="D1635" i="2"/>
  <c r="C1635" i="2"/>
  <c r="B1635" i="2"/>
  <c r="A1635" i="2"/>
  <c r="H1634" i="2"/>
  <c r="G1634" i="2"/>
  <c r="F1634" i="2"/>
  <c r="E1634" i="2"/>
  <c r="D1634" i="2"/>
  <c r="C1634" i="2"/>
  <c r="B1634" i="2"/>
  <c r="A1634" i="2"/>
  <c r="H1633" i="2"/>
  <c r="G1633" i="2"/>
  <c r="F1633" i="2"/>
  <c r="E1633" i="2"/>
  <c r="D1633" i="2"/>
  <c r="C1633" i="2"/>
  <c r="B1633" i="2"/>
  <c r="A1633" i="2"/>
  <c r="H1632" i="2"/>
  <c r="G1632" i="2"/>
  <c r="F1632" i="2"/>
  <c r="E1632" i="2"/>
  <c r="D1632" i="2"/>
  <c r="C1632" i="2"/>
  <c r="B1632" i="2"/>
  <c r="A1632" i="2"/>
  <c r="H1631" i="2"/>
  <c r="G1631" i="2"/>
  <c r="F1631" i="2"/>
  <c r="E1631" i="2"/>
  <c r="D1631" i="2"/>
  <c r="C1631" i="2"/>
  <c r="B1631" i="2"/>
  <c r="A1631" i="2"/>
  <c r="H1630" i="2"/>
  <c r="G1630" i="2"/>
  <c r="F1630" i="2"/>
  <c r="E1630" i="2"/>
  <c r="D1630" i="2"/>
  <c r="C1630" i="2"/>
  <c r="B1630" i="2"/>
  <c r="A1630" i="2"/>
  <c r="H1629" i="2"/>
  <c r="G1629" i="2"/>
  <c r="F1629" i="2"/>
  <c r="E1629" i="2"/>
  <c r="D1629" i="2"/>
  <c r="C1629" i="2"/>
  <c r="B1629" i="2"/>
  <c r="A1629" i="2"/>
  <c r="H1628" i="2"/>
  <c r="G1628" i="2"/>
  <c r="F1628" i="2"/>
  <c r="E1628" i="2"/>
  <c r="D1628" i="2"/>
  <c r="C1628" i="2"/>
  <c r="B1628" i="2"/>
  <c r="A1628" i="2"/>
  <c r="H1627" i="2"/>
  <c r="G1627" i="2"/>
  <c r="F1627" i="2"/>
  <c r="E1627" i="2"/>
  <c r="D1627" i="2"/>
  <c r="C1627" i="2"/>
  <c r="B1627" i="2"/>
  <c r="A1627" i="2"/>
  <c r="H1626" i="2"/>
  <c r="G1626" i="2"/>
  <c r="F1626" i="2"/>
  <c r="E1626" i="2"/>
  <c r="D1626" i="2"/>
  <c r="C1626" i="2"/>
  <c r="B1626" i="2"/>
  <c r="A1626" i="2"/>
  <c r="H1625" i="2"/>
  <c r="G1625" i="2"/>
  <c r="F1625" i="2"/>
  <c r="E1625" i="2"/>
  <c r="D1625" i="2"/>
  <c r="C1625" i="2"/>
  <c r="B1625" i="2"/>
  <c r="A1625" i="2"/>
  <c r="H1624" i="2"/>
  <c r="G1624" i="2"/>
  <c r="F1624" i="2"/>
  <c r="E1624" i="2"/>
  <c r="D1624" i="2"/>
  <c r="C1624" i="2"/>
  <c r="B1624" i="2"/>
  <c r="A1624" i="2"/>
  <c r="H1623" i="2"/>
  <c r="G1623" i="2"/>
  <c r="F1623" i="2"/>
  <c r="E1623" i="2"/>
  <c r="D1623" i="2"/>
  <c r="C1623" i="2"/>
  <c r="B1623" i="2"/>
  <c r="A1623" i="2"/>
  <c r="H1622" i="2"/>
  <c r="G1622" i="2"/>
  <c r="F1622" i="2"/>
  <c r="E1622" i="2"/>
  <c r="D1622" i="2"/>
  <c r="C1622" i="2"/>
  <c r="B1622" i="2"/>
  <c r="A1622" i="2"/>
  <c r="H1621" i="2"/>
  <c r="G1621" i="2"/>
  <c r="F1621" i="2"/>
  <c r="E1621" i="2"/>
  <c r="D1621" i="2"/>
  <c r="C1621" i="2"/>
  <c r="B1621" i="2"/>
  <c r="A1621" i="2"/>
  <c r="H1620" i="2"/>
  <c r="G1620" i="2"/>
  <c r="F1620" i="2"/>
  <c r="E1620" i="2"/>
  <c r="D1620" i="2"/>
  <c r="C1620" i="2"/>
  <c r="B1620" i="2"/>
  <c r="A1620" i="2"/>
  <c r="H1619" i="2"/>
  <c r="G1619" i="2"/>
  <c r="F1619" i="2"/>
  <c r="E1619" i="2"/>
  <c r="D1619" i="2"/>
  <c r="C1619" i="2"/>
  <c r="B1619" i="2"/>
  <c r="A1619" i="2"/>
  <c r="H1618" i="2"/>
  <c r="G1618" i="2"/>
  <c r="F1618" i="2"/>
  <c r="E1618" i="2"/>
  <c r="D1618" i="2"/>
  <c r="C1618" i="2"/>
  <c r="B1618" i="2"/>
  <c r="A1618" i="2"/>
  <c r="H1617" i="2"/>
  <c r="G1617" i="2"/>
  <c r="F1617" i="2"/>
  <c r="E1617" i="2"/>
  <c r="D1617" i="2"/>
  <c r="C1617" i="2"/>
  <c r="B1617" i="2"/>
  <c r="A1617" i="2"/>
  <c r="H1616" i="2"/>
  <c r="G1616" i="2"/>
  <c r="F1616" i="2"/>
  <c r="E1616" i="2"/>
  <c r="D1616" i="2"/>
  <c r="C1616" i="2"/>
  <c r="B1616" i="2"/>
  <c r="A1616" i="2"/>
  <c r="H1615" i="2"/>
  <c r="G1615" i="2"/>
  <c r="F1615" i="2"/>
  <c r="E1615" i="2"/>
  <c r="D1615" i="2"/>
  <c r="C1615" i="2"/>
  <c r="B1615" i="2"/>
  <c r="A1615" i="2"/>
  <c r="H1614" i="2"/>
  <c r="G1614" i="2"/>
  <c r="F1614" i="2"/>
  <c r="E1614" i="2"/>
  <c r="D1614" i="2"/>
  <c r="C1614" i="2"/>
  <c r="B1614" i="2"/>
  <c r="A1614" i="2"/>
  <c r="H1613" i="2"/>
  <c r="G1613" i="2"/>
  <c r="F1613" i="2"/>
  <c r="E1613" i="2"/>
  <c r="D1613" i="2"/>
  <c r="C1613" i="2"/>
  <c r="B1613" i="2"/>
  <c r="A1613" i="2"/>
  <c r="H1612" i="2"/>
  <c r="G1612" i="2"/>
  <c r="F1612" i="2"/>
  <c r="E1612" i="2"/>
  <c r="D1612" i="2"/>
  <c r="C1612" i="2"/>
  <c r="B1612" i="2"/>
  <c r="A1612" i="2"/>
  <c r="H1611" i="2"/>
  <c r="G1611" i="2"/>
  <c r="F1611" i="2"/>
  <c r="E1611" i="2"/>
  <c r="D1611" i="2"/>
  <c r="C1611" i="2"/>
  <c r="B1611" i="2"/>
  <c r="A1611" i="2"/>
  <c r="H1610" i="2"/>
  <c r="G1610" i="2"/>
  <c r="F1610" i="2"/>
  <c r="E1610" i="2"/>
  <c r="D1610" i="2"/>
  <c r="C1610" i="2"/>
  <c r="B1610" i="2"/>
  <c r="A1610" i="2"/>
  <c r="H1609" i="2"/>
  <c r="G1609" i="2"/>
  <c r="F1609" i="2"/>
  <c r="E1609" i="2"/>
  <c r="D1609" i="2"/>
  <c r="C1609" i="2"/>
  <c r="B1609" i="2"/>
  <c r="A1609" i="2"/>
  <c r="H1608" i="2"/>
  <c r="G1608" i="2"/>
  <c r="F1608" i="2"/>
  <c r="E1608" i="2"/>
  <c r="D1608" i="2"/>
  <c r="C1608" i="2"/>
  <c r="B1608" i="2"/>
  <c r="A1608" i="2"/>
  <c r="H1607" i="2"/>
  <c r="G1607" i="2"/>
  <c r="F1607" i="2"/>
  <c r="E1607" i="2"/>
  <c r="D1607" i="2"/>
  <c r="C1607" i="2"/>
  <c r="B1607" i="2"/>
  <c r="A1607" i="2"/>
  <c r="H1606" i="2"/>
  <c r="G1606" i="2"/>
  <c r="F1606" i="2"/>
  <c r="E1606" i="2"/>
  <c r="D1606" i="2"/>
  <c r="C1606" i="2"/>
  <c r="B1606" i="2"/>
  <c r="A1606" i="2"/>
  <c r="H1605" i="2"/>
  <c r="G1605" i="2"/>
  <c r="F1605" i="2"/>
  <c r="E1605" i="2"/>
  <c r="D1605" i="2"/>
  <c r="C1605" i="2"/>
  <c r="B1605" i="2"/>
  <c r="A1605" i="2"/>
  <c r="H1604" i="2"/>
  <c r="G1604" i="2"/>
  <c r="F1604" i="2"/>
  <c r="E1604" i="2"/>
  <c r="D1604" i="2"/>
  <c r="C1604" i="2"/>
  <c r="B1604" i="2"/>
  <c r="A1604" i="2"/>
  <c r="H1603" i="2"/>
  <c r="G1603" i="2"/>
  <c r="F1603" i="2"/>
  <c r="E1603" i="2"/>
  <c r="D1603" i="2"/>
  <c r="C1603" i="2"/>
  <c r="B1603" i="2"/>
  <c r="A1603" i="2"/>
  <c r="H1602" i="2"/>
  <c r="G1602" i="2"/>
  <c r="F1602" i="2"/>
  <c r="E1602" i="2"/>
  <c r="D1602" i="2"/>
  <c r="C1602" i="2"/>
  <c r="B1602" i="2"/>
  <c r="A1602" i="2"/>
  <c r="H1601" i="2"/>
  <c r="G1601" i="2"/>
  <c r="F1601" i="2"/>
  <c r="E1601" i="2"/>
  <c r="D1601" i="2"/>
  <c r="C1601" i="2"/>
  <c r="B1601" i="2"/>
  <c r="A1601" i="2"/>
  <c r="H1600" i="2"/>
  <c r="G1600" i="2"/>
  <c r="F1600" i="2"/>
  <c r="E1600" i="2"/>
  <c r="D1600" i="2"/>
  <c r="C1600" i="2"/>
  <c r="B1600" i="2"/>
  <c r="A1600" i="2"/>
  <c r="H1599" i="2"/>
  <c r="G1599" i="2"/>
  <c r="F1599" i="2"/>
  <c r="E1599" i="2"/>
  <c r="D1599" i="2"/>
  <c r="C1599" i="2"/>
  <c r="B1599" i="2"/>
  <c r="A1599" i="2"/>
  <c r="H1598" i="2"/>
  <c r="G1598" i="2"/>
  <c r="F1598" i="2"/>
  <c r="E1598" i="2"/>
  <c r="D1598" i="2"/>
  <c r="C1598" i="2"/>
  <c r="B1598" i="2"/>
  <c r="A1598" i="2"/>
  <c r="H1597" i="2"/>
  <c r="G1597" i="2"/>
  <c r="F1597" i="2"/>
  <c r="E1597" i="2"/>
  <c r="D1597" i="2"/>
  <c r="C1597" i="2"/>
  <c r="B1597" i="2"/>
  <c r="A1597" i="2"/>
  <c r="H1596" i="2"/>
  <c r="G1596" i="2"/>
  <c r="F1596" i="2"/>
  <c r="E1596" i="2"/>
  <c r="D1596" i="2"/>
  <c r="C1596" i="2"/>
  <c r="B1596" i="2"/>
  <c r="A1596" i="2"/>
  <c r="H1595" i="2"/>
  <c r="G1595" i="2"/>
  <c r="F1595" i="2"/>
  <c r="E1595" i="2"/>
  <c r="D1595" i="2"/>
  <c r="C1595" i="2"/>
  <c r="B1595" i="2"/>
  <c r="A1595" i="2"/>
  <c r="H1594" i="2"/>
  <c r="G1594" i="2"/>
  <c r="F1594" i="2"/>
  <c r="E1594" i="2"/>
  <c r="D1594" i="2"/>
  <c r="C1594" i="2"/>
  <c r="B1594" i="2"/>
  <c r="A1594" i="2"/>
  <c r="H1593" i="2"/>
  <c r="G1593" i="2"/>
  <c r="F1593" i="2"/>
  <c r="E1593" i="2"/>
  <c r="D1593" i="2"/>
  <c r="C1593" i="2"/>
  <c r="B1593" i="2"/>
  <c r="A1593" i="2"/>
  <c r="H1592" i="2"/>
  <c r="G1592" i="2"/>
  <c r="F1592" i="2"/>
  <c r="E1592" i="2"/>
  <c r="D1592" i="2"/>
  <c r="C1592" i="2"/>
  <c r="B1592" i="2"/>
  <c r="A1592" i="2"/>
  <c r="H1591" i="2"/>
  <c r="G1591" i="2"/>
  <c r="F1591" i="2"/>
  <c r="E1591" i="2"/>
  <c r="D1591" i="2"/>
  <c r="C1591" i="2"/>
  <c r="B1591" i="2"/>
  <c r="A1591" i="2"/>
  <c r="H1590" i="2"/>
  <c r="G1590" i="2"/>
  <c r="F1590" i="2"/>
  <c r="E1590" i="2"/>
  <c r="D1590" i="2"/>
  <c r="C1590" i="2"/>
  <c r="B1590" i="2"/>
  <c r="A1590" i="2"/>
  <c r="H1589" i="2"/>
  <c r="G1589" i="2"/>
  <c r="F1589" i="2"/>
  <c r="E1589" i="2"/>
  <c r="D1589" i="2"/>
  <c r="C1589" i="2"/>
  <c r="B1589" i="2"/>
  <c r="A1589" i="2"/>
  <c r="H1588" i="2"/>
  <c r="G1588" i="2"/>
  <c r="F1588" i="2"/>
  <c r="E1588" i="2"/>
  <c r="D1588" i="2"/>
  <c r="C1588" i="2"/>
  <c r="B1588" i="2"/>
  <c r="A1588" i="2"/>
  <c r="H1587" i="2"/>
  <c r="G1587" i="2"/>
  <c r="F1587" i="2"/>
  <c r="E1587" i="2"/>
  <c r="D1587" i="2"/>
  <c r="C1587" i="2"/>
  <c r="B1587" i="2"/>
  <c r="A1587" i="2"/>
  <c r="H1586" i="2"/>
  <c r="G1586" i="2"/>
  <c r="F1586" i="2"/>
  <c r="E1586" i="2"/>
  <c r="D1586" i="2"/>
  <c r="C1586" i="2"/>
  <c r="B1586" i="2"/>
  <c r="A1586" i="2"/>
  <c r="H1585" i="2"/>
  <c r="G1585" i="2"/>
  <c r="F1585" i="2"/>
  <c r="E1585" i="2"/>
  <c r="D1585" i="2"/>
  <c r="C1585" i="2"/>
  <c r="B1585" i="2"/>
  <c r="A1585" i="2"/>
  <c r="H1584" i="2"/>
  <c r="G1584" i="2"/>
  <c r="F1584" i="2"/>
  <c r="E1584" i="2"/>
  <c r="D1584" i="2"/>
  <c r="C1584" i="2"/>
  <c r="B1584" i="2"/>
  <c r="A1584" i="2"/>
  <c r="H1583" i="2"/>
  <c r="G1583" i="2"/>
  <c r="F1583" i="2"/>
  <c r="E1583" i="2"/>
  <c r="D1583" i="2"/>
  <c r="C1583" i="2"/>
  <c r="B1583" i="2"/>
  <c r="A1583" i="2"/>
  <c r="H1582" i="2"/>
  <c r="G1582" i="2"/>
  <c r="F1582" i="2"/>
  <c r="E1582" i="2"/>
  <c r="D1582" i="2"/>
  <c r="C1582" i="2"/>
  <c r="B1582" i="2"/>
  <c r="A1582" i="2"/>
  <c r="H1581" i="2"/>
  <c r="G1581" i="2"/>
  <c r="F1581" i="2"/>
  <c r="E1581" i="2"/>
  <c r="D1581" i="2"/>
  <c r="C1581" i="2"/>
  <c r="B1581" i="2"/>
  <c r="A1581" i="2"/>
  <c r="H1580" i="2"/>
  <c r="G1580" i="2"/>
  <c r="F1580" i="2"/>
  <c r="E1580" i="2"/>
  <c r="D1580" i="2"/>
  <c r="C1580" i="2"/>
  <c r="B1580" i="2"/>
  <c r="A1580" i="2"/>
  <c r="H1579" i="2"/>
  <c r="G1579" i="2"/>
  <c r="F1579" i="2"/>
  <c r="E1579" i="2"/>
  <c r="D1579" i="2"/>
  <c r="C1579" i="2"/>
  <c r="B1579" i="2"/>
  <c r="A1579" i="2"/>
  <c r="H1578" i="2"/>
  <c r="G1578" i="2"/>
  <c r="F1578" i="2"/>
  <c r="E1578" i="2"/>
  <c r="D1578" i="2"/>
  <c r="C1578" i="2"/>
  <c r="B1578" i="2"/>
  <c r="A1578" i="2"/>
  <c r="H1577" i="2"/>
  <c r="G1577" i="2"/>
  <c r="F1577" i="2"/>
  <c r="E1577" i="2"/>
  <c r="D1577" i="2"/>
  <c r="C1577" i="2"/>
  <c r="B1577" i="2"/>
  <c r="A1577" i="2"/>
  <c r="H1576" i="2"/>
  <c r="G1576" i="2"/>
  <c r="F1576" i="2"/>
  <c r="E1576" i="2"/>
  <c r="D1576" i="2"/>
  <c r="C1576" i="2"/>
  <c r="B1576" i="2"/>
  <c r="A1576" i="2"/>
  <c r="H1575" i="2"/>
  <c r="G1575" i="2"/>
  <c r="F1575" i="2"/>
  <c r="E1575" i="2"/>
  <c r="D1575" i="2"/>
  <c r="C1575" i="2"/>
  <c r="B1575" i="2"/>
  <c r="A1575" i="2"/>
  <c r="H1574" i="2"/>
  <c r="G1574" i="2"/>
  <c r="F1574" i="2"/>
  <c r="E1574" i="2"/>
  <c r="D1574" i="2"/>
  <c r="C1574" i="2"/>
  <c r="B1574" i="2"/>
  <c r="A1574" i="2"/>
  <c r="H1573" i="2"/>
  <c r="G1573" i="2"/>
  <c r="F1573" i="2"/>
  <c r="E1573" i="2"/>
  <c r="D1573" i="2"/>
  <c r="C1573" i="2"/>
  <c r="B1573" i="2"/>
  <c r="A1573" i="2"/>
  <c r="H1572" i="2"/>
  <c r="G1572" i="2"/>
  <c r="F1572" i="2"/>
  <c r="E1572" i="2"/>
  <c r="D1572" i="2"/>
  <c r="C1572" i="2"/>
  <c r="B1572" i="2"/>
  <c r="A1572" i="2"/>
  <c r="H1571" i="2"/>
  <c r="G1571" i="2"/>
  <c r="F1571" i="2"/>
  <c r="E1571" i="2"/>
  <c r="D1571" i="2"/>
  <c r="C1571" i="2"/>
  <c r="B1571" i="2"/>
  <c r="A1571" i="2"/>
  <c r="H1570" i="2"/>
  <c r="G1570" i="2"/>
  <c r="F1570" i="2"/>
  <c r="E1570" i="2"/>
  <c r="D1570" i="2"/>
  <c r="C1570" i="2"/>
  <c r="B1570" i="2"/>
  <c r="A1570" i="2"/>
  <c r="H1569" i="2"/>
  <c r="G1569" i="2"/>
  <c r="F1569" i="2"/>
  <c r="E1569" i="2"/>
  <c r="D1569" i="2"/>
  <c r="C1569" i="2"/>
  <c r="B1569" i="2"/>
  <c r="A1569" i="2"/>
  <c r="H1568" i="2"/>
  <c r="G1568" i="2"/>
  <c r="F1568" i="2"/>
  <c r="E1568" i="2"/>
  <c r="D1568" i="2"/>
  <c r="C1568" i="2"/>
  <c r="B1568" i="2"/>
  <c r="A1568" i="2"/>
  <c r="H1567" i="2"/>
  <c r="G1567" i="2"/>
  <c r="F1567" i="2"/>
  <c r="E1567" i="2"/>
  <c r="D1567" i="2"/>
  <c r="C1567" i="2"/>
  <c r="B1567" i="2"/>
  <c r="A1567" i="2"/>
  <c r="H1566" i="2"/>
  <c r="G1566" i="2"/>
  <c r="F1566" i="2"/>
  <c r="E1566" i="2"/>
  <c r="D1566" i="2"/>
  <c r="C1566" i="2"/>
  <c r="B1566" i="2"/>
  <c r="A1566" i="2"/>
  <c r="H1565" i="2"/>
  <c r="G1565" i="2"/>
  <c r="F1565" i="2"/>
  <c r="E1565" i="2"/>
  <c r="D1565" i="2"/>
  <c r="C1565" i="2"/>
  <c r="B1565" i="2"/>
  <c r="A1565" i="2"/>
  <c r="H1564" i="2"/>
  <c r="G1564" i="2"/>
  <c r="F1564" i="2"/>
  <c r="E1564" i="2"/>
  <c r="D1564" i="2"/>
  <c r="C1564" i="2"/>
  <c r="B1564" i="2"/>
  <c r="A1564" i="2"/>
  <c r="H1563" i="2"/>
  <c r="G1563" i="2"/>
  <c r="F1563" i="2"/>
  <c r="E1563" i="2"/>
  <c r="D1563" i="2"/>
  <c r="C1563" i="2"/>
  <c r="B1563" i="2"/>
  <c r="A1563" i="2"/>
  <c r="H1562" i="2"/>
  <c r="G1562" i="2"/>
  <c r="F1562" i="2"/>
  <c r="E1562" i="2"/>
  <c r="D1562" i="2"/>
  <c r="C1562" i="2"/>
  <c r="B1562" i="2"/>
  <c r="A1562" i="2"/>
  <c r="H1561" i="2"/>
  <c r="G1561" i="2"/>
  <c r="F1561" i="2"/>
  <c r="E1561" i="2"/>
  <c r="D1561" i="2"/>
  <c r="C1561" i="2"/>
  <c r="B1561" i="2"/>
  <c r="A1561" i="2"/>
  <c r="H1560" i="2"/>
  <c r="G1560" i="2"/>
  <c r="F1560" i="2"/>
  <c r="E1560" i="2"/>
  <c r="D1560" i="2"/>
  <c r="C1560" i="2"/>
  <c r="B1560" i="2"/>
  <c r="A1560" i="2"/>
  <c r="H1559" i="2"/>
  <c r="G1559" i="2"/>
  <c r="F1559" i="2"/>
  <c r="E1559" i="2"/>
  <c r="D1559" i="2"/>
  <c r="C1559" i="2"/>
  <c r="B1559" i="2"/>
  <c r="A1559" i="2"/>
  <c r="H1558" i="2"/>
  <c r="G1558" i="2"/>
  <c r="F1558" i="2"/>
  <c r="E1558" i="2"/>
  <c r="D1558" i="2"/>
  <c r="C1558" i="2"/>
  <c r="B1558" i="2"/>
  <c r="A1558" i="2"/>
  <c r="H1557" i="2"/>
  <c r="G1557" i="2"/>
  <c r="F1557" i="2"/>
  <c r="E1557" i="2"/>
  <c r="D1557" i="2"/>
  <c r="C1557" i="2"/>
  <c r="B1557" i="2"/>
  <c r="A1557" i="2"/>
  <c r="H1556" i="2"/>
  <c r="G1556" i="2"/>
  <c r="F1556" i="2"/>
  <c r="E1556" i="2"/>
  <c r="D1556" i="2"/>
  <c r="C1556" i="2"/>
  <c r="B1556" i="2"/>
  <c r="A1556" i="2"/>
  <c r="H1555" i="2"/>
  <c r="G1555" i="2"/>
  <c r="F1555" i="2"/>
  <c r="E1555" i="2"/>
  <c r="D1555" i="2"/>
  <c r="C1555" i="2"/>
  <c r="B1555" i="2"/>
  <c r="A1555" i="2"/>
  <c r="H1554" i="2"/>
  <c r="G1554" i="2"/>
  <c r="F1554" i="2"/>
  <c r="E1554" i="2"/>
  <c r="D1554" i="2"/>
  <c r="C1554" i="2"/>
  <c r="B1554" i="2"/>
  <c r="A1554" i="2"/>
  <c r="H1553" i="2"/>
  <c r="G1553" i="2"/>
  <c r="F1553" i="2"/>
  <c r="E1553" i="2"/>
  <c r="D1553" i="2"/>
  <c r="C1553" i="2"/>
  <c r="B1553" i="2"/>
  <c r="A1553" i="2"/>
  <c r="H1552" i="2"/>
  <c r="G1552" i="2"/>
  <c r="F1552" i="2"/>
  <c r="E1552" i="2"/>
  <c r="D1552" i="2"/>
  <c r="C1552" i="2"/>
  <c r="B1552" i="2"/>
  <c r="A1552" i="2"/>
  <c r="H1551" i="2"/>
  <c r="G1551" i="2"/>
  <c r="F1551" i="2"/>
  <c r="E1551" i="2"/>
  <c r="D1551" i="2"/>
  <c r="C1551" i="2"/>
  <c r="B1551" i="2"/>
  <c r="A1551" i="2"/>
  <c r="H1550" i="2"/>
  <c r="G1550" i="2"/>
  <c r="F1550" i="2"/>
  <c r="E1550" i="2"/>
  <c r="D1550" i="2"/>
  <c r="C1550" i="2"/>
  <c r="B1550" i="2"/>
  <c r="A1550" i="2"/>
  <c r="H1549" i="2"/>
  <c r="G1549" i="2"/>
  <c r="F1549" i="2"/>
  <c r="E1549" i="2"/>
  <c r="D1549" i="2"/>
  <c r="C1549" i="2"/>
  <c r="B1549" i="2"/>
  <c r="A1549" i="2"/>
  <c r="H1548" i="2"/>
  <c r="G1548" i="2"/>
  <c r="F1548" i="2"/>
  <c r="E1548" i="2"/>
  <c r="D1548" i="2"/>
  <c r="C1548" i="2"/>
  <c r="B1548" i="2"/>
  <c r="A1548" i="2"/>
  <c r="H1547" i="2"/>
  <c r="G1547" i="2"/>
  <c r="F1547" i="2"/>
  <c r="E1547" i="2"/>
  <c r="D1547" i="2"/>
  <c r="C1547" i="2"/>
  <c r="B1547" i="2"/>
  <c r="A1547" i="2"/>
  <c r="H1546" i="2"/>
  <c r="G1546" i="2"/>
  <c r="F1546" i="2"/>
  <c r="E1546" i="2"/>
  <c r="D1546" i="2"/>
  <c r="C1546" i="2"/>
  <c r="B1546" i="2"/>
  <c r="A1546" i="2"/>
  <c r="H1545" i="2"/>
  <c r="G1545" i="2"/>
  <c r="F1545" i="2"/>
  <c r="E1545" i="2"/>
  <c r="D1545" i="2"/>
  <c r="C1545" i="2"/>
  <c r="B1545" i="2"/>
  <c r="A1545" i="2"/>
  <c r="H1544" i="2"/>
  <c r="G1544" i="2"/>
  <c r="F1544" i="2"/>
  <c r="E1544" i="2"/>
  <c r="D1544" i="2"/>
  <c r="C1544" i="2"/>
  <c r="B1544" i="2"/>
  <c r="A1544" i="2"/>
  <c r="H1543" i="2"/>
  <c r="G1543" i="2"/>
  <c r="F1543" i="2"/>
  <c r="E1543" i="2"/>
  <c r="D1543" i="2"/>
  <c r="C1543" i="2"/>
  <c r="B1543" i="2"/>
  <c r="A1543" i="2"/>
  <c r="H1542" i="2"/>
  <c r="G1542" i="2"/>
  <c r="F1542" i="2"/>
  <c r="E1542" i="2"/>
  <c r="D1542" i="2"/>
  <c r="C1542" i="2"/>
  <c r="B1542" i="2"/>
  <c r="A1542" i="2"/>
  <c r="H1541" i="2"/>
  <c r="G1541" i="2"/>
  <c r="F1541" i="2"/>
  <c r="E1541" i="2"/>
  <c r="D1541" i="2"/>
  <c r="C1541" i="2"/>
  <c r="B1541" i="2"/>
  <c r="A1541" i="2"/>
  <c r="H1540" i="2"/>
  <c r="G1540" i="2"/>
  <c r="F1540" i="2"/>
  <c r="E1540" i="2"/>
  <c r="D1540" i="2"/>
  <c r="C1540" i="2"/>
  <c r="B1540" i="2"/>
  <c r="A1540" i="2"/>
  <c r="H1539" i="2"/>
  <c r="G1539" i="2"/>
  <c r="F1539" i="2"/>
  <c r="E1539" i="2"/>
  <c r="D1539" i="2"/>
  <c r="C1539" i="2"/>
  <c r="B1539" i="2"/>
  <c r="A1539" i="2"/>
  <c r="H1538" i="2"/>
  <c r="G1538" i="2"/>
  <c r="F1538" i="2"/>
  <c r="E1538" i="2"/>
  <c r="D1538" i="2"/>
  <c r="C1538" i="2"/>
  <c r="B1538" i="2"/>
  <c r="A1538" i="2"/>
  <c r="H1537" i="2"/>
  <c r="G1537" i="2"/>
  <c r="F1537" i="2"/>
  <c r="E1537" i="2"/>
  <c r="D1537" i="2"/>
  <c r="C1537" i="2"/>
  <c r="B1537" i="2"/>
  <c r="A1537" i="2"/>
  <c r="H1536" i="2"/>
  <c r="G1536" i="2"/>
  <c r="F1536" i="2"/>
  <c r="E1536" i="2"/>
  <c r="D1536" i="2"/>
  <c r="C1536" i="2"/>
  <c r="B1536" i="2"/>
  <c r="A1536" i="2"/>
  <c r="H1535" i="2"/>
  <c r="G1535" i="2"/>
  <c r="F1535" i="2"/>
  <c r="E1535" i="2"/>
  <c r="D1535" i="2"/>
  <c r="C1535" i="2"/>
  <c r="B1535" i="2"/>
  <c r="A1535" i="2"/>
  <c r="H1534" i="2"/>
  <c r="G1534" i="2"/>
  <c r="F1534" i="2"/>
  <c r="E1534" i="2"/>
  <c r="D1534" i="2"/>
  <c r="C1534" i="2"/>
  <c r="B1534" i="2"/>
  <c r="A1534" i="2"/>
  <c r="H1533" i="2"/>
  <c r="G1533" i="2"/>
  <c r="F1533" i="2"/>
  <c r="E1533" i="2"/>
  <c r="D1533" i="2"/>
  <c r="C1533" i="2"/>
  <c r="B1533" i="2"/>
  <c r="A1533" i="2"/>
  <c r="H1532" i="2"/>
  <c r="G1532" i="2"/>
  <c r="F1532" i="2"/>
  <c r="E1532" i="2"/>
  <c r="D1532" i="2"/>
  <c r="C1532" i="2"/>
  <c r="B1532" i="2"/>
  <c r="A1532" i="2"/>
  <c r="H1531" i="2"/>
  <c r="G1531" i="2"/>
  <c r="F1531" i="2"/>
  <c r="E1531" i="2"/>
  <c r="D1531" i="2"/>
  <c r="C1531" i="2"/>
  <c r="B1531" i="2"/>
  <c r="A1531" i="2"/>
  <c r="H1530" i="2"/>
  <c r="G1530" i="2"/>
  <c r="F1530" i="2"/>
  <c r="E1530" i="2"/>
  <c r="D1530" i="2"/>
  <c r="C1530" i="2"/>
  <c r="B1530" i="2"/>
  <c r="A1530" i="2"/>
  <c r="H1529" i="2"/>
  <c r="G1529" i="2"/>
  <c r="F1529" i="2"/>
  <c r="E1529" i="2"/>
  <c r="D1529" i="2"/>
  <c r="C1529" i="2"/>
  <c r="B1529" i="2"/>
  <c r="A1529" i="2"/>
  <c r="H1528" i="2"/>
  <c r="G1528" i="2"/>
  <c r="F1528" i="2"/>
  <c r="E1528" i="2"/>
  <c r="D1528" i="2"/>
  <c r="C1528" i="2"/>
  <c r="B1528" i="2"/>
  <c r="A1528" i="2"/>
  <c r="H1527" i="2"/>
  <c r="G1527" i="2"/>
  <c r="F1527" i="2"/>
  <c r="E1527" i="2"/>
  <c r="D1527" i="2"/>
  <c r="C1527" i="2"/>
  <c r="B1527" i="2"/>
  <c r="A1527" i="2"/>
  <c r="H1526" i="2"/>
  <c r="G1526" i="2"/>
  <c r="F1526" i="2"/>
  <c r="E1526" i="2"/>
  <c r="D1526" i="2"/>
  <c r="C1526" i="2"/>
  <c r="B1526" i="2"/>
  <c r="A1526" i="2"/>
  <c r="H1525" i="2"/>
  <c r="G1525" i="2"/>
  <c r="F1525" i="2"/>
  <c r="E1525" i="2"/>
  <c r="D1525" i="2"/>
  <c r="C1525" i="2"/>
  <c r="B1525" i="2"/>
  <c r="A1525" i="2"/>
  <c r="H1524" i="2"/>
  <c r="G1524" i="2"/>
  <c r="F1524" i="2"/>
  <c r="E1524" i="2"/>
  <c r="D1524" i="2"/>
  <c r="C1524" i="2"/>
  <c r="B1524" i="2"/>
  <c r="A1524" i="2"/>
  <c r="H1523" i="2"/>
  <c r="G1523" i="2"/>
  <c r="F1523" i="2"/>
  <c r="E1523" i="2"/>
  <c r="D1523" i="2"/>
  <c r="C1523" i="2"/>
  <c r="B1523" i="2"/>
  <c r="A1523" i="2"/>
  <c r="H1522" i="2"/>
  <c r="G1522" i="2"/>
  <c r="F1522" i="2"/>
  <c r="E1522" i="2"/>
  <c r="D1522" i="2"/>
  <c r="C1522" i="2"/>
  <c r="B1522" i="2"/>
  <c r="A1522" i="2"/>
  <c r="H1521" i="2"/>
  <c r="G1521" i="2"/>
  <c r="F1521" i="2"/>
  <c r="E1521" i="2"/>
  <c r="D1521" i="2"/>
  <c r="C1521" i="2"/>
  <c r="B1521" i="2"/>
  <c r="A1521" i="2"/>
  <c r="H1520" i="2"/>
  <c r="G1520" i="2"/>
  <c r="F1520" i="2"/>
  <c r="E1520" i="2"/>
  <c r="D1520" i="2"/>
  <c r="C1520" i="2"/>
  <c r="B1520" i="2"/>
  <c r="A1520" i="2"/>
  <c r="H1519" i="2"/>
  <c r="G1519" i="2"/>
  <c r="F1519" i="2"/>
  <c r="E1519" i="2"/>
  <c r="D1519" i="2"/>
  <c r="C1519" i="2"/>
  <c r="B1519" i="2"/>
  <c r="A1519" i="2"/>
  <c r="H1518" i="2"/>
  <c r="G1518" i="2"/>
  <c r="F1518" i="2"/>
  <c r="E1518" i="2"/>
  <c r="D1518" i="2"/>
  <c r="C1518" i="2"/>
  <c r="B1518" i="2"/>
  <c r="A1518" i="2"/>
  <c r="H1517" i="2"/>
  <c r="G1517" i="2"/>
  <c r="F1517" i="2"/>
  <c r="E1517" i="2"/>
  <c r="D1517" i="2"/>
  <c r="C1517" i="2"/>
  <c r="B1517" i="2"/>
  <c r="A1517" i="2"/>
  <c r="H1516" i="2"/>
  <c r="G1516" i="2"/>
  <c r="F1516" i="2"/>
  <c r="E1516" i="2"/>
  <c r="D1516" i="2"/>
  <c r="C1516" i="2"/>
  <c r="B1516" i="2"/>
  <c r="A1516" i="2"/>
  <c r="H1515" i="2"/>
  <c r="G1515" i="2"/>
  <c r="F1515" i="2"/>
  <c r="E1515" i="2"/>
  <c r="D1515" i="2"/>
  <c r="C1515" i="2"/>
  <c r="B1515" i="2"/>
  <c r="A1515" i="2"/>
  <c r="H1514" i="2"/>
  <c r="G1514" i="2"/>
  <c r="F1514" i="2"/>
  <c r="E1514" i="2"/>
  <c r="D1514" i="2"/>
  <c r="C1514" i="2"/>
  <c r="B1514" i="2"/>
  <c r="A1514" i="2"/>
  <c r="H1513" i="2"/>
  <c r="G1513" i="2"/>
  <c r="F1513" i="2"/>
  <c r="E1513" i="2"/>
  <c r="D1513" i="2"/>
  <c r="C1513" i="2"/>
  <c r="B1513" i="2"/>
  <c r="A1513" i="2"/>
  <c r="H1512" i="2"/>
  <c r="G1512" i="2"/>
  <c r="F1512" i="2"/>
  <c r="E1512" i="2"/>
  <c r="D1512" i="2"/>
  <c r="C1512" i="2"/>
  <c r="B1512" i="2"/>
  <c r="A1512" i="2"/>
  <c r="H1511" i="2"/>
  <c r="G1511" i="2"/>
  <c r="F1511" i="2"/>
  <c r="E1511" i="2"/>
  <c r="D1511" i="2"/>
  <c r="C1511" i="2"/>
  <c r="B1511" i="2"/>
  <c r="A1511" i="2"/>
  <c r="H1510" i="2"/>
  <c r="G1510" i="2"/>
  <c r="F1510" i="2"/>
  <c r="E1510" i="2"/>
  <c r="D1510" i="2"/>
  <c r="C1510" i="2"/>
  <c r="B1510" i="2"/>
  <c r="A1510" i="2"/>
  <c r="H1509" i="2"/>
  <c r="G1509" i="2"/>
  <c r="F1509" i="2"/>
  <c r="E1509" i="2"/>
  <c r="D1509" i="2"/>
  <c r="C1509" i="2"/>
  <c r="B1509" i="2"/>
  <c r="A1509" i="2"/>
  <c r="H1508" i="2"/>
  <c r="G1508" i="2"/>
  <c r="F1508" i="2"/>
  <c r="E1508" i="2"/>
  <c r="D1508" i="2"/>
  <c r="C1508" i="2"/>
  <c r="B1508" i="2"/>
  <c r="A1508" i="2"/>
  <c r="H1507" i="2"/>
  <c r="G1507" i="2"/>
  <c r="F1507" i="2"/>
  <c r="E1507" i="2"/>
  <c r="D1507" i="2"/>
  <c r="C1507" i="2"/>
  <c r="B1507" i="2"/>
  <c r="A1507" i="2"/>
  <c r="H1506" i="2"/>
  <c r="G1506" i="2"/>
  <c r="F1506" i="2"/>
  <c r="E1506" i="2"/>
  <c r="D1506" i="2"/>
  <c r="C1506" i="2"/>
  <c r="B1506" i="2"/>
  <c r="A1506" i="2"/>
  <c r="H1505" i="2"/>
  <c r="G1505" i="2"/>
  <c r="F1505" i="2"/>
  <c r="E1505" i="2"/>
  <c r="D1505" i="2"/>
  <c r="C1505" i="2"/>
  <c r="B1505" i="2"/>
  <c r="A1505" i="2"/>
  <c r="H1504" i="2"/>
  <c r="G1504" i="2"/>
  <c r="F1504" i="2"/>
  <c r="E1504" i="2"/>
  <c r="D1504" i="2"/>
  <c r="C1504" i="2"/>
  <c r="B1504" i="2"/>
  <c r="A1504" i="2"/>
  <c r="H1503" i="2"/>
  <c r="G1503" i="2"/>
  <c r="F1503" i="2"/>
  <c r="E1503" i="2"/>
  <c r="D1503" i="2"/>
  <c r="C1503" i="2"/>
  <c r="B1503" i="2"/>
  <c r="A1503" i="2"/>
  <c r="H1502" i="2"/>
  <c r="G1502" i="2"/>
  <c r="F1502" i="2"/>
  <c r="E1502" i="2"/>
  <c r="D1502" i="2"/>
  <c r="C1502" i="2"/>
  <c r="B1502" i="2"/>
  <c r="A1502" i="2"/>
  <c r="H1501" i="2"/>
  <c r="G1501" i="2"/>
  <c r="F1501" i="2"/>
  <c r="E1501" i="2"/>
  <c r="D1501" i="2"/>
  <c r="C1501" i="2"/>
  <c r="B1501" i="2"/>
  <c r="A1501" i="2"/>
  <c r="H1500" i="2"/>
  <c r="G1500" i="2"/>
  <c r="F1500" i="2"/>
  <c r="E1500" i="2"/>
  <c r="D1500" i="2"/>
  <c r="C1500" i="2"/>
  <c r="B1500" i="2"/>
  <c r="A1500" i="2"/>
  <c r="H1499" i="2"/>
  <c r="G1499" i="2"/>
  <c r="F1499" i="2"/>
  <c r="E1499" i="2"/>
  <c r="D1499" i="2"/>
  <c r="C1499" i="2"/>
  <c r="B1499" i="2"/>
  <c r="A1499" i="2"/>
  <c r="H1498" i="2"/>
  <c r="G1498" i="2"/>
  <c r="F1498" i="2"/>
  <c r="E1498" i="2"/>
  <c r="D1498" i="2"/>
  <c r="C1498" i="2"/>
  <c r="B1498" i="2"/>
  <c r="A1498" i="2"/>
  <c r="H1497" i="2"/>
  <c r="G1497" i="2"/>
  <c r="F1497" i="2"/>
  <c r="E1497" i="2"/>
  <c r="D1497" i="2"/>
  <c r="C1497" i="2"/>
  <c r="B1497" i="2"/>
  <c r="A1497" i="2"/>
  <c r="H1496" i="2"/>
  <c r="G1496" i="2"/>
  <c r="F1496" i="2"/>
  <c r="E1496" i="2"/>
  <c r="D1496" i="2"/>
  <c r="C1496" i="2"/>
  <c r="B1496" i="2"/>
  <c r="A1496" i="2"/>
  <c r="H1495" i="2"/>
  <c r="G1495" i="2"/>
  <c r="F1495" i="2"/>
  <c r="E1495" i="2"/>
  <c r="D1495" i="2"/>
  <c r="C1495" i="2"/>
  <c r="B1495" i="2"/>
  <c r="A1495" i="2"/>
  <c r="H1494" i="2"/>
  <c r="G1494" i="2"/>
  <c r="F1494" i="2"/>
  <c r="E1494" i="2"/>
  <c r="D1494" i="2"/>
  <c r="C1494" i="2"/>
  <c r="B1494" i="2"/>
  <c r="A1494" i="2"/>
  <c r="H1493" i="2"/>
  <c r="G1493" i="2"/>
  <c r="F1493" i="2"/>
  <c r="E1493" i="2"/>
  <c r="D1493" i="2"/>
  <c r="C1493" i="2"/>
  <c r="B1493" i="2"/>
  <c r="A1493" i="2"/>
  <c r="H1492" i="2"/>
  <c r="G1492" i="2"/>
  <c r="F1492" i="2"/>
  <c r="E1492" i="2"/>
  <c r="D1492" i="2"/>
  <c r="C1492" i="2"/>
  <c r="B1492" i="2"/>
  <c r="A1492" i="2"/>
  <c r="H1491" i="2"/>
  <c r="G1491" i="2"/>
  <c r="F1491" i="2"/>
  <c r="E1491" i="2"/>
  <c r="D1491" i="2"/>
  <c r="C1491" i="2"/>
  <c r="B1491" i="2"/>
  <c r="A1491" i="2"/>
  <c r="H1490" i="2"/>
  <c r="G1490" i="2"/>
  <c r="F1490" i="2"/>
  <c r="E1490" i="2"/>
  <c r="D1490" i="2"/>
  <c r="C1490" i="2"/>
  <c r="B1490" i="2"/>
  <c r="A1490" i="2"/>
  <c r="H1489" i="2"/>
  <c r="G1489" i="2"/>
  <c r="F1489" i="2"/>
  <c r="E1489" i="2"/>
  <c r="D1489" i="2"/>
  <c r="C1489" i="2"/>
  <c r="B1489" i="2"/>
  <c r="A1489" i="2"/>
  <c r="H1488" i="2"/>
  <c r="G1488" i="2"/>
  <c r="F1488" i="2"/>
  <c r="E1488" i="2"/>
  <c r="D1488" i="2"/>
  <c r="C1488" i="2"/>
  <c r="B1488" i="2"/>
  <c r="A1488" i="2"/>
  <c r="H1487" i="2"/>
  <c r="G1487" i="2"/>
  <c r="F1487" i="2"/>
  <c r="E1487" i="2"/>
  <c r="D1487" i="2"/>
  <c r="C1487" i="2"/>
  <c r="B1487" i="2"/>
  <c r="A1487" i="2"/>
  <c r="H1486" i="2"/>
  <c r="G1486" i="2"/>
  <c r="F1486" i="2"/>
  <c r="E1486" i="2"/>
  <c r="D1486" i="2"/>
  <c r="C1486" i="2"/>
  <c r="B1486" i="2"/>
  <c r="A1486" i="2"/>
  <c r="H1485" i="2"/>
  <c r="G1485" i="2"/>
  <c r="F1485" i="2"/>
  <c r="E1485" i="2"/>
  <c r="D1485" i="2"/>
  <c r="C1485" i="2"/>
  <c r="B1485" i="2"/>
  <c r="A1485" i="2"/>
  <c r="H1484" i="2"/>
  <c r="G1484" i="2"/>
  <c r="F1484" i="2"/>
  <c r="E1484" i="2"/>
  <c r="D1484" i="2"/>
  <c r="C1484" i="2"/>
  <c r="B1484" i="2"/>
  <c r="A1484" i="2"/>
  <c r="H1483" i="2"/>
  <c r="G1483" i="2"/>
  <c r="F1483" i="2"/>
  <c r="E1483" i="2"/>
  <c r="D1483" i="2"/>
  <c r="C1483" i="2"/>
  <c r="B1483" i="2"/>
  <c r="A1483" i="2"/>
  <c r="H1482" i="2"/>
  <c r="G1482" i="2"/>
  <c r="F1482" i="2"/>
  <c r="E1482" i="2"/>
  <c r="D1482" i="2"/>
  <c r="C1482" i="2"/>
  <c r="B1482" i="2"/>
  <c r="A1482" i="2"/>
  <c r="H1481" i="2"/>
  <c r="G1481" i="2"/>
  <c r="F1481" i="2"/>
  <c r="E1481" i="2"/>
  <c r="D1481" i="2"/>
  <c r="C1481" i="2"/>
  <c r="B1481" i="2"/>
  <c r="A1481" i="2"/>
  <c r="H1480" i="2"/>
  <c r="G1480" i="2"/>
  <c r="F1480" i="2"/>
  <c r="E1480" i="2"/>
  <c r="D1480" i="2"/>
  <c r="C1480" i="2"/>
  <c r="B1480" i="2"/>
  <c r="A1480" i="2"/>
  <c r="H1479" i="2"/>
  <c r="G1479" i="2"/>
  <c r="F1479" i="2"/>
  <c r="E1479" i="2"/>
  <c r="D1479" i="2"/>
  <c r="C1479" i="2"/>
  <c r="B1479" i="2"/>
  <c r="A1479" i="2"/>
  <c r="H1478" i="2"/>
  <c r="G1478" i="2"/>
  <c r="F1478" i="2"/>
  <c r="E1478" i="2"/>
  <c r="D1478" i="2"/>
  <c r="C1478" i="2"/>
  <c r="B1478" i="2"/>
  <c r="A1478" i="2"/>
  <c r="H1477" i="2"/>
  <c r="G1477" i="2"/>
  <c r="F1477" i="2"/>
  <c r="E1477" i="2"/>
  <c r="D1477" i="2"/>
  <c r="C1477" i="2"/>
  <c r="B1477" i="2"/>
  <c r="A1477" i="2"/>
  <c r="H1476" i="2"/>
  <c r="G1476" i="2"/>
  <c r="F1476" i="2"/>
  <c r="E1476" i="2"/>
  <c r="D1476" i="2"/>
  <c r="C1476" i="2"/>
  <c r="B1476" i="2"/>
  <c r="A1476" i="2"/>
  <c r="H1475" i="2"/>
  <c r="G1475" i="2"/>
  <c r="F1475" i="2"/>
  <c r="E1475" i="2"/>
  <c r="D1475" i="2"/>
  <c r="C1475" i="2"/>
  <c r="B1475" i="2"/>
  <c r="A1475" i="2"/>
  <c r="H1474" i="2"/>
  <c r="G1474" i="2"/>
  <c r="F1474" i="2"/>
  <c r="E1474" i="2"/>
  <c r="D1474" i="2"/>
  <c r="C1474" i="2"/>
  <c r="B1474" i="2"/>
  <c r="A1474" i="2"/>
  <c r="H1473" i="2"/>
  <c r="G1473" i="2"/>
  <c r="F1473" i="2"/>
  <c r="E1473" i="2"/>
  <c r="D1473" i="2"/>
  <c r="C1473" i="2"/>
  <c r="B1473" i="2"/>
  <c r="A1473" i="2"/>
  <c r="H1472" i="2"/>
  <c r="G1472" i="2"/>
  <c r="F1472" i="2"/>
  <c r="E1472" i="2"/>
  <c r="D1472" i="2"/>
  <c r="C1472" i="2"/>
  <c r="B1472" i="2"/>
  <c r="A1472" i="2"/>
  <c r="H1471" i="2"/>
  <c r="G1471" i="2"/>
  <c r="F1471" i="2"/>
  <c r="E1471" i="2"/>
  <c r="D1471" i="2"/>
  <c r="C1471" i="2"/>
  <c r="B1471" i="2"/>
  <c r="A1471" i="2"/>
  <c r="H1470" i="2"/>
  <c r="G1470" i="2"/>
  <c r="F1470" i="2"/>
  <c r="E1470" i="2"/>
  <c r="D1470" i="2"/>
  <c r="C1470" i="2"/>
  <c r="B1470" i="2"/>
  <c r="A1470" i="2"/>
  <c r="H1469" i="2"/>
  <c r="G1469" i="2"/>
  <c r="F1469" i="2"/>
  <c r="E1469" i="2"/>
  <c r="D1469" i="2"/>
  <c r="C1469" i="2"/>
  <c r="B1469" i="2"/>
  <c r="A1469" i="2"/>
  <c r="H1468" i="2"/>
  <c r="G1468" i="2"/>
  <c r="F1468" i="2"/>
  <c r="E1468" i="2"/>
  <c r="D1468" i="2"/>
  <c r="C1468" i="2"/>
  <c r="B1468" i="2"/>
  <c r="A1468" i="2"/>
  <c r="H1467" i="2"/>
  <c r="G1467" i="2"/>
  <c r="F1467" i="2"/>
  <c r="E1467" i="2"/>
  <c r="D1467" i="2"/>
  <c r="C1467" i="2"/>
  <c r="B1467" i="2"/>
  <c r="A1467" i="2"/>
  <c r="H1466" i="2"/>
  <c r="G1466" i="2"/>
  <c r="F1466" i="2"/>
  <c r="E1466" i="2"/>
  <c r="D1466" i="2"/>
  <c r="C1466" i="2"/>
  <c r="B1466" i="2"/>
  <c r="A1466" i="2"/>
  <c r="H1465" i="2"/>
  <c r="G1465" i="2"/>
  <c r="F1465" i="2"/>
  <c r="E1465" i="2"/>
  <c r="D1465" i="2"/>
  <c r="C1465" i="2"/>
  <c r="B1465" i="2"/>
  <c r="A1465" i="2"/>
  <c r="H1464" i="2"/>
  <c r="G1464" i="2"/>
  <c r="F1464" i="2"/>
  <c r="E1464" i="2"/>
  <c r="D1464" i="2"/>
  <c r="C1464" i="2"/>
  <c r="B1464" i="2"/>
  <c r="A1464" i="2"/>
  <c r="H1463" i="2"/>
  <c r="G1463" i="2"/>
  <c r="F1463" i="2"/>
  <c r="E1463" i="2"/>
  <c r="D1463" i="2"/>
  <c r="C1463" i="2"/>
  <c r="B1463" i="2"/>
  <c r="A1463" i="2"/>
  <c r="H1462" i="2"/>
  <c r="G1462" i="2"/>
  <c r="F1462" i="2"/>
  <c r="E1462" i="2"/>
  <c r="D1462" i="2"/>
  <c r="C1462" i="2"/>
  <c r="B1462" i="2"/>
  <c r="A1462" i="2"/>
  <c r="H1461" i="2"/>
  <c r="G1461" i="2"/>
  <c r="F1461" i="2"/>
  <c r="E1461" i="2"/>
  <c r="D1461" i="2"/>
  <c r="C1461" i="2"/>
  <c r="B1461" i="2"/>
  <c r="A1461" i="2"/>
  <c r="H1460" i="2"/>
  <c r="G1460" i="2"/>
  <c r="F1460" i="2"/>
  <c r="E1460" i="2"/>
  <c r="D1460" i="2"/>
  <c r="C1460" i="2"/>
  <c r="B1460" i="2"/>
  <c r="A1460" i="2"/>
  <c r="H1459" i="2"/>
  <c r="G1459" i="2"/>
  <c r="F1459" i="2"/>
  <c r="E1459" i="2"/>
  <c r="D1459" i="2"/>
  <c r="C1459" i="2"/>
  <c r="B1459" i="2"/>
  <c r="A1459" i="2"/>
  <c r="H1458" i="2"/>
  <c r="G1458" i="2"/>
  <c r="F1458" i="2"/>
  <c r="E1458" i="2"/>
  <c r="D1458" i="2"/>
  <c r="C1458" i="2"/>
  <c r="B1458" i="2"/>
  <c r="A1458" i="2"/>
  <c r="H1457" i="2"/>
  <c r="G1457" i="2"/>
  <c r="F1457" i="2"/>
  <c r="E1457" i="2"/>
  <c r="D1457" i="2"/>
  <c r="C1457" i="2"/>
  <c r="B1457" i="2"/>
  <c r="A1457" i="2"/>
  <c r="H1456" i="2"/>
  <c r="G1456" i="2"/>
  <c r="F1456" i="2"/>
  <c r="E1456" i="2"/>
  <c r="D1456" i="2"/>
  <c r="C1456" i="2"/>
  <c r="B1456" i="2"/>
  <c r="A1456" i="2"/>
  <c r="H1455" i="2"/>
  <c r="G1455" i="2"/>
  <c r="F1455" i="2"/>
  <c r="E1455" i="2"/>
  <c r="D1455" i="2"/>
  <c r="C1455" i="2"/>
  <c r="B1455" i="2"/>
  <c r="A1455" i="2"/>
  <c r="H1454" i="2"/>
  <c r="G1454" i="2"/>
  <c r="F1454" i="2"/>
  <c r="E1454" i="2"/>
  <c r="D1454" i="2"/>
  <c r="C1454" i="2"/>
  <c r="B1454" i="2"/>
  <c r="A1454" i="2"/>
  <c r="H1453" i="2"/>
  <c r="G1453" i="2"/>
  <c r="F1453" i="2"/>
  <c r="E1453" i="2"/>
  <c r="D1453" i="2"/>
  <c r="C1453" i="2"/>
  <c r="B1453" i="2"/>
  <c r="A1453" i="2"/>
  <c r="H1452" i="2"/>
  <c r="G1452" i="2"/>
  <c r="F1452" i="2"/>
  <c r="E1452" i="2"/>
  <c r="D1452" i="2"/>
  <c r="C1452" i="2"/>
  <c r="B1452" i="2"/>
  <c r="A1452" i="2"/>
  <c r="H1451" i="2"/>
  <c r="G1451" i="2"/>
  <c r="F1451" i="2"/>
  <c r="E1451" i="2"/>
  <c r="D1451" i="2"/>
  <c r="C1451" i="2"/>
  <c r="B1451" i="2"/>
  <c r="A1451" i="2"/>
  <c r="H1450" i="2"/>
  <c r="G1450" i="2"/>
  <c r="F1450" i="2"/>
  <c r="E1450" i="2"/>
  <c r="D1450" i="2"/>
  <c r="C1450" i="2"/>
  <c r="B1450" i="2"/>
  <c r="A1450" i="2"/>
  <c r="H1449" i="2"/>
  <c r="G1449" i="2"/>
  <c r="F1449" i="2"/>
  <c r="E1449" i="2"/>
  <c r="D1449" i="2"/>
  <c r="C1449" i="2"/>
  <c r="B1449" i="2"/>
  <c r="A1449" i="2"/>
  <c r="H1448" i="2"/>
  <c r="G1448" i="2"/>
  <c r="F1448" i="2"/>
  <c r="E1448" i="2"/>
  <c r="D1448" i="2"/>
  <c r="C1448" i="2"/>
  <c r="B1448" i="2"/>
  <c r="A1448" i="2"/>
  <c r="H1447" i="2"/>
  <c r="G1447" i="2"/>
  <c r="F1447" i="2"/>
  <c r="E1447" i="2"/>
  <c r="D1447" i="2"/>
  <c r="C1447" i="2"/>
  <c r="B1447" i="2"/>
  <c r="A1447" i="2"/>
  <c r="H1446" i="2"/>
  <c r="G1446" i="2"/>
  <c r="F1446" i="2"/>
  <c r="E1446" i="2"/>
  <c r="D1446" i="2"/>
  <c r="C1446" i="2"/>
  <c r="B1446" i="2"/>
  <c r="A1446" i="2"/>
  <c r="H1445" i="2"/>
  <c r="G1445" i="2"/>
  <c r="F1445" i="2"/>
  <c r="E1445" i="2"/>
  <c r="D1445" i="2"/>
  <c r="C1445" i="2"/>
  <c r="B1445" i="2"/>
  <c r="A1445" i="2"/>
  <c r="H1444" i="2"/>
  <c r="G1444" i="2"/>
  <c r="F1444" i="2"/>
  <c r="E1444" i="2"/>
  <c r="D1444" i="2"/>
  <c r="C1444" i="2"/>
  <c r="B1444" i="2"/>
  <c r="A1444" i="2"/>
  <c r="H1443" i="2"/>
  <c r="G1443" i="2"/>
  <c r="F1443" i="2"/>
  <c r="E1443" i="2"/>
  <c r="D1443" i="2"/>
  <c r="C1443" i="2"/>
  <c r="B1443" i="2"/>
  <c r="A1443" i="2"/>
  <c r="H1442" i="2"/>
  <c r="G1442" i="2"/>
  <c r="F1442" i="2"/>
  <c r="E1442" i="2"/>
  <c r="D1442" i="2"/>
  <c r="C1442" i="2"/>
  <c r="B1442" i="2"/>
  <c r="A1442" i="2"/>
  <c r="H1441" i="2"/>
  <c r="G1441" i="2"/>
  <c r="F1441" i="2"/>
  <c r="E1441" i="2"/>
  <c r="D1441" i="2"/>
  <c r="C1441" i="2"/>
  <c r="B1441" i="2"/>
  <c r="A1441" i="2"/>
  <c r="H1440" i="2"/>
  <c r="G1440" i="2"/>
  <c r="F1440" i="2"/>
  <c r="E1440" i="2"/>
  <c r="D1440" i="2"/>
  <c r="C1440" i="2"/>
  <c r="B1440" i="2"/>
  <c r="A1440" i="2"/>
  <c r="H1439" i="2"/>
  <c r="G1439" i="2"/>
  <c r="F1439" i="2"/>
  <c r="E1439" i="2"/>
  <c r="D1439" i="2"/>
  <c r="C1439" i="2"/>
  <c r="B1439" i="2"/>
  <c r="A1439" i="2"/>
  <c r="H1438" i="2"/>
  <c r="G1438" i="2"/>
  <c r="F1438" i="2"/>
  <c r="E1438" i="2"/>
  <c r="D1438" i="2"/>
  <c r="C1438" i="2"/>
  <c r="B1438" i="2"/>
  <c r="A1438" i="2"/>
  <c r="H1437" i="2"/>
  <c r="G1437" i="2"/>
  <c r="F1437" i="2"/>
  <c r="E1437" i="2"/>
  <c r="D1437" i="2"/>
  <c r="C1437" i="2"/>
  <c r="B1437" i="2"/>
  <c r="A1437" i="2"/>
  <c r="H1436" i="2"/>
  <c r="G1436" i="2"/>
  <c r="F1436" i="2"/>
  <c r="E1436" i="2"/>
  <c r="D1436" i="2"/>
  <c r="C1436" i="2"/>
  <c r="B1436" i="2"/>
  <c r="A1436" i="2"/>
  <c r="H1435" i="2"/>
  <c r="G1435" i="2"/>
  <c r="F1435" i="2"/>
  <c r="E1435" i="2"/>
  <c r="D1435" i="2"/>
  <c r="C1435" i="2"/>
  <c r="B1435" i="2"/>
  <c r="A1435" i="2"/>
  <c r="H1434" i="2"/>
  <c r="G1434" i="2"/>
  <c r="F1434" i="2"/>
  <c r="E1434" i="2"/>
  <c r="D1434" i="2"/>
  <c r="C1434" i="2"/>
  <c r="B1434" i="2"/>
  <c r="A1434" i="2"/>
  <c r="H1433" i="2"/>
  <c r="G1433" i="2"/>
  <c r="F1433" i="2"/>
  <c r="E1433" i="2"/>
  <c r="D1433" i="2"/>
  <c r="C1433" i="2"/>
  <c r="B1433" i="2"/>
  <c r="A1433" i="2"/>
  <c r="H1432" i="2"/>
  <c r="G1432" i="2"/>
  <c r="F1432" i="2"/>
  <c r="E1432" i="2"/>
  <c r="D1432" i="2"/>
  <c r="C1432" i="2"/>
  <c r="B1432" i="2"/>
  <c r="A1432" i="2"/>
  <c r="H1431" i="2"/>
  <c r="G1431" i="2"/>
  <c r="F1431" i="2"/>
  <c r="E1431" i="2"/>
  <c r="D1431" i="2"/>
  <c r="C1431" i="2"/>
  <c r="B1431" i="2"/>
  <c r="A1431" i="2"/>
  <c r="H1430" i="2"/>
  <c r="G1430" i="2"/>
  <c r="F1430" i="2"/>
  <c r="E1430" i="2"/>
  <c r="D1430" i="2"/>
  <c r="C1430" i="2"/>
  <c r="B1430" i="2"/>
  <c r="A1430" i="2"/>
  <c r="H1429" i="2"/>
  <c r="G1429" i="2"/>
  <c r="F1429" i="2"/>
  <c r="E1429" i="2"/>
  <c r="D1429" i="2"/>
  <c r="C1429" i="2"/>
  <c r="B1429" i="2"/>
  <c r="A1429" i="2"/>
  <c r="H1428" i="2"/>
  <c r="G1428" i="2"/>
  <c r="F1428" i="2"/>
  <c r="E1428" i="2"/>
  <c r="D1428" i="2"/>
  <c r="C1428" i="2"/>
  <c r="B1428" i="2"/>
  <c r="A1428" i="2"/>
  <c r="H1427" i="2"/>
  <c r="G1427" i="2"/>
  <c r="F1427" i="2"/>
  <c r="E1427" i="2"/>
  <c r="D1427" i="2"/>
  <c r="C1427" i="2"/>
  <c r="B1427" i="2"/>
  <c r="A1427" i="2"/>
  <c r="H1426" i="2"/>
  <c r="G1426" i="2"/>
  <c r="F1426" i="2"/>
  <c r="E1426" i="2"/>
  <c r="D1426" i="2"/>
  <c r="C1426" i="2"/>
  <c r="B1426" i="2"/>
  <c r="A1426" i="2"/>
  <c r="H1425" i="2"/>
  <c r="G1425" i="2"/>
  <c r="F1425" i="2"/>
  <c r="E1425" i="2"/>
  <c r="D1425" i="2"/>
  <c r="C1425" i="2"/>
  <c r="B1425" i="2"/>
  <c r="A1425" i="2"/>
  <c r="H1424" i="2"/>
  <c r="G1424" i="2"/>
  <c r="F1424" i="2"/>
  <c r="E1424" i="2"/>
  <c r="D1424" i="2"/>
  <c r="C1424" i="2"/>
  <c r="B1424" i="2"/>
  <c r="A1424" i="2"/>
  <c r="H1423" i="2"/>
  <c r="G1423" i="2"/>
  <c r="F1423" i="2"/>
  <c r="E1423" i="2"/>
  <c r="D1423" i="2"/>
  <c r="C1423" i="2"/>
  <c r="B1423" i="2"/>
  <c r="A1423" i="2"/>
  <c r="H1422" i="2"/>
  <c r="G1422" i="2"/>
  <c r="F1422" i="2"/>
  <c r="E1422" i="2"/>
  <c r="D1422" i="2"/>
  <c r="C1422" i="2"/>
  <c r="B1422" i="2"/>
  <c r="A1422" i="2"/>
  <c r="H1421" i="2"/>
  <c r="G1421" i="2"/>
  <c r="F1421" i="2"/>
  <c r="E1421" i="2"/>
  <c r="D1421" i="2"/>
  <c r="C1421" i="2"/>
  <c r="B1421" i="2"/>
  <c r="A1421" i="2"/>
  <c r="H1420" i="2"/>
  <c r="G1420" i="2"/>
  <c r="F1420" i="2"/>
  <c r="E1420" i="2"/>
  <c r="D1420" i="2"/>
  <c r="C1420" i="2"/>
  <c r="B1420" i="2"/>
  <c r="A1420" i="2"/>
  <c r="H1419" i="2"/>
  <c r="G1419" i="2"/>
  <c r="F1419" i="2"/>
  <c r="E1419" i="2"/>
  <c r="D1419" i="2"/>
  <c r="C1419" i="2"/>
  <c r="B1419" i="2"/>
  <c r="A1419" i="2"/>
  <c r="H1418" i="2"/>
  <c r="G1418" i="2"/>
  <c r="F1418" i="2"/>
  <c r="E1418" i="2"/>
  <c r="D1418" i="2"/>
  <c r="C1418" i="2"/>
  <c r="B1418" i="2"/>
  <c r="A1418" i="2"/>
  <c r="H1417" i="2"/>
  <c r="G1417" i="2"/>
  <c r="F1417" i="2"/>
  <c r="E1417" i="2"/>
  <c r="D1417" i="2"/>
  <c r="C1417" i="2"/>
  <c r="B1417" i="2"/>
  <c r="A1417" i="2"/>
  <c r="H1416" i="2"/>
  <c r="G1416" i="2"/>
  <c r="F1416" i="2"/>
  <c r="E1416" i="2"/>
  <c r="D1416" i="2"/>
  <c r="C1416" i="2"/>
  <c r="B1416" i="2"/>
  <c r="A1416" i="2"/>
  <c r="H1415" i="2"/>
  <c r="G1415" i="2"/>
  <c r="F1415" i="2"/>
  <c r="E1415" i="2"/>
  <c r="D1415" i="2"/>
  <c r="C1415" i="2"/>
  <c r="B1415" i="2"/>
  <c r="A1415" i="2"/>
  <c r="H1414" i="2"/>
  <c r="G1414" i="2"/>
  <c r="F1414" i="2"/>
  <c r="E1414" i="2"/>
  <c r="D1414" i="2"/>
  <c r="C1414" i="2"/>
  <c r="B1414" i="2"/>
  <c r="A1414" i="2"/>
  <c r="H1413" i="2"/>
  <c r="G1413" i="2"/>
  <c r="F1413" i="2"/>
  <c r="E1413" i="2"/>
  <c r="D1413" i="2"/>
  <c r="C1413" i="2"/>
  <c r="B1413" i="2"/>
  <c r="A1413" i="2"/>
  <c r="H1412" i="2"/>
  <c r="G1412" i="2"/>
  <c r="F1412" i="2"/>
  <c r="E1412" i="2"/>
  <c r="D1412" i="2"/>
  <c r="C1412" i="2"/>
  <c r="B1412" i="2"/>
  <c r="A1412" i="2"/>
  <c r="H1411" i="2"/>
  <c r="G1411" i="2"/>
  <c r="F1411" i="2"/>
  <c r="E1411" i="2"/>
  <c r="D1411" i="2"/>
  <c r="C1411" i="2"/>
  <c r="B1411" i="2"/>
  <c r="A1411" i="2"/>
  <c r="H1410" i="2"/>
  <c r="G1410" i="2"/>
  <c r="F1410" i="2"/>
  <c r="E1410" i="2"/>
  <c r="D1410" i="2"/>
  <c r="C1410" i="2"/>
  <c r="B1410" i="2"/>
  <c r="A1410" i="2"/>
  <c r="H1409" i="2"/>
  <c r="G1409" i="2"/>
  <c r="F1409" i="2"/>
  <c r="E1409" i="2"/>
  <c r="D1409" i="2"/>
  <c r="C1409" i="2"/>
  <c r="B1409" i="2"/>
  <c r="A1409" i="2"/>
  <c r="H1408" i="2"/>
  <c r="G1408" i="2"/>
  <c r="F1408" i="2"/>
  <c r="E1408" i="2"/>
  <c r="D1408" i="2"/>
  <c r="C1408" i="2"/>
  <c r="B1408" i="2"/>
  <c r="A1408" i="2"/>
  <c r="H1407" i="2"/>
  <c r="G1407" i="2"/>
  <c r="F1407" i="2"/>
  <c r="E1407" i="2"/>
  <c r="D1407" i="2"/>
  <c r="C1407" i="2"/>
  <c r="B1407" i="2"/>
  <c r="A1407" i="2"/>
  <c r="H1406" i="2"/>
  <c r="G1406" i="2"/>
  <c r="F1406" i="2"/>
  <c r="E1406" i="2"/>
  <c r="D1406" i="2"/>
  <c r="C1406" i="2"/>
  <c r="B1406" i="2"/>
  <c r="A1406" i="2"/>
  <c r="H1405" i="2"/>
  <c r="G1405" i="2"/>
  <c r="F1405" i="2"/>
  <c r="E1405" i="2"/>
  <c r="D1405" i="2"/>
  <c r="C1405" i="2"/>
  <c r="B1405" i="2"/>
  <c r="A1405" i="2"/>
  <c r="H1404" i="2"/>
  <c r="G1404" i="2"/>
  <c r="F1404" i="2"/>
  <c r="E1404" i="2"/>
  <c r="D1404" i="2"/>
  <c r="C1404" i="2"/>
  <c r="B1404" i="2"/>
  <c r="A1404" i="2"/>
  <c r="H1403" i="2"/>
  <c r="G1403" i="2"/>
  <c r="F1403" i="2"/>
  <c r="E1403" i="2"/>
  <c r="D1403" i="2"/>
  <c r="C1403" i="2"/>
  <c r="B1403" i="2"/>
  <c r="A1403" i="2"/>
  <c r="H1402" i="2"/>
  <c r="G1402" i="2"/>
  <c r="F1402" i="2"/>
  <c r="E1402" i="2"/>
  <c r="D1402" i="2"/>
  <c r="C1402" i="2"/>
  <c r="B1402" i="2"/>
  <c r="A1402" i="2"/>
  <c r="H1401" i="2"/>
  <c r="G1401" i="2"/>
  <c r="F1401" i="2"/>
  <c r="E1401" i="2"/>
  <c r="D1401" i="2"/>
  <c r="C1401" i="2"/>
  <c r="B1401" i="2"/>
  <c r="A1401" i="2"/>
  <c r="H1400" i="2"/>
  <c r="G1400" i="2"/>
  <c r="F1400" i="2"/>
  <c r="E1400" i="2"/>
  <c r="D1400" i="2"/>
  <c r="C1400" i="2"/>
  <c r="B1400" i="2"/>
  <c r="A1400" i="2"/>
  <c r="H1399" i="2"/>
  <c r="G1399" i="2"/>
  <c r="F1399" i="2"/>
  <c r="E1399" i="2"/>
  <c r="D1399" i="2"/>
  <c r="C1399" i="2"/>
  <c r="B1399" i="2"/>
  <c r="A1399" i="2"/>
  <c r="H1398" i="2"/>
  <c r="G1398" i="2"/>
  <c r="F1398" i="2"/>
  <c r="E1398" i="2"/>
  <c r="D1398" i="2"/>
  <c r="C1398" i="2"/>
  <c r="B1398" i="2"/>
  <c r="A1398" i="2"/>
  <c r="H1397" i="2"/>
  <c r="G1397" i="2"/>
  <c r="F1397" i="2"/>
  <c r="E1397" i="2"/>
  <c r="D1397" i="2"/>
  <c r="C1397" i="2"/>
  <c r="B1397" i="2"/>
  <c r="A1397" i="2"/>
  <c r="H1396" i="2"/>
  <c r="G1396" i="2"/>
  <c r="F1396" i="2"/>
  <c r="E1396" i="2"/>
  <c r="D1396" i="2"/>
  <c r="C1396" i="2"/>
  <c r="B1396" i="2"/>
  <c r="A1396" i="2"/>
  <c r="H1395" i="2"/>
  <c r="G1395" i="2"/>
  <c r="F1395" i="2"/>
  <c r="E1395" i="2"/>
  <c r="D1395" i="2"/>
  <c r="C1395" i="2"/>
  <c r="B1395" i="2"/>
  <c r="A1395" i="2"/>
  <c r="H1394" i="2"/>
  <c r="G1394" i="2"/>
  <c r="F1394" i="2"/>
  <c r="E1394" i="2"/>
  <c r="D1394" i="2"/>
  <c r="C1394" i="2"/>
  <c r="B1394" i="2"/>
  <c r="A1394" i="2"/>
  <c r="H1393" i="2"/>
  <c r="G1393" i="2"/>
  <c r="F1393" i="2"/>
  <c r="E1393" i="2"/>
  <c r="D1393" i="2"/>
  <c r="C1393" i="2"/>
  <c r="B1393" i="2"/>
  <c r="A1393" i="2"/>
  <c r="H1392" i="2"/>
  <c r="G1392" i="2"/>
  <c r="F1392" i="2"/>
  <c r="E1392" i="2"/>
  <c r="D1392" i="2"/>
  <c r="C1392" i="2"/>
  <c r="B1392" i="2"/>
  <c r="A1392" i="2"/>
  <c r="H1391" i="2"/>
  <c r="G1391" i="2"/>
  <c r="F1391" i="2"/>
  <c r="E1391" i="2"/>
  <c r="D1391" i="2"/>
  <c r="C1391" i="2"/>
  <c r="B1391" i="2"/>
  <c r="A1391" i="2"/>
  <c r="H1390" i="2"/>
  <c r="G1390" i="2"/>
  <c r="F1390" i="2"/>
  <c r="E1390" i="2"/>
  <c r="D1390" i="2"/>
  <c r="C1390" i="2"/>
  <c r="B1390" i="2"/>
  <c r="A1390" i="2"/>
  <c r="H1389" i="2"/>
  <c r="G1389" i="2"/>
  <c r="F1389" i="2"/>
  <c r="E1389" i="2"/>
  <c r="D1389" i="2"/>
  <c r="C1389" i="2"/>
  <c r="B1389" i="2"/>
  <c r="A1389" i="2"/>
  <c r="H1388" i="2"/>
  <c r="G1388" i="2"/>
  <c r="F1388" i="2"/>
  <c r="E1388" i="2"/>
  <c r="D1388" i="2"/>
  <c r="C1388" i="2"/>
  <c r="B1388" i="2"/>
  <c r="A1388" i="2"/>
  <c r="H1387" i="2"/>
  <c r="G1387" i="2"/>
  <c r="F1387" i="2"/>
  <c r="E1387" i="2"/>
  <c r="D1387" i="2"/>
  <c r="C1387" i="2"/>
  <c r="B1387" i="2"/>
  <c r="A1387" i="2"/>
  <c r="H1386" i="2"/>
  <c r="G1386" i="2"/>
  <c r="F1386" i="2"/>
  <c r="E1386" i="2"/>
  <c r="D1386" i="2"/>
  <c r="C1386" i="2"/>
  <c r="B1386" i="2"/>
  <c r="A1386" i="2"/>
  <c r="H1385" i="2"/>
  <c r="G1385" i="2"/>
  <c r="F1385" i="2"/>
  <c r="E1385" i="2"/>
  <c r="D1385" i="2"/>
  <c r="C1385" i="2"/>
  <c r="B1385" i="2"/>
  <c r="A1385" i="2"/>
  <c r="H1384" i="2"/>
  <c r="G1384" i="2"/>
  <c r="F1384" i="2"/>
  <c r="E1384" i="2"/>
  <c r="D1384" i="2"/>
  <c r="C1384" i="2"/>
  <c r="B1384" i="2"/>
  <c r="A1384" i="2"/>
  <c r="H1383" i="2"/>
  <c r="G1383" i="2"/>
  <c r="F1383" i="2"/>
  <c r="E1383" i="2"/>
  <c r="D1383" i="2"/>
  <c r="C1383" i="2"/>
  <c r="B1383" i="2"/>
  <c r="A1383" i="2"/>
  <c r="H1382" i="2"/>
  <c r="G1382" i="2"/>
  <c r="F1382" i="2"/>
  <c r="E1382" i="2"/>
  <c r="D1382" i="2"/>
  <c r="C1382" i="2"/>
  <c r="B1382" i="2"/>
  <c r="A1382" i="2"/>
  <c r="H1381" i="2"/>
  <c r="G1381" i="2"/>
  <c r="F1381" i="2"/>
  <c r="E1381" i="2"/>
  <c r="D1381" i="2"/>
  <c r="C1381" i="2"/>
  <c r="B1381" i="2"/>
  <c r="A1381" i="2"/>
  <c r="H1380" i="2"/>
  <c r="G1380" i="2"/>
  <c r="F1380" i="2"/>
  <c r="E1380" i="2"/>
  <c r="D1380" i="2"/>
  <c r="C1380" i="2"/>
  <c r="B1380" i="2"/>
  <c r="A1380" i="2"/>
  <c r="H1379" i="2"/>
  <c r="G1379" i="2"/>
  <c r="F1379" i="2"/>
  <c r="E1379" i="2"/>
  <c r="D1379" i="2"/>
  <c r="C1379" i="2"/>
  <c r="B1379" i="2"/>
  <c r="A1379" i="2"/>
  <c r="H1378" i="2"/>
  <c r="G1378" i="2"/>
  <c r="F1378" i="2"/>
  <c r="E1378" i="2"/>
  <c r="D1378" i="2"/>
  <c r="C1378" i="2"/>
  <c r="B1378" i="2"/>
  <c r="A1378" i="2"/>
  <c r="H1377" i="2"/>
  <c r="G1377" i="2"/>
  <c r="F1377" i="2"/>
  <c r="E1377" i="2"/>
  <c r="D1377" i="2"/>
  <c r="C1377" i="2"/>
  <c r="B1377" i="2"/>
  <c r="A1377" i="2"/>
  <c r="H1376" i="2"/>
  <c r="G1376" i="2"/>
  <c r="F1376" i="2"/>
  <c r="E1376" i="2"/>
  <c r="D1376" i="2"/>
  <c r="C1376" i="2"/>
  <c r="B1376" i="2"/>
  <c r="A1376" i="2"/>
  <c r="H1375" i="2"/>
  <c r="G1375" i="2"/>
  <c r="F1375" i="2"/>
  <c r="E1375" i="2"/>
  <c r="D1375" i="2"/>
  <c r="C1375" i="2"/>
  <c r="B1375" i="2"/>
  <c r="A1375" i="2"/>
  <c r="H1374" i="2"/>
  <c r="G1374" i="2"/>
  <c r="F1374" i="2"/>
  <c r="E1374" i="2"/>
  <c r="D1374" i="2"/>
  <c r="C1374" i="2"/>
  <c r="B1374" i="2"/>
  <c r="A1374" i="2"/>
  <c r="H1373" i="2"/>
  <c r="G1373" i="2"/>
  <c r="F1373" i="2"/>
  <c r="E1373" i="2"/>
  <c r="D1373" i="2"/>
  <c r="C1373" i="2"/>
  <c r="B1373" i="2"/>
  <c r="A1373" i="2"/>
  <c r="H1372" i="2"/>
  <c r="G1372" i="2"/>
  <c r="F1372" i="2"/>
  <c r="E1372" i="2"/>
  <c r="D1372" i="2"/>
  <c r="C1372" i="2"/>
  <c r="B1372" i="2"/>
  <c r="A1372" i="2"/>
  <c r="H1371" i="2"/>
  <c r="G1371" i="2"/>
  <c r="F1371" i="2"/>
  <c r="E1371" i="2"/>
  <c r="D1371" i="2"/>
  <c r="C1371" i="2"/>
  <c r="B1371" i="2"/>
  <c r="A1371" i="2"/>
  <c r="H1370" i="2"/>
  <c r="G1370" i="2"/>
  <c r="F1370" i="2"/>
  <c r="E1370" i="2"/>
  <c r="D1370" i="2"/>
  <c r="C1370" i="2"/>
  <c r="B1370" i="2"/>
  <c r="A1370" i="2"/>
  <c r="H1369" i="2"/>
  <c r="G1369" i="2"/>
  <c r="F1369" i="2"/>
  <c r="E1369" i="2"/>
  <c r="D1369" i="2"/>
  <c r="C1369" i="2"/>
  <c r="B1369" i="2"/>
  <c r="A1369" i="2"/>
  <c r="H1368" i="2"/>
  <c r="G1368" i="2"/>
  <c r="F1368" i="2"/>
  <c r="E1368" i="2"/>
  <c r="D1368" i="2"/>
  <c r="C1368" i="2"/>
  <c r="B1368" i="2"/>
  <c r="A1368" i="2"/>
  <c r="H1367" i="2"/>
  <c r="G1367" i="2"/>
  <c r="F1367" i="2"/>
  <c r="E1367" i="2"/>
  <c r="D1367" i="2"/>
  <c r="C1367" i="2"/>
  <c r="B1367" i="2"/>
  <c r="A1367" i="2"/>
  <c r="H1366" i="2"/>
  <c r="G1366" i="2"/>
  <c r="F1366" i="2"/>
  <c r="E1366" i="2"/>
  <c r="D1366" i="2"/>
  <c r="C1366" i="2"/>
  <c r="B1366" i="2"/>
  <c r="A1366" i="2"/>
  <c r="H1365" i="2"/>
  <c r="G1365" i="2"/>
  <c r="F1365" i="2"/>
  <c r="E1365" i="2"/>
  <c r="D1365" i="2"/>
  <c r="C1365" i="2"/>
  <c r="B1365" i="2"/>
  <c r="A1365" i="2"/>
  <c r="H1364" i="2"/>
  <c r="G1364" i="2"/>
  <c r="F1364" i="2"/>
  <c r="E1364" i="2"/>
  <c r="D1364" i="2"/>
  <c r="C1364" i="2"/>
  <c r="B1364" i="2"/>
  <c r="A1364" i="2"/>
  <c r="H1363" i="2"/>
  <c r="G1363" i="2"/>
  <c r="F1363" i="2"/>
  <c r="E1363" i="2"/>
  <c r="D1363" i="2"/>
  <c r="C1363" i="2"/>
  <c r="B1363" i="2"/>
  <c r="A1363" i="2"/>
  <c r="H1362" i="2"/>
  <c r="G1362" i="2"/>
  <c r="F1362" i="2"/>
  <c r="E1362" i="2"/>
  <c r="D1362" i="2"/>
  <c r="C1362" i="2"/>
  <c r="B1362" i="2"/>
  <c r="A1362" i="2"/>
  <c r="H1361" i="2"/>
  <c r="G1361" i="2"/>
  <c r="F1361" i="2"/>
  <c r="E1361" i="2"/>
  <c r="D1361" i="2"/>
  <c r="C1361" i="2"/>
  <c r="B1361" i="2"/>
  <c r="A1361" i="2"/>
  <c r="H1360" i="2"/>
  <c r="G1360" i="2"/>
  <c r="F1360" i="2"/>
  <c r="E1360" i="2"/>
  <c r="D1360" i="2"/>
  <c r="C1360" i="2"/>
  <c r="B1360" i="2"/>
  <c r="A1360" i="2"/>
  <c r="H1359" i="2"/>
  <c r="G1359" i="2"/>
  <c r="F1359" i="2"/>
  <c r="E1359" i="2"/>
  <c r="D1359" i="2"/>
  <c r="C1359" i="2"/>
  <c r="B1359" i="2"/>
  <c r="A1359" i="2"/>
  <c r="H1358" i="2"/>
  <c r="G1358" i="2"/>
  <c r="F1358" i="2"/>
  <c r="E1358" i="2"/>
  <c r="D1358" i="2"/>
  <c r="C1358" i="2"/>
  <c r="B1358" i="2"/>
  <c r="A1358" i="2"/>
  <c r="H1357" i="2"/>
  <c r="G1357" i="2"/>
  <c r="F1357" i="2"/>
  <c r="E1357" i="2"/>
  <c r="D1357" i="2"/>
  <c r="C1357" i="2"/>
  <c r="B1357" i="2"/>
  <c r="A1357" i="2"/>
  <c r="H1356" i="2"/>
  <c r="G1356" i="2"/>
  <c r="F1356" i="2"/>
  <c r="E1356" i="2"/>
  <c r="D1356" i="2"/>
  <c r="C1356" i="2"/>
  <c r="B1356" i="2"/>
  <c r="A1356" i="2"/>
  <c r="H1355" i="2"/>
  <c r="G1355" i="2"/>
  <c r="F1355" i="2"/>
  <c r="E1355" i="2"/>
  <c r="D1355" i="2"/>
  <c r="C1355" i="2"/>
  <c r="B1355" i="2"/>
  <c r="A1355" i="2"/>
  <c r="H1354" i="2"/>
  <c r="G1354" i="2"/>
  <c r="F1354" i="2"/>
  <c r="E1354" i="2"/>
  <c r="D1354" i="2"/>
  <c r="C1354" i="2"/>
  <c r="B1354" i="2"/>
  <c r="A1354" i="2"/>
  <c r="H1353" i="2"/>
  <c r="G1353" i="2"/>
  <c r="F1353" i="2"/>
  <c r="E1353" i="2"/>
  <c r="D1353" i="2"/>
  <c r="C1353" i="2"/>
  <c r="B1353" i="2"/>
  <c r="A1353" i="2"/>
  <c r="H1352" i="2"/>
  <c r="G1352" i="2"/>
  <c r="F1352" i="2"/>
  <c r="E1352" i="2"/>
  <c r="D1352" i="2"/>
  <c r="C1352" i="2"/>
  <c r="B1352" i="2"/>
  <c r="A1352" i="2"/>
  <c r="H1351" i="2"/>
  <c r="G1351" i="2"/>
  <c r="F1351" i="2"/>
  <c r="E1351" i="2"/>
  <c r="D1351" i="2"/>
  <c r="C1351" i="2"/>
  <c r="B1351" i="2"/>
  <c r="A1351" i="2"/>
  <c r="H1350" i="2"/>
  <c r="G1350" i="2"/>
  <c r="F1350" i="2"/>
  <c r="E1350" i="2"/>
  <c r="D1350" i="2"/>
  <c r="C1350" i="2"/>
  <c r="B1350" i="2"/>
  <c r="A1350" i="2"/>
  <c r="H1349" i="2"/>
  <c r="G1349" i="2"/>
  <c r="F1349" i="2"/>
  <c r="E1349" i="2"/>
  <c r="D1349" i="2"/>
  <c r="C1349" i="2"/>
  <c r="B1349" i="2"/>
  <c r="A1349" i="2"/>
  <c r="H1348" i="2"/>
  <c r="G1348" i="2"/>
  <c r="F1348" i="2"/>
  <c r="E1348" i="2"/>
  <c r="D1348" i="2"/>
  <c r="C1348" i="2"/>
  <c r="B1348" i="2"/>
  <c r="A1348" i="2"/>
  <c r="H1347" i="2"/>
  <c r="G1347" i="2"/>
  <c r="F1347" i="2"/>
  <c r="E1347" i="2"/>
  <c r="D1347" i="2"/>
  <c r="C1347" i="2"/>
  <c r="B1347" i="2"/>
  <c r="A1347" i="2"/>
  <c r="H1346" i="2"/>
  <c r="G1346" i="2"/>
  <c r="F1346" i="2"/>
  <c r="E1346" i="2"/>
  <c r="D1346" i="2"/>
  <c r="C1346" i="2"/>
  <c r="B1346" i="2"/>
  <c r="A1346" i="2"/>
  <c r="H1345" i="2"/>
  <c r="G1345" i="2"/>
  <c r="F1345" i="2"/>
  <c r="E1345" i="2"/>
  <c r="D1345" i="2"/>
  <c r="C1345" i="2"/>
  <c r="B1345" i="2"/>
  <c r="A1345" i="2"/>
  <c r="H1344" i="2"/>
  <c r="G1344" i="2"/>
  <c r="F1344" i="2"/>
  <c r="E1344" i="2"/>
  <c r="D1344" i="2"/>
  <c r="C1344" i="2"/>
  <c r="B1344" i="2"/>
  <c r="A1344" i="2"/>
  <c r="H1343" i="2"/>
  <c r="G1343" i="2"/>
  <c r="F1343" i="2"/>
  <c r="E1343" i="2"/>
  <c r="D1343" i="2"/>
  <c r="C1343" i="2"/>
  <c r="B1343" i="2"/>
  <c r="A1343" i="2"/>
  <c r="H1342" i="2"/>
  <c r="G1342" i="2"/>
  <c r="F1342" i="2"/>
  <c r="E1342" i="2"/>
  <c r="D1342" i="2"/>
  <c r="C1342" i="2"/>
  <c r="B1342" i="2"/>
  <c r="A1342" i="2"/>
  <c r="H1341" i="2"/>
  <c r="G1341" i="2"/>
  <c r="F1341" i="2"/>
  <c r="E1341" i="2"/>
  <c r="D1341" i="2"/>
  <c r="C1341" i="2"/>
  <c r="B1341" i="2"/>
  <c r="A1341" i="2"/>
  <c r="H1340" i="2"/>
  <c r="G1340" i="2"/>
  <c r="F1340" i="2"/>
  <c r="E1340" i="2"/>
  <c r="D1340" i="2"/>
  <c r="C1340" i="2"/>
  <c r="B1340" i="2"/>
  <c r="A1340" i="2"/>
  <c r="H1339" i="2"/>
  <c r="G1339" i="2"/>
  <c r="F1339" i="2"/>
  <c r="E1339" i="2"/>
  <c r="D1339" i="2"/>
  <c r="C1339" i="2"/>
  <c r="B1339" i="2"/>
  <c r="A1339" i="2"/>
  <c r="H1338" i="2"/>
  <c r="G1338" i="2"/>
  <c r="F1338" i="2"/>
  <c r="E1338" i="2"/>
  <c r="D1338" i="2"/>
  <c r="C1338" i="2"/>
  <c r="B1338" i="2"/>
  <c r="A1338" i="2"/>
  <c r="H1337" i="2"/>
  <c r="G1337" i="2"/>
  <c r="F1337" i="2"/>
  <c r="E1337" i="2"/>
  <c r="D1337" i="2"/>
  <c r="C1337" i="2"/>
  <c r="B1337" i="2"/>
  <c r="A1337" i="2"/>
  <c r="H1336" i="2"/>
  <c r="G1336" i="2"/>
  <c r="F1336" i="2"/>
  <c r="E1336" i="2"/>
  <c r="D1336" i="2"/>
  <c r="C1336" i="2"/>
  <c r="B1336" i="2"/>
  <c r="A1336" i="2"/>
  <c r="H1335" i="2"/>
  <c r="G1335" i="2"/>
  <c r="F1335" i="2"/>
  <c r="E1335" i="2"/>
  <c r="D1335" i="2"/>
  <c r="C1335" i="2"/>
  <c r="B1335" i="2"/>
  <c r="A1335" i="2"/>
  <c r="H1334" i="2"/>
  <c r="G1334" i="2"/>
  <c r="F1334" i="2"/>
  <c r="E1334" i="2"/>
  <c r="D1334" i="2"/>
  <c r="C1334" i="2"/>
  <c r="B1334" i="2"/>
  <c r="A1334" i="2"/>
  <c r="H1333" i="2"/>
  <c r="G1333" i="2"/>
  <c r="F1333" i="2"/>
  <c r="E1333" i="2"/>
  <c r="D1333" i="2"/>
  <c r="C1333" i="2"/>
  <c r="B1333" i="2"/>
  <c r="A1333" i="2"/>
  <c r="H1332" i="2"/>
  <c r="G1332" i="2"/>
  <c r="F1332" i="2"/>
  <c r="E1332" i="2"/>
  <c r="D1332" i="2"/>
  <c r="C1332" i="2"/>
  <c r="B1332" i="2"/>
  <c r="A1332" i="2"/>
  <c r="H1331" i="2"/>
  <c r="G1331" i="2"/>
  <c r="F1331" i="2"/>
  <c r="E1331" i="2"/>
  <c r="D1331" i="2"/>
  <c r="C1331" i="2"/>
  <c r="B1331" i="2"/>
  <c r="A1331" i="2"/>
  <c r="H1330" i="2"/>
  <c r="G1330" i="2"/>
  <c r="F1330" i="2"/>
  <c r="E1330" i="2"/>
  <c r="D1330" i="2"/>
  <c r="C1330" i="2"/>
  <c r="B1330" i="2"/>
  <c r="A1330" i="2"/>
  <c r="H1329" i="2"/>
  <c r="G1329" i="2"/>
  <c r="F1329" i="2"/>
  <c r="E1329" i="2"/>
  <c r="D1329" i="2"/>
  <c r="C1329" i="2"/>
  <c r="B1329" i="2"/>
  <c r="A1329" i="2"/>
  <c r="H1328" i="2"/>
  <c r="G1328" i="2"/>
  <c r="F1328" i="2"/>
  <c r="E1328" i="2"/>
  <c r="D1328" i="2"/>
  <c r="C1328" i="2"/>
  <c r="B1328" i="2"/>
  <c r="A1328" i="2"/>
  <c r="H1327" i="2"/>
  <c r="G1327" i="2"/>
  <c r="F1327" i="2"/>
  <c r="E1327" i="2"/>
  <c r="D1327" i="2"/>
  <c r="C1327" i="2"/>
  <c r="B1327" i="2"/>
  <c r="A1327" i="2"/>
  <c r="H1326" i="2"/>
  <c r="G1326" i="2"/>
  <c r="F1326" i="2"/>
  <c r="E1326" i="2"/>
  <c r="D1326" i="2"/>
  <c r="C1326" i="2"/>
  <c r="B1326" i="2"/>
  <c r="A1326" i="2"/>
  <c r="H1325" i="2"/>
  <c r="G1325" i="2"/>
  <c r="F1325" i="2"/>
  <c r="E1325" i="2"/>
  <c r="D1325" i="2"/>
  <c r="C1325" i="2"/>
  <c r="B1325" i="2"/>
  <c r="A1325" i="2"/>
  <c r="H1324" i="2"/>
  <c r="G1324" i="2"/>
  <c r="F1324" i="2"/>
  <c r="E1324" i="2"/>
  <c r="D1324" i="2"/>
  <c r="C1324" i="2"/>
  <c r="B1324" i="2"/>
  <c r="A1324" i="2"/>
  <c r="H1323" i="2"/>
  <c r="G1323" i="2"/>
  <c r="F1323" i="2"/>
  <c r="E1323" i="2"/>
  <c r="D1323" i="2"/>
  <c r="C1323" i="2"/>
  <c r="B1323" i="2"/>
  <c r="A1323" i="2"/>
  <c r="H1322" i="2"/>
  <c r="G1322" i="2"/>
  <c r="F1322" i="2"/>
  <c r="E1322" i="2"/>
  <c r="D1322" i="2"/>
  <c r="C1322" i="2"/>
  <c r="B1322" i="2"/>
  <c r="A1322" i="2"/>
  <c r="H1321" i="2"/>
  <c r="G1321" i="2"/>
  <c r="F1321" i="2"/>
  <c r="E1321" i="2"/>
  <c r="D1321" i="2"/>
  <c r="C1321" i="2"/>
  <c r="B1321" i="2"/>
  <c r="A1321" i="2"/>
  <c r="H1320" i="2"/>
  <c r="G1320" i="2"/>
  <c r="F1320" i="2"/>
  <c r="E1320" i="2"/>
  <c r="D1320" i="2"/>
  <c r="C1320" i="2"/>
  <c r="B1320" i="2"/>
  <c r="A1320" i="2"/>
  <c r="H1319" i="2"/>
  <c r="G1319" i="2"/>
  <c r="F1319" i="2"/>
  <c r="E1319" i="2"/>
  <c r="D1319" i="2"/>
  <c r="C1319" i="2"/>
  <c r="B1319" i="2"/>
  <c r="A1319" i="2"/>
  <c r="H1318" i="2"/>
  <c r="G1318" i="2"/>
  <c r="F1318" i="2"/>
  <c r="E1318" i="2"/>
  <c r="D1318" i="2"/>
  <c r="C1318" i="2"/>
  <c r="B1318" i="2"/>
  <c r="A1318" i="2"/>
  <c r="H1317" i="2"/>
  <c r="G1317" i="2"/>
  <c r="F1317" i="2"/>
  <c r="E1317" i="2"/>
  <c r="D1317" i="2"/>
  <c r="C1317" i="2"/>
  <c r="B1317" i="2"/>
  <c r="A1317" i="2"/>
  <c r="H1316" i="2"/>
  <c r="G1316" i="2"/>
  <c r="F1316" i="2"/>
  <c r="E1316" i="2"/>
  <c r="D1316" i="2"/>
  <c r="C1316" i="2"/>
  <c r="B1316" i="2"/>
  <c r="A1316" i="2"/>
  <c r="H1315" i="2"/>
  <c r="G1315" i="2"/>
  <c r="F1315" i="2"/>
  <c r="E1315" i="2"/>
  <c r="D1315" i="2"/>
  <c r="C1315" i="2"/>
  <c r="B1315" i="2"/>
  <c r="A1315" i="2"/>
  <c r="H1314" i="2"/>
  <c r="G1314" i="2"/>
  <c r="F1314" i="2"/>
  <c r="E1314" i="2"/>
  <c r="D1314" i="2"/>
  <c r="C1314" i="2"/>
  <c r="B1314" i="2"/>
  <c r="A1314" i="2"/>
  <c r="H1313" i="2"/>
  <c r="G1313" i="2"/>
  <c r="F1313" i="2"/>
  <c r="E1313" i="2"/>
  <c r="D1313" i="2"/>
  <c r="C1313" i="2"/>
  <c r="B1313" i="2"/>
  <c r="A1313" i="2"/>
  <c r="H1312" i="2"/>
  <c r="G1312" i="2"/>
  <c r="F1312" i="2"/>
  <c r="E1312" i="2"/>
  <c r="D1312" i="2"/>
  <c r="C1312" i="2"/>
  <c r="B1312" i="2"/>
  <c r="A1312" i="2"/>
  <c r="H1311" i="2"/>
  <c r="G1311" i="2"/>
  <c r="F1311" i="2"/>
  <c r="E1311" i="2"/>
  <c r="D1311" i="2"/>
  <c r="C1311" i="2"/>
  <c r="B1311" i="2"/>
  <c r="A1311" i="2"/>
  <c r="H1310" i="2"/>
  <c r="G1310" i="2"/>
  <c r="F1310" i="2"/>
  <c r="E1310" i="2"/>
  <c r="D1310" i="2"/>
  <c r="C1310" i="2"/>
  <c r="B1310" i="2"/>
  <c r="A1310" i="2"/>
  <c r="H1309" i="2"/>
  <c r="G1309" i="2"/>
  <c r="F1309" i="2"/>
  <c r="E1309" i="2"/>
  <c r="D1309" i="2"/>
  <c r="C1309" i="2"/>
  <c r="B1309" i="2"/>
  <c r="A1309" i="2"/>
  <c r="H1308" i="2"/>
  <c r="G1308" i="2"/>
  <c r="F1308" i="2"/>
  <c r="E1308" i="2"/>
  <c r="D1308" i="2"/>
  <c r="C1308" i="2"/>
  <c r="B1308" i="2"/>
  <c r="A1308" i="2"/>
  <c r="H1307" i="2"/>
  <c r="G1307" i="2"/>
  <c r="F1307" i="2"/>
  <c r="E1307" i="2"/>
  <c r="D1307" i="2"/>
  <c r="C1307" i="2"/>
  <c r="B1307" i="2"/>
  <c r="A1307" i="2"/>
  <c r="H1306" i="2"/>
  <c r="G1306" i="2"/>
  <c r="F1306" i="2"/>
  <c r="E1306" i="2"/>
  <c r="D1306" i="2"/>
  <c r="C1306" i="2"/>
  <c r="B1306" i="2"/>
  <c r="A1306" i="2"/>
  <c r="H1305" i="2"/>
  <c r="G1305" i="2"/>
  <c r="F1305" i="2"/>
  <c r="E1305" i="2"/>
  <c r="D1305" i="2"/>
  <c r="C1305" i="2"/>
  <c r="B1305" i="2"/>
  <c r="A1305" i="2"/>
  <c r="H1304" i="2"/>
  <c r="G1304" i="2"/>
  <c r="F1304" i="2"/>
  <c r="E1304" i="2"/>
  <c r="D1304" i="2"/>
  <c r="C1304" i="2"/>
  <c r="B1304" i="2"/>
  <c r="A1304" i="2"/>
  <c r="H1303" i="2"/>
  <c r="G1303" i="2"/>
  <c r="F1303" i="2"/>
  <c r="E1303" i="2"/>
  <c r="D1303" i="2"/>
  <c r="C1303" i="2"/>
  <c r="B1303" i="2"/>
  <c r="A1303" i="2"/>
  <c r="H1302" i="2"/>
  <c r="G1302" i="2"/>
  <c r="F1302" i="2"/>
  <c r="E1302" i="2"/>
  <c r="D1302" i="2"/>
  <c r="C1302" i="2"/>
  <c r="B1302" i="2"/>
  <c r="A1302" i="2"/>
  <c r="H1301" i="2"/>
  <c r="G1301" i="2"/>
  <c r="F1301" i="2"/>
  <c r="E1301" i="2"/>
  <c r="D1301" i="2"/>
  <c r="C1301" i="2"/>
  <c r="B1301" i="2"/>
  <c r="A1301" i="2"/>
  <c r="H1300" i="2"/>
  <c r="G1300" i="2"/>
  <c r="F1300" i="2"/>
  <c r="E1300" i="2"/>
  <c r="D1300" i="2"/>
  <c r="C1300" i="2"/>
  <c r="B1300" i="2"/>
  <c r="A1300" i="2"/>
  <c r="H1299" i="2"/>
  <c r="G1299" i="2"/>
  <c r="F1299" i="2"/>
  <c r="E1299" i="2"/>
  <c r="D1299" i="2"/>
  <c r="C1299" i="2"/>
  <c r="B1299" i="2"/>
  <c r="A1299" i="2"/>
  <c r="H1298" i="2"/>
  <c r="G1298" i="2"/>
  <c r="F1298" i="2"/>
  <c r="E1298" i="2"/>
  <c r="D1298" i="2"/>
  <c r="C1298" i="2"/>
  <c r="B1298" i="2"/>
  <c r="A1298" i="2"/>
  <c r="H1297" i="2"/>
  <c r="G1297" i="2"/>
  <c r="F1297" i="2"/>
  <c r="E1297" i="2"/>
  <c r="D1297" i="2"/>
  <c r="C1297" i="2"/>
  <c r="B1297" i="2"/>
  <c r="A1297" i="2"/>
  <c r="H1296" i="2"/>
  <c r="G1296" i="2"/>
  <c r="F1296" i="2"/>
  <c r="E1296" i="2"/>
  <c r="D1296" i="2"/>
  <c r="C1296" i="2"/>
  <c r="B1296" i="2"/>
  <c r="A1296" i="2"/>
  <c r="H1295" i="2"/>
  <c r="G1295" i="2"/>
  <c r="F1295" i="2"/>
  <c r="E1295" i="2"/>
  <c r="D1295" i="2"/>
  <c r="C1295" i="2"/>
  <c r="B1295" i="2"/>
  <c r="A1295" i="2"/>
  <c r="H1294" i="2"/>
  <c r="G1294" i="2"/>
  <c r="F1294" i="2"/>
  <c r="E1294" i="2"/>
  <c r="D1294" i="2"/>
  <c r="C1294" i="2"/>
  <c r="B1294" i="2"/>
  <c r="A1294" i="2"/>
  <c r="H1293" i="2"/>
  <c r="G1293" i="2"/>
  <c r="F1293" i="2"/>
  <c r="E1293" i="2"/>
  <c r="D1293" i="2"/>
  <c r="C1293" i="2"/>
  <c r="B1293" i="2"/>
  <c r="A1293" i="2"/>
  <c r="H1292" i="2"/>
  <c r="G1292" i="2"/>
  <c r="F1292" i="2"/>
  <c r="E1292" i="2"/>
  <c r="D1292" i="2"/>
  <c r="C1292" i="2"/>
  <c r="B1292" i="2"/>
  <c r="A1292" i="2"/>
  <c r="H1291" i="2"/>
  <c r="G1291" i="2"/>
  <c r="F1291" i="2"/>
  <c r="E1291" i="2"/>
  <c r="D1291" i="2"/>
  <c r="C1291" i="2"/>
  <c r="B1291" i="2"/>
  <c r="A1291" i="2"/>
  <c r="H1290" i="2"/>
  <c r="G1290" i="2"/>
  <c r="F1290" i="2"/>
  <c r="E1290" i="2"/>
  <c r="D1290" i="2"/>
  <c r="C1290" i="2"/>
  <c r="B1290" i="2"/>
  <c r="A1290" i="2"/>
  <c r="H1289" i="2"/>
  <c r="G1289" i="2"/>
  <c r="F1289" i="2"/>
  <c r="E1289" i="2"/>
  <c r="D1289" i="2"/>
  <c r="C1289" i="2"/>
  <c r="B1289" i="2"/>
  <c r="A1289" i="2"/>
  <c r="H1288" i="2"/>
  <c r="G1288" i="2"/>
  <c r="F1288" i="2"/>
  <c r="E1288" i="2"/>
  <c r="D1288" i="2"/>
  <c r="C1288" i="2"/>
  <c r="B1288" i="2"/>
  <c r="A1288" i="2"/>
  <c r="H1287" i="2"/>
  <c r="G1287" i="2"/>
  <c r="F1287" i="2"/>
  <c r="E1287" i="2"/>
  <c r="D1287" i="2"/>
  <c r="C1287" i="2"/>
  <c r="B1287" i="2"/>
  <c r="A1287" i="2"/>
  <c r="H1286" i="2"/>
  <c r="G1286" i="2"/>
  <c r="F1286" i="2"/>
  <c r="E1286" i="2"/>
  <c r="D1286" i="2"/>
  <c r="C1286" i="2"/>
  <c r="B1286" i="2"/>
  <c r="A1286" i="2"/>
  <c r="H1285" i="2"/>
  <c r="G1285" i="2"/>
  <c r="F1285" i="2"/>
  <c r="E1285" i="2"/>
  <c r="D1285" i="2"/>
  <c r="C1285" i="2"/>
  <c r="B1285" i="2"/>
  <c r="A1285" i="2"/>
  <c r="H1284" i="2"/>
  <c r="G1284" i="2"/>
  <c r="F1284" i="2"/>
  <c r="E1284" i="2"/>
  <c r="D1284" i="2"/>
  <c r="C1284" i="2"/>
  <c r="B1284" i="2"/>
  <c r="A1284" i="2"/>
  <c r="H1283" i="2"/>
  <c r="G1283" i="2"/>
  <c r="F1283" i="2"/>
  <c r="E1283" i="2"/>
  <c r="D1283" i="2"/>
  <c r="C1283" i="2"/>
  <c r="B1283" i="2"/>
  <c r="A1283" i="2"/>
  <c r="H1282" i="2"/>
  <c r="G1282" i="2"/>
  <c r="F1282" i="2"/>
  <c r="E1282" i="2"/>
  <c r="D1282" i="2"/>
  <c r="C1282" i="2"/>
  <c r="B1282" i="2"/>
  <c r="A1282" i="2"/>
  <c r="H1281" i="2"/>
  <c r="G1281" i="2"/>
  <c r="F1281" i="2"/>
  <c r="E1281" i="2"/>
  <c r="D1281" i="2"/>
  <c r="C1281" i="2"/>
  <c r="B1281" i="2"/>
  <c r="A1281" i="2"/>
  <c r="H1280" i="2"/>
  <c r="G1280" i="2"/>
  <c r="F1280" i="2"/>
  <c r="E1280" i="2"/>
  <c r="D1280" i="2"/>
  <c r="C1280" i="2"/>
  <c r="B1280" i="2"/>
  <c r="A1280" i="2"/>
  <c r="H1279" i="2"/>
  <c r="G1279" i="2"/>
  <c r="F1279" i="2"/>
  <c r="E1279" i="2"/>
  <c r="D1279" i="2"/>
  <c r="C1279" i="2"/>
  <c r="B1279" i="2"/>
  <c r="A1279" i="2"/>
  <c r="H1278" i="2"/>
  <c r="G1278" i="2"/>
  <c r="F1278" i="2"/>
  <c r="E1278" i="2"/>
  <c r="D1278" i="2"/>
  <c r="C1278" i="2"/>
  <c r="B1278" i="2"/>
  <c r="A1278" i="2"/>
  <c r="H1277" i="2"/>
  <c r="G1277" i="2"/>
  <c r="F1277" i="2"/>
  <c r="E1277" i="2"/>
  <c r="D1277" i="2"/>
  <c r="C1277" i="2"/>
  <c r="B1277" i="2"/>
  <c r="A1277" i="2"/>
  <c r="H1276" i="2"/>
  <c r="G1276" i="2"/>
  <c r="F1276" i="2"/>
  <c r="E1276" i="2"/>
  <c r="D1276" i="2"/>
  <c r="C1276" i="2"/>
  <c r="B1276" i="2"/>
  <c r="A1276" i="2"/>
  <c r="H1275" i="2"/>
  <c r="G1275" i="2"/>
  <c r="F1275" i="2"/>
  <c r="E1275" i="2"/>
  <c r="D1275" i="2"/>
  <c r="C1275" i="2"/>
  <c r="B1275" i="2"/>
  <c r="A1275" i="2"/>
  <c r="H1274" i="2"/>
  <c r="G1274" i="2"/>
  <c r="F1274" i="2"/>
  <c r="E1274" i="2"/>
  <c r="D1274" i="2"/>
  <c r="C1274" i="2"/>
  <c r="B1274" i="2"/>
  <c r="A1274" i="2"/>
  <c r="H1273" i="2"/>
  <c r="G1273" i="2"/>
  <c r="F1273" i="2"/>
  <c r="E1273" i="2"/>
  <c r="D1273" i="2"/>
  <c r="C1273" i="2"/>
  <c r="B1273" i="2"/>
  <c r="A1273" i="2"/>
  <c r="H1272" i="2"/>
  <c r="G1272" i="2"/>
  <c r="F1272" i="2"/>
  <c r="E1272" i="2"/>
  <c r="D1272" i="2"/>
  <c r="C1272" i="2"/>
  <c r="B1272" i="2"/>
  <c r="A1272" i="2"/>
  <c r="H1271" i="2"/>
  <c r="G1271" i="2"/>
  <c r="F1271" i="2"/>
  <c r="E1271" i="2"/>
  <c r="D1271" i="2"/>
  <c r="C1271" i="2"/>
  <c r="B1271" i="2"/>
  <c r="A1271" i="2"/>
  <c r="H1270" i="2"/>
  <c r="G1270" i="2"/>
  <c r="F1270" i="2"/>
  <c r="E1270" i="2"/>
  <c r="D1270" i="2"/>
  <c r="C1270" i="2"/>
  <c r="B1270" i="2"/>
  <c r="A1270" i="2"/>
  <c r="H1269" i="2"/>
  <c r="G1269" i="2"/>
  <c r="F1269" i="2"/>
  <c r="E1269" i="2"/>
  <c r="D1269" i="2"/>
  <c r="C1269" i="2"/>
  <c r="B1269" i="2"/>
  <c r="A1269" i="2"/>
  <c r="H1268" i="2"/>
  <c r="G1268" i="2"/>
  <c r="F1268" i="2"/>
  <c r="E1268" i="2"/>
  <c r="D1268" i="2"/>
  <c r="C1268" i="2"/>
  <c r="B1268" i="2"/>
  <c r="A1268" i="2"/>
  <c r="H1267" i="2"/>
  <c r="G1267" i="2"/>
  <c r="F1267" i="2"/>
  <c r="E1267" i="2"/>
  <c r="D1267" i="2"/>
  <c r="C1267" i="2"/>
  <c r="B1267" i="2"/>
  <c r="A1267" i="2"/>
  <c r="H1266" i="2"/>
  <c r="G1266" i="2"/>
  <c r="F1266" i="2"/>
  <c r="E1266" i="2"/>
  <c r="D1266" i="2"/>
  <c r="C1266" i="2"/>
  <c r="B1266" i="2"/>
  <c r="A1266" i="2"/>
  <c r="H1265" i="2"/>
  <c r="G1265" i="2"/>
  <c r="F1265" i="2"/>
  <c r="E1265" i="2"/>
  <c r="D1265" i="2"/>
  <c r="C1265" i="2"/>
  <c r="B1265" i="2"/>
  <c r="A1265" i="2"/>
  <c r="H1264" i="2"/>
  <c r="G1264" i="2"/>
  <c r="F1264" i="2"/>
  <c r="E1264" i="2"/>
  <c r="D1264" i="2"/>
  <c r="C1264" i="2"/>
  <c r="B1264" i="2"/>
  <c r="A1264" i="2"/>
  <c r="H1263" i="2"/>
  <c r="G1263" i="2"/>
  <c r="F1263" i="2"/>
  <c r="E1263" i="2"/>
  <c r="D1263" i="2"/>
  <c r="C1263" i="2"/>
  <c r="B1263" i="2"/>
  <c r="A1263" i="2"/>
  <c r="H1262" i="2"/>
  <c r="G1262" i="2"/>
  <c r="F1262" i="2"/>
  <c r="E1262" i="2"/>
  <c r="D1262" i="2"/>
  <c r="C1262" i="2"/>
  <c r="B1262" i="2"/>
  <c r="A1262" i="2"/>
  <c r="H1261" i="2"/>
  <c r="G1261" i="2"/>
  <c r="F1261" i="2"/>
  <c r="E1261" i="2"/>
  <c r="D1261" i="2"/>
  <c r="C1261" i="2"/>
  <c r="B1261" i="2"/>
  <c r="A1261" i="2"/>
  <c r="H1260" i="2"/>
  <c r="G1260" i="2"/>
  <c r="F1260" i="2"/>
  <c r="E1260" i="2"/>
  <c r="D1260" i="2"/>
  <c r="C1260" i="2"/>
  <c r="B1260" i="2"/>
  <c r="A1260" i="2"/>
  <c r="H1259" i="2"/>
  <c r="G1259" i="2"/>
  <c r="F1259" i="2"/>
  <c r="E1259" i="2"/>
  <c r="D1259" i="2"/>
  <c r="C1259" i="2"/>
  <c r="B1259" i="2"/>
  <c r="A1259" i="2"/>
  <c r="H1258" i="2"/>
  <c r="G1258" i="2"/>
  <c r="F1258" i="2"/>
  <c r="E1258" i="2"/>
  <c r="D1258" i="2"/>
  <c r="C1258" i="2"/>
  <c r="B1258" i="2"/>
  <c r="A1258" i="2"/>
  <c r="H1257" i="2"/>
  <c r="G1257" i="2"/>
  <c r="F1257" i="2"/>
  <c r="E1257" i="2"/>
  <c r="D1257" i="2"/>
  <c r="C1257" i="2"/>
  <c r="B1257" i="2"/>
  <c r="A1257" i="2"/>
  <c r="H1256" i="2"/>
  <c r="G1256" i="2"/>
  <c r="F1256" i="2"/>
  <c r="E1256" i="2"/>
  <c r="D1256" i="2"/>
  <c r="C1256" i="2"/>
  <c r="B1256" i="2"/>
  <c r="A1256" i="2"/>
  <c r="H1255" i="2"/>
  <c r="G1255" i="2"/>
  <c r="F1255" i="2"/>
  <c r="E1255" i="2"/>
  <c r="D1255" i="2"/>
  <c r="C1255" i="2"/>
  <c r="B1255" i="2"/>
  <c r="A1255" i="2"/>
  <c r="H1254" i="2"/>
  <c r="G1254" i="2"/>
  <c r="F1254" i="2"/>
  <c r="E1254" i="2"/>
  <c r="D1254" i="2"/>
  <c r="C1254" i="2"/>
  <c r="B1254" i="2"/>
  <c r="A1254" i="2"/>
  <c r="H1253" i="2"/>
  <c r="G1253" i="2"/>
  <c r="F1253" i="2"/>
  <c r="E1253" i="2"/>
  <c r="D1253" i="2"/>
  <c r="C1253" i="2"/>
  <c r="B1253" i="2"/>
  <c r="A1253" i="2"/>
  <c r="H1252" i="2"/>
  <c r="G1252" i="2"/>
  <c r="F1252" i="2"/>
  <c r="E1252" i="2"/>
  <c r="D1252" i="2"/>
  <c r="C1252" i="2"/>
  <c r="B1252" i="2"/>
  <c r="A1252" i="2"/>
  <c r="H1251" i="2"/>
  <c r="G1251" i="2"/>
  <c r="F1251" i="2"/>
  <c r="E1251" i="2"/>
  <c r="D1251" i="2"/>
  <c r="C1251" i="2"/>
  <c r="B1251" i="2"/>
  <c r="A1251" i="2"/>
  <c r="H1250" i="2"/>
  <c r="G1250" i="2"/>
  <c r="F1250" i="2"/>
  <c r="E1250" i="2"/>
  <c r="D1250" i="2"/>
  <c r="C1250" i="2"/>
  <c r="B1250" i="2"/>
  <c r="A1250" i="2"/>
  <c r="H1249" i="2"/>
  <c r="G1249" i="2"/>
  <c r="F1249" i="2"/>
  <c r="E1249" i="2"/>
  <c r="D1249" i="2"/>
  <c r="C1249" i="2"/>
  <c r="B1249" i="2"/>
  <c r="A1249" i="2"/>
  <c r="H1248" i="2"/>
  <c r="G1248" i="2"/>
  <c r="F1248" i="2"/>
  <c r="E1248" i="2"/>
  <c r="D1248" i="2"/>
  <c r="C1248" i="2"/>
  <c r="B1248" i="2"/>
  <c r="A1248" i="2"/>
  <c r="H1247" i="2"/>
  <c r="G1247" i="2"/>
  <c r="F1247" i="2"/>
  <c r="E1247" i="2"/>
  <c r="D1247" i="2"/>
  <c r="C1247" i="2"/>
  <c r="B1247" i="2"/>
  <c r="A1247" i="2"/>
  <c r="H1246" i="2"/>
  <c r="G1246" i="2"/>
  <c r="F1246" i="2"/>
  <c r="E1246" i="2"/>
  <c r="D1246" i="2"/>
  <c r="C1246" i="2"/>
  <c r="B1246" i="2"/>
  <c r="A1246" i="2"/>
  <c r="H1245" i="2"/>
  <c r="G1245" i="2"/>
  <c r="F1245" i="2"/>
  <c r="E1245" i="2"/>
  <c r="D1245" i="2"/>
  <c r="C1245" i="2"/>
  <c r="B1245" i="2"/>
  <c r="A1245" i="2"/>
  <c r="H1244" i="2"/>
  <c r="G1244" i="2"/>
  <c r="F1244" i="2"/>
  <c r="E1244" i="2"/>
  <c r="D1244" i="2"/>
  <c r="C1244" i="2"/>
  <c r="B1244" i="2"/>
  <c r="A1244" i="2"/>
  <c r="H1243" i="2"/>
  <c r="G1243" i="2"/>
  <c r="F1243" i="2"/>
  <c r="E1243" i="2"/>
  <c r="D1243" i="2"/>
  <c r="C1243" i="2"/>
  <c r="B1243" i="2"/>
  <c r="A1243" i="2"/>
  <c r="H1242" i="2"/>
  <c r="G1242" i="2"/>
  <c r="F1242" i="2"/>
  <c r="E1242" i="2"/>
  <c r="D1242" i="2"/>
  <c r="C1242" i="2"/>
  <c r="B1242" i="2"/>
  <c r="A1242" i="2"/>
  <c r="H1241" i="2"/>
  <c r="G1241" i="2"/>
  <c r="F1241" i="2"/>
  <c r="E1241" i="2"/>
  <c r="D1241" i="2"/>
  <c r="C1241" i="2"/>
  <c r="B1241" i="2"/>
  <c r="A1241" i="2"/>
  <c r="H1240" i="2"/>
  <c r="G1240" i="2"/>
  <c r="F1240" i="2"/>
  <c r="E1240" i="2"/>
  <c r="D1240" i="2"/>
  <c r="C1240" i="2"/>
  <c r="B1240" i="2"/>
  <c r="A1240" i="2"/>
  <c r="H1239" i="2"/>
  <c r="G1239" i="2"/>
  <c r="F1239" i="2"/>
  <c r="E1239" i="2"/>
  <c r="D1239" i="2"/>
  <c r="C1239" i="2"/>
  <c r="B1239" i="2"/>
  <c r="A1239" i="2"/>
  <c r="H1238" i="2"/>
  <c r="G1238" i="2"/>
  <c r="F1238" i="2"/>
  <c r="E1238" i="2"/>
  <c r="D1238" i="2"/>
  <c r="C1238" i="2"/>
  <c r="B1238" i="2"/>
  <c r="A1238" i="2"/>
  <c r="H1237" i="2"/>
  <c r="G1237" i="2"/>
  <c r="F1237" i="2"/>
  <c r="E1237" i="2"/>
  <c r="D1237" i="2"/>
  <c r="C1237" i="2"/>
  <c r="B1237" i="2"/>
  <c r="A1237" i="2"/>
  <c r="H1236" i="2"/>
  <c r="G1236" i="2"/>
  <c r="F1236" i="2"/>
  <c r="E1236" i="2"/>
  <c r="D1236" i="2"/>
  <c r="C1236" i="2"/>
  <c r="B1236" i="2"/>
  <c r="A1236" i="2"/>
  <c r="H1235" i="2"/>
  <c r="G1235" i="2"/>
  <c r="F1235" i="2"/>
  <c r="E1235" i="2"/>
  <c r="D1235" i="2"/>
  <c r="C1235" i="2"/>
  <c r="B1235" i="2"/>
  <c r="A1235" i="2"/>
  <c r="H1234" i="2"/>
  <c r="G1234" i="2"/>
  <c r="F1234" i="2"/>
  <c r="E1234" i="2"/>
  <c r="D1234" i="2"/>
  <c r="C1234" i="2"/>
  <c r="B1234" i="2"/>
  <c r="A1234" i="2"/>
  <c r="H1233" i="2"/>
  <c r="G1233" i="2"/>
  <c r="F1233" i="2"/>
  <c r="E1233" i="2"/>
  <c r="D1233" i="2"/>
  <c r="C1233" i="2"/>
  <c r="B1233" i="2"/>
  <c r="A1233" i="2"/>
  <c r="H1232" i="2"/>
  <c r="G1232" i="2"/>
  <c r="F1232" i="2"/>
  <c r="E1232" i="2"/>
  <c r="D1232" i="2"/>
  <c r="C1232" i="2"/>
  <c r="B1232" i="2"/>
  <c r="A1232" i="2"/>
  <c r="H1231" i="2"/>
  <c r="G1231" i="2"/>
  <c r="F1231" i="2"/>
  <c r="E1231" i="2"/>
  <c r="D1231" i="2"/>
  <c r="C1231" i="2"/>
  <c r="B1231" i="2"/>
  <c r="A1231" i="2"/>
  <c r="H1230" i="2"/>
  <c r="G1230" i="2"/>
  <c r="F1230" i="2"/>
  <c r="E1230" i="2"/>
  <c r="D1230" i="2"/>
  <c r="C1230" i="2"/>
  <c r="B1230" i="2"/>
  <c r="A1230" i="2"/>
  <c r="H1229" i="2"/>
  <c r="G1229" i="2"/>
  <c r="F1229" i="2"/>
  <c r="E1229" i="2"/>
  <c r="D1229" i="2"/>
  <c r="C1229" i="2"/>
  <c r="B1229" i="2"/>
  <c r="A1229" i="2"/>
  <c r="H1228" i="2"/>
  <c r="G1228" i="2"/>
  <c r="F1228" i="2"/>
  <c r="E1228" i="2"/>
  <c r="D1228" i="2"/>
  <c r="C1228" i="2"/>
  <c r="B1228" i="2"/>
  <c r="A1228" i="2"/>
  <c r="H1227" i="2"/>
  <c r="G1227" i="2"/>
  <c r="F1227" i="2"/>
  <c r="E1227" i="2"/>
  <c r="D1227" i="2"/>
  <c r="C1227" i="2"/>
  <c r="B1227" i="2"/>
  <c r="A1227" i="2"/>
  <c r="H1226" i="2"/>
  <c r="G1226" i="2"/>
  <c r="F1226" i="2"/>
  <c r="E1226" i="2"/>
  <c r="D1226" i="2"/>
  <c r="C1226" i="2"/>
  <c r="B1226" i="2"/>
  <c r="A1226" i="2"/>
  <c r="H1225" i="2"/>
  <c r="G1225" i="2"/>
  <c r="F1225" i="2"/>
  <c r="E1225" i="2"/>
  <c r="D1225" i="2"/>
  <c r="C1225" i="2"/>
  <c r="B1225" i="2"/>
  <c r="A1225" i="2"/>
  <c r="H1224" i="2"/>
  <c r="G1224" i="2"/>
  <c r="F1224" i="2"/>
  <c r="E1224" i="2"/>
  <c r="D1224" i="2"/>
  <c r="C1224" i="2"/>
  <c r="B1224" i="2"/>
  <c r="A1224" i="2"/>
  <c r="H1223" i="2"/>
  <c r="G1223" i="2"/>
  <c r="F1223" i="2"/>
  <c r="E1223" i="2"/>
  <c r="D1223" i="2"/>
  <c r="C1223" i="2"/>
  <c r="B1223" i="2"/>
  <c r="A1223" i="2"/>
  <c r="H1222" i="2"/>
  <c r="G1222" i="2"/>
  <c r="F1222" i="2"/>
  <c r="E1222" i="2"/>
  <c r="D1222" i="2"/>
  <c r="C1222" i="2"/>
  <c r="B1222" i="2"/>
  <c r="A1222" i="2"/>
  <c r="H1221" i="2"/>
  <c r="G1221" i="2"/>
  <c r="F1221" i="2"/>
  <c r="E1221" i="2"/>
  <c r="D1221" i="2"/>
  <c r="C1221" i="2"/>
  <c r="B1221" i="2"/>
  <c r="A1221" i="2"/>
  <c r="H1220" i="2"/>
  <c r="G1220" i="2"/>
  <c r="F1220" i="2"/>
  <c r="E1220" i="2"/>
  <c r="D1220" i="2"/>
  <c r="C1220" i="2"/>
  <c r="B1220" i="2"/>
  <c r="A1220" i="2"/>
  <c r="H1219" i="2"/>
  <c r="G1219" i="2"/>
  <c r="F1219" i="2"/>
  <c r="E1219" i="2"/>
  <c r="D1219" i="2"/>
  <c r="C1219" i="2"/>
  <c r="B1219" i="2"/>
  <c r="A1219" i="2"/>
  <c r="H1218" i="2"/>
  <c r="G1218" i="2"/>
  <c r="F1218" i="2"/>
  <c r="E1218" i="2"/>
  <c r="D1218" i="2"/>
  <c r="C1218" i="2"/>
  <c r="B1218" i="2"/>
  <c r="A1218" i="2"/>
  <c r="H1217" i="2"/>
  <c r="G1217" i="2"/>
  <c r="F1217" i="2"/>
  <c r="E1217" i="2"/>
  <c r="D1217" i="2"/>
  <c r="C1217" i="2"/>
  <c r="B1217" i="2"/>
  <c r="A1217" i="2"/>
  <c r="H1216" i="2"/>
  <c r="G1216" i="2"/>
  <c r="F1216" i="2"/>
  <c r="E1216" i="2"/>
  <c r="D1216" i="2"/>
  <c r="C1216" i="2"/>
  <c r="B1216" i="2"/>
  <c r="A1216" i="2"/>
  <c r="H1215" i="2"/>
  <c r="G1215" i="2"/>
  <c r="F1215" i="2"/>
  <c r="E1215" i="2"/>
  <c r="D1215" i="2"/>
  <c r="C1215" i="2"/>
  <c r="B1215" i="2"/>
  <c r="A1215" i="2"/>
  <c r="H1214" i="2"/>
  <c r="G1214" i="2"/>
  <c r="F1214" i="2"/>
  <c r="E1214" i="2"/>
  <c r="D1214" i="2"/>
  <c r="C1214" i="2"/>
  <c r="B1214" i="2"/>
  <c r="A1214" i="2"/>
  <c r="H1213" i="2"/>
  <c r="G1213" i="2"/>
  <c r="F1213" i="2"/>
  <c r="E1213" i="2"/>
  <c r="D1213" i="2"/>
  <c r="C1213" i="2"/>
  <c r="B1213" i="2"/>
  <c r="A1213" i="2"/>
  <c r="H1212" i="2"/>
  <c r="G1212" i="2"/>
  <c r="F1212" i="2"/>
  <c r="E1212" i="2"/>
  <c r="D1212" i="2"/>
  <c r="C1212" i="2"/>
  <c r="B1212" i="2"/>
  <c r="A1212" i="2"/>
  <c r="H1211" i="2"/>
  <c r="G1211" i="2"/>
  <c r="F1211" i="2"/>
  <c r="E1211" i="2"/>
  <c r="D1211" i="2"/>
  <c r="C1211" i="2"/>
  <c r="B1211" i="2"/>
  <c r="A1211" i="2"/>
  <c r="H1210" i="2"/>
  <c r="G1210" i="2"/>
  <c r="F1210" i="2"/>
  <c r="E1210" i="2"/>
  <c r="D1210" i="2"/>
  <c r="C1210" i="2"/>
  <c r="B1210" i="2"/>
  <c r="A1210" i="2"/>
  <c r="H1209" i="2"/>
  <c r="G1209" i="2"/>
  <c r="F1209" i="2"/>
  <c r="E1209" i="2"/>
  <c r="D1209" i="2"/>
  <c r="C1209" i="2"/>
  <c r="B1209" i="2"/>
  <c r="A1209" i="2"/>
  <c r="H1208" i="2"/>
  <c r="G1208" i="2"/>
  <c r="F1208" i="2"/>
  <c r="E1208" i="2"/>
  <c r="D1208" i="2"/>
  <c r="C1208" i="2"/>
  <c r="B1208" i="2"/>
  <c r="A1208" i="2"/>
  <c r="H1207" i="2"/>
  <c r="G1207" i="2"/>
  <c r="F1207" i="2"/>
  <c r="E1207" i="2"/>
  <c r="D1207" i="2"/>
  <c r="C1207" i="2"/>
  <c r="B1207" i="2"/>
  <c r="A1207" i="2"/>
  <c r="H1206" i="2"/>
  <c r="G1206" i="2"/>
  <c r="F1206" i="2"/>
  <c r="E1206" i="2"/>
  <c r="D1206" i="2"/>
  <c r="C1206" i="2"/>
  <c r="B1206" i="2"/>
  <c r="A1206" i="2"/>
  <c r="H1205" i="2"/>
  <c r="G1205" i="2"/>
  <c r="F1205" i="2"/>
  <c r="E1205" i="2"/>
  <c r="D1205" i="2"/>
  <c r="C1205" i="2"/>
  <c r="B1205" i="2"/>
  <c r="A1205" i="2"/>
  <c r="H1204" i="2"/>
  <c r="G1204" i="2"/>
  <c r="F1204" i="2"/>
  <c r="E1204" i="2"/>
  <c r="D1204" i="2"/>
  <c r="C1204" i="2"/>
  <c r="B1204" i="2"/>
  <c r="A1204" i="2"/>
  <c r="H1203" i="2"/>
  <c r="G1203" i="2"/>
  <c r="F1203" i="2"/>
  <c r="E1203" i="2"/>
  <c r="D1203" i="2"/>
  <c r="C1203" i="2"/>
  <c r="B1203" i="2"/>
  <c r="A1203" i="2"/>
  <c r="H1202" i="2"/>
  <c r="G1202" i="2"/>
  <c r="F1202" i="2"/>
  <c r="E1202" i="2"/>
  <c r="D1202" i="2"/>
  <c r="C1202" i="2"/>
  <c r="B1202" i="2"/>
  <c r="A1202" i="2"/>
  <c r="H1201" i="2"/>
  <c r="G1201" i="2"/>
  <c r="F1201" i="2"/>
  <c r="E1201" i="2"/>
  <c r="D1201" i="2"/>
  <c r="C1201" i="2"/>
  <c r="B1201" i="2"/>
  <c r="A1201" i="2"/>
  <c r="H1200" i="2"/>
  <c r="G1200" i="2"/>
  <c r="F1200" i="2"/>
  <c r="E1200" i="2"/>
  <c r="D1200" i="2"/>
  <c r="C1200" i="2"/>
  <c r="B1200" i="2"/>
  <c r="A1200" i="2"/>
  <c r="H1199" i="2"/>
  <c r="G1199" i="2"/>
  <c r="F1199" i="2"/>
  <c r="E1199" i="2"/>
  <c r="D1199" i="2"/>
  <c r="C1199" i="2"/>
  <c r="B1199" i="2"/>
  <c r="A1199" i="2"/>
  <c r="H1198" i="2"/>
  <c r="G1198" i="2"/>
  <c r="F1198" i="2"/>
  <c r="E1198" i="2"/>
  <c r="D1198" i="2"/>
  <c r="C1198" i="2"/>
  <c r="B1198" i="2"/>
  <c r="A1198" i="2"/>
  <c r="H1197" i="2"/>
  <c r="G1197" i="2"/>
  <c r="F1197" i="2"/>
  <c r="E1197" i="2"/>
  <c r="D1197" i="2"/>
  <c r="C1197" i="2"/>
  <c r="B1197" i="2"/>
  <c r="A1197" i="2"/>
  <c r="H1196" i="2"/>
  <c r="G1196" i="2"/>
  <c r="F1196" i="2"/>
  <c r="E1196" i="2"/>
  <c r="D1196" i="2"/>
  <c r="C1196" i="2"/>
  <c r="B1196" i="2"/>
  <c r="A1196" i="2"/>
  <c r="H1195" i="2"/>
  <c r="G1195" i="2"/>
  <c r="F1195" i="2"/>
  <c r="E1195" i="2"/>
  <c r="D1195" i="2"/>
  <c r="C1195" i="2"/>
  <c r="B1195" i="2"/>
  <c r="A1195" i="2"/>
  <c r="H1194" i="2"/>
  <c r="G1194" i="2"/>
  <c r="F1194" i="2"/>
  <c r="E1194" i="2"/>
  <c r="D1194" i="2"/>
  <c r="C1194" i="2"/>
  <c r="B1194" i="2"/>
  <c r="A1194" i="2"/>
  <c r="H1193" i="2"/>
  <c r="G1193" i="2"/>
  <c r="F1193" i="2"/>
  <c r="E1193" i="2"/>
  <c r="D1193" i="2"/>
  <c r="C1193" i="2"/>
  <c r="B1193" i="2"/>
  <c r="A1193" i="2"/>
  <c r="H1192" i="2"/>
  <c r="G1192" i="2"/>
  <c r="F1192" i="2"/>
  <c r="E1192" i="2"/>
  <c r="D1192" i="2"/>
  <c r="C1192" i="2"/>
  <c r="B1192" i="2"/>
  <c r="A1192" i="2"/>
  <c r="H1191" i="2"/>
  <c r="G1191" i="2"/>
  <c r="F1191" i="2"/>
  <c r="E1191" i="2"/>
  <c r="D1191" i="2"/>
  <c r="C1191" i="2"/>
  <c r="B1191" i="2"/>
  <c r="A1191" i="2"/>
  <c r="H1190" i="2"/>
  <c r="G1190" i="2"/>
  <c r="F1190" i="2"/>
  <c r="E1190" i="2"/>
  <c r="D1190" i="2"/>
  <c r="C1190" i="2"/>
  <c r="B1190" i="2"/>
  <c r="A1190" i="2"/>
  <c r="H1189" i="2"/>
  <c r="G1189" i="2"/>
  <c r="F1189" i="2"/>
  <c r="E1189" i="2"/>
  <c r="D1189" i="2"/>
  <c r="C1189" i="2"/>
  <c r="B1189" i="2"/>
  <c r="A1189" i="2"/>
  <c r="H1188" i="2"/>
  <c r="G1188" i="2"/>
  <c r="F1188" i="2"/>
  <c r="E1188" i="2"/>
  <c r="D1188" i="2"/>
  <c r="C1188" i="2"/>
  <c r="B1188" i="2"/>
  <c r="A1188" i="2"/>
  <c r="H1187" i="2"/>
  <c r="G1187" i="2"/>
  <c r="F1187" i="2"/>
  <c r="E1187" i="2"/>
  <c r="D1187" i="2"/>
  <c r="C1187" i="2"/>
  <c r="B1187" i="2"/>
  <c r="A1187" i="2"/>
  <c r="H1186" i="2"/>
  <c r="G1186" i="2"/>
  <c r="F1186" i="2"/>
  <c r="E1186" i="2"/>
  <c r="D1186" i="2"/>
  <c r="C1186" i="2"/>
  <c r="B1186" i="2"/>
  <c r="A1186" i="2"/>
  <c r="H1185" i="2"/>
  <c r="G1185" i="2"/>
  <c r="F1185" i="2"/>
  <c r="E1185" i="2"/>
  <c r="D1185" i="2"/>
  <c r="C1185" i="2"/>
  <c r="B1185" i="2"/>
  <c r="A1185" i="2"/>
  <c r="H1184" i="2"/>
  <c r="G1184" i="2"/>
  <c r="F1184" i="2"/>
  <c r="E1184" i="2"/>
  <c r="D1184" i="2"/>
  <c r="C1184" i="2"/>
  <c r="B1184" i="2"/>
  <c r="A1184" i="2"/>
  <c r="H1183" i="2"/>
  <c r="G1183" i="2"/>
  <c r="F1183" i="2"/>
  <c r="E1183" i="2"/>
  <c r="D1183" i="2"/>
  <c r="C1183" i="2"/>
  <c r="B1183" i="2"/>
  <c r="A1183" i="2"/>
  <c r="H1182" i="2"/>
  <c r="G1182" i="2"/>
  <c r="F1182" i="2"/>
  <c r="E1182" i="2"/>
  <c r="D1182" i="2"/>
  <c r="C1182" i="2"/>
  <c r="B1182" i="2"/>
  <c r="A1182" i="2"/>
  <c r="H1181" i="2"/>
  <c r="G1181" i="2"/>
  <c r="F1181" i="2"/>
  <c r="E1181" i="2"/>
  <c r="D1181" i="2"/>
  <c r="C1181" i="2"/>
  <c r="B1181" i="2"/>
  <c r="A1181" i="2"/>
  <c r="H1180" i="2"/>
  <c r="G1180" i="2"/>
  <c r="F1180" i="2"/>
  <c r="E1180" i="2"/>
  <c r="D1180" i="2"/>
  <c r="C1180" i="2"/>
  <c r="B1180" i="2"/>
  <c r="A1180" i="2"/>
  <c r="H1179" i="2"/>
  <c r="G1179" i="2"/>
  <c r="F1179" i="2"/>
  <c r="E1179" i="2"/>
  <c r="D1179" i="2"/>
  <c r="C1179" i="2"/>
  <c r="B1179" i="2"/>
  <c r="A1179" i="2"/>
  <c r="H1178" i="2"/>
  <c r="G1178" i="2"/>
  <c r="F1178" i="2"/>
  <c r="E1178" i="2"/>
  <c r="D1178" i="2"/>
  <c r="C1178" i="2"/>
  <c r="B1178" i="2"/>
  <c r="A1178" i="2"/>
  <c r="H1177" i="2"/>
  <c r="G1177" i="2"/>
  <c r="F1177" i="2"/>
  <c r="E1177" i="2"/>
  <c r="D1177" i="2"/>
  <c r="C1177" i="2"/>
  <c r="B1177" i="2"/>
  <c r="A1177" i="2"/>
  <c r="H1176" i="2"/>
  <c r="G1176" i="2"/>
  <c r="F1176" i="2"/>
  <c r="E1176" i="2"/>
  <c r="D1176" i="2"/>
  <c r="C1176" i="2"/>
  <c r="B1176" i="2"/>
  <c r="A1176" i="2"/>
  <c r="H1175" i="2"/>
  <c r="G1175" i="2"/>
  <c r="F1175" i="2"/>
  <c r="E1175" i="2"/>
  <c r="D1175" i="2"/>
  <c r="C1175" i="2"/>
  <c r="B1175" i="2"/>
  <c r="A1175" i="2"/>
  <c r="H1174" i="2"/>
  <c r="G1174" i="2"/>
  <c r="F1174" i="2"/>
  <c r="E1174" i="2"/>
  <c r="D1174" i="2"/>
  <c r="C1174" i="2"/>
  <c r="B1174" i="2"/>
  <c r="A1174" i="2"/>
  <c r="H1173" i="2"/>
  <c r="G1173" i="2"/>
  <c r="F1173" i="2"/>
  <c r="E1173" i="2"/>
  <c r="D1173" i="2"/>
  <c r="C1173" i="2"/>
  <c r="B1173" i="2"/>
  <c r="A1173" i="2"/>
  <c r="H1172" i="2"/>
  <c r="G1172" i="2"/>
  <c r="F1172" i="2"/>
  <c r="E1172" i="2"/>
  <c r="D1172" i="2"/>
  <c r="C1172" i="2"/>
  <c r="B1172" i="2"/>
  <c r="A1172" i="2"/>
  <c r="H1171" i="2"/>
  <c r="G1171" i="2"/>
  <c r="F1171" i="2"/>
  <c r="E1171" i="2"/>
  <c r="D1171" i="2"/>
  <c r="C1171" i="2"/>
  <c r="B1171" i="2"/>
  <c r="A1171" i="2"/>
  <c r="H1170" i="2"/>
  <c r="G1170" i="2"/>
  <c r="F1170" i="2"/>
  <c r="E1170" i="2"/>
  <c r="D1170" i="2"/>
  <c r="C1170" i="2"/>
  <c r="B1170" i="2"/>
  <c r="A1170" i="2"/>
  <c r="H1169" i="2"/>
  <c r="G1169" i="2"/>
  <c r="F1169" i="2"/>
  <c r="E1169" i="2"/>
  <c r="D1169" i="2"/>
  <c r="C1169" i="2"/>
  <c r="B1169" i="2"/>
  <c r="A1169" i="2"/>
  <c r="H1168" i="2"/>
  <c r="G1168" i="2"/>
  <c r="F1168" i="2"/>
  <c r="E1168" i="2"/>
  <c r="D1168" i="2"/>
  <c r="C1168" i="2"/>
  <c r="B1168" i="2"/>
  <c r="A1168" i="2"/>
  <c r="H1167" i="2"/>
  <c r="G1167" i="2"/>
  <c r="F1167" i="2"/>
  <c r="E1167" i="2"/>
  <c r="D1167" i="2"/>
  <c r="C1167" i="2"/>
  <c r="B1167" i="2"/>
  <c r="A1167" i="2"/>
  <c r="H1166" i="2"/>
  <c r="G1166" i="2"/>
  <c r="F1166" i="2"/>
  <c r="E1166" i="2"/>
  <c r="D1166" i="2"/>
  <c r="C1166" i="2"/>
  <c r="B1166" i="2"/>
  <c r="A1166" i="2"/>
  <c r="H1165" i="2"/>
  <c r="G1165" i="2"/>
  <c r="F1165" i="2"/>
  <c r="E1165" i="2"/>
  <c r="D1165" i="2"/>
  <c r="C1165" i="2"/>
  <c r="B1165" i="2"/>
  <c r="A1165" i="2"/>
  <c r="H1164" i="2"/>
  <c r="G1164" i="2"/>
  <c r="F1164" i="2"/>
  <c r="E1164" i="2"/>
  <c r="D1164" i="2"/>
  <c r="C1164" i="2"/>
  <c r="B1164" i="2"/>
  <c r="A1164" i="2"/>
  <c r="H1163" i="2"/>
  <c r="G1163" i="2"/>
  <c r="F1163" i="2"/>
  <c r="E1163" i="2"/>
  <c r="D1163" i="2"/>
  <c r="C1163" i="2"/>
  <c r="B1163" i="2"/>
  <c r="A1163" i="2"/>
  <c r="H1162" i="2"/>
  <c r="G1162" i="2"/>
  <c r="F1162" i="2"/>
  <c r="E1162" i="2"/>
  <c r="D1162" i="2"/>
  <c r="C1162" i="2"/>
  <c r="B1162" i="2"/>
  <c r="A1162" i="2"/>
  <c r="H1161" i="2"/>
  <c r="G1161" i="2"/>
  <c r="F1161" i="2"/>
  <c r="E1161" i="2"/>
  <c r="D1161" i="2"/>
  <c r="C1161" i="2"/>
  <c r="B1161" i="2"/>
  <c r="A1161" i="2"/>
  <c r="H1160" i="2"/>
  <c r="G1160" i="2"/>
  <c r="F1160" i="2"/>
  <c r="E1160" i="2"/>
  <c r="D1160" i="2"/>
  <c r="C1160" i="2"/>
  <c r="B1160" i="2"/>
  <c r="A1160" i="2"/>
  <c r="H1159" i="2"/>
  <c r="G1159" i="2"/>
  <c r="F1159" i="2"/>
  <c r="E1159" i="2"/>
  <c r="D1159" i="2"/>
  <c r="C1159" i="2"/>
  <c r="B1159" i="2"/>
  <c r="A1159" i="2"/>
  <c r="H1158" i="2"/>
  <c r="G1158" i="2"/>
  <c r="F1158" i="2"/>
  <c r="E1158" i="2"/>
  <c r="D1158" i="2"/>
  <c r="C1158" i="2"/>
  <c r="B1158" i="2"/>
  <c r="A1158" i="2"/>
  <c r="H1157" i="2"/>
  <c r="G1157" i="2"/>
  <c r="F1157" i="2"/>
  <c r="E1157" i="2"/>
  <c r="D1157" i="2"/>
  <c r="C1157" i="2"/>
  <c r="B1157" i="2"/>
  <c r="A1157" i="2"/>
  <c r="H1156" i="2"/>
  <c r="G1156" i="2"/>
  <c r="F1156" i="2"/>
  <c r="E1156" i="2"/>
  <c r="D1156" i="2"/>
  <c r="C1156" i="2"/>
  <c r="B1156" i="2"/>
  <c r="A1156" i="2"/>
  <c r="H1155" i="2"/>
  <c r="G1155" i="2"/>
  <c r="F1155" i="2"/>
  <c r="E1155" i="2"/>
  <c r="D1155" i="2"/>
  <c r="C1155" i="2"/>
  <c r="B1155" i="2"/>
  <c r="A1155" i="2"/>
  <c r="H1154" i="2"/>
  <c r="G1154" i="2"/>
  <c r="F1154" i="2"/>
  <c r="E1154" i="2"/>
  <c r="D1154" i="2"/>
  <c r="C1154" i="2"/>
  <c r="B1154" i="2"/>
  <c r="A1154" i="2"/>
  <c r="H1153" i="2"/>
  <c r="G1153" i="2"/>
  <c r="F1153" i="2"/>
  <c r="E1153" i="2"/>
  <c r="D1153" i="2"/>
  <c r="C1153" i="2"/>
  <c r="B1153" i="2"/>
  <c r="A1153" i="2"/>
  <c r="H1152" i="2"/>
  <c r="G1152" i="2"/>
  <c r="F1152" i="2"/>
  <c r="E1152" i="2"/>
  <c r="D1152" i="2"/>
  <c r="C1152" i="2"/>
  <c r="B1152" i="2"/>
  <c r="A1152" i="2"/>
  <c r="H1151" i="2"/>
  <c r="G1151" i="2"/>
  <c r="F1151" i="2"/>
  <c r="E1151" i="2"/>
  <c r="D1151" i="2"/>
  <c r="C1151" i="2"/>
  <c r="B1151" i="2"/>
  <c r="A1151" i="2"/>
  <c r="H1150" i="2"/>
  <c r="G1150" i="2"/>
  <c r="F1150" i="2"/>
  <c r="E1150" i="2"/>
  <c r="D1150" i="2"/>
  <c r="C1150" i="2"/>
  <c r="B1150" i="2"/>
  <c r="A1150" i="2"/>
  <c r="H1149" i="2"/>
  <c r="G1149" i="2"/>
  <c r="F1149" i="2"/>
  <c r="E1149" i="2"/>
  <c r="D1149" i="2"/>
  <c r="C1149" i="2"/>
  <c r="B1149" i="2"/>
  <c r="A1149" i="2"/>
  <c r="H1148" i="2"/>
  <c r="G1148" i="2"/>
  <c r="F1148" i="2"/>
  <c r="E1148" i="2"/>
  <c r="D1148" i="2"/>
  <c r="C1148" i="2"/>
  <c r="B1148" i="2"/>
  <c r="A1148" i="2"/>
  <c r="H1147" i="2"/>
  <c r="G1147" i="2"/>
  <c r="F1147" i="2"/>
  <c r="E1147" i="2"/>
  <c r="D1147" i="2"/>
  <c r="C1147" i="2"/>
  <c r="B1147" i="2"/>
  <c r="A1147" i="2"/>
  <c r="H1146" i="2"/>
  <c r="G1146" i="2"/>
  <c r="F1146" i="2"/>
  <c r="E1146" i="2"/>
  <c r="D1146" i="2"/>
  <c r="C1146" i="2"/>
  <c r="B1146" i="2"/>
  <c r="A1146" i="2"/>
  <c r="H1145" i="2"/>
  <c r="G1145" i="2"/>
  <c r="F1145" i="2"/>
  <c r="E1145" i="2"/>
  <c r="D1145" i="2"/>
  <c r="C1145" i="2"/>
  <c r="B1145" i="2"/>
  <c r="A1145" i="2"/>
  <c r="H1144" i="2"/>
  <c r="G1144" i="2"/>
  <c r="F1144" i="2"/>
  <c r="E1144" i="2"/>
  <c r="D1144" i="2"/>
  <c r="C1144" i="2"/>
  <c r="B1144" i="2"/>
  <c r="A1144" i="2"/>
  <c r="H1143" i="2"/>
  <c r="G1143" i="2"/>
  <c r="F1143" i="2"/>
  <c r="E1143" i="2"/>
  <c r="D1143" i="2"/>
  <c r="C1143" i="2"/>
  <c r="B1143" i="2"/>
  <c r="A1143" i="2"/>
  <c r="H1142" i="2"/>
  <c r="G1142" i="2"/>
  <c r="F1142" i="2"/>
  <c r="E1142" i="2"/>
  <c r="D1142" i="2"/>
  <c r="C1142" i="2"/>
  <c r="B1142" i="2"/>
  <c r="A1142" i="2"/>
  <c r="H1141" i="2"/>
  <c r="G1141" i="2"/>
  <c r="F1141" i="2"/>
  <c r="E1141" i="2"/>
  <c r="D1141" i="2"/>
  <c r="C1141" i="2"/>
  <c r="B1141" i="2"/>
  <c r="A1141" i="2"/>
  <c r="H1140" i="2"/>
  <c r="G1140" i="2"/>
  <c r="F1140" i="2"/>
  <c r="E1140" i="2"/>
  <c r="D1140" i="2"/>
  <c r="C1140" i="2"/>
  <c r="B1140" i="2"/>
  <c r="A1140" i="2"/>
  <c r="H1139" i="2"/>
  <c r="G1139" i="2"/>
  <c r="F1139" i="2"/>
  <c r="E1139" i="2"/>
  <c r="D1139" i="2"/>
  <c r="C1139" i="2"/>
  <c r="B1139" i="2"/>
  <c r="A1139" i="2"/>
  <c r="H1138" i="2"/>
  <c r="G1138" i="2"/>
  <c r="F1138" i="2"/>
  <c r="E1138" i="2"/>
  <c r="D1138" i="2"/>
  <c r="C1138" i="2"/>
  <c r="B1138" i="2"/>
  <c r="A1138" i="2"/>
  <c r="H1137" i="2"/>
  <c r="G1137" i="2"/>
  <c r="F1137" i="2"/>
  <c r="E1137" i="2"/>
  <c r="D1137" i="2"/>
  <c r="C1137" i="2"/>
  <c r="B1137" i="2"/>
  <c r="A1137" i="2"/>
  <c r="H1136" i="2"/>
  <c r="G1136" i="2"/>
  <c r="F1136" i="2"/>
  <c r="E1136" i="2"/>
  <c r="D1136" i="2"/>
  <c r="C1136" i="2"/>
  <c r="B1136" i="2"/>
  <c r="A1136" i="2"/>
  <c r="H1135" i="2"/>
  <c r="G1135" i="2"/>
  <c r="F1135" i="2"/>
  <c r="E1135" i="2"/>
  <c r="D1135" i="2"/>
  <c r="C1135" i="2"/>
  <c r="B1135" i="2"/>
  <c r="A1135" i="2"/>
  <c r="H1134" i="2"/>
  <c r="G1134" i="2"/>
  <c r="F1134" i="2"/>
  <c r="E1134" i="2"/>
  <c r="D1134" i="2"/>
  <c r="C1134" i="2"/>
  <c r="B1134" i="2"/>
  <c r="A1134" i="2"/>
  <c r="H1133" i="2"/>
  <c r="G1133" i="2"/>
  <c r="F1133" i="2"/>
  <c r="E1133" i="2"/>
  <c r="D1133" i="2"/>
  <c r="C1133" i="2"/>
  <c r="B1133" i="2"/>
  <c r="A1133" i="2"/>
  <c r="H1132" i="2"/>
  <c r="G1132" i="2"/>
  <c r="F1132" i="2"/>
  <c r="E1132" i="2"/>
  <c r="D1132" i="2"/>
  <c r="C1132" i="2"/>
  <c r="B1132" i="2"/>
  <c r="A1132" i="2"/>
  <c r="H1131" i="2"/>
  <c r="G1131" i="2"/>
  <c r="F1131" i="2"/>
  <c r="E1131" i="2"/>
  <c r="D1131" i="2"/>
  <c r="C1131" i="2"/>
  <c r="B1131" i="2"/>
  <c r="A1131" i="2"/>
  <c r="H1130" i="2"/>
  <c r="G1130" i="2"/>
  <c r="F1130" i="2"/>
  <c r="E1130" i="2"/>
  <c r="D1130" i="2"/>
  <c r="C1130" i="2"/>
  <c r="B1130" i="2"/>
  <c r="A1130" i="2"/>
  <c r="H1129" i="2"/>
  <c r="G1129" i="2"/>
  <c r="F1129" i="2"/>
  <c r="E1129" i="2"/>
  <c r="D1129" i="2"/>
  <c r="C1129" i="2"/>
  <c r="B1129" i="2"/>
  <c r="A1129" i="2"/>
  <c r="H1128" i="2"/>
  <c r="G1128" i="2"/>
  <c r="F1128" i="2"/>
  <c r="E1128" i="2"/>
  <c r="D1128" i="2"/>
  <c r="C1128" i="2"/>
  <c r="B1128" i="2"/>
  <c r="A1128" i="2"/>
  <c r="H1127" i="2"/>
  <c r="G1127" i="2"/>
  <c r="F1127" i="2"/>
  <c r="E1127" i="2"/>
  <c r="D1127" i="2"/>
  <c r="C1127" i="2"/>
  <c r="B1127" i="2"/>
  <c r="A1127" i="2"/>
  <c r="H1126" i="2"/>
  <c r="G1126" i="2"/>
  <c r="F1126" i="2"/>
  <c r="E1126" i="2"/>
  <c r="D1126" i="2"/>
  <c r="C1126" i="2"/>
  <c r="B1126" i="2"/>
  <c r="A1126" i="2"/>
  <c r="H1125" i="2"/>
  <c r="G1125" i="2"/>
  <c r="F1125" i="2"/>
  <c r="E1125" i="2"/>
  <c r="D1125" i="2"/>
  <c r="C1125" i="2"/>
  <c r="B1125" i="2"/>
  <c r="A1125" i="2"/>
  <c r="H1124" i="2"/>
  <c r="G1124" i="2"/>
  <c r="F1124" i="2"/>
  <c r="E1124" i="2"/>
  <c r="D1124" i="2"/>
  <c r="C1124" i="2"/>
  <c r="B1124" i="2"/>
  <c r="A1124" i="2"/>
  <c r="H1123" i="2"/>
  <c r="G1123" i="2"/>
  <c r="F1123" i="2"/>
  <c r="E1123" i="2"/>
  <c r="D1123" i="2"/>
  <c r="C1123" i="2"/>
  <c r="B1123" i="2"/>
  <c r="A1123" i="2"/>
  <c r="H1122" i="2"/>
  <c r="G1122" i="2"/>
  <c r="F1122" i="2"/>
  <c r="E1122" i="2"/>
  <c r="D1122" i="2"/>
  <c r="C1122" i="2"/>
  <c r="B1122" i="2"/>
  <c r="A1122" i="2"/>
  <c r="H1121" i="2"/>
  <c r="G1121" i="2"/>
  <c r="F1121" i="2"/>
  <c r="E1121" i="2"/>
  <c r="D1121" i="2"/>
  <c r="C1121" i="2"/>
  <c r="B1121" i="2"/>
  <c r="A1121" i="2"/>
  <c r="H1120" i="2"/>
  <c r="G1120" i="2"/>
  <c r="F1120" i="2"/>
  <c r="E1120" i="2"/>
  <c r="D1120" i="2"/>
  <c r="C1120" i="2"/>
  <c r="B1120" i="2"/>
  <c r="A1120" i="2"/>
  <c r="H1119" i="2"/>
  <c r="G1119" i="2"/>
  <c r="F1119" i="2"/>
  <c r="E1119" i="2"/>
  <c r="D1119" i="2"/>
  <c r="C1119" i="2"/>
  <c r="B1119" i="2"/>
  <c r="A1119" i="2"/>
  <c r="H1118" i="2"/>
  <c r="G1118" i="2"/>
  <c r="F1118" i="2"/>
  <c r="E1118" i="2"/>
  <c r="D1118" i="2"/>
  <c r="C1118" i="2"/>
  <c r="B1118" i="2"/>
  <c r="A1118" i="2"/>
  <c r="H1117" i="2"/>
  <c r="G1117" i="2"/>
  <c r="F1117" i="2"/>
  <c r="E1117" i="2"/>
  <c r="D1117" i="2"/>
  <c r="C1117" i="2"/>
  <c r="B1117" i="2"/>
  <c r="A1117" i="2"/>
  <c r="H1116" i="2"/>
  <c r="G1116" i="2"/>
  <c r="F1116" i="2"/>
  <c r="E1116" i="2"/>
  <c r="D1116" i="2"/>
  <c r="C1116" i="2"/>
  <c r="B1116" i="2"/>
  <c r="A1116" i="2"/>
  <c r="H1115" i="2"/>
  <c r="G1115" i="2"/>
  <c r="F1115" i="2"/>
  <c r="E1115" i="2"/>
  <c r="D1115" i="2"/>
  <c r="C1115" i="2"/>
  <c r="B1115" i="2"/>
  <c r="A1115" i="2"/>
  <c r="H1114" i="2"/>
  <c r="G1114" i="2"/>
  <c r="F1114" i="2"/>
  <c r="E1114" i="2"/>
  <c r="D1114" i="2"/>
  <c r="C1114" i="2"/>
  <c r="B1114" i="2"/>
  <c r="A1114" i="2"/>
  <c r="H1113" i="2"/>
  <c r="G1113" i="2"/>
  <c r="F1113" i="2"/>
  <c r="E1113" i="2"/>
  <c r="D1113" i="2"/>
  <c r="C1113" i="2"/>
  <c r="B1113" i="2"/>
  <c r="A1113" i="2"/>
  <c r="H1112" i="2"/>
  <c r="G1112" i="2"/>
  <c r="F1112" i="2"/>
  <c r="E1112" i="2"/>
  <c r="D1112" i="2"/>
  <c r="C1112" i="2"/>
  <c r="B1112" i="2"/>
  <c r="A1112" i="2"/>
  <c r="H1111" i="2"/>
  <c r="G1111" i="2"/>
  <c r="F1111" i="2"/>
  <c r="E1111" i="2"/>
  <c r="D1111" i="2"/>
  <c r="C1111" i="2"/>
  <c r="B1111" i="2"/>
  <c r="A1111" i="2"/>
  <c r="H1110" i="2"/>
  <c r="G1110" i="2"/>
  <c r="F1110" i="2"/>
  <c r="E1110" i="2"/>
  <c r="D1110" i="2"/>
  <c r="C1110" i="2"/>
  <c r="B1110" i="2"/>
  <c r="A1110" i="2"/>
  <c r="H1109" i="2"/>
  <c r="G1109" i="2"/>
  <c r="F1109" i="2"/>
  <c r="E1109" i="2"/>
  <c r="D1109" i="2"/>
  <c r="C1109" i="2"/>
  <c r="B1109" i="2"/>
  <c r="A1109" i="2"/>
  <c r="H1108" i="2"/>
  <c r="G1108" i="2"/>
  <c r="F1108" i="2"/>
  <c r="E1108" i="2"/>
  <c r="D1108" i="2"/>
  <c r="C1108" i="2"/>
  <c r="B1108" i="2"/>
  <c r="A1108" i="2"/>
  <c r="H1107" i="2"/>
  <c r="G1107" i="2"/>
  <c r="F1107" i="2"/>
  <c r="E1107" i="2"/>
  <c r="D1107" i="2"/>
  <c r="C1107" i="2"/>
  <c r="B1107" i="2"/>
  <c r="A1107" i="2"/>
  <c r="H1106" i="2"/>
  <c r="G1106" i="2"/>
  <c r="F1106" i="2"/>
  <c r="E1106" i="2"/>
  <c r="D1106" i="2"/>
  <c r="C1106" i="2"/>
  <c r="B1106" i="2"/>
  <c r="A1106" i="2"/>
  <c r="H1105" i="2"/>
  <c r="G1105" i="2"/>
  <c r="F1105" i="2"/>
  <c r="E1105" i="2"/>
  <c r="D1105" i="2"/>
  <c r="C1105" i="2"/>
  <c r="B1105" i="2"/>
  <c r="A1105" i="2"/>
  <c r="H1104" i="2"/>
  <c r="G1104" i="2"/>
  <c r="F1104" i="2"/>
  <c r="E1104" i="2"/>
  <c r="D1104" i="2"/>
  <c r="C1104" i="2"/>
  <c r="B1104" i="2"/>
  <c r="A1104" i="2"/>
  <c r="H1103" i="2"/>
  <c r="G1103" i="2"/>
  <c r="F1103" i="2"/>
  <c r="E1103" i="2"/>
  <c r="D1103" i="2"/>
  <c r="C1103" i="2"/>
  <c r="B1103" i="2"/>
  <c r="A1103" i="2"/>
  <c r="H1102" i="2"/>
  <c r="G1102" i="2"/>
  <c r="F1102" i="2"/>
  <c r="E1102" i="2"/>
  <c r="D1102" i="2"/>
  <c r="C1102" i="2"/>
  <c r="B1102" i="2"/>
  <c r="A1102" i="2"/>
  <c r="H1101" i="2"/>
  <c r="G1101" i="2"/>
  <c r="F1101" i="2"/>
  <c r="E1101" i="2"/>
  <c r="D1101" i="2"/>
  <c r="C1101" i="2"/>
  <c r="B1101" i="2"/>
  <c r="A1101" i="2"/>
  <c r="H1100" i="2"/>
  <c r="G1100" i="2"/>
  <c r="F1100" i="2"/>
  <c r="E1100" i="2"/>
  <c r="D1100" i="2"/>
  <c r="C1100" i="2"/>
  <c r="B1100" i="2"/>
  <c r="A1100" i="2"/>
  <c r="H1099" i="2"/>
  <c r="G1099" i="2"/>
  <c r="F1099" i="2"/>
  <c r="E1099" i="2"/>
  <c r="D1099" i="2"/>
  <c r="C1099" i="2"/>
  <c r="B1099" i="2"/>
  <c r="A1099" i="2"/>
  <c r="H1098" i="2"/>
  <c r="G1098" i="2"/>
  <c r="F1098" i="2"/>
  <c r="E1098" i="2"/>
  <c r="D1098" i="2"/>
  <c r="C1098" i="2"/>
  <c r="B1098" i="2"/>
  <c r="A1098" i="2"/>
  <c r="H1097" i="2"/>
  <c r="G1097" i="2"/>
  <c r="F1097" i="2"/>
  <c r="E1097" i="2"/>
  <c r="D1097" i="2"/>
  <c r="C1097" i="2"/>
  <c r="B1097" i="2"/>
  <c r="A1097" i="2"/>
  <c r="H1096" i="2"/>
  <c r="G1096" i="2"/>
  <c r="F1096" i="2"/>
  <c r="E1096" i="2"/>
  <c r="D1096" i="2"/>
  <c r="C1096" i="2"/>
  <c r="B1096" i="2"/>
  <c r="A1096" i="2"/>
  <c r="H1095" i="2"/>
  <c r="G1095" i="2"/>
  <c r="F1095" i="2"/>
  <c r="E1095" i="2"/>
  <c r="D1095" i="2"/>
  <c r="C1095" i="2"/>
  <c r="B1095" i="2"/>
  <c r="A1095" i="2"/>
  <c r="H1094" i="2"/>
  <c r="G1094" i="2"/>
  <c r="F1094" i="2"/>
  <c r="E1094" i="2"/>
  <c r="D1094" i="2"/>
  <c r="C1094" i="2"/>
  <c r="B1094" i="2"/>
  <c r="A1094" i="2"/>
  <c r="H1093" i="2"/>
  <c r="G1093" i="2"/>
  <c r="F1093" i="2"/>
  <c r="E1093" i="2"/>
  <c r="D1093" i="2"/>
  <c r="C1093" i="2"/>
  <c r="B1093" i="2"/>
  <c r="A1093" i="2"/>
  <c r="H1092" i="2"/>
  <c r="G1092" i="2"/>
  <c r="F1092" i="2"/>
  <c r="E1092" i="2"/>
  <c r="D1092" i="2"/>
  <c r="C1092" i="2"/>
  <c r="B1092" i="2"/>
  <c r="A1092" i="2"/>
  <c r="H1091" i="2"/>
  <c r="G1091" i="2"/>
  <c r="F1091" i="2"/>
  <c r="E1091" i="2"/>
  <c r="D1091" i="2"/>
  <c r="C1091" i="2"/>
  <c r="B1091" i="2"/>
  <c r="A1091" i="2"/>
  <c r="H1090" i="2"/>
  <c r="G1090" i="2"/>
  <c r="F1090" i="2"/>
  <c r="E1090" i="2"/>
  <c r="D1090" i="2"/>
  <c r="C1090" i="2"/>
  <c r="B1090" i="2"/>
  <c r="A1090" i="2"/>
  <c r="H1089" i="2"/>
  <c r="G1089" i="2"/>
  <c r="F1089" i="2"/>
  <c r="E1089" i="2"/>
  <c r="D1089" i="2"/>
  <c r="C1089" i="2"/>
  <c r="B1089" i="2"/>
  <c r="A1089" i="2"/>
  <c r="H1088" i="2"/>
  <c r="G1088" i="2"/>
  <c r="F1088" i="2"/>
  <c r="E1088" i="2"/>
  <c r="D1088" i="2"/>
  <c r="C1088" i="2"/>
  <c r="B1088" i="2"/>
  <c r="A1088" i="2"/>
  <c r="H1087" i="2"/>
  <c r="G1087" i="2"/>
  <c r="F1087" i="2"/>
  <c r="E1087" i="2"/>
  <c r="D1087" i="2"/>
  <c r="C1087" i="2"/>
  <c r="B1087" i="2"/>
  <c r="A1087" i="2"/>
  <c r="H1086" i="2"/>
  <c r="G1086" i="2"/>
  <c r="F1086" i="2"/>
  <c r="E1086" i="2"/>
  <c r="D1086" i="2"/>
  <c r="C1086" i="2"/>
  <c r="B1086" i="2"/>
  <c r="A1086" i="2"/>
  <c r="H1085" i="2"/>
  <c r="G1085" i="2"/>
  <c r="F1085" i="2"/>
  <c r="E1085" i="2"/>
  <c r="D1085" i="2"/>
  <c r="C1085" i="2"/>
  <c r="B1085" i="2"/>
  <c r="A1085" i="2"/>
  <c r="H1084" i="2"/>
  <c r="G1084" i="2"/>
  <c r="F1084" i="2"/>
  <c r="E1084" i="2"/>
  <c r="D1084" i="2"/>
  <c r="C1084" i="2"/>
  <c r="B1084" i="2"/>
  <c r="A1084" i="2"/>
  <c r="H1083" i="2"/>
  <c r="G1083" i="2"/>
  <c r="F1083" i="2"/>
  <c r="E1083" i="2"/>
  <c r="D1083" i="2"/>
  <c r="C1083" i="2"/>
  <c r="B1083" i="2"/>
  <c r="A1083" i="2"/>
  <c r="H1082" i="2"/>
  <c r="G1082" i="2"/>
  <c r="F1082" i="2"/>
  <c r="E1082" i="2"/>
  <c r="D1082" i="2"/>
  <c r="C1082" i="2"/>
  <c r="B1082" i="2"/>
  <c r="A1082" i="2"/>
  <c r="H1081" i="2"/>
  <c r="G1081" i="2"/>
  <c r="F1081" i="2"/>
  <c r="E1081" i="2"/>
  <c r="D1081" i="2"/>
  <c r="C1081" i="2"/>
  <c r="B1081" i="2"/>
  <c r="A1081" i="2"/>
  <c r="H1080" i="2"/>
  <c r="G1080" i="2"/>
  <c r="F1080" i="2"/>
  <c r="E1080" i="2"/>
  <c r="D1080" i="2"/>
  <c r="C1080" i="2"/>
  <c r="B1080" i="2"/>
  <c r="A1080" i="2"/>
  <c r="H1079" i="2"/>
  <c r="G1079" i="2"/>
  <c r="F1079" i="2"/>
  <c r="E1079" i="2"/>
  <c r="D1079" i="2"/>
  <c r="C1079" i="2"/>
  <c r="B1079" i="2"/>
  <c r="A1079" i="2"/>
  <c r="H1078" i="2"/>
  <c r="G1078" i="2"/>
  <c r="F1078" i="2"/>
  <c r="E1078" i="2"/>
  <c r="D1078" i="2"/>
  <c r="C1078" i="2"/>
  <c r="B1078" i="2"/>
  <c r="A1078" i="2"/>
  <c r="H1077" i="2"/>
  <c r="G1077" i="2"/>
  <c r="F1077" i="2"/>
  <c r="E1077" i="2"/>
  <c r="D1077" i="2"/>
  <c r="C1077" i="2"/>
  <c r="B1077" i="2"/>
  <c r="A1077" i="2"/>
  <c r="H1076" i="2"/>
  <c r="G1076" i="2"/>
  <c r="F1076" i="2"/>
  <c r="E1076" i="2"/>
  <c r="D1076" i="2"/>
  <c r="C1076" i="2"/>
  <c r="B1076" i="2"/>
  <c r="A1076" i="2"/>
  <c r="H1075" i="2"/>
  <c r="G1075" i="2"/>
  <c r="F1075" i="2"/>
  <c r="E1075" i="2"/>
  <c r="D1075" i="2"/>
  <c r="C1075" i="2"/>
  <c r="B1075" i="2"/>
  <c r="A1075" i="2"/>
  <c r="H1074" i="2"/>
  <c r="G1074" i="2"/>
  <c r="F1074" i="2"/>
  <c r="E1074" i="2"/>
  <c r="D1074" i="2"/>
  <c r="C1074" i="2"/>
  <c r="B1074" i="2"/>
  <c r="A1074" i="2"/>
  <c r="H1073" i="2"/>
  <c r="G1073" i="2"/>
  <c r="F1073" i="2"/>
  <c r="E1073" i="2"/>
  <c r="D1073" i="2"/>
  <c r="C1073" i="2"/>
  <c r="B1073" i="2"/>
  <c r="A1073" i="2"/>
  <c r="H1072" i="2"/>
  <c r="G1072" i="2"/>
  <c r="F1072" i="2"/>
  <c r="E1072" i="2"/>
  <c r="D1072" i="2"/>
  <c r="C1072" i="2"/>
  <c r="B1072" i="2"/>
  <c r="A1072" i="2"/>
  <c r="H1071" i="2"/>
  <c r="G1071" i="2"/>
  <c r="F1071" i="2"/>
  <c r="E1071" i="2"/>
  <c r="D1071" i="2"/>
  <c r="C1071" i="2"/>
  <c r="B1071" i="2"/>
  <c r="A1071" i="2"/>
  <c r="H1070" i="2"/>
  <c r="G1070" i="2"/>
  <c r="F1070" i="2"/>
  <c r="E1070" i="2"/>
  <c r="D1070" i="2"/>
  <c r="C1070" i="2"/>
  <c r="B1070" i="2"/>
  <c r="A1070" i="2"/>
  <c r="H1069" i="2"/>
  <c r="G1069" i="2"/>
  <c r="F1069" i="2"/>
  <c r="E1069" i="2"/>
  <c r="D1069" i="2"/>
  <c r="C1069" i="2"/>
  <c r="B1069" i="2"/>
  <c r="A1069" i="2"/>
  <c r="H1068" i="2"/>
  <c r="G1068" i="2"/>
  <c r="F1068" i="2"/>
  <c r="E1068" i="2"/>
  <c r="D1068" i="2"/>
  <c r="C1068" i="2"/>
  <c r="B1068" i="2"/>
  <c r="A1068" i="2"/>
  <c r="H1067" i="2"/>
  <c r="G1067" i="2"/>
  <c r="F1067" i="2"/>
  <c r="E1067" i="2"/>
  <c r="D1067" i="2"/>
  <c r="C1067" i="2"/>
  <c r="B1067" i="2"/>
  <c r="A1067" i="2"/>
  <c r="H1066" i="2"/>
  <c r="G1066" i="2"/>
  <c r="F1066" i="2"/>
  <c r="E1066" i="2"/>
  <c r="D1066" i="2"/>
  <c r="C1066" i="2"/>
  <c r="B1066" i="2"/>
  <c r="A1066" i="2"/>
  <c r="H1065" i="2"/>
  <c r="G1065" i="2"/>
  <c r="F1065" i="2"/>
  <c r="E1065" i="2"/>
  <c r="D1065" i="2"/>
  <c r="C1065" i="2"/>
  <c r="B1065" i="2"/>
  <c r="A1065" i="2"/>
  <c r="H1064" i="2"/>
  <c r="G1064" i="2"/>
  <c r="F1064" i="2"/>
  <c r="E1064" i="2"/>
  <c r="D1064" i="2"/>
  <c r="C1064" i="2"/>
  <c r="B1064" i="2"/>
  <c r="A1064" i="2"/>
  <c r="H1063" i="2"/>
  <c r="G1063" i="2"/>
  <c r="F1063" i="2"/>
  <c r="E1063" i="2"/>
  <c r="D1063" i="2"/>
  <c r="C1063" i="2"/>
  <c r="B1063" i="2"/>
  <c r="A1063" i="2"/>
  <c r="H1062" i="2"/>
  <c r="G1062" i="2"/>
  <c r="F1062" i="2"/>
  <c r="E1062" i="2"/>
  <c r="D1062" i="2"/>
  <c r="C1062" i="2"/>
  <c r="B1062" i="2"/>
  <c r="A1062" i="2"/>
  <c r="H1061" i="2"/>
  <c r="G1061" i="2"/>
  <c r="F1061" i="2"/>
  <c r="E1061" i="2"/>
  <c r="D1061" i="2"/>
  <c r="C1061" i="2"/>
  <c r="B1061" i="2"/>
  <c r="A1061" i="2"/>
  <c r="H1060" i="2"/>
  <c r="G1060" i="2"/>
  <c r="F1060" i="2"/>
  <c r="E1060" i="2"/>
  <c r="D1060" i="2"/>
  <c r="C1060" i="2"/>
  <c r="B1060" i="2"/>
  <c r="A1060" i="2"/>
  <c r="H1059" i="2"/>
  <c r="G1059" i="2"/>
  <c r="F1059" i="2"/>
  <c r="E1059" i="2"/>
  <c r="D1059" i="2"/>
  <c r="C1059" i="2"/>
  <c r="B1059" i="2"/>
  <c r="A1059" i="2"/>
  <c r="H1058" i="2"/>
  <c r="G1058" i="2"/>
  <c r="F1058" i="2"/>
  <c r="E1058" i="2"/>
  <c r="D1058" i="2"/>
  <c r="C1058" i="2"/>
  <c r="B1058" i="2"/>
  <c r="A1058" i="2"/>
  <c r="H1057" i="2"/>
  <c r="G1057" i="2"/>
  <c r="F1057" i="2"/>
  <c r="E1057" i="2"/>
  <c r="D1057" i="2"/>
  <c r="C1057" i="2"/>
  <c r="B1057" i="2"/>
  <c r="A1057" i="2"/>
  <c r="H1056" i="2"/>
  <c r="G1056" i="2"/>
  <c r="F1056" i="2"/>
  <c r="E1056" i="2"/>
  <c r="D1056" i="2"/>
  <c r="C1056" i="2"/>
  <c r="B1056" i="2"/>
  <c r="A1056" i="2"/>
  <c r="H1055" i="2"/>
  <c r="G1055" i="2"/>
  <c r="F1055" i="2"/>
  <c r="E1055" i="2"/>
  <c r="D1055" i="2"/>
  <c r="C1055" i="2"/>
  <c r="B1055" i="2"/>
  <c r="A1055" i="2"/>
  <c r="H1054" i="2"/>
  <c r="G1054" i="2"/>
  <c r="F1054" i="2"/>
  <c r="E1054" i="2"/>
  <c r="D1054" i="2"/>
  <c r="C1054" i="2"/>
  <c r="B1054" i="2"/>
  <c r="A1054" i="2"/>
  <c r="H1053" i="2"/>
  <c r="G1053" i="2"/>
  <c r="F1053" i="2"/>
  <c r="E1053" i="2"/>
  <c r="D1053" i="2"/>
  <c r="C1053" i="2"/>
  <c r="B1053" i="2"/>
  <c r="A1053" i="2"/>
  <c r="H1052" i="2"/>
  <c r="G1052" i="2"/>
  <c r="F1052" i="2"/>
  <c r="E1052" i="2"/>
  <c r="D1052" i="2"/>
  <c r="C1052" i="2"/>
  <c r="B1052" i="2"/>
  <c r="A1052" i="2"/>
  <c r="H1051" i="2"/>
  <c r="G1051" i="2"/>
  <c r="F1051" i="2"/>
  <c r="E1051" i="2"/>
  <c r="D1051" i="2"/>
  <c r="C1051" i="2"/>
  <c r="B1051" i="2"/>
  <c r="A1051" i="2"/>
  <c r="H1050" i="2"/>
  <c r="G1050" i="2"/>
  <c r="F1050" i="2"/>
  <c r="E1050" i="2"/>
  <c r="D1050" i="2"/>
  <c r="C1050" i="2"/>
  <c r="B1050" i="2"/>
  <c r="A1050" i="2"/>
  <c r="H1049" i="2"/>
  <c r="G1049" i="2"/>
  <c r="F1049" i="2"/>
  <c r="E1049" i="2"/>
  <c r="D1049" i="2"/>
  <c r="C1049" i="2"/>
  <c r="B1049" i="2"/>
  <c r="A1049" i="2"/>
  <c r="H1048" i="2"/>
  <c r="G1048" i="2"/>
  <c r="F1048" i="2"/>
  <c r="E1048" i="2"/>
  <c r="D1048" i="2"/>
  <c r="C1048" i="2"/>
  <c r="B1048" i="2"/>
  <c r="A1048" i="2"/>
  <c r="H1047" i="2"/>
  <c r="G1047" i="2"/>
  <c r="F1047" i="2"/>
  <c r="E1047" i="2"/>
  <c r="D1047" i="2"/>
  <c r="C1047" i="2"/>
  <c r="B1047" i="2"/>
  <c r="A1047" i="2"/>
  <c r="H1046" i="2"/>
  <c r="G1046" i="2"/>
  <c r="F1046" i="2"/>
  <c r="E1046" i="2"/>
  <c r="D1046" i="2"/>
  <c r="C1046" i="2"/>
  <c r="B1046" i="2"/>
  <c r="A1046" i="2"/>
  <c r="H1045" i="2"/>
  <c r="G1045" i="2"/>
  <c r="F1045" i="2"/>
  <c r="E1045" i="2"/>
  <c r="D1045" i="2"/>
  <c r="C1045" i="2"/>
  <c r="B1045" i="2"/>
  <c r="A1045" i="2"/>
  <c r="H1044" i="2"/>
  <c r="G1044" i="2"/>
  <c r="F1044" i="2"/>
  <c r="E1044" i="2"/>
  <c r="D1044" i="2"/>
  <c r="C1044" i="2"/>
  <c r="B1044" i="2"/>
  <c r="A1044" i="2"/>
  <c r="H1043" i="2"/>
  <c r="G1043" i="2"/>
  <c r="F1043" i="2"/>
  <c r="E1043" i="2"/>
  <c r="D1043" i="2"/>
  <c r="C1043" i="2"/>
  <c r="B1043" i="2"/>
  <c r="A1043" i="2"/>
  <c r="H1042" i="2"/>
  <c r="G1042" i="2"/>
  <c r="F1042" i="2"/>
  <c r="E1042" i="2"/>
  <c r="D1042" i="2"/>
  <c r="C1042" i="2"/>
  <c r="B1042" i="2"/>
  <c r="A1042" i="2"/>
  <c r="H1041" i="2"/>
  <c r="G1041" i="2"/>
  <c r="F1041" i="2"/>
  <c r="E1041" i="2"/>
  <c r="D1041" i="2"/>
  <c r="C1041" i="2"/>
  <c r="B1041" i="2"/>
  <c r="A1041" i="2"/>
  <c r="H1040" i="2"/>
  <c r="G1040" i="2"/>
  <c r="F1040" i="2"/>
  <c r="E1040" i="2"/>
  <c r="D1040" i="2"/>
  <c r="C1040" i="2"/>
  <c r="B1040" i="2"/>
  <c r="A1040" i="2"/>
  <c r="H1039" i="2"/>
  <c r="G1039" i="2"/>
  <c r="F1039" i="2"/>
  <c r="E1039" i="2"/>
  <c r="D1039" i="2"/>
  <c r="C1039" i="2"/>
  <c r="B1039" i="2"/>
  <c r="A1039" i="2"/>
  <c r="H1038" i="2"/>
  <c r="G1038" i="2"/>
  <c r="F1038" i="2"/>
  <c r="E1038" i="2"/>
  <c r="D1038" i="2"/>
  <c r="C1038" i="2"/>
  <c r="B1038" i="2"/>
  <c r="A1038" i="2"/>
  <c r="H1037" i="2"/>
  <c r="G1037" i="2"/>
  <c r="F1037" i="2"/>
  <c r="E1037" i="2"/>
  <c r="D1037" i="2"/>
  <c r="C1037" i="2"/>
  <c r="B1037" i="2"/>
  <c r="A1037" i="2"/>
  <c r="H1036" i="2"/>
  <c r="G1036" i="2"/>
  <c r="F1036" i="2"/>
  <c r="E1036" i="2"/>
  <c r="D1036" i="2"/>
  <c r="C1036" i="2"/>
  <c r="B1036" i="2"/>
  <c r="A1036" i="2"/>
  <c r="H1035" i="2"/>
  <c r="G1035" i="2"/>
  <c r="F1035" i="2"/>
  <c r="E1035" i="2"/>
  <c r="D1035" i="2"/>
  <c r="C1035" i="2"/>
  <c r="B1035" i="2"/>
  <c r="A1035" i="2"/>
  <c r="H1034" i="2"/>
  <c r="G1034" i="2"/>
  <c r="F1034" i="2"/>
  <c r="E1034" i="2"/>
  <c r="D1034" i="2"/>
  <c r="C1034" i="2"/>
  <c r="B1034" i="2"/>
  <c r="A1034" i="2"/>
  <c r="H1033" i="2"/>
  <c r="G1033" i="2"/>
  <c r="F1033" i="2"/>
  <c r="E1033" i="2"/>
  <c r="D1033" i="2"/>
  <c r="C1033" i="2"/>
  <c r="B1033" i="2"/>
  <c r="A1033" i="2"/>
  <c r="H1032" i="2"/>
  <c r="G1032" i="2"/>
  <c r="F1032" i="2"/>
  <c r="E1032" i="2"/>
  <c r="D1032" i="2"/>
  <c r="C1032" i="2"/>
  <c r="B1032" i="2"/>
  <c r="A1032" i="2"/>
  <c r="H1031" i="2"/>
  <c r="G1031" i="2"/>
  <c r="F1031" i="2"/>
  <c r="E1031" i="2"/>
  <c r="D1031" i="2"/>
  <c r="C1031" i="2"/>
  <c r="B1031" i="2"/>
  <c r="A1031" i="2"/>
  <c r="H1030" i="2"/>
  <c r="G1030" i="2"/>
  <c r="F1030" i="2"/>
  <c r="E1030" i="2"/>
  <c r="D1030" i="2"/>
  <c r="C1030" i="2"/>
  <c r="B1030" i="2"/>
  <c r="A1030" i="2"/>
  <c r="H1029" i="2"/>
  <c r="G1029" i="2"/>
  <c r="F1029" i="2"/>
  <c r="E1029" i="2"/>
  <c r="D1029" i="2"/>
  <c r="C1029" i="2"/>
  <c r="B1029" i="2"/>
  <c r="A1029" i="2"/>
  <c r="H1028" i="2"/>
  <c r="G1028" i="2"/>
  <c r="F1028" i="2"/>
  <c r="E1028" i="2"/>
  <c r="D1028" i="2"/>
  <c r="C1028" i="2"/>
  <c r="B1028" i="2"/>
  <c r="A1028" i="2"/>
  <c r="H1027" i="2"/>
  <c r="G1027" i="2"/>
  <c r="F1027" i="2"/>
  <c r="E1027" i="2"/>
  <c r="D1027" i="2"/>
  <c r="C1027" i="2"/>
  <c r="B1027" i="2"/>
  <c r="A1027" i="2"/>
  <c r="H1026" i="2"/>
  <c r="G1026" i="2"/>
  <c r="F1026" i="2"/>
  <c r="E1026" i="2"/>
  <c r="D1026" i="2"/>
  <c r="C1026" i="2"/>
  <c r="B1026" i="2"/>
  <c r="A1026" i="2"/>
  <c r="H1025" i="2"/>
  <c r="G1025" i="2"/>
  <c r="F1025" i="2"/>
  <c r="E1025" i="2"/>
  <c r="D1025" i="2"/>
  <c r="C1025" i="2"/>
  <c r="B1025" i="2"/>
  <c r="A1025" i="2"/>
  <c r="H1024" i="2"/>
  <c r="G1024" i="2"/>
  <c r="F1024" i="2"/>
  <c r="E1024" i="2"/>
  <c r="D1024" i="2"/>
  <c r="C1024" i="2"/>
  <c r="B1024" i="2"/>
  <c r="A1024" i="2"/>
  <c r="H1023" i="2"/>
  <c r="G1023" i="2"/>
  <c r="F1023" i="2"/>
  <c r="E1023" i="2"/>
  <c r="D1023" i="2"/>
  <c r="C1023" i="2"/>
  <c r="B1023" i="2"/>
  <c r="A1023" i="2"/>
  <c r="H1022" i="2"/>
  <c r="G1022" i="2"/>
  <c r="F1022" i="2"/>
  <c r="E1022" i="2"/>
  <c r="D1022" i="2"/>
  <c r="C1022" i="2"/>
  <c r="B1022" i="2"/>
  <c r="A1022" i="2"/>
  <c r="H1021" i="2"/>
  <c r="G1021" i="2"/>
  <c r="F1021" i="2"/>
  <c r="E1021" i="2"/>
  <c r="D1021" i="2"/>
  <c r="C1021" i="2"/>
  <c r="B1021" i="2"/>
  <c r="A1021" i="2"/>
  <c r="H1020" i="2"/>
  <c r="G1020" i="2"/>
  <c r="F1020" i="2"/>
  <c r="E1020" i="2"/>
  <c r="D1020" i="2"/>
  <c r="C1020" i="2"/>
  <c r="B1020" i="2"/>
  <c r="A1020" i="2"/>
  <c r="H1019" i="2"/>
  <c r="G1019" i="2"/>
  <c r="F1019" i="2"/>
  <c r="E1019" i="2"/>
  <c r="D1019" i="2"/>
  <c r="C1019" i="2"/>
  <c r="B1019" i="2"/>
  <c r="A1019" i="2"/>
  <c r="H1018" i="2"/>
  <c r="G1018" i="2"/>
  <c r="F1018" i="2"/>
  <c r="E1018" i="2"/>
  <c r="D1018" i="2"/>
  <c r="C1018" i="2"/>
  <c r="B1018" i="2"/>
  <c r="A1018" i="2"/>
  <c r="H1017" i="2"/>
  <c r="G1017" i="2"/>
  <c r="F1017" i="2"/>
  <c r="E1017" i="2"/>
  <c r="D1017" i="2"/>
  <c r="C1017" i="2"/>
  <c r="B1017" i="2"/>
  <c r="A1017" i="2"/>
  <c r="H1016" i="2"/>
  <c r="G1016" i="2"/>
  <c r="F1016" i="2"/>
  <c r="E1016" i="2"/>
  <c r="D1016" i="2"/>
  <c r="C1016" i="2"/>
  <c r="B1016" i="2"/>
  <c r="A1016" i="2"/>
  <c r="H1015" i="2"/>
  <c r="G1015" i="2"/>
  <c r="F1015" i="2"/>
  <c r="E1015" i="2"/>
  <c r="D1015" i="2"/>
  <c r="C1015" i="2"/>
  <c r="B1015" i="2"/>
  <c r="A1015" i="2"/>
  <c r="H1014" i="2"/>
  <c r="G1014" i="2"/>
  <c r="F1014" i="2"/>
  <c r="E1014" i="2"/>
  <c r="D1014" i="2"/>
  <c r="C1014" i="2"/>
  <c r="B1014" i="2"/>
  <c r="A1014" i="2"/>
  <c r="H1013" i="2"/>
  <c r="G1013" i="2"/>
  <c r="F1013" i="2"/>
  <c r="E1013" i="2"/>
  <c r="D1013" i="2"/>
  <c r="C1013" i="2"/>
  <c r="B1013" i="2"/>
  <c r="A1013" i="2"/>
  <c r="H1012" i="2"/>
  <c r="G1012" i="2"/>
  <c r="F1012" i="2"/>
  <c r="E1012" i="2"/>
  <c r="D1012" i="2"/>
  <c r="C1012" i="2"/>
  <c r="B1012" i="2"/>
  <c r="A1012" i="2"/>
  <c r="H1011" i="2"/>
  <c r="G1011" i="2"/>
  <c r="F1011" i="2"/>
  <c r="E1011" i="2"/>
  <c r="D1011" i="2"/>
  <c r="C1011" i="2"/>
  <c r="B1011" i="2"/>
  <c r="A1011" i="2"/>
  <c r="H1010" i="2"/>
  <c r="G1010" i="2"/>
  <c r="F1010" i="2"/>
  <c r="E1010" i="2"/>
  <c r="D1010" i="2"/>
  <c r="C1010" i="2"/>
  <c r="B1010" i="2"/>
  <c r="A1010" i="2"/>
  <c r="H1009" i="2"/>
  <c r="G1009" i="2"/>
  <c r="F1009" i="2"/>
  <c r="E1009" i="2"/>
  <c r="D1009" i="2"/>
  <c r="C1009" i="2"/>
  <c r="B1009" i="2"/>
  <c r="A1009" i="2"/>
  <c r="H1008" i="2"/>
  <c r="G1008" i="2"/>
  <c r="F1008" i="2"/>
  <c r="E1008" i="2"/>
  <c r="D1008" i="2"/>
  <c r="C1008" i="2"/>
  <c r="B1008" i="2"/>
  <c r="A1008" i="2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<sst xmlns="http://schemas.openxmlformats.org/spreadsheetml/2006/main" count="8" uniqueCount="8">
  <si>
    <t>id</t>
  </si>
  <si>
    <t>subject</t>
  </si>
  <si>
    <t>grade_level</t>
  </si>
  <si>
    <t>topic</t>
  </si>
  <si>
    <t>student_input</t>
  </si>
  <si>
    <t>tutor_response</t>
  </si>
  <si>
    <t>data_type</t>
  </si>
  <si>
    <t>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</si>
</sst>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001"/>
  <sheetViews>
    <sheetView tabSelected="1" workbookViewId="0">
      <selection activeCell="G5" sqref="G5"/>
    </sheetView>
  </sheetViews>
  <sheetFormatPr defaultColWidth="12.6640625" defaultRowHeight="15.75" customHeight="1" x14ac:dyDescent="0.25"/>
  <sheetData>
    <row r="1" spans="1:8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tr">
        <f ca="1">IFERROR(__xludf.DUMMYFUNCTION("GOOGLETRANSLATE(English!A2, ""en"", ""bg"")"),"conv_15110")</f>
        <v>conv_15110</v>
      </c>
      <c r="B2" s="1" t="str">
        <f ca="1">IFERROR(__xludf.DUMMYFUNCTION("GOOGLETRANSLATE(English!B2, ""en"", ""bg"")"),"физика")</f>
        <v>физика</v>
      </c>
      <c r="C2" s="1" t="str">
        <f ca="1">IFERROR(__xludf.DUMMYFUNCTION("GOOGLETRANSLATE(English!C2, ""en"", ""bg"")"),"средата")</f>
        <v>средата</v>
      </c>
      <c r="D2" s="1" t="str">
        <f ca="1">IFERROR(__xludf.DUMMYFUNCTION("GOOGLETRANSLATE(English!D2, ""en"", ""bg"")"),"сили и движение")</f>
        <v>сили и движение</v>
      </c>
      <c r="E2" s="1" t="str">
        <f ca="1">IFERROR(__xludf.DUMMYFUNCTION("GOOGLETRANSLATE(English!E2, ""en"", ""bg"")"),"Имам нужда от помощ с домашното. Какво е ускорение?")</f>
        <v>Имам нужда от помощ с домашното. Какво е ускорение?</v>
      </c>
      <c r="F2" s="1" t="str">
        <f ca="1">IFERROR(__xludf.DUMMYFUNCTION("GOOGLETRANSLATE(English!F2,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2" s="1" t="str">
        <f ca="1">IFERROR(__xludf.DUMMYFUNCTION("GOOGLETRANSLATE(English!G2, ""en"", ""bg"")"),"разговор")</f>
        <v>разговор</v>
      </c>
      <c r="H2" s="1" t="str">
        <f ca="1">IFERROR(__xludf.DUMMYFUNCTION("GOOGLETRANSLATE(English!H2, ""en"", ""bg"")"),"образователна_помощ")</f>
        <v>образователна_помощ</v>
      </c>
    </row>
    <row r="3" spans="1:8" x14ac:dyDescent="0.25">
      <c r="A3" s="1" t="str">
        <f ca="1">IFERROR(__xludf.DUMMYFUNCTION("GOOGLETRANSLATE(English!A3, ""en"", ""bg"")"),"hw_02195")</f>
        <v>hw_02195</v>
      </c>
      <c r="B3" s="1" t="str">
        <f ca="1">IFERROR(__xludf.DUMMYFUNCTION("GOOGLETRANSLATE(English!B3, ""en"", ""bg"")"),"биология")</f>
        <v>биология</v>
      </c>
      <c r="C3" s="1" t="str">
        <f ca="1">IFERROR(__xludf.DUMMYFUNCTION("GOOGLETRANSLATE(English!C3, ""en"", ""bg"")"),"елементарен")</f>
        <v>елементарен</v>
      </c>
      <c r="D3" s="1" t="str">
        <f ca="1">IFERROR(__xludf.DUMMYFUNCTION("GOOGLETRANSLATE(English!D3, ""en"", ""bg"")"),"животни")</f>
        <v>животни</v>
      </c>
      <c r="E3" s="1" t="str">
        <f ca="1">IFERROR(__xludf.DUMMYFUNCTION("GOOGLETRANSLATE(English!E3, ""en"", ""bg"")"),"Можете ли да обясните за животните за моя научен проект?")</f>
        <v>Можете ли да обясните за животните за моя научен проект?</v>
      </c>
      <c r="F3" s="1" t="str">
        <f ca="1">IFERROR(__xludf.DUMMYFUNCTION("GOOGLETRANSLATE(English!F3,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3" s="1" t="str">
        <f ca="1">IFERROR(__xludf.DUMMYFUNCTION("GOOGLETRANSLATE(English!G3, ""en"", ""bg"")"),"помощ_за_домашно_изпълнение")</f>
        <v>помощ_за_домашно_изпълнение</v>
      </c>
      <c r="H3" s="1" t="str">
        <f ca="1">IFERROR(__xludf.DUMMYFUNCTION("GOOGLETRANSLATE(English!H3, ""en"", ""bg"")"),"помощ_за_домашно_задаване")</f>
        <v>помощ_за_домашно_задаване</v>
      </c>
    </row>
    <row r="4" spans="1:8" x14ac:dyDescent="0.25">
      <c r="A4" s="1" t="str">
        <f ca="1">IFERROR(__xludf.DUMMYFUNCTION("GOOGLETRANSLATE(English!A4, ""en"", ""bg"")"),"conv_01627")</f>
        <v>conv_01627</v>
      </c>
      <c r="B4" s="1" t="str">
        <f ca="1">IFERROR(__xludf.DUMMYFUNCTION("GOOGLETRANSLATE(English!B4, ""en"", ""bg"")"),"химия")</f>
        <v>химия</v>
      </c>
      <c r="C4" s="1" t="str">
        <f ca="1">IFERROR(__xludf.DUMMYFUNCTION("GOOGLETRANSLATE(English!C4, ""en"", ""bg"")"),"средата")</f>
        <v>средата</v>
      </c>
      <c r="D4" s="1" t="str">
        <f ca="1">IFERROR(__xludf.DUMMYFUNCTION("GOOGLETRANSLATE(English!D4, ""en"", ""bg"")"),"химични реакции")</f>
        <v>химични реакции</v>
      </c>
      <c r="E4" s="1" t="str">
        <f ca="1">IFERROR(__xludf.DUMMYFUNCTION("GOOGLETRANSLATE(English!E4, ""en"", ""bg"")"),"Помогнете ми да уча за теста си. Какво е химична реакция?")</f>
        <v>Помогнете ми да уча за теста си. Какво е химична реакция?</v>
      </c>
      <c r="F4" s="1" t="str">
        <f ca="1">IFERROR(__xludf.DUMMYFUNCTION("GOOGLETRANSLATE(English!F4,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4" s="1" t="str">
        <f ca="1">IFERROR(__xludf.DUMMYFUNCTION("GOOGLETRANSLATE(English!G4, ""en"", ""bg"")"),"разговор")</f>
        <v>разговор</v>
      </c>
      <c r="H4" s="1" t="str">
        <f ca="1">IFERROR(__xludf.DUMMYFUNCTION("GOOGLETRANSLATE(English!H4, ""en"", ""bg"")"),"образователна_помощ")</f>
        <v>образователна_помощ</v>
      </c>
    </row>
    <row r="5" spans="1:8" x14ac:dyDescent="0.25">
      <c r="A5" s="1" t="str">
        <f ca="1">IFERROR(__xludf.DUMMYFUNCTION("GOOGLETRANSLATE(English!A5, ""en"", ""bg"")"),"conv_05387")</f>
        <v>conv_05387</v>
      </c>
      <c r="B5" s="1" t="str">
        <f ca="1">IFERROR(__xludf.DUMMYFUNCTION("GOOGLETRANSLATE(English!B5, ""en"", ""bg"")"),"физика")</f>
        <v>физика</v>
      </c>
      <c r="C5" s="1" t="str">
        <f ca="1">IFERROR(__xludf.DUMMYFUNCTION("GOOGLETRANSLATE(English!C5, ""en"", ""bg"")"),"високо")</f>
        <v>високо</v>
      </c>
      <c r="D5" s="1" t="str">
        <f ca="1">IFERROR(__xludf.DUMMYFUNCTION("GOOGLETRANSLATE(English!D5, ""en"", ""bg"")"),"оптика")</f>
        <v>оптика</v>
      </c>
      <c r="E5" s="1" t="str">
        <f ca="1">IFERROR(__xludf.DUMMYFUNCTION("GOOGLETRANSLATE(English!E5, ""en"", ""bg"")"),"Здравей, преподавателю! Как работи оптиката във физиката?")</f>
        <v>Здравей, преподавателю! Как работи оптиката във физиката?</v>
      </c>
      <c r="F5" s="1" t="str">
        <f ca="1">IFERROR(__xludf.DUMMYFUNCTION("GOOGLETRANSLATE(English!F5,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5" s="1" t="str">
        <f ca="1">IFERROR(__xludf.DUMMYFUNCTION("GOOGLETRANSLATE(English!G5, ""en"", ""bg"")"),"разговор")</f>
        <v>разговор</v>
      </c>
      <c r="H5" s="1" t="str">
        <f ca="1">IFERROR(__xludf.DUMMYFUNCTION("GOOGLETRANSLATE(English!H5, ""en"", ""bg"")"),"образователна_помощ")</f>
        <v>образователна_помощ</v>
      </c>
    </row>
    <row r="6" spans="1:8" x14ac:dyDescent="0.25">
      <c r="A6" s="1" t="str">
        <f ca="1">IFERROR(__xludf.DUMMYFUNCTION("GOOGLETRANSLATE(English!A6, ""en"", ""bg"")"),"hw_00318")</f>
        <v>hw_00318</v>
      </c>
      <c r="B6" s="1" t="str">
        <f ca="1">IFERROR(__xludf.DUMMYFUNCTION("GOOGLETRANSLATE(English!B6, ""en"", ""bg"")"),"химия")</f>
        <v>химия</v>
      </c>
      <c r="C6" s="1" t="str">
        <f ca="1">IFERROR(__xludf.DUMMYFUNCTION("GOOGLETRANSLATE(English!C6, ""en"", ""bg"")"),"средата")</f>
        <v>средата</v>
      </c>
      <c r="D6" s="1" t="str">
        <f ca="1">IFERROR(__xludf.DUMMYFUNCTION("GOOGLETRANSLATE(English!D6, ""en"", ""bg"")"),"химични промени")</f>
        <v>химични промени</v>
      </c>
      <c r="E6" s="1" t="str">
        <f ca="1">IFERROR(__xludf.DUMMYFUNCTION("GOOGLETRANSLATE(English!E6,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6" s="1" t="str">
        <f ca="1">IFERROR(__xludf.DUMMYFUNCTION("GOOGLETRANSLATE(English!F6,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6" s="1" t="str">
        <f ca="1">IFERROR(__xludf.DUMMYFUNCTION("GOOGLETRANSLATE(English!G6, ""en"", ""bg"")"),"помощ_за_домашно_изпълнение")</f>
        <v>помощ_за_домашно_изпълнение</v>
      </c>
      <c r="H6" s="1" t="str">
        <f ca="1">IFERROR(__xludf.DUMMYFUNCTION("GOOGLETRANSLATE(English!H6, ""en"", ""bg"")"),"помощ_за_домашно_задаване")</f>
        <v>помощ_за_домашно_задаване</v>
      </c>
    </row>
    <row r="7" spans="1:8" x14ac:dyDescent="0.25">
      <c r="A7" s="1" t="str">
        <f ca="1">IFERROR(__xludf.DUMMYFUNCTION("GOOGLETRANSLATE(English!A7, ""en"", ""bg"")"),"hw_04101")</f>
        <v>hw_04101</v>
      </c>
      <c r="B7" s="1" t="str">
        <f ca="1">IFERROR(__xludf.DUMMYFUNCTION("GOOGLETRANSLATE(English!B7, ""en"", ""bg"")"),"биология")</f>
        <v>биология</v>
      </c>
      <c r="C7" s="1" t="str">
        <f ca="1">IFERROR(__xludf.DUMMYFUNCTION("GOOGLETRANSLATE(English!C7, ""en"", ""bg"")"),"средата")</f>
        <v>средата</v>
      </c>
      <c r="D7" s="1" t="str">
        <f ca="1">IFERROR(__xludf.DUMMYFUNCTION("GOOGLETRANSLATE(English!D7, ""en"", ""bg"")"),"клетки")</f>
        <v>клетки</v>
      </c>
      <c r="E7" s="1" t="str">
        <f ca="1">IFERROR(__xludf.DUMMYFUNCTION("GOOGLETRANSLATE(English!E7, ""en"", ""bg"")"),"Трябва да напиша доклад за клетките. Можете ли да ми помогнете да започна?")</f>
        <v>Трябва да напиша доклад за клетките. Можете ли да ми помогнете да започна?</v>
      </c>
      <c r="F7" s="1" t="str">
        <f ca="1">IFERROR(__xludf.DUMMYFUNCTION("GOOGLETRANSLATE(English!F7,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7" s="1" t="str">
        <f ca="1">IFERROR(__xludf.DUMMYFUNCTION("GOOGLETRANSLATE(English!G7, ""en"", ""bg"")"),"помощ_за_домашно_изпълнение")</f>
        <v>помощ_за_домашно_изпълнение</v>
      </c>
      <c r="H7" s="1" t="str">
        <f ca="1">IFERROR(__xludf.DUMMYFUNCTION("GOOGLETRANSLATE(English!H7, ""en"", ""bg"")"),"помощ_за_домашно_задаване")</f>
        <v>помощ_за_домашно_задаване</v>
      </c>
    </row>
    <row r="8" spans="1:8" x14ac:dyDescent="0.25">
      <c r="A8" s="1" t="str">
        <f ca="1">IFERROR(__xludf.DUMMYFUNCTION("GOOGLETRANSLATE(English!A8, ""en"", ""bg"")"),"conv_18688")</f>
        <v>conv_18688</v>
      </c>
      <c r="B8" s="1" t="str">
        <f ca="1">IFERROR(__xludf.DUMMYFUNCTION("GOOGLETRANSLATE(English!B8, ""en"", ""bg"")"),"химия")</f>
        <v>химия</v>
      </c>
      <c r="C8" s="1" t="str">
        <f ca="1">IFERROR(__xludf.DUMMYFUNCTION("GOOGLETRANSLATE(English!C8, ""en"", ""bg"")"),"средата")</f>
        <v>средата</v>
      </c>
      <c r="D8" s="1" t="str">
        <f ca="1">IFERROR(__xludf.DUMMYFUNCTION("GOOGLETRANSLATE(English!D8, ""en"", ""bg"")"),"атоми и молекули")</f>
        <v>атоми и молекули</v>
      </c>
      <c r="E8" s="1" t="str">
        <f ca="1">IFERROR(__xludf.DUMMYFUNCTION("GOOGLETRANSLATE(English!E8, ""en"", ""bg"")"),"Можете ли да ми обясните това? Какво е атом?")</f>
        <v>Можете ли да ми обясните това? Какво е атом?</v>
      </c>
      <c r="F8" s="1" t="str">
        <f ca="1">IFERROR(__xludf.DUMMYFUNCTION("GOOGLETRANSLATE(English!F8,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8" s="1" t="str">
        <f ca="1">IFERROR(__xludf.DUMMYFUNCTION("GOOGLETRANSLATE(English!G8, ""en"", ""bg"")"),"разговор")</f>
        <v>разговор</v>
      </c>
      <c r="H8" s="1" t="str">
        <f ca="1">IFERROR(__xludf.DUMMYFUNCTION("GOOGLETRANSLATE(English!H8, ""en"", ""bg"")"),"образователна_помощ")</f>
        <v>образователна_помощ</v>
      </c>
    </row>
    <row r="9" spans="1:8" x14ac:dyDescent="0.25">
      <c r="A9" s="1" t="str">
        <f ca="1">IFERROR(__xludf.DUMMYFUNCTION("GOOGLETRANSLATE(English!A9, ""en"", ""bg"")"),"qa_07752")</f>
        <v>qa_07752</v>
      </c>
      <c r="B9" s="1" t="str">
        <f ca="1">IFERROR(__xludf.DUMMYFUNCTION("GOOGLETRANSLATE(English!B9, ""en"", ""bg"")"),"химия")</f>
        <v>химия</v>
      </c>
      <c r="C9" s="1" t="str">
        <f ca="1">IFERROR(__xludf.DUMMYFUNCTION("GOOGLETRANSLATE(English!C9, ""en"", ""bg"")"),"средата")</f>
        <v>средата</v>
      </c>
      <c r="D9" s="1" t="str">
        <f ca="1">IFERROR(__xludf.DUMMYFUNCTION("GOOGLETRANSLATE(English!D9, ""en"", ""bg"")"),"киселини и основи")</f>
        <v>киселини и основи</v>
      </c>
      <c r="E9" s="1" t="str">
        <f ca="1">IFERROR(__xludf.DUMMYFUNCTION("GOOGLETRANSLATE(English!E9, ""en"", ""bg"")"),"Можете ли да ми помогнете да разбера понятията киселини и основи?")</f>
        <v>Можете ли да ми помогнете да разбера понятията киселини и основи?</v>
      </c>
      <c r="F9" s="1" t="str">
        <f ca="1">IFERROR(__xludf.DUMMYFUNCTION("GOOGLETRANSLATE(English!F9,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9" s="1" t="str">
        <f ca="1">IFERROR(__xludf.DUMMYFUNCTION("GOOGLETRANSLATE(English!G9, ""en"", ""bg"")"),"direct_qa")</f>
        <v>direct_qa</v>
      </c>
      <c r="H9" s="1" t="str">
        <f ca="1">IFERROR(__xludf.DUMMYFUNCTION("GOOGLETRANSLATE(English!H9, ""en"", ""bg"")"),"заявка_за_знание")</f>
        <v>заявка_за_знание</v>
      </c>
    </row>
    <row r="10" spans="1:8" x14ac:dyDescent="0.25">
      <c r="A10" s="1" t="str">
        <f ca="1">IFERROR(__xludf.DUMMYFUNCTION("GOOGLETRANSLATE(English!A10, ""en"", ""bg"")"),"conv_14547")</f>
        <v>conv_14547</v>
      </c>
      <c r="B10" s="1" t="str">
        <f ca="1">IFERROR(__xludf.DUMMYFUNCTION("GOOGLETRANSLATE(English!B10, ""en"", ""bg"")"),"биология")</f>
        <v>биология</v>
      </c>
      <c r="C10" s="1" t="str">
        <f ca="1">IFERROR(__xludf.DUMMYFUNCTION("GOOGLETRANSLATE(English!C10, ""en"", ""bg"")"),"елементарен")</f>
        <v>елементарен</v>
      </c>
      <c r="D10" s="1" t="str">
        <f ca="1">IFERROR(__xludf.DUMMYFUNCTION("GOOGLETRANSLATE(English!D10, ""en"", ""bg"")"),"домашни любимци срещу диви животни")</f>
        <v>домашни любимци срещу диви животни</v>
      </c>
      <c r="E10" s="1" t="str">
        <f ca="1">IFERROR(__xludf.DUMMYFUNCTION("GOOGLETRANSLATE(English!E10, ""en"", ""bg"")"),"Помогнете ми да уча за теста си. Защо домашните любимци срещу дивите животни са важни в биологията?")</f>
        <v>Помогнете ми да уча за теста си. Защо домашните любимци срещу дивите животни са важни в биологията?</v>
      </c>
      <c r="F10" s="1" t="str">
        <f ca="1">IFERROR(__xludf.DUMMYFUNCTION("GOOGLETRANSLATE(English!F10,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10" s="1" t="str">
        <f ca="1">IFERROR(__xludf.DUMMYFUNCTION("GOOGLETRANSLATE(English!G10, ""en"", ""bg"")"),"разговор")</f>
        <v>разговор</v>
      </c>
      <c r="H10" s="1" t="str">
        <f ca="1">IFERROR(__xludf.DUMMYFUNCTION("GOOGLETRANSLATE(English!H10, ""en"", ""bg"")"),"образователна_помощ")</f>
        <v>образователна_помощ</v>
      </c>
    </row>
    <row r="11" spans="1:8" x14ac:dyDescent="0.25">
      <c r="A11" s="1" t="str">
        <f ca="1">IFERROR(__xludf.DUMMYFUNCTION("GOOGLETRANSLATE(English!A11, ""en"", ""bg"")"),"qa_01485")</f>
        <v>qa_01485</v>
      </c>
      <c r="B11" s="1" t="str">
        <f ca="1">IFERROR(__xludf.DUMMYFUNCTION("GOOGLETRANSLATE(English!B11, ""en"", ""bg"")"),"физика")</f>
        <v>физика</v>
      </c>
      <c r="C11" s="1" t="str">
        <f ca="1">IFERROR(__xludf.DUMMYFUNCTION("GOOGLETRANSLATE(English!C11, ""en"", ""bg"")"),"елементарен")</f>
        <v>елементарен</v>
      </c>
      <c r="D11" s="1" t="str">
        <f ca="1">IFERROR(__xludf.DUMMYFUNCTION("GOOGLETRANSLATE(English!D11, ""en"", ""bg"")"),"магнити")</f>
        <v>магнити</v>
      </c>
      <c r="E11" s="1" t="str">
        <f ca="1">IFERROR(__xludf.DUMMYFUNCTION("GOOGLETRANSLATE(English!E11, ""en"", ""bg"")"),"Как работят магнитите?")</f>
        <v>Как работят магнитите?</v>
      </c>
      <c r="F11" s="1" t="str">
        <f ca="1">IFERROR(__xludf.DUMMYFUNCTION("GOOGLETRANSLATE(English!F11,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11" s="1" t="str">
        <f ca="1">IFERROR(__xludf.DUMMYFUNCTION("GOOGLETRANSLATE(English!G11, ""en"", ""bg"")"),"direct_qa")</f>
        <v>direct_qa</v>
      </c>
      <c r="H11" s="1" t="str">
        <f ca="1">IFERROR(__xludf.DUMMYFUNCTION("GOOGLETRANSLATE(English!H11, ""en"", ""bg"")"),"заявка_за_знание")</f>
        <v>заявка_за_знание</v>
      </c>
    </row>
    <row r="12" spans="1:8" x14ac:dyDescent="0.25">
      <c r="A12" s="1" t="str">
        <f ca="1">IFERROR(__xludf.DUMMYFUNCTION("GOOGLETRANSLATE(English!A12, ""en"", ""bg"")"),"hw_02346")</f>
        <v>hw_02346</v>
      </c>
      <c r="B12" s="1" t="str">
        <f ca="1">IFERROR(__xludf.DUMMYFUNCTION("GOOGLETRANSLATE(English!B12, ""en"", ""bg"")"),"физика")</f>
        <v>физика</v>
      </c>
      <c r="C12" s="1" t="str">
        <f ca="1">IFERROR(__xludf.DUMMYFUNCTION("GOOGLETRANSLATE(English!C12, ""en"", ""bg"")"),"елементарен")</f>
        <v>елементарен</v>
      </c>
      <c r="D12" s="1" t="str">
        <f ca="1">IFERROR(__xludf.DUMMYFUNCTION("GOOGLETRANSLATE(English!D12, ""en"", ""bg"")"),"светлина и сянка")</f>
        <v>светлина и сянка</v>
      </c>
      <c r="E12" s="1" t="str">
        <f ca="1">IFERROR(__xludf.DUMMYFUNCTION("GOOGLETRANSLATE(English!E12,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12" s="1" t="str">
        <f ca="1">IFERROR(__xludf.DUMMYFUNCTION("GOOGLETRANSLATE(English!F12,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12" s="1" t="str">
        <f ca="1">IFERROR(__xludf.DUMMYFUNCTION("GOOGLETRANSLATE(English!G12, ""en"", ""bg"")"),"помощ_за_домашно_изпълнение")</f>
        <v>помощ_за_домашно_изпълнение</v>
      </c>
      <c r="H12" s="1" t="str">
        <f ca="1">IFERROR(__xludf.DUMMYFUNCTION("GOOGLETRANSLATE(English!H12, ""en"", ""bg"")"),"помощ_за_домашно_задаване")</f>
        <v>помощ_за_домашно_задаване</v>
      </c>
    </row>
    <row r="13" spans="1:8" x14ac:dyDescent="0.25">
      <c r="A13" s="1" t="str">
        <f ca="1">IFERROR(__xludf.DUMMYFUNCTION("GOOGLETRANSLATE(English!A13, ""en"", ""bg"")"),"qa_02446")</f>
        <v>qa_02446</v>
      </c>
      <c r="B13" s="1" t="str">
        <f ca="1">IFERROR(__xludf.DUMMYFUNCTION("GOOGLETRANSLATE(English!B13, ""en"", ""bg"")"),"химия")</f>
        <v>химия</v>
      </c>
      <c r="C13" s="1" t="str">
        <f ca="1">IFERROR(__xludf.DUMMYFUNCTION("GOOGLETRANSLATE(English!C13, ""en"", ""bg"")"),"елементарен")</f>
        <v>елементарен</v>
      </c>
      <c r="D13" s="1" t="str">
        <f ca="1">IFERROR(__xludf.DUMMYFUNCTION("GOOGLETRANSLATE(English!D13, ""en"", ""bg"")"),"безопасност")</f>
        <v>безопасност</v>
      </c>
      <c r="E13" s="1" t="str">
        <f ca="1">IFERROR(__xludf.DUMMYFUNCTION("GOOGLETRANSLATE(English!E13, ""en"", ""bg"")"),"Защо е важно да се учим за безопасността?")</f>
        <v>Защо е важно да се учим за безопасността?</v>
      </c>
      <c r="F13" s="1" t="str">
        <f ca="1">IFERROR(__xludf.DUMMYFUNCTION("GOOGLETRANSLATE(English!F13,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13" s="1" t="str">
        <f ca="1">IFERROR(__xludf.DUMMYFUNCTION("GOOGLETRANSLATE(English!G13, ""en"", ""bg"")"),"direct_qa")</f>
        <v>direct_qa</v>
      </c>
      <c r="H13" s="1" t="str">
        <f ca="1">IFERROR(__xludf.DUMMYFUNCTION("GOOGLETRANSLATE(English!H13, ""en"", ""bg"")"),"заявка_за_знание")</f>
        <v>заявка_за_знание</v>
      </c>
    </row>
    <row r="14" spans="1:8" x14ac:dyDescent="0.25">
      <c r="A14" s="1" t="str">
        <f ca="1">IFERROR(__xludf.DUMMYFUNCTION("GOOGLETRANSLATE(English!A14, ""en"", ""bg"")"),"hw_09885")</f>
        <v>hw_09885</v>
      </c>
      <c r="B14" s="1" t="str">
        <f ca="1">IFERROR(__xludf.DUMMYFUNCTION("GOOGLETRANSLATE(English!B14, ""en"", ""bg"")"),"физика")</f>
        <v>физика</v>
      </c>
      <c r="C14" s="1" t="str">
        <f ca="1">IFERROR(__xludf.DUMMYFUNCTION("GOOGLETRANSLATE(English!C14, ""en"", ""bg"")"),"средата")</f>
        <v>средата</v>
      </c>
      <c r="D14" s="1" t="str">
        <f ca="1">IFERROR(__xludf.DUMMYFUNCTION("GOOGLETRANSLATE(English!D14, ""en"", ""bg"")"),"сили и движение")</f>
        <v>сили и движение</v>
      </c>
      <c r="E14" s="1" t="str">
        <f ca="1">IFERROR(__xludf.DUMMYFUNCTION("GOOGLETRANSLATE(English!E14, ""en"", ""bg"")"),"Домашното ми по физика е за сили и движение. Объркващо е!")</f>
        <v>Домашното ми по физика е за сили и движение. Объркващо е!</v>
      </c>
      <c r="F14" s="1" t="str">
        <f ca="1">IFERROR(__xludf.DUMMYFUNCTION("GOOGLETRANSLATE(English!F14,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14" s="1" t="str">
        <f ca="1">IFERROR(__xludf.DUMMYFUNCTION("GOOGLETRANSLATE(English!G14, ""en"", ""bg"")"),"помощ_за_домашно_изпълнение")</f>
        <v>помощ_за_домашно_изпълнение</v>
      </c>
      <c r="H14" s="1" t="str">
        <f ca="1">IFERROR(__xludf.DUMMYFUNCTION("GOOGLETRANSLATE(English!H14, ""en"", ""bg"")"),"помощ_за_домашно_задаване")</f>
        <v>помощ_за_домашно_задаване</v>
      </c>
    </row>
    <row r="15" spans="1:8" x14ac:dyDescent="0.25">
      <c r="A15" s="1" t="str">
        <f ca="1">IFERROR(__xludf.DUMMYFUNCTION("GOOGLETRANSLATE(English!A15, ""en"", ""bg"")"),"qa_02963")</f>
        <v>qa_02963</v>
      </c>
      <c r="B15" s="1" t="str">
        <f ca="1">IFERROR(__xludf.DUMMYFUNCTION("GOOGLETRANSLATE(English!B15, ""en"", ""bg"")"),"физика")</f>
        <v>физика</v>
      </c>
      <c r="C15" s="1" t="str">
        <f ca="1">IFERROR(__xludf.DUMMYFUNCTION("GOOGLETRANSLATE(English!C15, ""en"", ""bg"")"),"елементарен")</f>
        <v>елементарен</v>
      </c>
      <c r="D15" s="1" t="str">
        <f ca="1">IFERROR(__xludf.DUMMYFUNCTION("GOOGLETRANSLATE(English!D15, ""en"", ""bg"")"),"магнити")</f>
        <v>магнити</v>
      </c>
      <c r="E15" s="1" t="str">
        <f ca="1">IFERROR(__xludf.DUMMYFUNCTION("GOOGLETRANSLATE(English!E15, ""en"", ""bg"")"),"Какво се случва, когато сложите два магнита заедно?")</f>
        <v>Какво се случва, когато сложите два магнита заедно?</v>
      </c>
      <c r="F15" s="1" t="str">
        <f ca="1">IFERROR(__xludf.DUMMYFUNCTION("GOOGLETRANSLATE(English!F15, ""en"", ""bg"")"),"Когато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друг!")</f>
        <v>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</v>
      </c>
      <c r="G15" s="1" t="str">
        <f ca="1">IFERROR(__xludf.DUMMYFUNCTION("GOOGLETRANSLATE(English!G15, ""en"", ""bg"")"),"direct_qa")</f>
        <v>direct_qa</v>
      </c>
      <c r="H15" s="1" t="str">
        <f ca="1">IFERROR(__xludf.DUMMYFUNCTION("GOOGLETRANSLATE(English!H15, ""en"", ""bg"")"),"заявка_за_знание")</f>
        <v>заявка_за_знание</v>
      </c>
    </row>
    <row r="16" spans="1:8" x14ac:dyDescent="0.25">
      <c r="A16" s="1" t="str">
        <f ca="1">IFERROR(__xludf.DUMMYFUNCTION("GOOGLETRANSLATE(English!A16, ""en"", ""bg"")"),"conv_09631")</f>
        <v>conv_09631</v>
      </c>
      <c r="B16" s="1" t="str">
        <f ca="1">IFERROR(__xludf.DUMMYFUNCTION("GOOGLETRANSLATE(English!B16, ""en"", ""bg"")"),"биология")</f>
        <v>биология</v>
      </c>
      <c r="C16" s="1" t="str">
        <f ca="1">IFERROR(__xludf.DUMMYFUNCTION("GOOGLETRANSLATE(English!C16, ""en"", ""bg"")"),"елементарен")</f>
        <v>елементарен</v>
      </c>
      <c r="D16" s="1" t="str">
        <f ca="1">IFERROR(__xludf.DUMMYFUNCTION("GOOGLETRANSLATE(English!D16, ""en"", ""bg"")"),"домашни любимци срещу диви животни")</f>
        <v>домашни любимци срещу диви животни</v>
      </c>
      <c r="E16" s="1" t="str">
        <f ca="1">IFERROR(__xludf.DUMMYFUNCTION("GOOGLETRANSLATE(English!E16, ""en"", ""bg"")"),"Не разбирам тази тема. Какво е важно да знаем за домашните любимци спрямо дивите животни?")</f>
        <v>Не разбирам тази тема. Какво е важно да знаем за домашните любимци спрямо дивите животни?</v>
      </c>
      <c r="F16" s="1" t="str">
        <f ca="1">IFERROR(__xludf.DUMMYFUNCTION("GOOGLETRANSLATE(English!F16,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16" s="1" t="str">
        <f ca="1">IFERROR(__xludf.DUMMYFUNCTION("GOOGLETRANSLATE(English!G16, ""en"", ""bg"")"),"разговор")</f>
        <v>разговор</v>
      </c>
      <c r="H16" s="1" t="str">
        <f ca="1">IFERROR(__xludf.DUMMYFUNCTION("GOOGLETRANSLATE(English!H16, ""en"", ""bg"")"),"образователна_помощ")</f>
        <v>образователна_помощ</v>
      </c>
    </row>
    <row r="17" spans="1:8" x14ac:dyDescent="0.25">
      <c r="A17" s="1" t="str">
        <f ca="1">IFERROR(__xludf.DUMMYFUNCTION("GOOGLETRANSLATE(English!A17, ""en"", ""bg"")"),"conv_06722")</f>
        <v>conv_06722</v>
      </c>
      <c r="B17" s="1" t="str">
        <f ca="1">IFERROR(__xludf.DUMMYFUNCTION("GOOGLETRANSLATE(English!B17, ""en"", ""bg"")"),"химия")</f>
        <v>химия</v>
      </c>
      <c r="C17" s="1" t="str">
        <f ca="1">IFERROR(__xludf.DUMMYFUNCTION("GOOGLETRANSLATE(English!C17, ""en"", ""bg"")"),"средата")</f>
        <v>средата</v>
      </c>
      <c r="D17" s="1" t="str">
        <f ca="1">IFERROR(__xludf.DUMMYFUNCTION("GOOGLETRANSLATE(English!D17, ""en"", ""bg"")"),"атоми и молекули")</f>
        <v>атоми и молекули</v>
      </c>
      <c r="E17" s="1" t="str">
        <f ca="1">IFERROR(__xludf.DUMMYFUNCTION("GOOGLETRANSLATE(English!E17, ""en"", ""bg"")"),"Помогнете ми да уча за теста си. Коя е най-малката част от един елемент?")</f>
        <v>Помогнете ми да уча за теста си. Коя е най-малката част от един елемент?</v>
      </c>
      <c r="F17" s="1" t="str">
        <f ca="1">IFERROR(__xludf.DUMMYFUNCTION("GOOGLETRANSLATE(English!F17,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17" s="1" t="str">
        <f ca="1">IFERROR(__xludf.DUMMYFUNCTION("GOOGLETRANSLATE(English!G17, ""en"", ""bg"")"),"разговор")</f>
        <v>разговор</v>
      </c>
      <c r="H17" s="1" t="str">
        <f ca="1">IFERROR(__xludf.DUMMYFUNCTION("GOOGLETRANSLATE(English!H17, ""en"", ""bg"")"),"образователна_помощ")</f>
        <v>образователна_помощ</v>
      </c>
    </row>
    <row r="18" spans="1:8" x14ac:dyDescent="0.25">
      <c r="A18" s="1" t="str">
        <f ca="1">IFERROR(__xludf.DUMMYFUNCTION("GOOGLETRANSLATE(English!A18, ""en"", ""bg"")"),"qa_10810")</f>
        <v>qa_10810</v>
      </c>
      <c r="B18" s="1" t="str">
        <f ca="1">IFERROR(__xludf.DUMMYFUNCTION("GOOGLETRANSLATE(English!B18, ""en"", ""bg"")"),"физика")</f>
        <v>физика</v>
      </c>
      <c r="C18" s="1" t="str">
        <f ca="1">IFERROR(__xludf.DUMMYFUNCTION("GOOGLETRANSLATE(English!C18, ""en"", ""bg"")"),"високо")</f>
        <v>високо</v>
      </c>
      <c r="D18" s="1" t="str">
        <f ca="1">IFERROR(__xludf.DUMMYFUNCTION("GOOGLETRANSLATE(English!D18, ""en"", ""bg"")"),"електромагнетизъм")</f>
        <v>електромагнетизъм</v>
      </c>
      <c r="E18" s="1" t="str">
        <f ca="1">IFERROR(__xludf.DUMMYFUNCTION("GOOGLETRANSLATE(English!E18, ""en"", ""bg"")"),"Защо електромагнетизмът е важен?")</f>
        <v>Защо електромагнетизмът е важен?</v>
      </c>
      <c r="F18" s="1" t="str">
        <f ca="1">IFERROR(__xludf.DUMMYFUNCTION("GOOGLETRANSLATE(English!F18,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18" s="1" t="str">
        <f ca="1">IFERROR(__xludf.DUMMYFUNCTION("GOOGLETRANSLATE(English!G18, ""en"", ""bg"")"),"direct_qa")</f>
        <v>direct_qa</v>
      </c>
      <c r="H18" s="1" t="str">
        <f ca="1">IFERROR(__xludf.DUMMYFUNCTION("GOOGLETRANSLATE(English!H18, ""en"", ""bg"")"),"заявка_за_знание")</f>
        <v>заявка_за_знание</v>
      </c>
    </row>
    <row r="19" spans="1:8" x14ac:dyDescent="0.25">
      <c r="A19" s="1" t="str">
        <f ca="1">IFERROR(__xludf.DUMMYFUNCTION("GOOGLETRANSLATE(English!A19, ""en"", ""bg"")"),"conv_02506")</f>
        <v>conv_02506</v>
      </c>
      <c r="B19" s="1" t="str">
        <f ca="1">IFERROR(__xludf.DUMMYFUNCTION("GOOGLETRANSLATE(English!B19, ""en"", ""bg"")"),"химия")</f>
        <v>химия</v>
      </c>
      <c r="C19" s="1" t="str">
        <f ca="1">IFERROR(__xludf.DUMMYFUNCTION("GOOGLETRANSLATE(English!C19, ""en"", ""bg"")"),"средата")</f>
        <v>средата</v>
      </c>
      <c r="D19" s="1" t="str">
        <f ca="1">IFERROR(__xludf.DUMMYFUNCTION("GOOGLETRANSLATE(English!D19, ""en"", ""bg"")"),"химични промени")</f>
        <v>химични промени</v>
      </c>
      <c r="E19" s="1" t="str">
        <f ca="1">IFERROR(__xludf.DUMMYFUNCTION("GOOGLETRANSLATE(English!E19, ""en"", ""bg"")"),"Здравей, преподавателю! Какво представляват химичните промени?")</f>
        <v>Здравей, преподавателю! Какво представляват химичните промени?</v>
      </c>
      <c r="F19" s="1" t="str">
        <f ca="1">IFERROR(__xludf.DUMMYFUNCTION("GOOGLETRANSLATE(English!F19,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19" s="1" t="str">
        <f ca="1">IFERROR(__xludf.DUMMYFUNCTION("GOOGLETRANSLATE(English!G19, ""en"", ""bg"")"),"разговор")</f>
        <v>разговор</v>
      </c>
      <c r="H19" s="1" t="str">
        <f ca="1">IFERROR(__xludf.DUMMYFUNCTION("GOOGLETRANSLATE(English!H19, ""en"", ""bg"")"),"образователна_помощ")</f>
        <v>образователна_помощ</v>
      </c>
    </row>
    <row r="20" spans="1:8" x14ac:dyDescent="0.25">
      <c r="A20" s="1" t="str">
        <f ca="1">IFERROR(__xludf.DUMMYFUNCTION("GOOGLETRANSLATE(English!A20, ""en"", ""bg"")"),"conv_06706")</f>
        <v>conv_06706</v>
      </c>
      <c r="B20" s="1" t="str">
        <f ca="1">IFERROR(__xludf.DUMMYFUNCTION("GOOGLETRANSLATE(English!B20, ""en"", ""bg"")"),"химия")</f>
        <v>химия</v>
      </c>
      <c r="C20" s="1" t="str">
        <f ca="1">IFERROR(__xludf.DUMMYFUNCTION("GOOGLETRANSLATE(English!C20, ""en"", ""bg"")"),"високо")</f>
        <v>високо</v>
      </c>
      <c r="D20" s="1" t="str">
        <f ca="1">IFERROR(__xludf.DUMMYFUNCTION("GOOGLETRANSLATE(English!D20, ""en"", ""bg"")"),"равновесие")</f>
        <v>равновесие</v>
      </c>
      <c r="E20" s="1" t="str">
        <f ca="1">IFERROR(__xludf.DUMMYFUNCTION("GOOGLETRANSLATE(English!E20, ""en"", ""bg"")"),"Можете ли да ми обясните това? Какво е равновесие?")</f>
        <v>Можете ли да ми обясните това? Какво е равновесие?</v>
      </c>
      <c r="F20" s="1" t="str">
        <f ca="1">IFERROR(__xludf.DUMMYFUNCTION("GOOGLETRANSLATE(English!F20,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20" s="1" t="str">
        <f ca="1">IFERROR(__xludf.DUMMYFUNCTION("GOOGLETRANSLATE(English!G20, ""en"", ""bg"")"),"разговор")</f>
        <v>разговор</v>
      </c>
      <c r="H20" s="1" t="str">
        <f ca="1">IFERROR(__xludf.DUMMYFUNCTION("GOOGLETRANSLATE(English!H20, ""en"", ""bg"")"),"образователна_помощ")</f>
        <v>образователна_помощ</v>
      </c>
    </row>
    <row r="21" spans="1:8" x14ac:dyDescent="0.25">
      <c r="A21" s="1" t="str">
        <f ca="1">IFERROR(__xludf.DUMMYFUNCTION("GOOGLETRANSLATE(English!A21, ""en"", ""bg"")"),"conv_05898")</f>
        <v>conv_05898</v>
      </c>
      <c r="B21" s="1" t="str">
        <f ca="1">IFERROR(__xludf.DUMMYFUNCTION("GOOGLETRANSLATE(English!B21, ""en"", ""bg"")"),"биология")</f>
        <v>биология</v>
      </c>
      <c r="C21" s="1" t="str">
        <f ca="1">IFERROR(__xludf.DUMMYFUNCTION("GOOGLETRANSLATE(English!C21, ""en"", ""bg"")"),"високо")</f>
        <v>високо</v>
      </c>
      <c r="D21" s="1" t="str">
        <f ca="1">IFERROR(__xludf.DUMMYFUNCTION("GOOGLETRANSLATE(English!D21, ""en"", ""bg"")"),"модели на наследяване")</f>
        <v>модели на наследяване</v>
      </c>
      <c r="E21" s="1" t="str">
        <f ca="1">IFERROR(__xludf.DUMMYFUNCTION("GOOGLETRANSLATE(English!E21, ""en"", ""bg"")"),"Можете ли да ми помогнете? Защо моделите на наследяване са важни в биологията?")</f>
        <v>Можете ли да ми помогнете? Защо моделите на наследяване са важни в биологията?</v>
      </c>
      <c r="F21" s="1" t="str">
        <f ca="1">IFERROR(__xludf.DUMMYFUNCTION("GOOGLETRANSLATE(English!F21,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21" s="1" t="str">
        <f ca="1">IFERROR(__xludf.DUMMYFUNCTION("GOOGLETRANSLATE(English!G21, ""en"", ""bg"")"),"разговор")</f>
        <v>разговор</v>
      </c>
      <c r="H21" s="1" t="str">
        <f ca="1">IFERROR(__xludf.DUMMYFUNCTION("GOOGLETRANSLATE(English!H21, ""en"", ""bg"")"),"образователна_помощ")</f>
        <v>образователна_помощ</v>
      </c>
    </row>
    <row r="22" spans="1:8" x14ac:dyDescent="0.25">
      <c r="A22" s="1" t="str">
        <f ca="1">IFERROR(__xludf.DUMMYFUNCTION("GOOGLETRANSLATE(English!A22, ""en"", ""bg"")"),"conv_17531")</f>
        <v>conv_17531</v>
      </c>
      <c r="B22" s="1" t="str">
        <f ca="1">IFERROR(__xludf.DUMMYFUNCTION("GOOGLETRANSLATE(English!B22, ""en"", ""bg"")"),"физика")</f>
        <v>физика</v>
      </c>
      <c r="C22" s="1" t="str">
        <f ca="1">IFERROR(__xludf.DUMMYFUNCTION("GOOGLETRANSLATE(English!C22, ""en"", ""bg"")"),"елементарен")</f>
        <v>елементарен</v>
      </c>
      <c r="D22" s="1" t="str">
        <f ca="1">IFERROR(__xludf.DUMMYFUNCTION("GOOGLETRANSLATE(English!D22, ""en"", ""bg"")"),"горещо и студено")</f>
        <v>горещо и студено</v>
      </c>
      <c r="E22" s="1" t="str">
        <f ca="1">IFERROR(__xludf.DUMMYFUNCTION("GOOGLETRANSLATE(English!E22, ""en"", ""bg"")"),"Имам научен въпрос. Защо е важно топлото и студеното?")</f>
        <v>Имам научен въпрос. Защо е важно топлото и студеното?</v>
      </c>
      <c r="F22" s="1" t="str">
        <f ca="1">IFERROR(__xludf.DUMMYFUNCTION("GOOGLETRANSLATE(English!F22,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22" s="1" t="str">
        <f ca="1">IFERROR(__xludf.DUMMYFUNCTION("GOOGLETRANSLATE(English!G22, ""en"", ""bg"")"),"разговор")</f>
        <v>разговор</v>
      </c>
      <c r="H22" s="1" t="str">
        <f ca="1">IFERROR(__xludf.DUMMYFUNCTION("GOOGLETRANSLATE(English!H22, ""en"", ""bg"")"),"образователна_помощ")</f>
        <v>образователна_помощ</v>
      </c>
    </row>
    <row r="23" spans="1:8" x14ac:dyDescent="0.25">
      <c r="A23" s="1" t="str">
        <f ca="1">IFERROR(__xludf.DUMMYFUNCTION("GOOGLETRANSLATE(English!A23, ""en"", ""bg"")"),"hw_11089")</f>
        <v>hw_11089</v>
      </c>
      <c r="B23" s="1" t="str">
        <f ca="1">IFERROR(__xludf.DUMMYFUNCTION("GOOGLETRANSLATE(English!B23, ""en"", ""bg"")"),"химия")</f>
        <v>химия</v>
      </c>
      <c r="C23" s="1" t="str">
        <f ca="1">IFERROR(__xludf.DUMMYFUNCTION("GOOGLETRANSLATE(English!C23, ""en"", ""bg"")"),"елементарен")</f>
        <v>елементарен</v>
      </c>
      <c r="D23" s="1" t="str">
        <f ca="1">IFERROR(__xludf.DUMMYFUNCTION("GOOGLETRANSLATE(English!D23, ""en"", ""bg"")"),"безопасност")</f>
        <v>безопасност</v>
      </c>
      <c r="E23" s="1" t="str">
        <f ca="1">IFERROR(__xludf.DUMMYFUNCTION("GOOGLETRANSLATE(English!E23, ""en"", ""bg"")"),"Можете ли да ми помогнете с изчисленията за безопасност?")</f>
        <v>Можете ли да ми помогнете с изчисленията за безопасност?</v>
      </c>
      <c r="F23" s="1" t="str">
        <f ca="1">IFERROR(__xludf.DUMMYFUNCTION("GOOGLETRANSLATE(English!F23,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3" s="1" t="str">
        <f ca="1">IFERROR(__xludf.DUMMYFUNCTION("GOOGLETRANSLATE(English!G23, ""en"", ""bg"")"),"помощ_за_домашно_изпълнение")</f>
        <v>помощ_за_домашно_изпълнение</v>
      </c>
      <c r="H23" s="1" t="str">
        <f ca="1">IFERROR(__xludf.DUMMYFUNCTION("GOOGLETRANSLATE(English!H23, ""en"", ""bg"")"),"помощ_за_домашно_задаване")</f>
        <v>помощ_за_домашно_задаване</v>
      </c>
    </row>
    <row r="24" spans="1:8" x14ac:dyDescent="0.25">
      <c r="A24" s="1" t="str">
        <f ca="1">IFERROR(__xludf.DUMMYFUNCTION("GOOGLETRANSLATE(English!A24, ""en"", ""bg"")"),"qa_00444")</f>
        <v>qa_00444</v>
      </c>
      <c r="B24" s="1" t="str">
        <f ca="1">IFERROR(__xludf.DUMMYFUNCTION("GOOGLETRANSLATE(English!B24, ""en"", ""bg"")"),"химия")</f>
        <v>химия</v>
      </c>
      <c r="C24" s="1" t="str">
        <f ca="1">IFERROR(__xludf.DUMMYFUNCTION("GOOGLETRANSLATE(English!C24, ""en"", ""bg"")"),"високо")</f>
        <v>високо</v>
      </c>
      <c r="D24" s="1" t="str">
        <f ca="1">IFERROR(__xludf.DUMMYFUNCTION("GOOGLETRANSLATE(English!D24, ""en"", ""bg"")"),"органична химия")</f>
        <v>органична химия</v>
      </c>
      <c r="E24" s="1" t="str">
        <f ca="1">IFERROR(__xludf.DUMMYFUNCTION("GOOGLETRANSLATE(English!E24, ""en"", ""bg"")"),"Защо е важно да се учи органична химия?")</f>
        <v>Защо е важно да се учи органична химия?</v>
      </c>
      <c r="F24" s="1" t="str">
        <f ca="1">IFERROR(__xludf.DUMMYFUNCTION("GOOGLETRANSLATE(English!F24,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24" s="1" t="str">
        <f ca="1">IFERROR(__xludf.DUMMYFUNCTION("GOOGLETRANSLATE(English!G24, ""en"", ""bg"")"),"direct_qa")</f>
        <v>direct_qa</v>
      </c>
      <c r="H24" s="1" t="str">
        <f ca="1">IFERROR(__xludf.DUMMYFUNCTION("GOOGLETRANSLATE(English!H24, ""en"", ""bg"")"),"заявка_за_знание")</f>
        <v>заявка_за_знание</v>
      </c>
    </row>
    <row r="25" spans="1:8" x14ac:dyDescent="0.25">
      <c r="A25" s="1" t="str">
        <f ca="1">IFERROR(__xludf.DUMMYFUNCTION("GOOGLETRANSLATE(English!A25, ""en"", ""bg"")"),"qa_11586")</f>
        <v>qa_11586</v>
      </c>
      <c r="B25" s="1" t="str">
        <f ca="1">IFERROR(__xludf.DUMMYFUNCTION("GOOGLETRANSLATE(English!B25, ""en"", ""bg"")"),"физика")</f>
        <v>физика</v>
      </c>
      <c r="C25" s="1" t="str">
        <f ca="1">IFERROR(__xludf.DUMMYFUNCTION("GOOGLETRANSLATE(English!C25, ""en"", ""bg"")"),"средата")</f>
        <v>средата</v>
      </c>
      <c r="D25" s="1" t="str">
        <f ca="1">IFERROR(__xludf.DUMMYFUNCTION("GOOGLETRANSLATE(English!D25, ""en"", ""bg"")"),"сили и движение")</f>
        <v>сили и движение</v>
      </c>
      <c r="E25" s="1" t="str">
        <f ca="1">IFERROR(__xludf.DUMMYFUNCTION("GOOGLETRANSLATE(English!E25, ""en"", ""bg"")"),"Защо обектите падат с еднаква скорост?")</f>
        <v>Защо обектите падат с еднаква скорост?</v>
      </c>
      <c r="F25" s="1" t="str">
        <f ca="1">IFERROR(__xludf.DUMMYFUNCTION("GOOGLETRANSLATE(English!F25,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25" s="1" t="str">
        <f ca="1">IFERROR(__xludf.DUMMYFUNCTION("GOOGLETRANSLATE(English!G25, ""en"", ""bg"")"),"direct_qa")</f>
        <v>direct_qa</v>
      </c>
      <c r="H25" s="1" t="str">
        <f ca="1">IFERROR(__xludf.DUMMYFUNCTION("GOOGLETRANSLATE(English!H25, ""en"", ""bg"")"),"заявка_за_знание")</f>
        <v>заявка_за_знание</v>
      </c>
    </row>
    <row r="26" spans="1:8" x14ac:dyDescent="0.25">
      <c r="A26" s="1" t="str">
        <f ca="1">IFERROR(__xludf.DUMMYFUNCTION("GOOGLETRANSLATE(English!A26, ""en"", ""bg"")"),"hw_10532")</f>
        <v>hw_10532</v>
      </c>
      <c r="B26" s="1" t="str">
        <f ca="1">IFERROR(__xludf.DUMMYFUNCTION("GOOGLETRANSLATE(English!B26, ""en"", ""bg"")"),"биология")</f>
        <v>биология</v>
      </c>
      <c r="C26" s="1" t="str">
        <f ca="1">IFERROR(__xludf.DUMMYFUNCTION("GOOGLETRANSLATE(English!C26, ""en"", ""bg"")"),"елементарен")</f>
        <v>елементарен</v>
      </c>
      <c r="D26" s="1" t="str">
        <f ca="1">IFERROR(__xludf.DUMMYFUNCTION("GOOGLETRANSLATE(English!D26, ""en"", ""bg"")"),"основни нужди")</f>
        <v>основни нужди</v>
      </c>
      <c r="E26" s="1" t="str">
        <f ca="1">IFERROR(__xludf.DUMMYFUNCTION("GOOGLETRANSLATE(English!E26, ""en"", ""bg"")"),"Можете ли да обясните основните изисквания за моя научен проект?")</f>
        <v>Можете ли да обясните основните изисквания за моя научен проект?</v>
      </c>
      <c r="F26" s="1" t="str">
        <f ca="1">IFERROR(__xludf.DUMMYFUNCTION("GOOGLETRANSLATE(English!F26,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26" s="1" t="str">
        <f ca="1">IFERROR(__xludf.DUMMYFUNCTION("GOOGLETRANSLATE(English!G26, ""en"", ""bg"")"),"помощ_за_домашно_изпълнение")</f>
        <v>помощ_за_домашно_изпълнение</v>
      </c>
      <c r="H26" s="1" t="str">
        <f ca="1">IFERROR(__xludf.DUMMYFUNCTION("GOOGLETRANSLATE(English!H26, ""en"", ""bg"")"),"помощ_за_домашно_задаване")</f>
        <v>помощ_за_домашно_задаване</v>
      </c>
    </row>
    <row r="27" spans="1:8" x14ac:dyDescent="0.25">
      <c r="A27" s="1" t="str">
        <f ca="1">IFERROR(__xludf.DUMMYFUNCTION("GOOGLETRANSLATE(English!A27, ""en"", ""bg"")"),"conv_17108")</f>
        <v>conv_17108</v>
      </c>
      <c r="B27" s="1" t="str">
        <f ca="1">IFERROR(__xludf.DUMMYFUNCTION("GOOGLETRANSLATE(English!B27, ""en"", ""bg"")"),"физика")</f>
        <v>физика</v>
      </c>
      <c r="C27" s="1" t="str">
        <f ca="1">IFERROR(__xludf.DUMMYFUNCTION("GOOGLETRANSLATE(English!C27, ""en"", ""bg"")"),"средата")</f>
        <v>средата</v>
      </c>
      <c r="D27" s="1" t="str">
        <f ca="1">IFERROR(__xludf.DUMMYFUNCTION("GOOGLETRANSLATE(English!D27, ""en"", ""bg"")"),"прости схеми")</f>
        <v>прости схеми</v>
      </c>
      <c r="E27" s="1" t="str">
        <f ca="1">IFERROR(__xludf.DUMMYFUNCTION("GOOGLETRANSLATE(English!E27, ""en"", ""bg"")"),"Имам нужда от помощ с домашното. Можете ли да ми обясните прости електрически вериги?")</f>
        <v>Имам нужда от помощ с домашното. Можете ли да ми обясните прости електрически вериги?</v>
      </c>
      <c r="F27" s="1" t="str">
        <f ca="1">IFERROR(__xludf.DUMMYFUNCTION("GOOGLETRANSLATE(English!F27, ""en"", ""bg"")"),"Простите електрически вериги са интересна физическа концепция, която ни помага да разберем как работят нещата в нашия свят!")</f>
        <v>Простите електрически вериги са интересна физическа концепция, която ни помага да разберем как работят нещата в нашия свят!</v>
      </c>
      <c r="G27" s="1" t="str">
        <f ca="1">IFERROR(__xludf.DUMMYFUNCTION("GOOGLETRANSLATE(English!G27, ""en"", ""bg"")"),"разговор")</f>
        <v>разговор</v>
      </c>
      <c r="H27" s="1" t="str">
        <f ca="1">IFERROR(__xludf.DUMMYFUNCTION("GOOGLETRANSLATE(English!H27, ""en"", ""bg"")"),"образователна_помощ")</f>
        <v>образователна_помощ</v>
      </c>
    </row>
    <row r="28" spans="1:8" x14ac:dyDescent="0.25">
      <c r="A28" s="1" t="str">
        <f ca="1">IFERROR(__xludf.DUMMYFUNCTION("GOOGLETRANSLATE(English!A28, ""en"", ""bg"")"),"hw_08406")</f>
        <v>hw_08406</v>
      </c>
      <c r="B28" s="1" t="str">
        <f ca="1">IFERROR(__xludf.DUMMYFUNCTION("GOOGLETRANSLATE(English!B28, ""en"", ""bg"")"),"биология")</f>
        <v>биология</v>
      </c>
      <c r="C28" s="1" t="str">
        <f ca="1">IFERROR(__xludf.DUMMYFUNCTION("GOOGLETRANSLATE(English!C28, ""en"", ""bg"")"),"елементарен")</f>
        <v>елементарен</v>
      </c>
      <c r="D28" s="1" t="str">
        <f ca="1">IFERROR(__xludf.DUMMYFUNCTION("GOOGLETRANSLATE(English!D28, ""en"", ""bg"")"),"хранителни вериги")</f>
        <v>хранителни вериги</v>
      </c>
      <c r="E28" s="1" t="str">
        <f ca="1">IFERROR(__xludf.DUMMYFUNCTION("GOOGLETRANSLATE(English!E28,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28" s="1" t="str">
        <f ca="1">IFERROR(__xludf.DUMMYFUNCTION("GOOGLETRANSLATE(English!F28,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28" s="1" t="str">
        <f ca="1">IFERROR(__xludf.DUMMYFUNCTION("GOOGLETRANSLATE(English!G28, ""en"", ""bg"")"),"помощ_за_домашно_изпълнение")</f>
        <v>помощ_за_домашно_изпълнение</v>
      </c>
      <c r="H28" s="1" t="str">
        <f ca="1">IFERROR(__xludf.DUMMYFUNCTION("GOOGLETRANSLATE(English!H28, ""en"", ""bg"")"),"помощ_за_домашно_задаване")</f>
        <v>помощ_за_домашно_задаване</v>
      </c>
    </row>
    <row r="29" spans="1:8" x14ac:dyDescent="0.25">
      <c r="A29" s="1" t="str">
        <f ca="1">IFERROR(__xludf.DUMMYFUNCTION("GOOGLETRANSLATE(English!A29, ""en"", ""bg"")"),"conv_00727")</f>
        <v>conv_00727</v>
      </c>
      <c r="B29" s="1" t="str">
        <f ca="1">IFERROR(__xludf.DUMMYFUNCTION("GOOGLETRANSLATE(English!B29, ""en"", ""bg"")"),"биология")</f>
        <v>биология</v>
      </c>
      <c r="C29" s="1" t="str">
        <f ca="1">IFERROR(__xludf.DUMMYFUNCTION("GOOGLETRANSLATE(English!C29, ""en"", ""bg"")"),"високо")</f>
        <v>високо</v>
      </c>
      <c r="D29" s="1" t="str">
        <f ca="1">IFERROR(__xludf.DUMMYFUNCTION("GOOGLETRANSLATE(English!D29, ""en"", ""bg"")"),"синтез на протеини")</f>
        <v>синтез на протеини</v>
      </c>
      <c r="E29" s="1" t="str">
        <f ca="1">IFERROR(__xludf.DUMMYFUNCTION("GOOGLETRANSLATE(English!E29, ""en"", ""bg"")"),"Можете ли да ми помогнете? Как работи синтезът на протеини?")</f>
        <v>Можете ли да ми помогнете? Как работи синтезът на протеини?</v>
      </c>
      <c r="F29" s="1" t="str">
        <f ca="1">IFERROR(__xludf.DUMMYFUNCTION("GOOGLETRANSLATE(English!F29,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29" s="1" t="str">
        <f ca="1">IFERROR(__xludf.DUMMYFUNCTION("GOOGLETRANSLATE(English!G29, ""en"", ""bg"")"),"разговор")</f>
        <v>разговор</v>
      </c>
      <c r="H29" s="1" t="str">
        <f ca="1">IFERROR(__xludf.DUMMYFUNCTION("GOOGLETRANSLATE(English!H29, ""en"", ""bg"")"),"образователна_помощ")</f>
        <v>образователна_помощ</v>
      </c>
    </row>
    <row r="30" spans="1:8" x14ac:dyDescent="0.25">
      <c r="A30" s="1" t="str">
        <f ca="1">IFERROR(__xludf.DUMMYFUNCTION("GOOGLETRANSLATE(English!A30, ""en"", ""bg"")"),"hw_06703")</f>
        <v>hw_06703</v>
      </c>
      <c r="B30" s="1" t="str">
        <f ca="1">IFERROR(__xludf.DUMMYFUNCTION("GOOGLETRANSLATE(English!B30, ""en"", ""bg"")"),"физика")</f>
        <v>физика</v>
      </c>
      <c r="C30" s="1" t="str">
        <f ca="1">IFERROR(__xludf.DUMMYFUNCTION("GOOGLETRANSLATE(English!C30, ""en"", ""bg"")"),"елементарен")</f>
        <v>елементарен</v>
      </c>
      <c r="D30" s="1" t="str">
        <f ca="1">IFERROR(__xludf.DUMMYFUNCTION("GOOGLETRANSLATE(English!D30, ""en"", ""bg"")"),"горещо и студено")</f>
        <v>горещо и студено</v>
      </c>
      <c r="E30" s="1" t="str">
        <f ca="1">IFERROR(__xludf.DUMMYFUNCTION("GOOGLETRANSLATE(English!E30, ""en"", ""bg"")"),"Домашното ми по физика е за горещо и студено. Объркващо е!")</f>
        <v>Домашното ми по физика е за горещо и студено. Объркващо е!</v>
      </c>
      <c r="F30" s="1" t="str">
        <f ca="1">IFERROR(__xludf.DUMMYFUNCTION("GOOGLETRANSLATE(English!F30,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0" s="1" t="str">
        <f ca="1">IFERROR(__xludf.DUMMYFUNCTION("GOOGLETRANSLATE(English!G30, ""en"", ""bg"")"),"помощ_за_домашно_изпълнение")</f>
        <v>помощ_за_домашно_изпълнение</v>
      </c>
      <c r="H30" s="1" t="str">
        <f ca="1">IFERROR(__xludf.DUMMYFUNCTION("GOOGLETRANSLATE(English!H30, ""en"", ""bg"")"),"помощ_за_домашно_задаване")</f>
        <v>помощ_за_домашно_задаване</v>
      </c>
    </row>
    <row r="31" spans="1:8" x14ac:dyDescent="0.25">
      <c r="A31" s="1" t="str">
        <f ca="1">IFERROR(__xludf.DUMMYFUNCTION("GOOGLETRANSLATE(English!A31, ""en"", ""bg"")"),"qa_00588")</f>
        <v>qa_00588</v>
      </c>
      <c r="B31" s="1" t="str">
        <f ca="1">IFERROR(__xludf.DUMMYFUNCTION("GOOGLETRANSLATE(English!B31, ""en"", ""bg"")"),"физика")</f>
        <v>физика</v>
      </c>
      <c r="C31" s="1" t="str">
        <f ca="1">IFERROR(__xludf.DUMMYFUNCTION("GOOGLETRANSLATE(English!C31, ""en"", ""bg"")"),"елементарен")</f>
        <v>елементарен</v>
      </c>
      <c r="D31" s="1" t="str">
        <f ca="1">IFERROR(__xludf.DUMMYFUNCTION("GOOGLETRANSLATE(English!D31, ""en"", ""bg"")"),"плаващ и потъващ")</f>
        <v>плаващ и потъващ</v>
      </c>
      <c r="E31" s="1" t="str">
        <f ca="1">IFERROR(__xludf.DUMMYFUNCTION("GOOGLETRANSLATE(English!E31, ""en"", ""bg"")"),"Как функционират плаването и потъването във физиката?")</f>
        <v>Как функционират плаването и потъването във физиката?</v>
      </c>
      <c r="F31" s="1" t="str">
        <f ca="1">IFERROR(__xludf.DUMMYFUNCTION("GOOGLETRANSLATE(English!F31,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31" s="1" t="str">
        <f ca="1">IFERROR(__xludf.DUMMYFUNCTION("GOOGLETRANSLATE(English!G31, ""en"", ""bg"")"),"direct_qa")</f>
        <v>direct_qa</v>
      </c>
      <c r="H31" s="1" t="str">
        <f ca="1">IFERROR(__xludf.DUMMYFUNCTION("GOOGLETRANSLATE(English!H31, ""en"", ""bg"")"),"заявка_за_знание")</f>
        <v>заявка_за_знание</v>
      </c>
    </row>
    <row r="32" spans="1:8" x14ac:dyDescent="0.25">
      <c r="A32" s="1" t="str">
        <f ca="1">IFERROR(__xludf.DUMMYFUNCTION("GOOGLETRANSLATE(English!A32, ""en"", ""bg"")"),"conv_13753")</f>
        <v>conv_13753</v>
      </c>
      <c r="B32" s="1" t="str">
        <f ca="1">IFERROR(__xludf.DUMMYFUNCTION("GOOGLETRANSLATE(English!B32, ""en"", ""bg"")"),"биология")</f>
        <v>биология</v>
      </c>
      <c r="C32" s="1" t="str">
        <f ca="1">IFERROR(__xludf.DUMMYFUNCTION("GOOGLETRANSLATE(English!C32, ""en"", ""bg"")"),"високо")</f>
        <v>високо</v>
      </c>
      <c r="D32" s="1" t="str">
        <f ca="1">IFERROR(__xludf.DUMMYFUNCTION("GOOGLETRANSLATE(English!D32, ""en"", ""bg"")"),"клетъчно дишане")</f>
        <v>клетъчно дишане</v>
      </c>
      <c r="E32" s="1" t="str">
        <f ca="1">IFERROR(__xludf.DUMMYFUNCTION("GOOGLETRANSLATE(English!E32, ""en"", ""bg"")"),"Имам нужда от помощ с домашното. Защо клетъчното дишане е важно в биологията?")</f>
        <v>Имам нужда от помощ с домашното. Защо клетъчното дишане е важно в биологията?</v>
      </c>
      <c r="F32" s="1" t="str">
        <f ca="1">IFERROR(__xludf.DUMMYFUNCTION("GOOGLETRANSLATE(English!F32,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2" s="1" t="str">
        <f ca="1">IFERROR(__xludf.DUMMYFUNCTION("GOOGLETRANSLATE(English!G32, ""en"", ""bg"")"),"разговор")</f>
        <v>разговор</v>
      </c>
      <c r="H32" s="1" t="str">
        <f ca="1">IFERROR(__xludf.DUMMYFUNCTION("GOOGLETRANSLATE(English!H32, ""en"", ""bg"")"),"образователна_помощ")</f>
        <v>образователна_помощ</v>
      </c>
    </row>
    <row r="33" spans="1:8" x14ac:dyDescent="0.25">
      <c r="A33" s="1" t="str">
        <f ca="1">IFERROR(__xludf.DUMMYFUNCTION("GOOGLETRANSLATE(English!A33, ""en"", ""bg"")"),"conv_16445")</f>
        <v>conv_16445</v>
      </c>
      <c r="B33" s="1" t="str">
        <f ca="1">IFERROR(__xludf.DUMMYFUNCTION("GOOGLETRANSLATE(English!B33, ""en"", ""bg"")"),"химия")</f>
        <v>химия</v>
      </c>
      <c r="C33" s="1" t="str">
        <f ca="1">IFERROR(__xludf.DUMMYFUNCTION("GOOGLETRANSLATE(English!C33, ""en"", ""bg"")"),"високо")</f>
        <v>високо</v>
      </c>
      <c r="D33" s="1" t="str">
        <f ca="1">IFERROR(__xludf.DUMMYFUNCTION("GOOGLETRANSLATE(English!D33, ""en"", ""bg"")"),"органична химия")</f>
        <v>органична химия</v>
      </c>
      <c r="E33" s="1" t="str">
        <f ca="1">IFERROR(__xludf.DUMMYFUNCTION("GOOGLETRANSLATE(English!E33, ""en"", ""bg"")"),"Имам научен въпрос. Защо е важно да се учи органична химия?")</f>
        <v>Имам научен въпрос. Защо е важно да се учи органична химия?</v>
      </c>
      <c r="F33" s="1" t="str">
        <f ca="1">IFERROR(__xludf.DUMMYFUNCTION("GOOGLETRANSLATE(English!F33,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33" s="1" t="str">
        <f ca="1">IFERROR(__xludf.DUMMYFUNCTION("GOOGLETRANSLATE(English!G33, ""en"", ""bg"")"),"разговор")</f>
        <v>разговор</v>
      </c>
      <c r="H33" s="1" t="str">
        <f ca="1">IFERROR(__xludf.DUMMYFUNCTION("GOOGLETRANSLATE(English!H33, ""en"", ""bg"")"),"образователна_помощ")</f>
        <v>образователна_помощ</v>
      </c>
    </row>
    <row r="34" spans="1:8" x14ac:dyDescent="0.25">
      <c r="A34" s="1" t="str">
        <f ca="1">IFERROR(__xludf.DUMMYFUNCTION("GOOGLETRANSLATE(English!A34, ""en"", ""bg"")"),"qa_03236")</f>
        <v>qa_03236</v>
      </c>
      <c r="B34" s="1" t="str">
        <f ca="1">IFERROR(__xludf.DUMMYFUNCTION("GOOGLETRANSLATE(English!B34, ""en"", ""bg"")"),"биология")</f>
        <v>биология</v>
      </c>
      <c r="C34" s="1" t="str">
        <f ca="1">IFERROR(__xludf.DUMMYFUNCTION("GOOGLETRANSLATE(English!C34, ""en"", ""bg"")"),"елементарен")</f>
        <v>елементарен</v>
      </c>
      <c r="D34" s="1" t="str">
        <f ca="1">IFERROR(__xludf.DUMMYFUNCTION("GOOGLETRANSLATE(English!D34, ""en"", ""bg"")"),"сетива")</f>
        <v>сетива</v>
      </c>
      <c r="E34" s="1" t="str">
        <f ca="1">IFERROR(__xludf.DUMMYFUNCTION("GOOGLETRANSLATE(English!E34, ""en"", ""bg"")"),"Какво е важно да знаем за сетивата?")</f>
        <v>Какво е важно да знаем за сетивата?</v>
      </c>
      <c r="F34" s="1" t="str">
        <f ca="1">IFERROR(__xludf.DUMMYFUNCTION("GOOGLETRANSLATE(English!F34,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34" s="1" t="str">
        <f ca="1">IFERROR(__xludf.DUMMYFUNCTION("GOOGLETRANSLATE(English!G34, ""en"", ""bg"")"),"direct_qa")</f>
        <v>direct_qa</v>
      </c>
      <c r="H34" s="1" t="str">
        <f ca="1">IFERROR(__xludf.DUMMYFUNCTION("GOOGLETRANSLATE(English!H34, ""en"", ""bg"")"),"заявка_за_знание")</f>
        <v>заявка_за_знание</v>
      </c>
    </row>
    <row r="35" spans="1:8" x14ac:dyDescent="0.25">
      <c r="A35" s="1" t="str">
        <f ca="1">IFERROR(__xludf.DUMMYFUNCTION("GOOGLETRANSLATE(English!A35, ""en"", ""bg"")"),"qa_05213")</f>
        <v>qa_05213</v>
      </c>
      <c r="B35" s="1" t="str">
        <f ca="1">IFERROR(__xludf.DUMMYFUNCTION("GOOGLETRANSLATE(English!B35, ""en"", ""bg"")"),"химия")</f>
        <v>химия</v>
      </c>
      <c r="C35" s="1" t="str">
        <f ca="1">IFERROR(__xludf.DUMMYFUNCTION("GOOGLETRANSLATE(English!C35, ""en"", ""bg"")"),"елементарен")</f>
        <v>елементарен</v>
      </c>
      <c r="D35" s="1" t="str">
        <f ca="1">IFERROR(__xludf.DUMMYFUNCTION("GOOGLETRANSLATE(English!D35, ""en"", ""bg"")"),"твърди вещества, течности, газове")</f>
        <v>твърди вещества, течности, газове</v>
      </c>
      <c r="E35" s="1" t="str">
        <f ca="1">IFERROR(__xludf.DUMMYFUNCTION("GOOGLETRANSLATE(English!E35, ""en"", ""bg"")"),"Защо ледът плава по водата?")</f>
        <v>Защо ледът плава по водата?</v>
      </c>
      <c r="F35" s="1" t="str">
        <f ca="1">IFERROR(__xludf.DUMMYFUNCTION("GOOGLETRANSLATE(English!F35,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35" s="1" t="str">
        <f ca="1">IFERROR(__xludf.DUMMYFUNCTION("GOOGLETRANSLATE(English!G35, ""en"", ""bg"")"),"direct_qa")</f>
        <v>direct_qa</v>
      </c>
      <c r="H35" s="1" t="str">
        <f ca="1">IFERROR(__xludf.DUMMYFUNCTION("GOOGLETRANSLATE(English!H35, ""en"", ""bg"")"),"заявка_за_знание")</f>
        <v>заявка_за_знание</v>
      </c>
    </row>
    <row r="36" spans="1:8" x14ac:dyDescent="0.25">
      <c r="A36" s="1" t="str">
        <f ca="1">IFERROR(__xludf.DUMMYFUNCTION("GOOGLETRANSLATE(English!A36, ""en"", ""bg"")"),"qa_07905")</f>
        <v>qa_07905</v>
      </c>
      <c r="B36" s="1" t="str">
        <f ca="1">IFERROR(__xludf.DUMMYFUNCTION("GOOGLETRANSLATE(English!B36, ""en"", ""bg"")"),"биология")</f>
        <v>биология</v>
      </c>
      <c r="C36" s="1" t="str">
        <f ca="1">IFERROR(__xludf.DUMMYFUNCTION("GOOGLETRANSLATE(English!C36, ""en"", ""bg"")"),"елементарен")</f>
        <v>елементарен</v>
      </c>
      <c r="D36" s="1" t="str">
        <f ca="1">IFERROR(__xludf.DUMMYFUNCTION("GOOGLETRANSLATE(English!D36, ""en"", ""bg"")"),"животни")</f>
        <v>животни</v>
      </c>
      <c r="E36" s="1" t="str">
        <f ca="1">IFERROR(__xludf.DUMMYFUNCTION("GOOGLETRANSLATE(English!E36, ""en"", ""bg"")"),"Какво отличава бозайниците от птиците?")</f>
        <v>Какво отличава бозайниците от птиците?</v>
      </c>
      <c r="F36" s="1" t="str">
        <f ca="1">IFERROR(__xludf.DUMMYFUNCTION("GOOGLETRANSLATE(English!F36,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36" s="1" t="str">
        <f ca="1">IFERROR(__xludf.DUMMYFUNCTION("GOOGLETRANSLATE(English!G36, ""en"", ""bg"")"),"direct_qa")</f>
        <v>direct_qa</v>
      </c>
      <c r="H36" s="1" t="str">
        <f ca="1">IFERROR(__xludf.DUMMYFUNCTION("GOOGLETRANSLATE(English!H36, ""en"", ""bg"")"),"заявка_за_знание")</f>
        <v>заявка_за_знание</v>
      </c>
    </row>
    <row r="37" spans="1:8" x14ac:dyDescent="0.25">
      <c r="A37" s="1" t="str">
        <f ca="1">IFERROR(__xludf.DUMMYFUNCTION("GOOGLETRANSLATE(English!A37, ""en"", ""bg"")"),"conv_18795")</f>
        <v>conv_18795</v>
      </c>
      <c r="B37" s="1" t="str">
        <f ca="1">IFERROR(__xludf.DUMMYFUNCTION("GOOGLETRANSLATE(English!B37, ""en"", ""bg"")"),"химия")</f>
        <v>химия</v>
      </c>
      <c r="C37" s="1" t="str">
        <f ca="1">IFERROR(__xludf.DUMMYFUNCTION("GOOGLETRANSLATE(English!C37, ""en"", ""bg"")"),"елементарен")</f>
        <v>елементарен</v>
      </c>
      <c r="D37" s="1" t="str">
        <f ca="1">IFERROR(__xludf.DUMMYFUNCTION("GOOGLETRANSLATE(English!D37, ""en"", ""bg"")"),"безопасност")</f>
        <v>безопасност</v>
      </c>
      <c r="E37" s="1" t="str">
        <f ca="1">IFERROR(__xludf.DUMMYFUNCTION("GOOGLETRANSLATE(English!E37, ""en"", ""bg"")"),"Можете ли да ми обясните това? Как работи безопасността в химията?")</f>
        <v>Можете ли да ми обясните това? Как работи безопасността в химията?</v>
      </c>
      <c r="F37" s="1" t="str">
        <f ca="1">IFERROR(__xludf.DUMMYFUNCTION("GOOGLETRANSLATE(English!F37,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37" s="1" t="str">
        <f ca="1">IFERROR(__xludf.DUMMYFUNCTION("GOOGLETRANSLATE(English!G37, ""en"", ""bg"")"),"разговор")</f>
        <v>разговор</v>
      </c>
      <c r="H37" s="1" t="str">
        <f ca="1">IFERROR(__xludf.DUMMYFUNCTION("GOOGLETRANSLATE(English!H37, ""en"", ""bg"")"),"образователна_помощ")</f>
        <v>образователна_помощ</v>
      </c>
    </row>
    <row r="38" spans="1:8" x14ac:dyDescent="0.25">
      <c r="A38" s="1" t="str">
        <f ca="1">IFERROR(__xludf.DUMMYFUNCTION("GOOGLETRANSLATE(English!A38, ""en"", ""bg"")"),"hw_09988")</f>
        <v>hw_09988</v>
      </c>
      <c r="B38" s="1" t="str">
        <f ca="1">IFERROR(__xludf.DUMMYFUNCTION("GOOGLETRANSLATE(English!B38, ""en"", ""bg"")"),"биология")</f>
        <v>биология</v>
      </c>
      <c r="C38" s="1" t="str">
        <f ca="1">IFERROR(__xludf.DUMMYFUNCTION("GOOGLETRANSLATE(English!C38, ""en"", ""bg"")"),"елементарен")</f>
        <v>елементарен</v>
      </c>
      <c r="D38" s="1" t="str">
        <f ca="1">IFERROR(__xludf.DUMMYFUNCTION("GOOGLETRANSLATE(English!D38, ""en"", ""bg"")"),"хранителни вериги")</f>
        <v>хранителни вериги</v>
      </c>
      <c r="E38" s="1" t="str">
        <f ca="1">IFERROR(__xludf.DUMMYFUNCTION("GOOGLETRANSLATE(English!E38, ""en"", ""bg"")"),"Утре имам тест по хранителни вериги. Помогни ми да уча!")</f>
        <v>Утре имам тест по хранителни вериги. Помогни ми да уча!</v>
      </c>
      <c r="F38" s="1" t="str">
        <f ca="1">IFERROR(__xludf.DUMMYFUNCTION("GOOGLETRANSLATE(English!F38,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38" s="1" t="str">
        <f ca="1">IFERROR(__xludf.DUMMYFUNCTION("GOOGLETRANSLATE(English!G38, ""en"", ""bg"")"),"помощ_за_домашно_изпълнение")</f>
        <v>помощ_за_домашно_изпълнение</v>
      </c>
      <c r="H38" s="1" t="str">
        <f ca="1">IFERROR(__xludf.DUMMYFUNCTION("GOOGLETRANSLATE(English!H38, ""en"", ""bg"")"),"помощ_за_домашно_задаване")</f>
        <v>помощ_за_домашно_задаване</v>
      </c>
    </row>
    <row r="39" spans="1:8" x14ac:dyDescent="0.25">
      <c r="A39" s="1" t="str">
        <f ca="1">IFERROR(__xludf.DUMMYFUNCTION("GOOGLETRANSLATE(English!A39, ""en"", ""bg"")"),"qa_02071")</f>
        <v>qa_02071</v>
      </c>
      <c r="B39" s="1" t="str">
        <f ca="1">IFERROR(__xludf.DUMMYFUNCTION("GOOGLETRANSLATE(English!B39, ""en"", ""bg"")"),"физика")</f>
        <v>физика</v>
      </c>
      <c r="C39" s="1" t="str">
        <f ca="1">IFERROR(__xludf.DUMMYFUNCTION("GOOGLETRANSLATE(English!C39, ""en"", ""bg"")"),"елементарен")</f>
        <v>елементарен</v>
      </c>
      <c r="D39" s="1" t="str">
        <f ca="1">IFERROR(__xludf.DUMMYFUNCTION("GOOGLETRANSLATE(English!D39, ""en"", ""bg"")"),"прости машини")</f>
        <v>прости машини</v>
      </c>
      <c r="E39" s="1" t="str">
        <f ca="1">IFERROR(__xludf.DUMMYFUNCTION("GOOGLETRANSLATE(English!E39, ""en"", ""bg"")"),"Какво трябва да знам за простите машини?")</f>
        <v>Какво трябва да знам за простите машини?</v>
      </c>
      <c r="F39" s="1" t="str">
        <f ca="1">IFERROR(__xludf.DUMMYFUNCTION("GOOGLETRANSLATE(English!F39,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39" s="1" t="str">
        <f ca="1">IFERROR(__xludf.DUMMYFUNCTION("GOOGLETRANSLATE(English!G39, ""en"", ""bg"")"),"direct_qa")</f>
        <v>direct_qa</v>
      </c>
      <c r="H39" s="1" t="str">
        <f ca="1">IFERROR(__xludf.DUMMYFUNCTION("GOOGLETRANSLATE(English!H39, ""en"", ""bg"")"),"заявка_за_знание")</f>
        <v>заявка_за_знание</v>
      </c>
    </row>
    <row r="40" spans="1:8" x14ac:dyDescent="0.25">
      <c r="A40" s="1" t="str">
        <f ca="1">IFERROR(__xludf.DUMMYFUNCTION("GOOGLETRANSLATE(English!A40, ""en"", ""bg"")"),"hw_05567")</f>
        <v>hw_05567</v>
      </c>
      <c r="B40" s="1" t="str">
        <f ca="1">IFERROR(__xludf.DUMMYFUNCTION("GOOGLETRANSLATE(English!B40, ""en"", ""bg"")"),"химия")</f>
        <v>химия</v>
      </c>
      <c r="C40" s="1" t="str">
        <f ca="1">IFERROR(__xludf.DUMMYFUNCTION("GOOGLETRANSLATE(English!C40, ""en"", ""bg"")"),"средата")</f>
        <v>средата</v>
      </c>
      <c r="D40" s="1" t="str">
        <f ca="1">IFERROR(__xludf.DUMMYFUNCTION("GOOGLETRANSLATE(English!D40, ""en"", ""bg"")"),"атоми и молекули")</f>
        <v>атоми и молекули</v>
      </c>
      <c r="E40" s="1" t="str">
        <f ca="1">IFERROR(__xludf.DUMMYFUNCTION("GOOGLETRANSLATE(English!E40,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40" s="1" t="str">
        <f ca="1">IFERROR(__xludf.DUMMYFUNCTION("GOOGLETRANSLATE(English!F40,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0" s="1" t="str">
        <f ca="1">IFERROR(__xludf.DUMMYFUNCTION("GOOGLETRANSLATE(English!G40, ""en"", ""bg"")"),"помощ_за_домашно_изпълнение")</f>
        <v>помощ_за_домашно_изпълнение</v>
      </c>
      <c r="H40" s="1" t="str">
        <f ca="1">IFERROR(__xludf.DUMMYFUNCTION("GOOGLETRANSLATE(English!H40, ""en"", ""bg"")"),"помощ_за_домашно_задаване")</f>
        <v>помощ_за_домашно_задаване</v>
      </c>
    </row>
    <row r="41" spans="1:8" x14ac:dyDescent="0.25">
      <c r="A41" s="1" t="str">
        <f ca="1">IFERROR(__xludf.DUMMYFUNCTION("GOOGLETRANSLATE(English!A41, ""en"", ""bg"")"),"qa_14359")</f>
        <v>qa_14359</v>
      </c>
      <c r="B41" s="1" t="str">
        <f ca="1">IFERROR(__xludf.DUMMYFUNCTION("GOOGLETRANSLATE(English!B41, ""en"", ""bg"")"),"биология")</f>
        <v>биология</v>
      </c>
      <c r="C41" s="1" t="str">
        <f ca="1">IFERROR(__xludf.DUMMYFUNCTION("GOOGLETRANSLATE(English!C41, ""en"", ""bg"")"),"високо")</f>
        <v>високо</v>
      </c>
      <c r="D41" s="1" t="str">
        <f ca="1">IFERROR(__xludf.DUMMYFUNCTION("GOOGLETRANSLATE(English!D41, ""en"", ""bg"")"),"синтез на протеини")</f>
        <v>синтез на протеини</v>
      </c>
      <c r="E41" s="1" t="str">
        <f ca="1">IFERROR(__xludf.DUMMYFUNCTION("GOOGLETRANSLATE(English!E41, ""en"", ""bg"")"),"Как работи синтезът на протеини?")</f>
        <v>Как работи синтезът на протеини?</v>
      </c>
      <c r="F41" s="1" t="str">
        <f ca="1">IFERROR(__xludf.DUMMYFUNCTION("GOOGLETRANSLATE(English!F41,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41" s="1" t="str">
        <f ca="1">IFERROR(__xludf.DUMMYFUNCTION("GOOGLETRANSLATE(English!G41, ""en"", ""bg"")"),"direct_qa")</f>
        <v>direct_qa</v>
      </c>
      <c r="H41" s="1" t="str">
        <f ca="1">IFERROR(__xludf.DUMMYFUNCTION("GOOGLETRANSLATE(English!H41, ""en"", ""bg"")"),"заявка_за_знание")</f>
        <v>заявка_за_знание</v>
      </c>
    </row>
    <row r="42" spans="1:8" x14ac:dyDescent="0.25">
      <c r="A42" s="1" t="str">
        <f ca="1">IFERROR(__xludf.DUMMYFUNCTION("GOOGLETRANSLATE(English!A42, ""en"", ""bg"")"),"conv_01674")</f>
        <v>conv_01674</v>
      </c>
      <c r="B42" s="1" t="str">
        <f ca="1">IFERROR(__xludf.DUMMYFUNCTION("GOOGLETRANSLATE(English!B42, ""en"", ""bg"")"),"физика")</f>
        <v>физика</v>
      </c>
      <c r="C42" s="1" t="str">
        <f ca="1">IFERROR(__xludf.DUMMYFUNCTION("GOOGLETRANSLATE(English!C42, ""en"", ""bg"")"),"средата")</f>
        <v>средата</v>
      </c>
      <c r="D42" s="1" t="str">
        <f ca="1">IFERROR(__xludf.DUMMYFUNCTION("GOOGLETRANSLATE(English!D42, ""en"", ""bg"")"),"видове енергия")</f>
        <v>видове енергия</v>
      </c>
      <c r="E42" s="1" t="str">
        <f ca="1">IFERROR(__xludf.DUMMYFUNCTION("GOOGLETRANSLATE(English!E42, ""en"", ""bg"")"),"Здравей, преподавателю! Какво е кинетична енергия?")</f>
        <v>Здравей, преподавателю! Какво е кинетична енергия?</v>
      </c>
      <c r="F42" s="1" t="str">
        <f ca="1">IFERROR(__xludf.DUMMYFUNCTION("GOOGLETRANSLATE(English!F42,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42" s="1" t="str">
        <f ca="1">IFERROR(__xludf.DUMMYFUNCTION("GOOGLETRANSLATE(English!G42, ""en"", ""bg"")"),"разговор")</f>
        <v>разговор</v>
      </c>
      <c r="H42" s="1" t="str">
        <f ca="1">IFERROR(__xludf.DUMMYFUNCTION("GOOGLETRANSLATE(English!H42, ""en"", ""bg"")"),"образователна_помощ")</f>
        <v>образователна_помощ</v>
      </c>
    </row>
    <row r="43" spans="1:8" x14ac:dyDescent="0.25">
      <c r="A43" s="1" t="str">
        <f ca="1">IFERROR(__xludf.DUMMYFUNCTION("GOOGLETRANSLATE(English!A43, ""en"", ""bg"")"),"qa_13521")</f>
        <v>qa_13521</v>
      </c>
      <c r="B43" s="1" t="str">
        <f ca="1">IFERROR(__xludf.DUMMYFUNCTION("GOOGLETRANSLATE(English!B43, ""en"", ""bg"")"),"химия")</f>
        <v>химия</v>
      </c>
      <c r="C43" s="1" t="str">
        <f ca="1">IFERROR(__xludf.DUMMYFUNCTION("GOOGLETRANSLATE(English!C43, ""en"", ""bg"")"),"високо")</f>
        <v>високо</v>
      </c>
      <c r="D43" s="1" t="str">
        <f ca="1">IFERROR(__xludf.DUMMYFUNCTION("GOOGLETRANSLATE(English!D43, ""en"", ""bg"")"),"равновесие")</f>
        <v>равновесие</v>
      </c>
      <c r="E43" s="1" t="str">
        <f ca="1">IFERROR(__xludf.DUMMYFUNCTION("GOOGLETRANSLATE(English!E43, ""en"", ""bg"")"),"Как работи равновесието в химията?")</f>
        <v>Как работи равновесието в химията?</v>
      </c>
      <c r="F43" s="1" t="str">
        <f ca="1">IFERROR(__xludf.DUMMYFUNCTION("GOOGLETRANSLATE(English!F43,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43" s="1" t="str">
        <f ca="1">IFERROR(__xludf.DUMMYFUNCTION("GOOGLETRANSLATE(English!G43, ""en"", ""bg"")"),"direct_qa")</f>
        <v>direct_qa</v>
      </c>
      <c r="H43" s="1" t="str">
        <f ca="1">IFERROR(__xludf.DUMMYFUNCTION("GOOGLETRANSLATE(English!H43, ""en"", ""bg"")"),"заявка_за_знание")</f>
        <v>заявка_за_знание</v>
      </c>
    </row>
    <row r="44" spans="1:8" x14ac:dyDescent="0.25">
      <c r="A44" s="1" t="str">
        <f ca="1">IFERROR(__xludf.DUMMYFUNCTION("GOOGLETRANSLATE(English!A44, ""en"", ""bg"")"),"qa_12761")</f>
        <v>qa_12761</v>
      </c>
      <c r="B44" s="1" t="str">
        <f ca="1">IFERROR(__xludf.DUMMYFUNCTION("GOOGLETRANSLATE(English!B44, ""en"", ""bg"")"),"химия")</f>
        <v>химия</v>
      </c>
      <c r="C44" s="1" t="str">
        <f ca="1">IFERROR(__xludf.DUMMYFUNCTION("GOOGLETRANSLATE(English!C44, ""en"", ""bg"")"),"елементарен")</f>
        <v>елементарен</v>
      </c>
      <c r="D44" s="1" t="str">
        <f ca="1">IFERROR(__xludf.DUMMYFUNCTION("GOOGLETRANSLATE(English!D44, ""en"", ""bg"")"),"твърди вещества, течности, газове")</f>
        <v>твърди вещества, течности, газове</v>
      </c>
      <c r="E44" s="1" t="str">
        <f ca="1">IFERROR(__xludf.DUMMYFUNCTION("GOOGLETRANSLATE(English!E44, ""en"", ""bg"")"),"Кои са трите състояния на материята?")</f>
        <v>Кои са трите състояния на материята?</v>
      </c>
      <c r="F44" s="1" t="str">
        <f ca="1">IFERROR(__xludf.DUMMYFUNCTION("GOOGLETRANSLATE(English!F44,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44" s="1" t="str">
        <f ca="1">IFERROR(__xludf.DUMMYFUNCTION("GOOGLETRANSLATE(English!G44, ""en"", ""bg"")"),"direct_qa")</f>
        <v>direct_qa</v>
      </c>
      <c r="H44" s="1" t="str">
        <f ca="1">IFERROR(__xludf.DUMMYFUNCTION("GOOGLETRANSLATE(English!H44, ""en"", ""bg"")"),"заявка_за_знание")</f>
        <v>заявка_за_знание</v>
      </c>
    </row>
    <row r="45" spans="1:8" x14ac:dyDescent="0.25">
      <c r="A45" s="1" t="str">
        <f ca="1">IFERROR(__xludf.DUMMYFUNCTION("GOOGLETRANSLATE(English!A45, ""en"", ""bg"")"),"qa_11520")</f>
        <v>qa_11520</v>
      </c>
      <c r="B45" s="1" t="str">
        <f ca="1">IFERROR(__xludf.DUMMYFUNCTION("GOOGLETRANSLATE(English!B45, ""en"", ""bg"")"),"химия")</f>
        <v>химия</v>
      </c>
      <c r="C45" s="1" t="str">
        <f ca="1">IFERROR(__xludf.DUMMYFUNCTION("GOOGLETRANSLATE(English!C45, ""en"", ""bg"")"),"елементарен")</f>
        <v>елементарен</v>
      </c>
      <c r="D45" s="1" t="str">
        <f ca="1">IFERROR(__xludf.DUMMYFUNCTION("GOOGLETRANSLATE(English!D45, ""en"", ""bg"")"),"твърди вещества, течности, газове")</f>
        <v>твърди вещества, течности, газове</v>
      </c>
      <c r="E45" s="1" t="str">
        <f ca="1">IFERROR(__xludf.DUMMYFUNCTION("GOOGLETRANSLATE(English!E45, ""en"", ""bg"")"),"Кои са трите състояния на материята?")</f>
        <v>Кои са трите състояния на материята?</v>
      </c>
      <c r="F45" s="1" t="str">
        <f ca="1">IFERROR(__xludf.DUMMYFUNCTION("GOOGLETRANSLATE(English!F45,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45" s="1" t="str">
        <f ca="1">IFERROR(__xludf.DUMMYFUNCTION("GOOGLETRANSLATE(English!G45, ""en"", ""bg"")"),"direct_qa")</f>
        <v>direct_qa</v>
      </c>
      <c r="H45" s="1" t="str">
        <f ca="1">IFERROR(__xludf.DUMMYFUNCTION("GOOGLETRANSLATE(English!H45, ""en"", ""bg"")"),"заявка_за_знание")</f>
        <v>заявка_за_знание</v>
      </c>
    </row>
    <row r="46" spans="1:8" x14ac:dyDescent="0.25">
      <c r="A46" s="1" t="str">
        <f ca="1">IFERROR(__xludf.DUMMYFUNCTION("GOOGLETRANSLATE(English!A46, ""en"", ""bg"")"),"qa_05149")</f>
        <v>qa_05149</v>
      </c>
      <c r="B46" s="1" t="str">
        <f ca="1">IFERROR(__xludf.DUMMYFUNCTION("GOOGLETRANSLATE(English!B46, ""en"", ""bg"")"),"физика")</f>
        <v>физика</v>
      </c>
      <c r="C46" s="1" t="str">
        <f ca="1">IFERROR(__xludf.DUMMYFUNCTION("GOOGLETRANSLATE(English!C46, ""en"", ""bg"")"),"елементарен")</f>
        <v>елементарен</v>
      </c>
      <c r="D46" s="1" t="str">
        <f ca="1">IFERROR(__xludf.DUMMYFUNCTION("GOOGLETRANSLATE(English!D46, ""en"", ""bg"")"),"горещо и студено")</f>
        <v>горещо и студено</v>
      </c>
      <c r="E46" s="1" t="str">
        <f ca="1">IFERROR(__xludf.DUMMYFUNCTION("GOOGLETRANSLATE(English!E46, ""en"", ""bg"")"),"Защо е важно топлото и студеното?")</f>
        <v>Защо е важно топлото и студеното?</v>
      </c>
      <c r="F46" s="1" t="str">
        <f ca="1">IFERROR(__xludf.DUMMYFUNCTION("GOOGLETRANSLATE(English!F46,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46" s="1" t="str">
        <f ca="1">IFERROR(__xludf.DUMMYFUNCTION("GOOGLETRANSLATE(English!G46, ""en"", ""bg"")"),"direct_qa")</f>
        <v>direct_qa</v>
      </c>
      <c r="H46" s="1" t="str">
        <f ca="1">IFERROR(__xludf.DUMMYFUNCTION("GOOGLETRANSLATE(English!H46, ""en"", ""bg"")"),"заявка_за_знание")</f>
        <v>заявка_за_знание</v>
      </c>
    </row>
    <row r="47" spans="1:8" x14ac:dyDescent="0.25">
      <c r="A47" s="1" t="str">
        <f ca="1">IFERROR(__xludf.DUMMYFUNCTION("GOOGLETRANSLATE(English!A47, ""en"", ""bg"")"),"hw_01964")</f>
        <v>hw_01964</v>
      </c>
      <c r="B47" s="1" t="str">
        <f ca="1">IFERROR(__xludf.DUMMYFUNCTION("GOOGLETRANSLATE(English!B47, ""en"", ""bg"")"),"физика")</f>
        <v>физика</v>
      </c>
      <c r="C47" s="1" t="str">
        <f ca="1">IFERROR(__xludf.DUMMYFUNCTION("GOOGLETRANSLATE(English!C47, ""en"", ""bg"")"),"средата")</f>
        <v>средата</v>
      </c>
      <c r="D47" s="1" t="str">
        <f ca="1">IFERROR(__xludf.DUMMYFUNCTION("GOOGLETRANSLATE(English!D47, ""en"", ""bg"")"),"плътност")</f>
        <v>плътност</v>
      </c>
      <c r="E47" s="1" t="str">
        <f ca="1">IFERROR(__xludf.DUMMYFUNCTION("GOOGLETRANSLATE(English!E47, ""en"", ""bg"")"),"Домашното ми по физика е за плътността. Объркващо е!")</f>
        <v>Домашното ми по физика е за плътността. Объркващо е!</v>
      </c>
      <c r="F47" s="1" t="str">
        <f ca="1">IFERROR(__xludf.DUMMYFUNCTION("GOOGLETRANSLATE(English!F47,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47" s="1" t="str">
        <f ca="1">IFERROR(__xludf.DUMMYFUNCTION("GOOGLETRANSLATE(English!G47, ""en"", ""bg"")"),"помощ_за_домашно_изпълнение")</f>
        <v>помощ_за_домашно_изпълнение</v>
      </c>
      <c r="H47" s="1" t="str">
        <f ca="1">IFERROR(__xludf.DUMMYFUNCTION("GOOGLETRANSLATE(English!H47, ""en"", ""bg"")"),"помощ_за_домашно_задаване")</f>
        <v>помощ_за_домашно_задаване</v>
      </c>
    </row>
    <row r="48" spans="1:8" x14ac:dyDescent="0.25">
      <c r="A48" s="1" t="str">
        <f ca="1">IFERROR(__xludf.DUMMYFUNCTION("GOOGLETRANSLATE(English!A48, ""en"", ""bg"")"),"conv_19767")</f>
        <v>conv_19767</v>
      </c>
      <c r="B48" s="1" t="str">
        <f ca="1">IFERROR(__xludf.DUMMYFUNCTION("GOOGLETRANSLATE(English!B48, ""en"", ""bg"")"),"химия")</f>
        <v>химия</v>
      </c>
      <c r="C48" s="1" t="str">
        <f ca="1">IFERROR(__xludf.DUMMYFUNCTION("GOOGLETRANSLATE(English!C48, ""en"", ""bg"")"),"елементарен")</f>
        <v>елементарен</v>
      </c>
      <c r="D48" s="1" t="str">
        <f ca="1">IFERROR(__xludf.DUMMYFUNCTION("GOOGLETRANSLATE(English!D48, ""en"", ""bg"")"),"смесване на материали")</f>
        <v>смесване на материали</v>
      </c>
      <c r="E48" s="1" t="str">
        <f ca="1">IFERROR(__xludf.DUMMYFUNCTION("GOOGLETRANSLATE(English!E48, ""en"", ""bg"")"),"Не разбирам тази тема. Как може да се отдели солта от водата?")</f>
        <v>Не разбирам тази тема. Как може да се отдели солта от водата?</v>
      </c>
      <c r="F48" s="1" t="str">
        <f ca="1">IFERROR(__xludf.DUMMYFUNCTION("GOOGLETRANSLATE(English!F48,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48" s="1" t="str">
        <f ca="1">IFERROR(__xludf.DUMMYFUNCTION("GOOGLETRANSLATE(English!G48, ""en"", ""bg"")"),"разговор")</f>
        <v>разговор</v>
      </c>
      <c r="H48" s="1" t="str">
        <f ca="1">IFERROR(__xludf.DUMMYFUNCTION("GOOGLETRANSLATE(English!H48, ""en"", ""bg"")"),"образователна_помощ")</f>
        <v>образователна_помощ</v>
      </c>
    </row>
    <row r="49" spans="1:8" x14ac:dyDescent="0.25">
      <c r="A49" s="1" t="str">
        <f ca="1">IFERROR(__xludf.DUMMYFUNCTION("GOOGLETRANSLATE(English!A49, ""en"", ""bg"")"),"conv_15880")</f>
        <v>conv_15880</v>
      </c>
      <c r="B49" s="1" t="str">
        <f ca="1">IFERROR(__xludf.DUMMYFUNCTION("GOOGLETRANSLATE(English!B49, ""en"", ""bg"")"),"биология")</f>
        <v>биология</v>
      </c>
      <c r="C49" s="1" t="str">
        <f ca="1">IFERROR(__xludf.DUMMYFUNCTION("GOOGLETRANSLATE(English!C49, ""en"", ""bg"")"),"високо")</f>
        <v>високо</v>
      </c>
      <c r="D49" s="1" t="str">
        <f ca="1">IFERROR(__xludf.DUMMYFUNCTION("GOOGLETRANSLATE(English!D49, ""en"", ""bg"")"),"модели на наследяване")</f>
        <v>модели на наследяване</v>
      </c>
      <c r="E49" s="1" t="str">
        <f ca="1">IFERROR(__xludf.DUMMYFUNCTION("GOOGLETRANSLATE(English!E49, ""en"", ""bg"")"),"Помогнете ми да уча за теста. Можете ли да ми разкажете за моделите на наследяване?")</f>
        <v>Помогнете ми да уча за теста. Можете ли да ми разкажете за моделите на наследяване?</v>
      </c>
      <c r="F49" s="1" t="str">
        <f ca="1">IFERROR(__xludf.DUMMYFUNCTION("GOOGLETRANSLATE(English!F49,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49" s="1" t="str">
        <f ca="1">IFERROR(__xludf.DUMMYFUNCTION("GOOGLETRANSLATE(English!G49, ""en"", ""bg"")"),"разговор")</f>
        <v>разговор</v>
      </c>
      <c r="H49" s="1" t="str">
        <f ca="1">IFERROR(__xludf.DUMMYFUNCTION("GOOGLETRANSLATE(English!H49, ""en"", ""bg"")"),"образователна_помощ")</f>
        <v>образователна_помощ</v>
      </c>
    </row>
    <row r="50" spans="1:8" x14ac:dyDescent="0.25">
      <c r="A50" s="1" t="str">
        <f ca="1">IFERROR(__xludf.DUMMYFUNCTION("GOOGLETRANSLATE(English!A50, ""en"", ""bg"")"),"conv_09582")</f>
        <v>conv_09582</v>
      </c>
      <c r="B50" s="1" t="str">
        <f ca="1">IFERROR(__xludf.DUMMYFUNCTION("GOOGLETRANSLATE(English!B50, ""en"", ""bg"")"),"биология")</f>
        <v>биология</v>
      </c>
      <c r="C50" s="1" t="str">
        <f ca="1">IFERROR(__xludf.DUMMYFUNCTION("GOOGLETRANSLATE(English!C50, ""en"", ""bg"")"),"високо")</f>
        <v>високо</v>
      </c>
      <c r="D50" s="1" t="str">
        <f ca="1">IFERROR(__xludf.DUMMYFUNCTION("GOOGLETRANSLATE(English!D50, ""en"", ""bg"")"),"молекулярна биология")</f>
        <v>молекулярна биология</v>
      </c>
      <c r="E50" s="1" t="str">
        <f ca="1">IFERROR(__xludf.DUMMYFUNCTION("GOOGLETRANSLATE(English!E50, ""en"", ""bg"")"),"Помогнете ми да уча за теста си. Защо молекулярната биология е важна в биологията?")</f>
        <v>Помогнете ми да уча за теста си. Защо молекулярната биология е важна в биологията?</v>
      </c>
      <c r="F50" s="1" t="str">
        <f ca="1">IFERROR(__xludf.DUMMYFUNCTION("GOOGLETRANSLATE(English!F50,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50" s="1" t="str">
        <f ca="1">IFERROR(__xludf.DUMMYFUNCTION("GOOGLETRANSLATE(English!G50, ""en"", ""bg"")"),"разговор")</f>
        <v>разговор</v>
      </c>
      <c r="H50" s="1" t="str">
        <f ca="1">IFERROR(__xludf.DUMMYFUNCTION("GOOGLETRANSLATE(English!H50, ""en"", ""bg"")"),"образователна_помощ")</f>
        <v>образователна_помощ</v>
      </c>
    </row>
    <row r="51" spans="1:8" x14ac:dyDescent="0.25">
      <c r="A51" s="1" t="str">
        <f ca="1">IFERROR(__xludf.DUMMYFUNCTION("GOOGLETRANSLATE(English!A51, ""en"", ""bg"")"),"hw_05379")</f>
        <v>hw_05379</v>
      </c>
      <c r="B51" s="1" t="str">
        <f ca="1">IFERROR(__xludf.DUMMYFUNCTION("GOOGLETRANSLATE(English!B51, ""en"", ""bg"")"),"биология")</f>
        <v>биология</v>
      </c>
      <c r="C51" s="1" t="str">
        <f ca="1">IFERROR(__xludf.DUMMYFUNCTION("GOOGLETRANSLATE(English!C51, ""en"", ""bg"")"),"високо")</f>
        <v>високо</v>
      </c>
      <c r="D51" s="1" t="str">
        <f ca="1">IFERROR(__xludf.DUMMYFUNCTION("GOOGLETRANSLATE(English!D51, ""en"", ""bg"")"),"молекулярна биология")</f>
        <v>молекулярна биология</v>
      </c>
      <c r="E51" s="1" t="str">
        <f ca="1">IFERROR(__xludf.DUMMYFUNCTION("GOOGLETRANSLATE(English!E51, ""en"", ""bg"")"),"Трябва да напиша доклад по молекулярна биология. Можете ли да ми помогнете да започна?")</f>
        <v>Трябва да напиша доклад по молекулярна биология. Можете ли да ми помогнете да започна?</v>
      </c>
      <c r="F51" s="1" t="str">
        <f ca="1">IFERROR(__xludf.DUMMYFUNCTION("GOOGLETRANSLATE(English!F51,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51" s="1" t="str">
        <f ca="1">IFERROR(__xludf.DUMMYFUNCTION("GOOGLETRANSLATE(English!G51, ""en"", ""bg"")"),"помощ_за_домашно_изпълнение")</f>
        <v>помощ_за_домашно_изпълнение</v>
      </c>
      <c r="H51" s="1" t="str">
        <f ca="1">IFERROR(__xludf.DUMMYFUNCTION("GOOGLETRANSLATE(English!H51, ""en"", ""bg"")"),"помощ_за_домашно_задаване")</f>
        <v>помощ_за_домашно_задаване</v>
      </c>
    </row>
    <row r="52" spans="1:8" ht="13.2" x14ac:dyDescent="0.25">
      <c r="A52" s="1" t="str">
        <f ca="1">IFERROR(__xludf.DUMMYFUNCTION("GOOGLETRANSLATE(English!A52, ""en"", ""bg"")"),"conv_03640")</f>
        <v>conv_03640</v>
      </c>
      <c r="B52" s="1" t="str">
        <f ca="1">IFERROR(__xludf.DUMMYFUNCTION("GOOGLETRANSLATE(English!B52, ""en"", ""bg"")"),"химия")</f>
        <v>химия</v>
      </c>
      <c r="C52" s="1" t="str">
        <f ca="1">IFERROR(__xludf.DUMMYFUNCTION("GOOGLETRANSLATE(English!C52, ""en"", ""bg"")"),"високо")</f>
        <v>високо</v>
      </c>
      <c r="D52" s="1" t="str">
        <f ca="1">IFERROR(__xludf.DUMMYFUNCTION("GOOGLETRANSLATE(English!D52, ""en"", ""bg"")"),"органична химия")</f>
        <v>органична химия</v>
      </c>
      <c r="E52" s="1" t="str">
        <f ca="1">IFERROR(__xludf.DUMMYFUNCTION("GOOGLETRANSLATE(English!E52, ""en"", ""bg"")"),"Имам научен въпрос. Какво представлява органичната химия?")</f>
        <v>Имам научен въпрос. Какво представлява органичната химия?</v>
      </c>
      <c r="F52" s="1" t="str">
        <f ca="1">IFERROR(__xludf.DUMMYFUNCTION("GOOGLETRANSLATE(English!F52,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52" s="1" t="str">
        <f ca="1">IFERROR(__xludf.DUMMYFUNCTION("GOOGLETRANSLATE(English!G52, ""en"", ""bg"")"),"разговор")</f>
        <v>разговор</v>
      </c>
      <c r="H52" s="1" t="str">
        <f ca="1">IFERROR(__xludf.DUMMYFUNCTION("GOOGLETRANSLATE(English!H52, ""en"", ""bg"")"),"образователна_помощ")</f>
        <v>образователна_помощ</v>
      </c>
    </row>
    <row r="53" spans="1:8" ht="13.2" x14ac:dyDescent="0.25">
      <c r="A53" s="1" t="str">
        <f ca="1">IFERROR(__xludf.DUMMYFUNCTION("GOOGLETRANSLATE(English!A53, ""en"", ""bg"")"),"qa_00824")</f>
        <v>qa_00824</v>
      </c>
      <c r="B53" s="1" t="str">
        <f ca="1">IFERROR(__xludf.DUMMYFUNCTION("GOOGLETRANSLATE(English!B53, ""en"", ""bg"")"),"биология")</f>
        <v>биология</v>
      </c>
      <c r="C53" s="1" t="str">
        <f ca="1">IFERROR(__xludf.DUMMYFUNCTION("GOOGLETRANSLATE(English!C53, ""en"", ""bg"")"),"високо")</f>
        <v>високо</v>
      </c>
      <c r="D53" s="1" t="str">
        <f ca="1">IFERROR(__xludf.DUMMYFUNCTION("GOOGLETRANSLATE(English!D53, ""en"", ""bg"")"),"синтез на протеини")</f>
        <v>синтез на протеини</v>
      </c>
      <c r="E53" s="1" t="str">
        <f ca="1">IFERROR(__xludf.DUMMYFUNCTION("GOOGLETRANSLATE(English!E53, ""en"", ""bg"")"),"Защо синтезът на протеини е важен в биологията?")</f>
        <v>Защо синтезът на протеини е важен в биологията?</v>
      </c>
      <c r="F53" s="1" t="str">
        <f ca="1">IFERROR(__xludf.DUMMYFUNCTION("GOOGLETRANSLATE(English!F53,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53" s="1" t="str">
        <f ca="1">IFERROR(__xludf.DUMMYFUNCTION("GOOGLETRANSLATE(English!G53, ""en"", ""bg"")"),"direct_qa")</f>
        <v>direct_qa</v>
      </c>
      <c r="H53" s="1" t="str">
        <f ca="1">IFERROR(__xludf.DUMMYFUNCTION("GOOGLETRANSLATE(English!H53, ""en"", ""bg"")"),"заявка_за_знание")</f>
        <v>заявка_за_знание</v>
      </c>
    </row>
    <row r="54" spans="1:8" ht="13.2" x14ac:dyDescent="0.25">
      <c r="A54" s="1" t="str">
        <f ca="1">IFERROR(__xludf.DUMMYFUNCTION("GOOGLETRANSLATE(English!A54, ""en"", ""bg"")"),"hw_01535")</f>
        <v>hw_01535</v>
      </c>
      <c r="B54" s="1" t="str">
        <f ca="1">IFERROR(__xludf.DUMMYFUNCTION("GOOGLETRANSLATE(English!B54, ""en"", ""bg"")"),"химия")</f>
        <v>химия</v>
      </c>
      <c r="C54" s="1" t="str">
        <f ca="1">IFERROR(__xludf.DUMMYFUNCTION("GOOGLETRANSLATE(English!C54, ""en"", ""bg"")"),"елементарен")</f>
        <v>елементарен</v>
      </c>
      <c r="D54" s="1" t="str">
        <f ca="1">IFERROR(__xludf.DUMMYFUNCTION("GOOGLETRANSLATE(English!D54, ""en"", ""bg"")"),"промени в материалите")</f>
        <v>промени в материалите</v>
      </c>
      <c r="E54" s="1" t="str">
        <f ca="1">IFERROR(__xludf.DUMMYFUNCTION("GOOGLETRANSLATE(English!E54,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54" s="1" t="str">
        <f ca="1">IFERROR(__xludf.DUMMYFUNCTION("GOOGLETRANSLATE(English!F54,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54" s="1" t="str">
        <f ca="1">IFERROR(__xludf.DUMMYFUNCTION("GOOGLETRANSLATE(English!G54, ""en"", ""bg"")"),"помощ_за_домашно_изпълнение")</f>
        <v>помощ_за_домашно_изпълнение</v>
      </c>
      <c r="H54" s="1" t="str">
        <f ca="1">IFERROR(__xludf.DUMMYFUNCTION("GOOGLETRANSLATE(English!H54, ""en"", ""bg"")"),"помощ_за_домашно_задаване")</f>
        <v>помощ_за_домашно_задаване</v>
      </c>
    </row>
    <row r="55" spans="1:8" ht="13.2" x14ac:dyDescent="0.25">
      <c r="A55" s="1" t="str">
        <f ca="1">IFERROR(__xludf.DUMMYFUNCTION("GOOGLETRANSLATE(English!A55, ""en"", ""bg"")"),"conv_07981")</f>
        <v>conv_07981</v>
      </c>
      <c r="B55" s="1" t="str">
        <f ca="1">IFERROR(__xludf.DUMMYFUNCTION("GOOGLETRANSLATE(English!B55, ""en"", ""bg"")"),"химия")</f>
        <v>химия</v>
      </c>
      <c r="C55" s="1" t="str">
        <f ca="1">IFERROR(__xludf.DUMMYFUNCTION("GOOGLETRANSLATE(English!C55, ""en"", ""bg"")"),"средата")</f>
        <v>средата</v>
      </c>
      <c r="D55" s="1" t="str">
        <f ca="1">IFERROR(__xludf.DUMMYFUNCTION("GOOGLETRANSLATE(English!D55, ""en"", ""bg"")"),"атоми и молекули")</f>
        <v>атоми и молекули</v>
      </c>
      <c r="E55" s="1" t="str">
        <f ca="1">IFERROR(__xludf.DUMMYFUNCTION("GOOGLETRANSLATE(English!E55, ""en"", ""bg"")"),"Имам научен въпрос. Защо атомите се свързват?")</f>
        <v>Имам научен въпрос. Защо атомите се свързват?</v>
      </c>
      <c r="F55" s="1" t="str">
        <f ca="1">IFERROR(__xludf.DUMMYFUNCTION("GOOGLETRANSLATE(English!F55,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55" s="1" t="str">
        <f ca="1">IFERROR(__xludf.DUMMYFUNCTION("GOOGLETRANSLATE(English!G55, ""en"", ""bg"")"),"разговор")</f>
        <v>разговор</v>
      </c>
      <c r="H55" s="1" t="str">
        <f ca="1">IFERROR(__xludf.DUMMYFUNCTION("GOOGLETRANSLATE(English!H55, ""en"", ""bg"")"),"образователна_помощ")</f>
        <v>образователна_помощ</v>
      </c>
    </row>
    <row r="56" spans="1:8" ht="13.2" x14ac:dyDescent="0.25">
      <c r="A56" s="1" t="str">
        <f ca="1">IFERROR(__xludf.DUMMYFUNCTION("GOOGLETRANSLATE(English!A56, ""en"", ""bg"")"),"qa_12478")</f>
        <v>qa_12478</v>
      </c>
      <c r="B56" s="1" t="str">
        <f ca="1">IFERROR(__xludf.DUMMYFUNCTION("GOOGLETRANSLATE(English!B56, ""en"", ""bg"")"),"физика")</f>
        <v>физика</v>
      </c>
      <c r="C56" s="1" t="str">
        <f ca="1">IFERROR(__xludf.DUMMYFUNCTION("GOOGLETRANSLATE(English!C56, ""en"", ""bg"")"),"високо")</f>
        <v>високо</v>
      </c>
      <c r="D56" s="1" t="str">
        <f ca="1">IFERROR(__xludf.DUMMYFUNCTION("GOOGLETRANSLATE(English!D56, ""en"", ""bg"")"),"атомна структура")</f>
        <v>атомна структура</v>
      </c>
      <c r="E56" s="1" t="str">
        <f ca="1">IFERROR(__xludf.DUMMYFUNCTION("GOOGLETRANSLATE(English!E56, ""en"", ""bg"")"),"Как работи атомната структура във физиката?")</f>
        <v>Как работи атомната структура във физиката?</v>
      </c>
      <c r="F56" s="1" t="str">
        <f ca="1">IFERROR(__xludf.DUMMYFUNCTION("GOOGLETRANSLATE(English!F56,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56" s="1" t="str">
        <f ca="1">IFERROR(__xludf.DUMMYFUNCTION("GOOGLETRANSLATE(English!G56, ""en"", ""bg"")"),"direct_qa")</f>
        <v>direct_qa</v>
      </c>
      <c r="H56" s="1" t="str">
        <f ca="1">IFERROR(__xludf.DUMMYFUNCTION("GOOGLETRANSLATE(English!H56, ""en"", ""bg"")"),"заявка_за_знание")</f>
        <v>заявка_за_знание</v>
      </c>
    </row>
    <row r="57" spans="1:8" ht="13.2" x14ac:dyDescent="0.25">
      <c r="A57" s="1" t="str">
        <f ca="1">IFERROR(__xludf.DUMMYFUNCTION("GOOGLETRANSLATE(English!A57, ""en"", ""bg"")"),"hw_11042")</f>
        <v>hw_11042</v>
      </c>
      <c r="B57" s="1" t="str">
        <f ca="1">IFERROR(__xludf.DUMMYFUNCTION("GOOGLETRANSLATE(English!B57, ""en"", ""bg"")"),"химия")</f>
        <v>химия</v>
      </c>
      <c r="C57" s="1" t="str">
        <f ca="1">IFERROR(__xludf.DUMMYFUNCTION("GOOGLETRANSLATE(English!C57, ""en"", ""bg"")"),"средата")</f>
        <v>средата</v>
      </c>
      <c r="D57" s="1" t="str">
        <f ca="1">IFERROR(__xludf.DUMMYFUNCTION("GOOGLETRANSLATE(English!D57, ""en"", ""bg"")"),"химични промени")</f>
        <v>химични промени</v>
      </c>
      <c r="E57" s="1" t="str">
        <f ca="1">IFERROR(__xludf.DUMMYFUNCTION("GOOGLETRANSLATE(English!E57, ""en"", ""bg"")"),"Не разбирам тази концепция за химични промени. Моля, обяснете!")</f>
        <v>Не разбирам тази концепция за химични промени. Моля, обяснете!</v>
      </c>
      <c r="F57" s="1" t="str">
        <f ca="1">IFERROR(__xludf.DUMMYFUNCTION("GOOGLETRANSLATE(English!F57,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57" s="1" t="str">
        <f ca="1">IFERROR(__xludf.DUMMYFUNCTION("GOOGLETRANSLATE(English!G57, ""en"", ""bg"")"),"помощ_за_домашно_изпълнение")</f>
        <v>помощ_за_домашно_изпълнение</v>
      </c>
      <c r="H57" s="1" t="str">
        <f ca="1">IFERROR(__xludf.DUMMYFUNCTION("GOOGLETRANSLATE(English!H57, ""en"", ""bg"")"),"помощ_за_домашно_задаване")</f>
        <v>помощ_за_домашно_задаване</v>
      </c>
    </row>
    <row r="58" spans="1:8" ht="13.2" x14ac:dyDescent="0.25">
      <c r="A58" s="1" t="str">
        <f ca="1">IFERROR(__xludf.DUMMYFUNCTION("GOOGLETRANSLATE(English!A58, ""en"", ""bg"")"),"hw_01568")</f>
        <v>hw_01568</v>
      </c>
      <c r="B58" s="1" t="str">
        <f ca="1">IFERROR(__xludf.DUMMYFUNCTION("GOOGLETRANSLATE(English!B58, ""en"", ""bg"")"),"биология")</f>
        <v>биология</v>
      </c>
      <c r="C58" s="1" t="str">
        <f ca="1">IFERROR(__xludf.DUMMYFUNCTION("GOOGLETRANSLATE(English!C58, ""en"", ""bg"")"),"високо")</f>
        <v>високо</v>
      </c>
      <c r="D58" s="1" t="str">
        <f ca="1">IFERROR(__xludf.DUMMYFUNCTION("GOOGLETRANSLATE(English!D58, ""en"", ""bg"")"),"Структура на ДНК")</f>
        <v>Структура на ДНК</v>
      </c>
      <c r="E58" s="1" t="str">
        <f ca="1">IFERROR(__xludf.DUMMYFUNCTION("GOOGLETRANSLATE(English!E58, ""en"", ""bg"")"),"Можете ли да обясните структурата на ДНК за моя научен проект?")</f>
        <v>Можете ли да обясните структурата на ДНК за моя научен проект?</v>
      </c>
      <c r="F58" s="1" t="str">
        <f ca="1">IFERROR(__xludf.DUMMYFUNCTION("GOOGLETRANSLATE(English!F58,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58" s="1" t="str">
        <f ca="1">IFERROR(__xludf.DUMMYFUNCTION("GOOGLETRANSLATE(English!G58, ""en"", ""bg"")"),"помощ_за_домашно_изпълнение")</f>
        <v>помощ_за_домашно_изпълнение</v>
      </c>
      <c r="H58" s="1" t="str">
        <f ca="1">IFERROR(__xludf.DUMMYFUNCTION("GOOGLETRANSLATE(English!H58, ""en"", ""bg"")"),"помощ_за_домашно_задаване")</f>
        <v>помощ_за_домашно_задаване</v>
      </c>
    </row>
    <row r="59" spans="1:8" ht="13.2" x14ac:dyDescent="0.25">
      <c r="A59" s="1" t="str">
        <f ca="1">IFERROR(__xludf.DUMMYFUNCTION("GOOGLETRANSLATE(English!A59, ""en"", ""bg"")"),"conv_07869")</f>
        <v>conv_07869</v>
      </c>
      <c r="B59" s="1" t="str">
        <f ca="1">IFERROR(__xludf.DUMMYFUNCTION("GOOGLETRANSLATE(English!B59, ""en"", ""bg"")"),"биология")</f>
        <v>биология</v>
      </c>
      <c r="C59" s="1" t="str">
        <f ca="1">IFERROR(__xludf.DUMMYFUNCTION("GOOGLETRANSLATE(English!C59, ""en"", ""bg"")"),"средата")</f>
        <v>средата</v>
      </c>
      <c r="D59" s="1" t="str">
        <f ca="1">IFERROR(__xludf.DUMMYFUNCTION("GOOGLETRANSLATE(English!D59, ""en"", ""bg"")"),"размножаване")</f>
        <v>размножаване</v>
      </c>
      <c r="E59" s="1" t="str">
        <f ca="1">IFERROR(__xludf.DUMMYFUNCTION("GOOGLETRANSLATE(English!E59, ""en"", ""bg"")"),"Можете ли да ми обясните това? Защо размножаването е важно в биологията?")</f>
        <v>Можете ли да ми обясните това? Защо размножаването е важно в биологията?</v>
      </c>
      <c r="F59" s="1" t="str">
        <f ca="1">IFERROR(__xludf.DUMMYFUNCTION("GOOGLETRANSLATE(English!F59,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59" s="1" t="str">
        <f ca="1">IFERROR(__xludf.DUMMYFUNCTION("GOOGLETRANSLATE(English!G59, ""en"", ""bg"")"),"разговор")</f>
        <v>разговор</v>
      </c>
      <c r="H59" s="1" t="str">
        <f ca="1">IFERROR(__xludf.DUMMYFUNCTION("GOOGLETRANSLATE(English!H59, ""en"", ""bg"")"),"образователна_помощ")</f>
        <v>образователна_помощ</v>
      </c>
    </row>
    <row r="60" spans="1:8" ht="13.2" x14ac:dyDescent="0.25">
      <c r="A60" s="1" t="str">
        <f ca="1">IFERROR(__xludf.DUMMYFUNCTION("GOOGLETRANSLATE(English!A60, ""en"", ""bg"")"),"conv_04392")</f>
        <v>conv_04392</v>
      </c>
      <c r="B60" s="1" t="str">
        <f ca="1">IFERROR(__xludf.DUMMYFUNCTION("GOOGLETRANSLATE(English!B60, ""en"", ""bg"")"),"физика")</f>
        <v>физика</v>
      </c>
      <c r="C60" s="1" t="str">
        <f ca="1">IFERROR(__xludf.DUMMYFUNCTION("GOOGLETRANSLATE(English!C60, ""en"", ""bg"")"),"средата")</f>
        <v>средата</v>
      </c>
      <c r="D60" s="1" t="str">
        <f ca="1">IFERROR(__xludf.DUMMYFUNCTION("GOOGLETRANSLATE(English!D60, ""en"", ""bg"")"),"сили и движение")</f>
        <v>сили и движение</v>
      </c>
      <c r="E60" s="1" t="str">
        <f ca="1">IFERROR(__xludf.DUMMYFUNCTION("GOOGLETRANSLATE(English!E60, ""en"", ""bg"")"),"Можете ли да ми помогнете? Какво е ускорение?")</f>
        <v>Можете ли да ми помогнете? Какво е ускорение?</v>
      </c>
      <c r="F60" s="1" t="str">
        <f ca="1">IFERROR(__xludf.DUMMYFUNCTION("GOOGLETRANSLATE(English!F60,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60" s="1" t="str">
        <f ca="1">IFERROR(__xludf.DUMMYFUNCTION("GOOGLETRANSLATE(English!G60, ""en"", ""bg"")"),"разговор")</f>
        <v>разговор</v>
      </c>
      <c r="H60" s="1" t="str">
        <f ca="1">IFERROR(__xludf.DUMMYFUNCTION("GOOGLETRANSLATE(English!H60, ""en"", ""bg"")"),"образователна_помощ")</f>
        <v>образователна_помощ</v>
      </c>
    </row>
    <row r="61" spans="1:8" ht="13.2" x14ac:dyDescent="0.25">
      <c r="A61" s="1" t="str">
        <f ca="1">IFERROR(__xludf.DUMMYFUNCTION("GOOGLETRANSLATE(English!A61, ""en"", ""bg"")"),"conv_14558")</f>
        <v>conv_14558</v>
      </c>
      <c r="B61" s="1" t="str">
        <f ca="1">IFERROR(__xludf.DUMMYFUNCTION("GOOGLETRANSLATE(English!B61, ""en"", ""bg"")"),"биология")</f>
        <v>биология</v>
      </c>
      <c r="C61" s="1" t="str">
        <f ca="1">IFERROR(__xludf.DUMMYFUNCTION("GOOGLETRANSLATE(English!C61, ""en"", ""bg"")"),"средата")</f>
        <v>средата</v>
      </c>
      <c r="D61" s="1" t="str">
        <f ca="1">IFERROR(__xludf.DUMMYFUNCTION("GOOGLETRANSLATE(English!D61, ""en"", ""bg"")"),"екосистеми")</f>
        <v>екосистеми</v>
      </c>
      <c r="E61" s="1" t="str">
        <f ca="1">IFERROR(__xludf.DUMMYFUNCTION("GOOGLETRANSLATE(English!E61, ""en"", ""bg"")"),"Имам нужда от помощ с домашното. Можете ли да ми разкажете за екосистемите?")</f>
        <v>Имам нужда от помощ с домашното. Можете ли да ми разкажете за екосистемите?</v>
      </c>
      <c r="F61" s="1" t="str">
        <f ca="1">IFERROR(__xludf.DUMMYFUNCTION("GOOGLETRANSLATE(English!F61,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61" s="1" t="str">
        <f ca="1">IFERROR(__xludf.DUMMYFUNCTION("GOOGLETRANSLATE(English!G61, ""en"", ""bg"")"),"разговор")</f>
        <v>разговор</v>
      </c>
      <c r="H61" s="1" t="str">
        <f ca="1">IFERROR(__xludf.DUMMYFUNCTION("GOOGLETRANSLATE(English!H61, ""en"", ""bg"")"),"образователна_помощ")</f>
        <v>образователна_помощ</v>
      </c>
    </row>
    <row r="62" spans="1:8" ht="13.2" x14ac:dyDescent="0.25">
      <c r="A62" s="1" t="str">
        <f ca="1">IFERROR(__xludf.DUMMYFUNCTION("GOOGLETRANSLATE(English!A62, ""en"", ""bg"")"),"hw_13029")</f>
        <v>hw_13029</v>
      </c>
      <c r="B62" s="1" t="str">
        <f ca="1">IFERROR(__xludf.DUMMYFUNCTION("GOOGLETRANSLATE(English!B62, ""en"", ""bg"")"),"химия")</f>
        <v>химия</v>
      </c>
      <c r="C62" s="1" t="str">
        <f ca="1">IFERROR(__xludf.DUMMYFUNCTION("GOOGLETRANSLATE(English!C62, ""en"", ""bg"")"),"средата")</f>
        <v>средата</v>
      </c>
      <c r="D62" s="1" t="str">
        <f ca="1">IFERROR(__xludf.DUMMYFUNCTION("GOOGLETRANSLATE(English!D62, ""en"", ""bg"")"),"химични промени")</f>
        <v>химични промени</v>
      </c>
      <c r="E62" s="1" t="str">
        <f ca="1">IFERROR(__xludf.DUMMYFUNCTION("GOOGLETRANSLATE(English!E62,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62" s="1" t="str">
        <f ca="1">IFERROR(__xludf.DUMMYFUNCTION("GOOGLETRANSLATE(English!F62,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62" s="1" t="str">
        <f ca="1">IFERROR(__xludf.DUMMYFUNCTION("GOOGLETRANSLATE(English!G62, ""en"", ""bg"")"),"помощ_за_домашно_изпълнение")</f>
        <v>помощ_за_домашно_изпълнение</v>
      </c>
      <c r="H62" s="1" t="str">
        <f ca="1">IFERROR(__xludf.DUMMYFUNCTION("GOOGLETRANSLATE(English!H62, ""en"", ""bg"")"),"помощ_за_домашно_задаване")</f>
        <v>помощ_за_домашно_задаване</v>
      </c>
    </row>
    <row r="63" spans="1:8" ht="13.2" x14ac:dyDescent="0.25">
      <c r="A63" s="1" t="str">
        <f ca="1">IFERROR(__xludf.DUMMYFUNCTION("GOOGLETRANSLATE(English!A63, ""en"", ""bg"")"),"conv_13776")</f>
        <v>conv_13776</v>
      </c>
      <c r="B63" s="1" t="str">
        <f ca="1">IFERROR(__xludf.DUMMYFUNCTION("GOOGLETRANSLATE(English!B63, ""en"", ""bg"")"),"физика")</f>
        <v>физика</v>
      </c>
      <c r="C63" s="1" t="str">
        <f ca="1">IFERROR(__xludf.DUMMYFUNCTION("GOOGLETRANSLATE(English!C63, ""en"", ""bg"")"),"високо")</f>
        <v>високо</v>
      </c>
      <c r="D63" s="1" t="str">
        <f ca="1">IFERROR(__xludf.DUMMYFUNCTION("GOOGLETRANSLATE(English!D63, ""en"", ""bg"")"),"механика")</f>
        <v>механика</v>
      </c>
      <c r="E63" s="1" t="str">
        <f ca="1">IFERROR(__xludf.DUMMYFUNCTION("GOOGLETRANSLATE(English!E63, ""en"", ""bg"")"),"Можете ли да ми обясните това? Можете ли да ми обясните механиката?")</f>
        <v>Можете ли да ми обясните това? Можете ли да ми обясните механиката?</v>
      </c>
      <c r="F63" s="1" t="str">
        <f ca="1">IFERROR(__xludf.DUMMYFUNCTION("GOOGLETRANSLATE(English!F63,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63" s="1" t="str">
        <f ca="1">IFERROR(__xludf.DUMMYFUNCTION("GOOGLETRANSLATE(English!G63, ""en"", ""bg"")"),"разговор")</f>
        <v>разговор</v>
      </c>
      <c r="H63" s="1" t="str">
        <f ca="1">IFERROR(__xludf.DUMMYFUNCTION("GOOGLETRANSLATE(English!H63, ""en"", ""bg"")"),"образователна_помощ")</f>
        <v>образователна_помощ</v>
      </c>
    </row>
    <row r="64" spans="1:8" ht="13.2" x14ac:dyDescent="0.25">
      <c r="A64" s="1" t="str">
        <f ca="1">IFERROR(__xludf.DUMMYFUNCTION("GOOGLETRANSLATE(English!A64, ""en"", ""bg"")"),"conv_14709")</f>
        <v>conv_14709</v>
      </c>
      <c r="B64" s="1" t="str">
        <f ca="1">IFERROR(__xludf.DUMMYFUNCTION("GOOGLETRANSLATE(English!B64, ""en"", ""bg"")"),"биология")</f>
        <v>биология</v>
      </c>
      <c r="C64" s="1" t="str">
        <f ca="1">IFERROR(__xludf.DUMMYFUNCTION("GOOGLETRANSLATE(English!C64, ""en"", ""bg"")"),"високо")</f>
        <v>високо</v>
      </c>
      <c r="D64" s="1" t="str">
        <f ca="1">IFERROR(__xludf.DUMMYFUNCTION("GOOGLETRANSLATE(English!D64, ""en"", ""bg"")"),"митоза и мейоза")</f>
        <v>митоза и мейоза</v>
      </c>
      <c r="E64" s="1" t="str">
        <f ca="1">IFERROR(__xludf.DUMMYFUNCTION("GOOGLETRANSLATE(English!E64, ""en"", ""bg"")"),"Имам научен въпрос. Как протичат митозата и мейозата?")</f>
        <v>Имам научен въпрос. Как протичат митозата и мейозата?</v>
      </c>
      <c r="F64" s="1" t="str">
        <f ca="1">IFERROR(__xludf.DUMMYFUNCTION("GOOGLETRANSLATE(English!F64,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64" s="1" t="str">
        <f ca="1">IFERROR(__xludf.DUMMYFUNCTION("GOOGLETRANSLATE(English!G64, ""en"", ""bg"")"),"разговор")</f>
        <v>разговор</v>
      </c>
      <c r="H64" s="1" t="str">
        <f ca="1">IFERROR(__xludf.DUMMYFUNCTION("GOOGLETRANSLATE(English!H64, ""en"", ""bg"")"),"образователна_помощ")</f>
        <v>образователна_помощ</v>
      </c>
    </row>
    <row r="65" spans="1:8" ht="13.2" x14ac:dyDescent="0.25">
      <c r="A65" s="1" t="str">
        <f ca="1">IFERROR(__xludf.DUMMYFUNCTION("GOOGLETRANSLATE(English!A65, ""en"", ""bg"")"),"hw_10261")</f>
        <v>hw_10261</v>
      </c>
      <c r="B65" s="1" t="str">
        <f ca="1">IFERROR(__xludf.DUMMYFUNCTION("GOOGLETRANSLATE(English!B65, ""en"", ""bg"")"),"биология")</f>
        <v>биология</v>
      </c>
      <c r="C65" s="1" t="str">
        <f ca="1">IFERROR(__xludf.DUMMYFUNCTION("GOOGLETRANSLATE(English!C65, ""en"", ""bg"")"),"елементарен")</f>
        <v>елементарен</v>
      </c>
      <c r="D65" s="1" t="str">
        <f ca="1">IFERROR(__xludf.DUMMYFUNCTION("GOOGLETRANSLATE(English!D65, ""en"", ""bg"")"),"хранителни вериги")</f>
        <v>хранителни вериги</v>
      </c>
      <c r="E65" s="1" t="str">
        <f ca="1">IFERROR(__xludf.DUMMYFUNCTION("GOOGLETRANSLATE(English!E65, ""en"", ""bg"")"),"Домашното ми пита за хранителните вериги. Не го разбирам.")</f>
        <v>Домашното ми пита за хранителните вериги. Не го разбирам.</v>
      </c>
      <c r="F65" s="1" t="str">
        <f ca="1">IFERROR(__xludf.DUMMYFUNCTION("GOOGLETRANSLATE(English!F65,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65" s="1" t="str">
        <f ca="1">IFERROR(__xludf.DUMMYFUNCTION("GOOGLETRANSLATE(English!G65, ""en"", ""bg"")"),"помощ_за_домашно_изпълнение")</f>
        <v>помощ_за_домашно_изпълнение</v>
      </c>
      <c r="H65" s="1" t="str">
        <f ca="1">IFERROR(__xludf.DUMMYFUNCTION("GOOGLETRANSLATE(English!H65, ""en"", ""bg"")"),"помощ_за_домашно_задаване")</f>
        <v>помощ_за_домашно_задаване</v>
      </c>
    </row>
    <row r="66" spans="1:8" ht="13.2" x14ac:dyDescent="0.25">
      <c r="A66" s="1" t="str">
        <f ca="1">IFERROR(__xludf.DUMMYFUNCTION("GOOGLETRANSLATE(English!A66, ""en"", ""bg"")"),"conv_07907")</f>
        <v>conv_07907</v>
      </c>
      <c r="B66" s="1" t="str">
        <f ca="1">IFERROR(__xludf.DUMMYFUNCTION("GOOGLETRANSLATE(English!B66, ""en"", ""bg"")"),"физика")</f>
        <v>физика</v>
      </c>
      <c r="C66" s="1" t="str">
        <f ca="1">IFERROR(__xludf.DUMMYFUNCTION("GOOGLETRANSLATE(English!C66, ""en"", ""bg"")"),"елементарен")</f>
        <v>елементарен</v>
      </c>
      <c r="D66" s="1" t="str">
        <f ca="1">IFERROR(__xludf.DUMMYFUNCTION("GOOGLETRANSLATE(English!D66, ""en"", ""bg"")"),"звук")</f>
        <v>звук</v>
      </c>
      <c r="E66" s="1" t="str">
        <f ca="1">IFERROR(__xludf.DUMMYFUNCTION("GOOGLETRANSLATE(English!E66, ""en"", ""bg"")"),"Имам научен въпрос. Можете ли да ми обясните звука?")</f>
        <v>Имам научен въпрос. Можете ли да ми обясните звука?</v>
      </c>
      <c r="F66" s="1" t="str">
        <f ca="1">IFERROR(__xludf.DUMMYFUNCTION("GOOGLETRANSLATE(English!F66,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66" s="1" t="str">
        <f ca="1">IFERROR(__xludf.DUMMYFUNCTION("GOOGLETRANSLATE(English!G66, ""en"", ""bg"")"),"разговор")</f>
        <v>разговор</v>
      </c>
      <c r="H66" s="1" t="str">
        <f ca="1">IFERROR(__xludf.DUMMYFUNCTION("GOOGLETRANSLATE(English!H66, ""en"", ""bg"")"),"образователна_помощ")</f>
        <v>образователна_помощ</v>
      </c>
    </row>
    <row r="67" spans="1:8" ht="13.2" x14ac:dyDescent="0.25">
      <c r="A67" s="1" t="str">
        <f ca="1">IFERROR(__xludf.DUMMYFUNCTION("GOOGLETRANSLATE(English!A67, ""en"", ""bg"")"),"conv_07717")</f>
        <v>conv_07717</v>
      </c>
      <c r="B67" s="1" t="str">
        <f ca="1">IFERROR(__xludf.DUMMYFUNCTION("GOOGLETRANSLATE(English!B67, ""en"", ""bg"")"),"физика")</f>
        <v>физика</v>
      </c>
      <c r="C67" s="1" t="str">
        <f ca="1">IFERROR(__xludf.DUMMYFUNCTION("GOOGLETRANSLATE(English!C67, ""en"", ""bg"")"),"елементарен")</f>
        <v>елементарен</v>
      </c>
      <c r="D67" s="1" t="str">
        <f ca="1">IFERROR(__xludf.DUMMYFUNCTION("GOOGLETRANSLATE(English!D67, ""en"", ""bg"")"),"горещо и студено")</f>
        <v>горещо и студено</v>
      </c>
      <c r="E67" s="1" t="str">
        <f ca="1">IFERROR(__xludf.DUMMYFUNCTION("GOOGLETRANSLATE(English!E67, ""en"", ""bg"")"),"Имам нужда от помощ с домашното. Защо топлото и студеното са важни?")</f>
        <v>Имам нужда от помощ с домашното. Защо топлото и студеното са важни?</v>
      </c>
      <c r="F67" s="1" t="str">
        <f ca="1">IFERROR(__xludf.DUMMYFUNCTION("GOOGLETRANSLATE(English!F67,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67" s="1" t="str">
        <f ca="1">IFERROR(__xludf.DUMMYFUNCTION("GOOGLETRANSLATE(English!G67, ""en"", ""bg"")"),"разговор")</f>
        <v>разговор</v>
      </c>
      <c r="H67" s="1" t="str">
        <f ca="1">IFERROR(__xludf.DUMMYFUNCTION("GOOGLETRANSLATE(English!H67, ""en"", ""bg"")"),"образователна_помощ")</f>
        <v>образователна_помощ</v>
      </c>
    </row>
    <row r="68" spans="1:8" ht="13.2" x14ac:dyDescent="0.25">
      <c r="A68" s="1" t="str">
        <f ca="1">IFERROR(__xludf.DUMMYFUNCTION("GOOGLETRANSLATE(English!A68, ""en"", ""bg"")"),"qa_06364")</f>
        <v>qa_06364</v>
      </c>
      <c r="B68" s="1" t="str">
        <f ca="1">IFERROR(__xludf.DUMMYFUNCTION("GOOGLETRANSLATE(English!B68, ""en"", ""bg"")"),"физика")</f>
        <v>физика</v>
      </c>
      <c r="C68" s="1" t="str">
        <f ca="1">IFERROR(__xludf.DUMMYFUNCTION("GOOGLETRANSLATE(English!C68, ""en"", ""bg"")"),"средата")</f>
        <v>средата</v>
      </c>
      <c r="D68" s="1" t="str">
        <f ca="1">IFERROR(__xludf.DUMMYFUNCTION("GOOGLETRANSLATE(English!D68, ""en"", ""bg"")"),"вълни")</f>
        <v>вълни</v>
      </c>
      <c r="E68" s="1" t="str">
        <f ca="1">IFERROR(__xludf.DUMMYFUNCTION("GOOGLETRANSLATE(English!E68, ""en"", ""bg"")"),"Можете ли да ми обясните какво представляват вълните?")</f>
        <v>Можете ли да ми обясните какво представляват вълните?</v>
      </c>
      <c r="F68" s="1" t="str">
        <f ca="1">IFERROR(__xludf.DUMMYFUNCTION("GOOGLETRANSLATE(English!F68,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68" s="1" t="str">
        <f ca="1">IFERROR(__xludf.DUMMYFUNCTION("GOOGLETRANSLATE(English!G68, ""en"", ""bg"")"),"direct_qa")</f>
        <v>direct_qa</v>
      </c>
      <c r="H68" s="1" t="str">
        <f ca="1">IFERROR(__xludf.DUMMYFUNCTION("GOOGLETRANSLATE(English!H68, ""en"", ""bg"")"),"заявка_за_знание")</f>
        <v>заявка_за_знание</v>
      </c>
    </row>
    <row r="69" spans="1:8" ht="13.2" x14ac:dyDescent="0.25">
      <c r="A69" s="1" t="str">
        <f ca="1">IFERROR(__xludf.DUMMYFUNCTION("GOOGLETRANSLATE(English!A69, ""en"", ""bg"")"),"conv_19699")</f>
        <v>conv_19699</v>
      </c>
      <c r="B69" s="1" t="str">
        <f ca="1">IFERROR(__xludf.DUMMYFUNCTION("GOOGLETRANSLATE(English!B69, ""en"", ""bg"")"),"химия")</f>
        <v>химия</v>
      </c>
      <c r="C69" s="1" t="str">
        <f ca="1">IFERROR(__xludf.DUMMYFUNCTION("GOOGLETRANSLATE(English!C69, ""en"", ""bg"")"),"елементарен")</f>
        <v>елементарен</v>
      </c>
      <c r="D69" s="1" t="str">
        <f ca="1">IFERROR(__xludf.DUMMYFUNCTION("GOOGLETRANSLATE(English!D69, ""en"", ""bg"")"),"безопасност")</f>
        <v>безопасност</v>
      </c>
      <c r="E69" s="1" t="str">
        <f ca="1">IFERROR(__xludf.DUMMYFUNCTION("GOOGLETRANSLATE(English!E69, ""en"", ""bg"")"),"Можете ли да ми помогнете? Какво е безопасността?")</f>
        <v>Можете ли да ми помогнете? Какво е безопасността?</v>
      </c>
      <c r="F69" s="1" t="str">
        <f ca="1">IFERROR(__xludf.DUMMYFUNCTION("GOOGLETRANSLATE(English!F69,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69" s="1" t="str">
        <f ca="1">IFERROR(__xludf.DUMMYFUNCTION("GOOGLETRANSLATE(English!G69, ""en"", ""bg"")"),"разговор")</f>
        <v>разговор</v>
      </c>
      <c r="H69" s="1" t="str">
        <f ca="1">IFERROR(__xludf.DUMMYFUNCTION("GOOGLETRANSLATE(English!H69, ""en"", ""bg"")"),"образователна_помощ")</f>
        <v>образователна_помощ</v>
      </c>
    </row>
    <row r="70" spans="1:8" ht="13.2" x14ac:dyDescent="0.25">
      <c r="A70" s="1" t="str">
        <f ca="1">IFERROR(__xludf.DUMMYFUNCTION("GOOGLETRANSLATE(English!A70, ""en"", ""bg"")"),"conv_17905")</f>
        <v>conv_17905</v>
      </c>
      <c r="B70" s="1" t="str">
        <f ca="1">IFERROR(__xludf.DUMMYFUNCTION("GOOGLETRANSLATE(English!B70, ""en"", ""bg"")"),"биология")</f>
        <v>биология</v>
      </c>
      <c r="C70" s="1" t="str">
        <f ca="1">IFERROR(__xludf.DUMMYFUNCTION("GOOGLETRANSLATE(English!C70, ""en"", ""bg"")"),"високо")</f>
        <v>високо</v>
      </c>
      <c r="D70" s="1" t="str">
        <f ca="1">IFERROR(__xludf.DUMMYFUNCTION("GOOGLETRANSLATE(English!D70, ""en"", ""bg"")"),"модели на наследяване")</f>
        <v>модели на наследяване</v>
      </c>
      <c r="E70" s="1" t="str">
        <f ca="1">IFERROR(__xludf.DUMMYFUNCTION("GOOGLETRANSLATE(English!E70, ""en"", ""bg"")"),"Можете ли да ми обясните това? Защо моделите на наследяване са важни в биологията?")</f>
        <v>Можете ли да ми обясните това? Защо моделите на наследяване са важни в биологията?</v>
      </c>
      <c r="F70" s="1" t="str">
        <f ca="1">IFERROR(__xludf.DUMMYFUNCTION("GOOGLETRANSLATE(English!F70,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70" s="1" t="str">
        <f ca="1">IFERROR(__xludf.DUMMYFUNCTION("GOOGLETRANSLATE(English!G70, ""en"", ""bg"")"),"разговор")</f>
        <v>разговор</v>
      </c>
      <c r="H70" s="1" t="str">
        <f ca="1">IFERROR(__xludf.DUMMYFUNCTION("GOOGLETRANSLATE(English!H70, ""en"", ""bg"")"),"образователна_помощ")</f>
        <v>образователна_помощ</v>
      </c>
    </row>
    <row r="71" spans="1:8" ht="13.2" x14ac:dyDescent="0.25">
      <c r="A71" s="1" t="str">
        <f ca="1">IFERROR(__xludf.DUMMYFUNCTION("GOOGLETRANSLATE(English!A71, ""en"", ""bg"")"),"conv_14423")</f>
        <v>conv_14423</v>
      </c>
      <c r="B71" s="1" t="str">
        <f ca="1">IFERROR(__xludf.DUMMYFUNCTION("GOOGLETRANSLATE(English!B71, ""en"", ""bg"")"),"физика")</f>
        <v>физика</v>
      </c>
      <c r="C71" s="1" t="str">
        <f ca="1">IFERROR(__xludf.DUMMYFUNCTION("GOOGLETRANSLATE(English!C71, ""en"", ""bg"")"),"средата")</f>
        <v>средата</v>
      </c>
      <c r="D71" s="1" t="str">
        <f ca="1">IFERROR(__xludf.DUMMYFUNCTION("GOOGLETRANSLATE(English!D71, ""en"", ""bg"")"),"прости схеми")</f>
        <v>прости схеми</v>
      </c>
      <c r="E71" s="1" t="str">
        <f ca="1">IFERROR(__xludf.DUMMYFUNCTION("GOOGLETRANSLATE(English!E71, ""en"", ""bg"")"),"Здравей, преподавателю! Какво трябва да знам за простите електрически вериги?")</f>
        <v>Здравей, преподавателю! Какво трябва да знам за простите електрически вериги?</v>
      </c>
      <c r="F71" s="1" t="str">
        <f ca="1">IFERROR(__xludf.DUMMYFUNCTION("GOOGLETRANSLATE(English!F71,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71" s="1" t="str">
        <f ca="1">IFERROR(__xludf.DUMMYFUNCTION("GOOGLETRANSLATE(English!G71, ""en"", ""bg"")"),"разговор")</f>
        <v>разговор</v>
      </c>
      <c r="H71" s="1" t="str">
        <f ca="1">IFERROR(__xludf.DUMMYFUNCTION("GOOGLETRANSLATE(English!H71, ""en"", ""bg"")"),"образователна_помощ")</f>
        <v>образователна_помощ</v>
      </c>
    </row>
    <row r="72" spans="1:8" ht="13.2" x14ac:dyDescent="0.25">
      <c r="A72" s="1" t="str">
        <f ca="1">IFERROR(__xludf.DUMMYFUNCTION("GOOGLETRANSLATE(English!A72, ""en"", ""bg"")"),"qa_10620")</f>
        <v>qa_10620</v>
      </c>
      <c r="B72" s="1" t="str">
        <f ca="1">IFERROR(__xludf.DUMMYFUNCTION("GOOGLETRANSLATE(English!B72, ""en"", ""bg"")"),"биология")</f>
        <v>биология</v>
      </c>
      <c r="C72" s="1" t="str">
        <f ca="1">IFERROR(__xludf.DUMMYFUNCTION("GOOGLETRANSLATE(English!C72, ""en"", ""bg"")"),"високо")</f>
        <v>високо</v>
      </c>
      <c r="D72" s="1" t="str">
        <f ca="1">IFERROR(__xludf.DUMMYFUNCTION("GOOGLETRANSLATE(English!D72, ""en"", ""bg"")"),"Структура на ДНК")</f>
        <v>Структура на ДНК</v>
      </c>
      <c r="E72" s="1" t="str">
        <f ca="1">IFERROR(__xludf.DUMMYFUNCTION("GOOGLETRANSLATE(English!E72, ""en"", ""bg"")"),"Защо структурата на ДНК е важна в биологията?")</f>
        <v>Защо структурата на ДНК е важна в биологията?</v>
      </c>
      <c r="F72" s="1" t="str">
        <f ca="1">IFERROR(__xludf.DUMMYFUNCTION("GOOGLETRANSLATE(English!F72,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72" s="1" t="str">
        <f ca="1">IFERROR(__xludf.DUMMYFUNCTION("GOOGLETRANSLATE(English!G72, ""en"", ""bg"")"),"direct_qa")</f>
        <v>direct_qa</v>
      </c>
      <c r="H72" s="1" t="str">
        <f ca="1">IFERROR(__xludf.DUMMYFUNCTION("GOOGLETRANSLATE(English!H72, ""en"", ""bg"")"),"заявка_за_знание")</f>
        <v>заявка_за_знание</v>
      </c>
    </row>
    <row r="73" spans="1:8" ht="13.2" x14ac:dyDescent="0.25">
      <c r="A73" s="1" t="str">
        <f ca="1">IFERROR(__xludf.DUMMYFUNCTION("GOOGLETRANSLATE(English!A73, ""en"", ""bg"")"),"qa_07247")</f>
        <v>qa_07247</v>
      </c>
      <c r="B73" s="1" t="str">
        <f ca="1">IFERROR(__xludf.DUMMYFUNCTION("GOOGLETRANSLATE(English!B73, ""en"", ""bg"")"),"физика")</f>
        <v>физика</v>
      </c>
      <c r="C73" s="1" t="str">
        <f ca="1">IFERROR(__xludf.DUMMYFUNCTION("GOOGLETRANSLATE(English!C73, ""en"", ""bg"")"),"елементарен")</f>
        <v>елементарен</v>
      </c>
      <c r="D73" s="1" t="str">
        <f ca="1">IFERROR(__xludf.DUMMYFUNCTION("GOOGLETRANSLATE(English!D73, ""en"", ""bg"")"),"звук")</f>
        <v>звук</v>
      </c>
      <c r="E73" s="1" t="str">
        <f ca="1">IFERROR(__xludf.DUMMYFUNCTION("GOOGLETRANSLATE(English!E73, ""en"", ""bg"")"),"Можеш ли да ми обясниш звука?")</f>
        <v>Можеш ли да ми обясниш звука?</v>
      </c>
      <c r="F73" s="1" t="str">
        <f ca="1">IFERROR(__xludf.DUMMYFUNCTION("GOOGLETRANSLATE(English!F73,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73" s="1" t="str">
        <f ca="1">IFERROR(__xludf.DUMMYFUNCTION("GOOGLETRANSLATE(English!G73, ""en"", ""bg"")"),"direct_qa")</f>
        <v>direct_qa</v>
      </c>
      <c r="H73" s="1" t="str">
        <f ca="1">IFERROR(__xludf.DUMMYFUNCTION("GOOGLETRANSLATE(English!H73, ""en"", ""bg"")"),"заявка_за_знание")</f>
        <v>заявка_за_знание</v>
      </c>
    </row>
    <row r="74" spans="1:8" ht="13.2" x14ac:dyDescent="0.25">
      <c r="A74" s="1" t="str">
        <f ca="1">IFERROR(__xludf.DUMMYFUNCTION("GOOGLETRANSLATE(English!A74, ""en"", ""bg"")"),"qa_07443")</f>
        <v>qa_07443</v>
      </c>
      <c r="B74" s="1" t="str">
        <f ca="1">IFERROR(__xludf.DUMMYFUNCTION("GOOGLETRANSLATE(English!B74, ""en"", ""bg"")"),"биология")</f>
        <v>биология</v>
      </c>
      <c r="C74" s="1" t="str">
        <f ca="1">IFERROR(__xludf.DUMMYFUNCTION("GOOGLETRANSLATE(English!C74, ""en"", ""bg"")"),"средата")</f>
        <v>средата</v>
      </c>
      <c r="D74" s="1" t="str">
        <f ca="1">IFERROR(__xludf.DUMMYFUNCTION("GOOGLETRANSLATE(English!D74, ""en"", ""bg"")"),"основи на генетиката")</f>
        <v>основи на генетиката</v>
      </c>
      <c r="E74" s="1" t="str">
        <f ca="1">IFERROR(__xludf.DUMMYFUNCTION("GOOGLETRANSLATE(English!E74, ""en"", ""bg"")"),"Можете ли да ми разкажете за основите на генетиката?")</f>
        <v>Можете ли да ми разкажете за основите на генетиката?</v>
      </c>
      <c r="F74" s="1" t="str">
        <f ca="1">IFERROR(__xludf.DUMMYFUNCTION("GOOGLETRANSLATE(English!F74,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74" s="1" t="str">
        <f ca="1">IFERROR(__xludf.DUMMYFUNCTION("GOOGLETRANSLATE(English!G74, ""en"", ""bg"")"),"direct_qa")</f>
        <v>direct_qa</v>
      </c>
      <c r="H74" s="1" t="str">
        <f ca="1">IFERROR(__xludf.DUMMYFUNCTION("GOOGLETRANSLATE(English!H74, ""en"", ""bg"")"),"заявка_за_знание")</f>
        <v>заявка_за_знание</v>
      </c>
    </row>
    <row r="75" spans="1:8" ht="13.2" x14ac:dyDescent="0.25">
      <c r="A75" s="1" t="str">
        <f ca="1">IFERROR(__xludf.DUMMYFUNCTION("GOOGLETRANSLATE(English!A75, ""en"", ""bg"")"),"qa_02087")</f>
        <v>qa_02087</v>
      </c>
      <c r="B75" s="1" t="str">
        <f ca="1">IFERROR(__xludf.DUMMYFUNCTION("GOOGLETRANSLATE(English!B75, ""en"", ""bg"")"),"физика")</f>
        <v>физика</v>
      </c>
      <c r="C75" s="1" t="str">
        <f ca="1">IFERROR(__xludf.DUMMYFUNCTION("GOOGLETRANSLATE(English!C75, ""en"", ""bg"")"),"високо")</f>
        <v>високо</v>
      </c>
      <c r="D75" s="1" t="str">
        <f ca="1">IFERROR(__xludf.DUMMYFUNCTION("GOOGLETRANSLATE(English!D75, ""en"", ""bg"")"),"атомна структура")</f>
        <v>атомна структура</v>
      </c>
      <c r="E75" s="1" t="str">
        <f ca="1">IFERROR(__xludf.DUMMYFUNCTION("GOOGLETRANSLATE(English!E75, ""en"", ""bg"")"),"Можете ли да ми обясните структурата на атома?")</f>
        <v>Можете ли да ми обясните структурата на атома?</v>
      </c>
      <c r="F75" s="1" t="str">
        <f ca="1">IFERROR(__xludf.DUMMYFUNCTION("GOOGLETRANSLATE(English!F75,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75" s="1" t="str">
        <f ca="1">IFERROR(__xludf.DUMMYFUNCTION("GOOGLETRANSLATE(English!G75, ""en"", ""bg"")"),"direct_qa")</f>
        <v>direct_qa</v>
      </c>
      <c r="H75" s="1" t="str">
        <f ca="1">IFERROR(__xludf.DUMMYFUNCTION("GOOGLETRANSLATE(English!H75, ""en"", ""bg"")"),"заявка_за_знание")</f>
        <v>заявка_за_знание</v>
      </c>
    </row>
    <row r="76" spans="1:8" ht="13.2" x14ac:dyDescent="0.25">
      <c r="A76" s="1" t="str">
        <f ca="1">IFERROR(__xludf.DUMMYFUNCTION("GOOGLETRANSLATE(English!A76, ""en"", ""bg"")"),"conv_00943")</f>
        <v>conv_00943</v>
      </c>
      <c r="B76" s="1" t="str">
        <f ca="1">IFERROR(__xludf.DUMMYFUNCTION("GOOGLETRANSLATE(English!B76, ""en"", ""bg"")"),"химия")</f>
        <v>химия</v>
      </c>
      <c r="C76" s="1" t="str">
        <f ca="1">IFERROR(__xludf.DUMMYFUNCTION("GOOGLETRANSLATE(English!C76, ""en"", ""bg"")"),"елементарен")</f>
        <v>елементарен</v>
      </c>
      <c r="D76" s="1" t="str">
        <f ca="1">IFERROR(__xludf.DUMMYFUNCTION("GOOGLETRANSLATE(English!D76, ""en"", ""bg"")"),"разтваряне")</f>
        <v>разтваряне</v>
      </c>
      <c r="E76" s="1" t="str">
        <f ca="1">IFERROR(__xludf.DUMMYFUNCTION("GOOGLETRANSLATE(English!E76, ""en"", ""bg"")"),"Можете ли да ми помогнете? Защо е важно да се научим да разтваряме?")</f>
        <v>Можете ли да ми помогнете? Защо е важно да се научим да разтваряме?</v>
      </c>
      <c r="F76" s="1" t="str">
        <f ca="1">IFERROR(__xludf.DUMMYFUNCTION("GOOGLETRANSLATE(English!F76,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76" s="1" t="str">
        <f ca="1">IFERROR(__xludf.DUMMYFUNCTION("GOOGLETRANSLATE(English!G76, ""en"", ""bg"")"),"разговор")</f>
        <v>разговор</v>
      </c>
      <c r="H76" s="1" t="str">
        <f ca="1">IFERROR(__xludf.DUMMYFUNCTION("GOOGLETRANSLATE(English!H76, ""en"", ""bg"")"),"образователна_помощ")</f>
        <v>образователна_помощ</v>
      </c>
    </row>
    <row r="77" spans="1:8" ht="13.2" x14ac:dyDescent="0.25">
      <c r="A77" s="1" t="str">
        <f ca="1">IFERROR(__xludf.DUMMYFUNCTION("GOOGLETRANSLATE(English!A77, ""en"", ""bg"")"),"qa_12269")</f>
        <v>qa_12269</v>
      </c>
      <c r="B77" s="1" t="str">
        <f ca="1">IFERROR(__xludf.DUMMYFUNCTION("GOOGLETRANSLATE(English!B77, ""en"", ""bg"")"),"физика")</f>
        <v>физика</v>
      </c>
      <c r="C77" s="1" t="str">
        <f ca="1">IFERROR(__xludf.DUMMYFUNCTION("GOOGLETRANSLATE(English!C77, ""en"", ""bg"")"),"средата")</f>
        <v>средата</v>
      </c>
      <c r="D77" s="1" t="str">
        <f ca="1">IFERROR(__xludf.DUMMYFUNCTION("GOOGLETRANSLATE(English!D77, ""en"", ""bg"")"),"видове енергия")</f>
        <v>видове енергия</v>
      </c>
      <c r="E77" s="1" t="str">
        <f ca="1">IFERROR(__xludf.DUMMYFUNCTION("GOOGLETRANSLATE(English!E77, ""en"", ""bg"")"),"Как се променя енергията от един вид в друг?")</f>
        <v>Как се променя енергията от един вид в друг?</v>
      </c>
      <c r="F77" s="1" t="str">
        <f ca="1">IFERROR(__xludf.DUMMYFUNCTION("GOOGLETRANSLATE(English!F77,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77" s="1" t="str">
        <f ca="1">IFERROR(__xludf.DUMMYFUNCTION("GOOGLETRANSLATE(English!G77, ""en"", ""bg"")"),"direct_qa")</f>
        <v>direct_qa</v>
      </c>
      <c r="H77" s="1" t="str">
        <f ca="1">IFERROR(__xludf.DUMMYFUNCTION("GOOGLETRANSLATE(English!H77, ""en"", ""bg"")"),"заявка_за_знание")</f>
        <v>заявка_за_знание</v>
      </c>
    </row>
    <row r="78" spans="1:8" ht="13.2" x14ac:dyDescent="0.25">
      <c r="A78" s="1" t="str">
        <f ca="1">IFERROR(__xludf.DUMMYFUNCTION("GOOGLETRANSLATE(English!A78, ""en"", ""bg"")"),"conv_13660")</f>
        <v>conv_13660</v>
      </c>
      <c r="B78" s="1" t="str">
        <f ca="1">IFERROR(__xludf.DUMMYFUNCTION("GOOGLETRANSLATE(English!B78, ""en"", ""bg"")"),"биология")</f>
        <v>биология</v>
      </c>
      <c r="C78" s="1" t="str">
        <f ca="1">IFERROR(__xludf.DUMMYFUNCTION("GOOGLETRANSLATE(English!C78, ""en"", ""bg"")"),"елементарен")</f>
        <v>елементарен</v>
      </c>
      <c r="D78" s="1" t="str">
        <f ca="1">IFERROR(__xludf.DUMMYFUNCTION("GOOGLETRANSLATE(English!D78, ""en"", ""bg"")"),"растения")</f>
        <v>растения</v>
      </c>
      <c r="E78" s="1" t="str">
        <f ca="1">IFERROR(__xludf.DUMMYFUNCTION("GOOGLETRANSLATE(English!E78, ""en"", ""bg"")"),"Помогнете ми да уча за теста си. Как семената пътуват до нови места?")</f>
        <v>Помогнете ми да уча за теста си. Как семената пътуват до нови места?</v>
      </c>
      <c r="F78" s="1" t="str">
        <f ca="1">IFERROR(__xludf.DUMMYFUNCTION("GOOGLETRANSLATE(English!F78,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78" s="1" t="str">
        <f ca="1">IFERROR(__xludf.DUMMYFUNCTION("GOOGLETRANSLATE(English!G78, ""en"", ""bg"")"),"разговор")</f>
        <v>разговор</v>
      </c>
      <c r="H78" s="1" t="str">
        <f ca="1">IFERROR(__xludf.DUMMYFUNCTION("GOOGLETRANSLATE(English!H78, ""en"", ""bg"")"),"образователна_помощ")</f>
        <v>образователна_помощ</v>
      </c>
    </row>
    <row r="79" spans="1:8" ht="13.2" x14ac:dyDescent="0.25">
      <c r="A79" s="1" t="str">
        <f ca="1">IFERROR(__xludf.DUMMYFUNCTION("GOOGLETRANSLATE(English!A79, ""en"", ""bg"")"),"conv_16172")</f>
        <v>conv_16172</v>
      </c>
      <c r="B79" s="1" t="str">
        <f ca="1">IFERROR(__xludf.DUMMYFUNCTION("GOOGLETRANSLATE(English!B79, ""en"", ""bg"")"),"биология")</f>
        <v>биология</v>
      </c>
      <c r="C79" s="1" t="str">
        <f ca="1">IFERROR(__xludf.DUMMYFUNCTION("GOOGLETRANSLATE(English!C79, ""en"", ""bg"")"),"високо")</f>
        <v>високо</v>
      </c>
      <c r="D79" s="1" t="str">
        <f ca="1">IFERROR(__xludf.DUMMYFUNCTION("GOOGLETRANSLATE(English!D79, ""en"", ""bg"")"),"клетъчно дишане")</f>
        <v>клетъчно дишане</v>
      </c>
      <c r="E79" s="1" t="str">
        <f ca="1">IFERROR(__xludf.DUMMYFUNCTION("GOOGLETRANSLATE(English!E79, ""en"", ""bg"")"),"Имам нужда от помощ с домашното си. Какво е важно да знаем за клетъчното дишане?")</f>
        <v>Имам нужда от помощ с домашното си. Какво е важно да знаем за клетъчното дишане?</v>
      </c>
      <c r="F79" s="1" t="str">
        <f ca="1">IFERROR(__xludf.DUMMYFUNCTION("GOOGLETRANSLATE(English!F79,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79" s="1" t="str">
        <f ca="1">IFERROR(__xludf.DUMMYFUNCTION("GOOGLETRANSLATE(English!G79, ""en"", ""bg"")"),"разговор")</f>
        <v>разговор</v>
      </c>
      <c r="H79" s="1" t="str">
        <f ca="1">IFERROR(__xludf.DUMMYFUNCTION("GOOGLETRANSLATE(English!H79, ""en"", ""bg"")"),"образователна_помощ")</f>
        <v>образователна_помощ</v>
      </c>
    </row>
    <row r="80" spans="1:8" ht="13.2" x14ac:dyDescent="0.25">
      <c r="A80" s="1" t="str">
        <f ca="1">IFERROR(__xludf.DUMMYFUNCTION("GOOGLETRANSLATE(English!A80, ""en"", ""bg"")"),"hw_08048")</f>
        <v>hw_08048</v>
      </c>
      <c r="B80" s="1" t="str">
        <f ca="1">IFERROR(__xludf.DUMMYFUNCTION("GOOGLETRANSLATE(English!B80, ""en"", ""bg"")"),"химия")</f>
        <v>химия</v>
      </c>
      <c r="C80" s="1" t="str">
        <f ca="1">IFERROR(__xludf.DUMMYFUNCTION("GOOGLETRANSLATE(English!C80, ""en"", ""bg"")"),"средата")</f>
        <v>средата</v>
      </c>
      <c r="D80" s="1" t="str">
        <f ca="1">IFERROR(__xludf.DUMMYFUNCTION("GOOGLETRANSLATE(English!D80, ""en"", ""bg"")"),"основи на периодичната таблица")</f>
        <v>основи на периодичната таблица</v>
      </c>
      <c r="E80" s="1" t="str">
        <f ca="1">IFERROR(__xludf.DUMMYFUNCTION("GOOGLETRANSLATE(English!E80, ""en"", ""bg"")"),"Имам затруднения с основите на периодичната таблица в домашното си.")</f>
        <v>Имам затруднения с основите на периодичната таблица в домашното си.</v>
      </c>
      <c r="F80" s="1" t="str">
        <f ca="1">IFERROR(__xludf.DUMMYFUNCTION("GOOGLETRANSLATE(English!F80,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80" s="1" t="str">
        <f ca="1">IFERROR(__xludf.DUMMYFUNCTION("GOOGLETRANSLATE(English!G80, ""en"", ""bg"")"),"помощ_за_домашно_изпълнение")</f>
        <v>помощ_за_домашно_изпълнение</v>
      </c>
      <c r="H80" s="1" t="str">
        <f ca="1">IFERROR(__xludf.DUMMYFUNCTION("GOOGLETRANSLATE(English!H80, ""en"", ""bg"")"),"помощ_за_домашно_задаване")</f>
        <v>помощ_за_домашно_задаване</v>
      </c>
    </row>
    <row r="81" spans="1:8" ht="13.2" x14ac:dyDescent="0.25">
      <c r="A81" s="1" t="str">
        <f ca="1">IFERROR(__xludf.DUMMYFUNCTION("GOOGLETRANSLATE(English!A81, ""en"", ""bg"")"),"hw_14757")</f>
        <v>hw_14757</v>
      </c>
      <c r="B81" s="1" t="str">
        <f ca="1">IFERROR(__xludf.DUMMYFUNCTION("GOOGLETRANSLATE(English!B81, ""en"", ""bg"")"),"химия")</f>
        <v>химия</v>
      </c>
      <c r="C81" s="1" t="str">
        <f ca="1">IFERROR(__xludf.DUMMYFUNCTION("GOOGLETRANSLATE(English!C81, ""en"", ""bg"")"),"високо")</f>
        <v>високо</v>
      </c>
      <c r="D81" s="1" t="str">
        <f ca="1">IFERROR(__xludf.DUMMYFUNCTION("GOOGLETRANSLATE(English!D81, ""en"", ""bg"")"),"скорости на реакция")</f>
        <v>скорости на реакция</v>
      </c>
      <c r="E81" s="1" t="str">
        <f ca="1">IFERROR(__xludf.DUMMYFUNCTION("GOOGLETRANSLATE(English!E81,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81" s="1" t="str">
        <f ca="1">IFERROR(__xludf.DUMMYFUNCTION("GOOGLETRANSLATE(English!F81,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81" s="1" t="str">
        <f ca="1">IFERROR(__xludf.DUMMYFUNCTION("GOOGLETRANSLATE(English!G81, ""en"", ""bg"")"),"помощ_за_домашно_изпълнение")</f>
        <v>помощ_за_домашно_изпълнение</v>
      </c>
      <c r="H81" s="1" t="str">
        <f ca="1">IFERROR(__xludf.DUMMYFUNCTION("GOOGLETRANSLATE(English!H81, ""en"", ""bg"")"),"помощ_за_домашно_задаване")</f>
        <v>помощ_за_домашно_задаване</v>
      </c>
    </row>
    <row r="82" spans="1:8" ht="13.2" x14ac:dyDescent="0.25">
      <c r="A82" s="1" t="str">
        <f ca="1">IFERROR(__xludf.DUMMYFUNCTION("GOOGLETRANSLATE(English!A82, ""en"", ""bg"")"),"conv_01294")</f>
        <v>conv_01294</v>
      </c>
      <c r="B82" s="1" t="str">
        <f ca="1">IFERROR(__xludf.DUMMYFUNCTION("GOOGLETRANSLATE(English!B82, ""en"", ""bg"")"),"биология")</f>
        <v>биология</v>
      </c>
      <c r="C82" s="1" t="str">
        <f ca="1">IFERROR(__xludf.DUMMYFUNCTION("GOOGLETRANSLATE(English!C82, ""en"", ""bg"")"),"средата")</f>
        <v>средата</v>
      </c>
      <c r="D82" s="1" t="str">
        <f ca="1">IFERROR(__xludf.DUMMYFUNCTION("GOOGLETRANSLATE(English!D82, ""en"", ""bg"")"),"класификация")</f>
        <v>класификация</v>
      </c>
      <c r="E82" s="1" t="str">
        <f ca="1">IFERROR(__xludf.DUMMYFUNCTION("GOOGLETRANSLATE(English!E82, ""en"", ""bg"")"),"Здравей, преподавателю! Как работи класификацията?")</f>
        <v>Здравей, преподавателю! Как работи класификацията?</v>
      </c>
      <c r="F82" s="1" t="str">
        <f ca="1">IFERROR(__xludf.DUMMYFUNCTION("GOOGLETRANSLATE(English!F82,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82" s="1" t="str">
        <f ca="1">IFERROR(__xludf.DUMMYFUNCTION("GOOGLETRANSLATE(English!G82, ""en"", ""bg"")"),"разговор")</f>
        <v>разговор</v>
      </c>
      <c r="H82" s="1" t="str">
        <f ca="1">IFERROR(__xludf.DUMMYFUNCTION("GOOGLETRANSLATE(English!H82, ""en"", ""bg"")"),"образователна_помощ")</f>
        <v>образователна_помощ</v>
      </c>
    </row>
    <row r="83" spans="1:8" ht="13.2" x14ac:dyDescent="0.25">
      <c r="A83" s="1" t="str">
        <f ca="1">IFERROR(__xludf.DUMMYFUNCTION("GOOGLETRANSLATE(English!A83, ""en"", ""bg"")"),"hw_06081")</f>
        <v>hw_06081</v>
      </c>
      <c r="B83" s="1" t="str">
        <f ca="1">IFERROR(__xludf.DUMMYFUNCTION("GOOGLETRANSLATE(English!B83, ""en"", ""bg"")"),"химия")</f>
        <v>химия</v>
      </c>
      <c r="C83" s="1" t="str">
        <f ca="1">IFERROR(__xludf.DUMMYFUNCTION("GOOGLETRANSLATE(English!C83, ""en"", ""bg"")"),"средата")</f>
        <v>средата</v>
      </c>
      <c r="D83" s="1" t="str">
        <f ca="1">IFERROR(__xludf.DUMMYFUNCTION("GOOGLETRANSLATE(English!D83, ""en"", ""bg"")"),"съединения срещу елементи")</f>
        <v>съединения срещу елементи</v>
      </c>
      <c r="E83" s="1" t="str">
        <f ca="1">IFERROR(__xludf.DUMMYFUNCTION("GOOGLETRANSLATE(English!E83, ""en"", ""bg"")"),"Затруднявам се със сравнението на съединенията и елементите в домашното си.")</f>
        <v>Затруднявам се със сравнението на съединенията и елементите в домашното си.</v>
      </c>
      <c r="F83" s="1" t="str">
        <f ca="1">IFERROR(__xludf.DUMMYFUNCTION("GOOGLETRANSLATE(English!F83,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83" s="1" t="str">
        <f ca="1">IFERROR(__xludf.DUMMYFUNCTION("GOOGLETRANSLATE(English!G83, ""en"", ""bg"")"),"помощ_за_домашно_изпълнение")</f>
        <v>помощ_за_домашно_изпълнение</v>
      </c>
      <c r="H83" s="1" t="str">
        <f ca="1">IFERROR(__xludf.DUMMYFUNCTION("GOOGLETRANSLATE(English!H83, ""en"", ""bg"")"),"помощ_за_домашно_задаване")</f>
        <v>помощ_за_домашно_задаване</v>
      </c>
    </row>
    <row r="84" spans="1:8" ht="13.2" x14ac:dyDescent="0.25">
      <c r="A84" s="1" t="str">
        <f ca="1">IFERROR(__xludf.DUMMYFUNCTION("GOOGLETRANSLATE(English!A84, ""en"", ""bg"")"),"conv_08504")</f>
        <v>conv_08504</v>
      </c>
      <c r="B84" s="1" t="str">
        <f ca="1">IFERROR(__xludf.DUMMYFUNCTION("GOOGLETRANSLATE(English!B84, ""en"", ""bg"")"),"биология")</f>
        <v>биология</v>
      </c>
      <c r="C84" s="1" t="str">
        <f ca="1">IFERROR(__xludf.DUMMYFUNCTION("GOOGLETRANSLATE(English!C84, ""en"", ""bg"")"),"средата")</f>
        <v>средата</v>
      </c>
      <c r="D84" s="1" t="str">
        <f ca="1">IFERROR(__xludf.DUMMYFUNCTION("GOOGLETRANSLATE(English!D84, ""en"", ""bg"")"),"класификация")</f>
        <v>класификация</v>
      </c>
      <c r="E84" s="1" t="str">
        <f ca="1">IFERROR(__xludf.DUMMYFUNCTION("GOOGLETRANSLATE(English!E84, ""en"", ""bg"")"),"Помогнете ми да уча за теста си. Как работи класификацията?")</f>
        <v>Помогнете ми да уча за теста си. Как работи класификацията?</v>
      </c>
      <c r="F84" s="1" t="str">
        <f ca="1">IFERROR(__xludf.DUMMYFUNCTION("GOOGLETRANSLATE(English!F84,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84" s="1" t="str">
        <f ca="1">IFERROR(__xludf.DUMMYFUNCTION("GOOGLETRANSLATE(English!G84, ""en"", ""bg"")"),"разговор")</f>
        <v>разговор</v>
      </c>
      <c r="H84" s="1" t="str">
        <f ca="1">IFERROR(__xludf.DUMMYFUNCTION("GOOGLETRANSLATE(English!H84, ""en"", ""bg"")"),"образователна_помощ")</f>
        <v>образователна_помощ</v>
      </c>
    </row>
    <row r="85" spans="1:8" ht="13.2" x14ac:dyDescent="0.25">
      <c r="A85" s="1" t="str">
        <f ca="1">IFERROR(__xludf.DUMMYFUNCTION("GOOGLETRANSLATE(English!A85, ""en"", ""bg"")"),"qa_10286")</f>
        <v>qa_10286</v>
      </c>
      <c r="B85" s="1" t="str">
        <f ca="1">IFERROR(__xludf.DUMMYFUNCTION("GOOGLETRANSLATE(English!B85, ""en"", ""bg"")"),"химия")</f>
        <v>химия</v>
      </c>
      <c r="C85" s="1" t="str">
        <f ca="1">IFERROR(__xludf.DUMMYFUNCTION("GOOGLETRANSLATE(English!C85, ""en"", ""bg"")"),"елементарен")</f>
        <v>елементарен</v>
      </c>
      <c r="D85" s="1" t="str">
        <f ca="1">IFERROR(__xludf.DUMMYFUNCTION("GOOGLETRANSLATE(English!D85, ""en"", ""bg"")"),"твърди вещества, течности, газове")</f>
        <v>твърди вещества, течности, газове</v>
      </c>
      <c r="E85" s="1" t="str">
        <f ca="1">IFERROR(__xludf.DUMMYFUNCTION("GOOGLETRANSLATE(English!E85, ""en"", ""bg"")"),"Как водата се превръща от течност в газообразно състояние?")</f>
        <v>Как водата се превръща от течност в газообразно състояние?</v>
      </c>
      <c r="F85" s="1" t="str">
        <f ca="1">IFERROR(__xludf.DUMMYFUNCTION("GOOGLETRANSLATE(English!F85,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85" s="1" t="str">
        <f ca="1">IFERROR(__xludf.DUMMYFUNCTION("GOOGLETRANSLATE(English!G85, ""en"", ""bg"")"),"direct_qa")</f>
        <v>direct_qa</v>
      </c>
      <c r="H85" s="1" t="str">
        <f ca="1">IFERROR(__xludf.DUMMYFUNCTION("GOOGLETRANSLATE(English!H85, ""en"", ""bg"")"),"заявка_за_знание")</f>
        <v>заявка_за_знание</v>
      </c>
    </row>
    <row r="86" spans="1:8" ht="13.2" x14ac:dyDescent="0.25">
      <c r="A86" s="1" t="str">
        <f ca="1">IFERROR(__xludf.DUMMYFUNCTION("GOOGLETRANSLATE(English!A86, ""en"", ""bg"")"),"hw_05139")</f>
        <v>hw_05139</v>
      </c>
      <c r="B86" s="1" t="str">
        <f ca="1">IFERROR(__xludf.DUMMYFUNCTION("GOOGLETRANSLATE(English!B86, ""en"", ""bg"")"),"биология")</f>
        <v>биология</v>
      </c>
      <c r="C86" s="1" t="str">
        <f ca="1">IFERROR(__xludf.DUMMYFUNCTION("GOOGLETRANSLATE(English!C86, ""en"", ""bg"")"),"средата")</f>
        <v>средата</v>
      </c>
      <c r="D86" s="1" t="str">
        <f ca="1">IFERROR(__xludf.DUMMYFUNCTION("GOOGLETRANSLATE(English!D86, ""en"", ""bg"")"),"фотосинтеза")</f>
        <v>фотосинтеза</v>
      </c>
      <c r="E86" s="1" t="str">
        <f ca="1">IFERROR(__xludf.DUMMYFUNCTION("GOOGLETRANSLATE(English!E86, ""en"", ""bg"")"),"Домашното ми пита за фотосинтезата. Не го разбирам.")</f>
        <v>Домашното ми пита за фотосинтезата. Не го разбирам.</v>
      </c>
      <c r="F86" s="1" t="str">
        <f ca="1">IFERROR(__xludf.DUMMYFUNCTION("GOOGLETRANSLATE(English!F86,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86" s="1" t="str">
        <f ca="1">IFERROR(__xludf.DUMMYFUNCTION("GOOGLETRANSLATE(English!G86, ""en"", ""bg"")"),"помощ_за_домашно_изпълнение")</f>
        <v>помощ_за_домашно_изпълнение</v>
      </c>
      <c r="H86" s="1" t="str">
        <f ca="1">IFERROR(__xludf.DUMMYFUNCTION("GOOGLETRANSLATE(English!H86, ""en"", ""bg"")"),"помощ_за_домашно_задаване")</f>
        <v>помощ_за_домашно_задаване</v>
      </c>
    </row>
    <row r="87" spans="1:8" ht="13.2" x14ac:dyDescent="0.25">
      <c r="A87" s="1" t="str">
        <f ca="1">IFERROR(__xludf.DUMMYFUNCTION("GOOGLETRANSLATE(English!A87, ""en"", ""bg"")"),"hw_09353")</f>
        <v>hw_09353</v>
      </c>
      <c r="B87" s="1" t="str">
        <f ca="1">IFERROR(__xludf.DUMMYFUNCTION("GOOGLETRANSLATE(English!B87, ""en"", ""bg"")"),"биология")</f>
        <v>биология</v>
      </c>
      <c r="C87" s="1" t="str">
        <f ca="1">IFERROR(__xludf.DUMMYFUNCTION("GOOGLETRANSLATE(English!C87, ""en"", ""bg"")"),"елементарен")</f>
        <v>елементарен</v>
      </c>
      <c r="D87" s="1" t="str">
        <f ca="1">IFERROR(__xludf.DUMMYFUNCTION("GOOGLETRANSLATE(English!D87, ""en"", ""bg"")"),"хранителни вериги")</f>
        <v>хранителни вериги</v>
      </c>
      <c r="E87" s="1" t="str">
        <f ca="1">IFERROR(__xludf.DUMMYFUNCTION("GOOGLETRANSLATE(English!E87,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87" s="1" t="str">
        <f ca="1">IFERROR(__xludf.DUMMYFUNCTION("GOOGLETRANSLATE(English!F87,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87" s="1" t="str">
        <f ca="1">IFERROR(__xludf.DUMMYFUNCTION("GOOGLETRANSLATE(English!G87, ""en"", ""bg"")"),"помощ_за_домашно_изпълнение")</f>
        <v>помощ_за_домашно_изпълнение</v>
      </c>
      <c r="H87" s="1" t="str">
        <f ca="1">IFERROR(__xludf.DUMMYFUNCTION("GOOGLETRANSLATE(English!H87, ""en"", ""bg"")"),"помощ_за_домашно_задаване")</f>
        <v>помощ_за_домашно_задаване</v>
      </c>
    </row>
    <row r="88" spans="1:8" ht="13.2" x14ac:dyDescent="0.25">
      <c r="A88" s="1" t="str">
        <f ca="1">IFERROR(__xludf.DUMMYFUNCTION("GOOGLETRANSLATE(English!A88, ""en"", ""bg"")"),"qa_10312")</f>
        <v>qa_10312</v>
      </c>
      <c r="B88" s="1" t="str">
        <f ca="1">IFERROR(__xludf.DUMMYFUNCTION("GOOGLETRANSLATE(English!B88, ""en"", ""bg"")"),"физика")</f>
        <v>физика</v>
      </c>
      <c r="C88" s="1" t="str">
        <f ca="1">IFERROR(__xludf.DUMMYFUNCTION("GOOGLETRANSLATE(English!C88, ""en"", ""bg"")"),"елементарен")</f>
        <v>елементарен</v>
      </c>
      <c r="D88" s="1" t="str">
        <f ca="1">IFERROR(__xludf.DUMMYFUNCTION("GOOGLETRANSLATE(English!D88, ""en"", ""bg"")"),"светлина и сянка")</f>
        <v>светлина и сянка</v>
      </c>
      <c r="E88" s="1" t="str">
        <f ca="1">IFERROR(__xludf.DUMMYFUNCTION("GOOGLETRANSLATE(English!E88, ""en"", ""bg"")"),"Какво се случва, когато светлината попадне в огледало?")</f>
        <v>Какво се случва, когато светлината попадне в огледало?</v>
      </c>
      <c r="F88" s="1" t="str">
        <f ca="1">IFERROR(__xludf.DUMMYFUNCTION("GOOGLETRANSLATE(English!F88,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88" s="1" t="str">
        <f ca="1">IFERROR(__xludf.DUMMYFUNCTION("GOOGLETRANSLATE(English!G88, ""en"", ""bg"")"),"direct_qa")</f>
        <v>direct_qa</v>
      </c>
      <c r="H88" s="1" t="str">
        <f ca="1">IFERROR(__xludf.DUMMYFUNCTION("GOOGLETRANSLATE(English!H88, ""en"", ""bg"")"),"заявка_за_знание")</f>
        <v>заявка_за_знание</v>
      </c>
    </row>
    <row r="89" spans="1:8" ht="13.2" x14ac:dyDescent="0.25">
      <c r="A89" s="1" t="str">
        <f ca="1">IFERROR(__xludf.DUMMYFUNCTION("GOOGLETRANSLATE(English!A89, ""en"", ""bg"")"),"hw_08959")</f>
        <v>hw_08959</v>
      </c>
      <c r="B89" s="1" t="str">
        <f ca="1">IFERROR(__xludf.DUMMYFUNCTION("GOOGLETRANSLATE(English!B89, ""en"", ""bg"")"),"биология")</f>
        <v>биология</v>
      </c>
      <c r="C89" s="1" t="str">
        <f ca="1">IFERROR(__xludf.DUMMYFUNCTION("GOOGLETRANSLATE(English!C89, ""en"", ""bg"")"),"високо")</f>
        <v>високо</v>
      </c>
      <c r="D89" s="1" t="str">
        <f ca="1">IFERROR(__xludf.DUMMYFUNCTION("GOOGLETRANSLATE(English!D89, ""en"", ""bg"")"),"митоза и мейоза")</f>
        <v>митоза и мейоза</v>
      </c>
      <c r="E89" s="1" t="str">
        <f ca="1">IFERROR(__xludf.DUMMYFUNCTION("GOOGLETRANSLATE(English!E89, ""en"", ""bg"")"),"Домашното ми пита за митоза и мейоза. Не го разбирам.")</f>
        <v>Домашното ми пита за митоза и мейоза. Не го разбирам.</v>
      </c>
      <c r="F89" s="1" t="str">
        <f ca="1">IFERROR(__xludf.DUMMYFUNCTION("GOOGLETRANSLATE(English!F89,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89" s="1" t="str">
        <f ca="1">IFERROR(__xludf.DUMMYFUNCTION("GOOGLETRANSLATE(English!G89, ""en"", ""bg"")"),"помощ_за_домашно_изпълнение")</f>
        <v>помощ_за_домашно_изпълнение</v>
      </c>
      <c r="H89" s="1" t="str">
        <f ca="1">IFERROR(__xludf.DUMMYFUNCTION("GOOGLETRANSLATE(English!H89, ""en"", ""bg"")"),"помощ_за_домашно_задаване")</f>
        <v>помощ_за_домашно_задаване</v>
      </c>
    </row>
    <row r="90" spans="1:8" ht="13.2" x14ac:dyDescent="0.25">
      <c r="A90" s="1" t="str">
        <f ca="1">IFERROR(__xludf.DUMMYFUNCTION("GOOGLETRANSLATE(English!A90, ""en"", ""bg"")"),"conv_06004")</f>
        <v>conv_06004</v>
      </c>
      <c r="B90" s="1" t="str">
        <f ca="1">IFERROR(__xludf.DUMMYFUNCTION("GOOGLETRANSLATE(English!B90, ""en"", ""bg"")"),"биология")</f>
        <v>биология</v>
      </c>
      <c r="C90" s="1" t="str">
        <f ca="1">IFERROR(__xludf.DUMMYFUNCTION("GOOGLETRANSLATE(English!C90, ""en"", ""bg"")"),"високо")</f>
        <v>високо</v>
      </c>
      <c r="D90" s="1" t="str">
        <f ca="1">IFERROR(__xludf.DUMMYFUNCTION("GOOGLETRANSLATE(English!D90, ""en"", ""bg"")"),"митоза и мейоза")</f>
        <v>митоза и мейоза</v>
      </c>
      <c r="E90" s="1" t="str">
        <f ca="1">IFERROR(__xludf.DUMMYFUNCTION("GOOGLETRANSLATE(English!E90, ""en"", ""bg"")"),"Не разбирам тази тема. Защо митозата и мейозата са важни в биологията?")</f>
        <v>Не разбирам тази тема. Защо митозата и мейозата са важни в биологията?</v>
      </c>
      <c r="F90" s="1" t="str">
        <f ca="1">IFERROR(__xludf.DUMMYFUNCTION("GOOGLETRANSLATE(English!F90,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90" s="1" t="str">
        <f ca="1">IFERROR(__xludf.DUMMYFUNCTION("GOOGLETRANSLATE(English!G90, ""en"", ""bg"")"),"разговор")</f>
        <v>разговор</v>
      </c>
      <c r="H90" s="1" t="str">
        <f ca="1">IFERROR(__xludf.DUMMYFUNCTION("GOOGLETRANSLATE(English!H90, ""en"", ""bg"")"),"образователна_помощ")</f>
        <v>образователна_помощ</v>
      </c>
    </row>
    <row r="91" spans="1:8" ht="13.2" x14ac:dyDescent="0.25">
      <c r="A91" s="1" t="str">
        <f ca="1">IFERROR(__xludf.DUMMYFUNCTION("GOOGLETRANSLATE(English!A91, ""en"", ""bg"")"),"qa_03710")</f>
        <v>qa_03710</v>
      </c>
      <c r="B91" s="1" t="str">
        <f ca="1">IFERROR(__xludf.DUMMYFUNCTION("GOOGLETRANSLATE(English!B91, ""en"", ""bg"")"),"физика")</f>
        <v>физика</v>
      </c>
      <c r="C91" s="1" t="str">
        <f ca="1">IFERROR(__xludf.DUMMYFUNCTION("GOOGLETRANSLATE(English!C91, ""en"", ""bg"")"),"средата")</f>
        <v>средата</v>
      </c>
      <c r="D91" s="1" t="str">
        <f ca="1">IFERROR(__xludf.DUMMYFUNCTION("GOOGLETRANSLATE(English!D91, ""en"", ""bg"")"),"сили и движение")</f>
        <v>сили и движение</v>
      </c>
      <c r="E91" s="1" t="str">
        <f ca="1">IFERROR(__xludf.DUMMYFUNCTION("GOOGLETRANSLATE(English!E91, ""en"", ""bg"")"),"Защо обектите падат с еднаква скорост?")</f>
        <v>Защо обектите падат с еднаква скорост?</v>
      </c>
      <c r="F91" s="1" t="str">
        <f ca="1">IFERROR(__xludf.DUMMYFUNCTION("GOOGLETRANSLATE(English!F91,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91" s="1" t="str">
        <f ca="1">IFERROR(__xludf.DUMMYFUNCTION("GOOGLETRANSLATE(English!G91, ""en"", ""bg"")"),"direct_qa")</f>
        <v>direct_qa</v>
      </c>
      <c r="H91" s="1" t="str">
        <f ca="1">IFERROR(__xludf.DUMMYFUNCTION("GOOGLETRANSLATE(English!H91, ""en"", ""bg"")"),"заявка_за_знание")</f>
        <v>заявка_за_знание</v>
      </c>
    </row>
    <row r="92" spans="1:8" ht="13.2" x14ac:dyDescent="0.25">
      <c r="A92" s="1" t="str">
        <f ca="1">IFERROR(__xludf.DUMMYFUNCTION("GOOGLETRANSLATE(English!A92, ""en"", ""bg"")"),"hw_11898")</f>
        <v>hw_11898</v>
      </c>
      <c r="B92" s="1" t="str">
        <f ca="1">IFERROR(__xludf.DUMMYFUNCTION("GOOGLETRANSLATE(English!B92, ""en"", ""bg"")"),"физика")</f>
        <v>физика</v>
      </c>
      <c r="C92" s="1" t="str">
        <f ca="1">IFERROR(__xludf.DUMMYFUNCTION("GOOGLETRANSLATE(English!C92, ""en"", ""bg"")"),"средата")</f>
        <v>средата</v>
      </c>
      <c r="D92" s="1" t="str">
        <f ca="1">IFERROR(__xludf.DUMMYFUNCTION("GOOGLETRANSLATE(English!D92, ""en"", ""bg"")"),"прости схеми")</f>
        <v>прости схеми</v>
      </c>
      <c r="E92" s="1" t="str">
        <f ca="1">IFERROR(__xludf.DUMMYFUNCTION("GOOGLETRANSLATE(English!E92, ""en"", ""bg"")"),"Домашното ми по физика е за прости електрически вериги. Объркващо е!")</f>
        <v>Домашното ми по физика е за прости електрически вериги. Объркващо е!</v>
      </c>
      <c r="F92" s="1" t="str">
        <f ca="1">IFERROR(__xludf.DUMMYFUNCTION("GOOGLETRANSLATE(English!F92,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92" s="1" t="str">
        <f ca="1">IFERROR(__xludf.DUMMYFUNCTION("GOOGLETRANSLATE(English!G92, ""en"", ""bg"")"),"помощ_за_домашно_изпълнение")</f>
        <v>помощ_за_домашно_изпълнение</v>
      </c>
      <c r="H92" s="1" t="str">
        <f ca="1">IFERROR(__xludf.DUMMYFUNCTION("GOOGLETRANSLATE(English!H92, ""en"", ""bg"")"),"помощ_за_домашно_задаване")</f>
        <v>помощ_за_домашно_задаване</v>
      </c>
    </row>
    <row r="93" spans="1:8" ht="13.2" x14ac:dyDescent="0.25">
      <c r="A93" s="1" t="str">
        <f ca="1">IFERROR(__xludf.DUMMYFUNCTION("GOOGLETRANSLATE(English!A93, ""en"", ""bg"")"),"conv_16927")</f>
        <v>conv_16927</v>
      </c>
      <c r="B93" s="1" t="str">
        <f ca="1">IFERROR(__xludf.DUMMYFUNCTION("GOOGLETRANSLATE(English!B93, ""en"", ""bg"")"),"биология")</f>
        <v>биология</v>
      </c>
      <c r="C93" s="1" t="str">
        <f ca="1">IFERROR(__xludf.DUMMYFUNCTION("GOOGLETRANSLATE(English!C93, ""en"", ""bg"")"),"високо")</f>
        <v>високо</v>
      </c>
      <c r="D93" s="1" t="str">
        <f ca="1">IFERROR(__xludf.DUMMYFUNCTION("GOOGLETRANSLATE(English!D93, ""en"", ""bg"")"),"молекулярна биология")</f>
        <v>молекулярна биология</v>
      </c>
      <c r="E93" s="1" t="str">
        <f ca="1">IFERROR(__xludf.DUMMYFUNCTION("GOOGLETRANSLATE(English!E93, ""en"", ""bg"")"),"Помогнете ми да уча за теста си. Какво е важно да знаем за молекулярната биология?")</f>
        <v>Помогнете ми да уча за теста си. Какво е важно да знаем за молекулярната биология?</v>
      </c>
      <c r="F93" s="1" t="str">
        <f ca="1">IFERROR(__xludf.DUMMYFUNCTION("GOOGLETRANSLATE(English!F93,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93" s="1" t="str">
        <f ca="1">IFERROR(__xludf.DUMMYFUNCTION("GOOGLETRANSLATE(English!G93, ""en"", ""bg"")"),"разговор")</f>
        <v>разговор</v>
      </c>
      <c r="H93" s="1" t="str">
        <f ca="1">IFERROR(__xludf.DUMMYFUNCTION("GOOGLETRANSLATE(English!H93, ""en"", ""bg"")"),"образователна_помощ")</f>
        <v>образователна_помощ</v>
      </c>
    </row>
    <row r="94" spans="1:8" ht="13.2" x14ac:dyDescent="0.25">
      <c r="A94" s="1" t="str">
        <f ca="1">IFERROR(__xludf.DUMMYFUNCTION("GOOGLETRANSLATE(English!A94, ""en"", ""bg"")"),"qa_04540")</f>
        <v>qa_04540</v>
      </c>
      <c r="B94" s="1" t="str">
        <f ca="1">IFERROR(__xludf.DUMMYFUNCTION("GOOGLETRANSLATE(English!B94, ""en"", ""bg"")"),"биология")</f>
        <v>биология</v>
      </c>
      <c r="C94" s="1" t="str">
        <f ca="1">IFERROR(__xludf.DUMMYFUNCTION("GOOGLETRANSLATE(English!C94, ""en"", ""bg"")"),"елементарен")</f>
        <v>елементарен</v>
      </c>
      <c r="D94" s="1" t="str">
        <f ca="1">IFERROR(__xludf.DUMMYFUNCTION("GOOGLETRANSLATE(English!D94, ""en"", ""bg"")"),"местообитания")</f>
        <v>местообитания</v>
      </c>
      <c r="E94" s="1" t="str">
        <f ca="1">IFERROR(__xludf.DUMMYFUNCTION("GOOGLETRANSLATE(English!E94, ""en"", ""bg"")"),"Как функционират местообитанията?")</f>
        <v>Как функционират местообитанията?</v>
      </c>
      <c r="F94" s="1" t="str">
        <f ca="1">IFERROR(__xludf.DUMMYFUNCTION("GOOGLETRANSLATE(English!F94, ""en"", ""bg"")"),"Хабитатите функционират чрез естествени процеси, които учените изучават от много години.")</f>
        <v>Хабитатите функционират чрез естествени процеси, които учените изучават от много години.</v>
      </c>
      <c r="G94" s="1" t="str">
        <f ca="1">IFERROR(__xludf.DUMMYFUNCTION("GOOGLETRANSLATE(English!G94, ""en"", ""bg"")"),"direct_qa")</f>
        <v>direct_qa</v>
      </c>
      <c r="H94" s="1" t="str">
        <f ca="1">IFERROR(__xludf.DUMMYFUNCTION("GOOGLETRANSLATE(English!H94, ""en"", ""bg"")"),"заявка_за_знание")</f>
        <v>заявка_за_знание</v>
      </c>
    </row>
    <row r="95" spans="1:8" ht="13.2" x14ac:dyDescent="0.25">
      <c r="A95" s="1" t="str">
        <f ca="1">IFERROR(__xludf.DUMMYFUNCTION("GOOGLETRANSLATE(English!A95, ""en"", ""bg"")"),"conv_08943")</f>
        <v>conv_08943</v>
      </c>
      <c r="B95" s="1" t="str">
        <f ca="1">IFERROR(__xludf.DUMMYFUNCTION("GOOGLETRANSLATE(English!B95, ""en"", ""bg"")"),"химия")</f>
        <v>химия</v>
      </c>
      <c r="C95" s="1" t="str">
        <f ca="1">IFERROR(__xludf.DUMMYFUNCTION("GOOGLETRANSLATE(English!C95, ""en"", ""bg"")"),"средата")</f>
        <v>средата</v>
      </c>
      <c r="D95" s="1" t="str">
        <f ca="1">IFERROR(__xludf.DUMMYFUNCTION("GOOGLETRANSLATE(English!D95, ""en"", ""bg"")"),"съединения срещу елементи")</f>
        <v>съединения срещу елементи</v>
      </c>
      <c r="E95" s="1" t="str">
        <f ca="1">IFERROR(__xludf.DUMMYFUNCTION("GOOGLETRANSLATE(English!E95, ""en"", ""bg"")"),"Имам нужда от помощ с домашното. Защо е важно да се учи разликата между съединения и елементи?")</f>
        <v>Имам нужда от помощ с домашното. Защо е важно да се учи разликата между съединения и елементи?</v>
      </c>
      <c r="F95" s="1" t="str">
        <f ca="1">IFERROR(__xludf.DUMMYFUNCTION("GOOGLETRANSLATE(English!F95,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95" s="1" t="str">
        <f ca="1">IFERROR(__xludf.DUMMYFUNCTION("GOOGLETRANSLATE(English!G95, ""en"", ""bg"")"),"разговор")</f>
        <v>разговор</v>
      </c>
      <c r="H95" s="1" t="str">
        <f ca="1">IFERROR(__xludf.DUMMYFUNCTION("GOOGLETRANSLATE(English!H95, ""en"", ""bg"")"),"образователна_помощ")</f>
        <v>образователна_помощ</v>
      </c>
    </row>
    <row r="96" spans="1:8" ht="13.2" x14ac:dyDescent="0.25">
      <c r="A96" s="1" t="str">
        <f ca="1">IFERROR(__xludf.DUMMYFUNCTION("GOOGLETRANSLATE(English!A96, ""en"", ""bg"")"),"hw_07964")</f>
        <v>hw_07964</v>
      </c>
      <c r="B96" s="1" t="str">
        <f ca="1">IFERROR(__xludf.DUMMYFUNCTION("GOOGLETRANSLATE(English!B96, ""en"", ""bg"")"),"физика")</f>
        <v>физика</v>
      </c>
      <c r="C96" s="1" t="str">
        <f ca="1">IFERROR(__xludf.DUMMYFUNCTION("GOOGLETRANSLATE(English!C96, ""en"", ""bg"")"),"елементарен")</f>
        <v>елементарен</v>
      </c>
      <c r="D96" s="1" t="str">
        <f ca="1">IFERROR(__xludf.DUMMYFUNCTION("GOOGLETRANSLATE(English!D96, ""en"", ""bg"")"),"бутане и дърпане")</f>
        <v>бутане и дърпане</v>
      </c>
      <c r="E96" s="1" t="str">
        <f ca="1">IFERROR(__xludf.DUMMYFUNCTION("GOOGLETRANSLATE(English!E96, ""en"", ""bg"")"),"Домашното ми по физика е за бутане и дърпане. Объркващо е!")</f>
        <v>Домашното ми по физика е за бутане и дърпане. Объркващо е!</v>
      </c>
      <c r="F96" s="1" t="str">
        <f ca="1">IFERROR(__xludf.DUMMYFUNCTION("GOOGLETRANSLATE(English!F96,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96" s="1" t="str">
        <f ca="1">IFERROR(__xludf.DUMMYFUNCTION("GOOGLETRANSLATE(English!G96, ""en"", ""bg"")"),"помощ_за_домашно_изпълнение")</f>
        <v>помощ_за_домашно_изпълнение</v>
      </c>
      <c r="H96" s="1" t="str">
        <f ca="1">IFERROR(__xludf.DUMMYFUNCTION("GOOGLETRANSLATE(English!H96, ""en"", ""bg"")"),"помощ_за_домашно_задаване")</f>
        <v>помощ_за_домашно_задаване</v>
      </c>
    </row>
    <row r="97" spans="1:8" ht="13.2" x14ac:dyDescent="0.25">
      <c r="A97" s="1" t="str">
        <f ca="1">IFERROR(__xludf.DUMMYFUNCTION("GOOGLETRANSLATE(English!A97, ""en"", ""bg"")"),"conv_05927")</f>
        <v>conv_05927</v>
      </c>
      <c r="B97" s="1" t="str">
        <f ca="1">IFERROR(__xludf.DUMMYFUNCTION("GOOGLETRANSLATE(English!B97, ""en"", ""bg"")"),"физика")</f>
        <v>физика</v>
      </c>
      <c r="C97" s="1" t="str">
        <f ca="1">IFERROR(__xludf.DUMMYFUNCTION("GOOGLETRANSLATE(English!C97, ""en"", ""bg"")"),"елементарен")</f>
        <v>елементарен</v>
      </c>
      <c r="D97" s="1" t="str">
        <f ca="1">IFERROR(__xludf.DUMMYFUNCTION("GOOGLETRANSLATE(English!D97, ""en"", ""bg"")"),"плаващ и потъващ")</f>
        <v>плаващ и потъващ</v>
      </c>
      <c r="E97" s="1" t="str">
        <f ca="1">IFERROR(__xludf.DUMMYFUNCTION("GOOGLETRANSLATE(English!E97, ""en"", ""bg"")"),"Помогнете ми да уча за теста си. Защо е важно да се носиш и да потъваш?")</f>
        <v>Помогнете ми да уча за теста си. Защо е важно да се носиш и да потъваш?</v>
      </c>
      <c r="F97" s="1" t="str">
        <f ca="1">IFERROR(__xludf.DUMMYFUNCTION("GOOGLETRANSLATE(English!F97,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97" s="1" t="str">
        <f ca="1">IFERROR(__xludf.DUMMYFUNCTION("GOOGLETRANSLATE(English!G97, ""en"", ""bg"")"),"разговор")</f>
        <v>разговор</v>
      </c>
      <c r="H97" s="1" t="str">
        <f ca="1">IFERROR(__xludf.DUMMYFUNCTION("GOOGLETRANSLATE(English!H97, ""en"", ""bg"")"),"образователна_помощ")</f>
        <v>образователна_помощ</v>
      </c>
    </row>
    <row r="98" spans="1:8" ht="13.2" x14ac:dyDescent="0.25">
      <c r="A98" s="1" t="str">
        <f ca="1">IFERROR(__xludf.DUMMYFUNCTION("GOOGLETRANSLATE(English!A98, ""en"", ""bg"")"),"qa_11552")</f>
        <v>qa_11552</v>
      </c>
      <c r="B98" s="1" t="str">
        <f ca="1">IFERROR(__xludf.DUMMYFUNCTION("GOOGLETRANSLATE(English!B98, ""en"", ""bg"")"),"биология")</f>
        <v>биология</v>
      </c>
      <c r="C98" s="1" t="str">
        <f ca="1">IFERROR(__xludf.DUMMYFUNCTION("GOOGLETRANSLATE(English!C98, ""en"", ""bg"")"),"елементарен")</f>
        <v>елементарен</v>
      </c>
      <c r="D98" s="1" t="str">
        <f ca="1">IFERROR(__xludf.DUMMYFUNCTION("GOOGLETRANSLATE(English!D98, ""en"", ""bg"")"),"местообитания")</f>
        <v>местообитания</v>
      </c>
      <c r="E98" s="1" t="str">
        <f ca="1">IFERROR(__xludf.DUMMYFUNCTION("GOOGLETRANSLATE(English!E98, ""en"", ""bg"")"),"Защо местообитанията са важни в биологията?")</f>
        <v>Защо местообитанията са важни в биологията?</v>
      </c>
      <c r="F98" s="1" t="str">
        <f ca="1">IFERROR(__xludf.DUMMYFUNCTION("GOOGLETRANSLATE(English!F98,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98" s="1" t="str">
        <f ca="1">IFERROR(__xludf.DUMMYFUNCTION("GOOGLETRANSLATE(English!G98, ""en"", ""bg"")"),"direct_qa")</f>
        <v>direct_qa</v>
      </c>
      <c r="H98" s="1" t="str">
        <f ca="1">IFERROR(__xludf.DUMMYFUNCTION("GOOGLETRANSLATE(English!H98, ""en"", ""bg"")"),"заявка_за_знание")</f>
        <v>заявка_за_знание</v>
      </c>
    </row>
    <row r="99" spans="1:8" ht="13.2" x14ac:dyDescent="0.25">
      <c r="A99" s="1" t="str">
        <f ca="1">IFERROR(__xludf.DUMMYFUNCTION("GOOGLETRANSLATE(English!A99, ""en"", ""bg"")"),"hw_11626")</f>
        <v>hw_11626</v>
      </c>
      <c r="B99" s="1" t="str">
        <f ca="1">IFERROR(__xludf.DUMMYFUNCTION("GOOGLETRANSLATE(English!B99, ""en"", ""bg"")"),"физика")</f>
        <v>физика</v>
      </c>
      <c r="C99" s="1" t="str">
        <f ca="1">IFERROR(__xludf.DUMMYFUNCTION("GOOGLETRANSLATE(English!C99, ""en"", ""bg"")"),"елементарен")</f>
        <v>елементарен</v>
      </c>
      <c r="D99" s="1" t="str">
        <f ca="1">IFERROR(__xludf.DUMMYFUNCTION("GOOGLETRANSLATE(English!D99, ""en"", ""bg"")"),"светлина и сянка")</f>
        <v>светлина и сянка</v>
      </c>
      <c r="E99" s="1" t="str">
        <f ca="1">IFERROR(__xludf.DUMMYFUNCTION("GOOGLETRANSLATE(English!E99, ""en"", ""bg"")"),"Домашното ми по физика е за светлина и сянка. Объркващо е!")</f>
        <v>Домашното ми по физика е за светлина и сянка. Объркващо е!</v>
      </c>
      <c r="F99" s="1" t="str">
        <f ca="1">IFERROR(__xludf.DUMMYFUNCTION("GOOGLETRANSLATE(English!F99,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99" s="1" t="str">
        <f ca="1">IFERROR(__xludf.DUMMYFUNCTION("GOOGLETRANSLATE(English!G99, ""en"", ""bg"")"),"помощ_за_домашно_изпълнение")</f>
        <v>помощ_за_домашно_изпълнение</v>
      </c>
      <c r="H99" s="1" t="str">
        <f ca="1">IFERROR(__xludf.DUMMYFUNCTION("GOOGLETRANSLATE(English!H99, ""en"", ""bg"")"),"помощ_за_домашно_задаване")</f>
        <v>помощ_за_домашно_задаване</v>
      </c>
    </row>
    <row r="100" spans="1:8" ht="13.2" x14ac:dyDescent="0.25">
      <c r="A100" s="1" t="str">
        <f ca="1">IFERROR(__xludf.DUMMYFUNCTION("GOOGLETRANSLATE(English!A100, ""en"", ""bg"")"),"hw_05089")</f>
        <v>hw_05089</v>
      </c>
      <c r="B100" s="1" t="str">
        <f ca="1">IFERROR(__xludf.DUMMYFUNCTION("GOOGLETRANSLATE(English!B100, ""en"", ""bg"")"),"химия")</f>
        <v>химия</v>
      </c>
      <c r="C100" s="1" t="str">
        <f ca="1">IFERROR(__xludf.DUMMYFUNCTION("GOOGLETRANSLATE(English!C100, ""en"", ""bg"")"),"елементарен")</f>
        <v>елементарен</v>
      </c>
      <c r="D100" s="1" t="str">
        <f ca="1">IFERROR(__xludf.DUMMYFUNCTION("GOOGLETRANSLATE(English!D100, ""en"", ""bg"")"),"безопасност")</f>
        <v>безопасност</v>
      </c>
      <c r="E100" s="1" t="str">
        <f ca="1">IFERROR(__xludf.DUMMYFUNCTION("GOOGLETRANSLATE(English!E100, ""en"", ""bg"")"),"Трудно ми е с безопасността при домашното.")</f>
        <v>Трудно ми е с безопасността при домашното.</v>
      </c>
      <c r="F100" s="1" t="str">
        <f ca="1">IFERROR(__xludf.DUMMYFUNCTION("GOOGLETRANSLATE(English!F100,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100" s="1" t="str">
        <f ca="1">IFERROR(__xludf.DUMMYFUNCTION("GOOGLETRANSLATE(English!G100, ""en"", ""bg"")"),"помощ_за_домашно_изпълнение")</f>
        <v>помощ_за_домашно_изпълнение</v>
      </c>
      <c r="H100" s="1" t="str">
        <f ca="1">IFERROR(__xludf.DUMMYFUNCTION("GOOGLETRANSLATE(English!H100, ""en"", ""bg"")"),"помощ_за_домашно_задаване")</f>
        <v>помощ_за_домашно_задаване</v>
      </c>
    </row>
    <row r="101" spans="1:8" ht="13.2" x14ac:dyDescent="0.25">
      <c r="A101" s="1" t="str">
        <f ca="1">IFERROR(__xludf.DUMMYFUNCTION("GOOGLETRANSLATE(English!A101, ""en"", ""bg"")"),"qa_01352")</f>
        <v>qa_01352</v>
      </c>
      <c r="B101" s="1" t="str">
        <f ca="1">IFERROR(__xludf.DUMMYFUNCTION("GOOGLETRANSLATE(English!B101, ""en"", ""bg"")"),"биология")</f>
        <v>биология</v>
      </c>
      <c r="C101" s="1" t="str">
        <f ca="1">IFERROR(__xludf.DUMMYFUNCTION("GOOGLETRANSLATE(English!C101, ""en"", ""bg"")"),"елементарен")</f>
        <v>елементарен</v>
      </c>
      <c r="D101" s="1" t="str">
        <f ca="1">IFERROR(__xludf.DUMMYFUNCTION("GOOGLETRANSLATE(English!D101, ""en"", ""bg"")"),"животни")</f>
        <v>животни</v>
      </c>
      <c r="E101" s="1" t="str">
        <f ca="1">IFERROR(__xludf.DUMMYFUNCTION("GOOGLETRANSLATE(English!E101, ""en"", ""bg"")"),"Защо някои животни живеят на групи?")</f>
        <v>Защо някои животни живеят на групи?</v>
      </c>
      <c r="F101" s="1" t="str">
        <f ca="1">IFERROR(__xludf.DUMMYFUNCTION("GOOGLETRANSLATE(English!F101, ""en"", ""bg"")"),"Животните живеят на групи за защита, за да намират храна по-лесно и за да отглеждат малките си заедно.")</f>
        <v>Животните живеят на групи за защита, за да намират храна по-лесно и за да отглеждат малките си заедно.</v>
      </c>
      <c r="G101" s="1" t="str">
        <f ca="1">IFERROR(__xludf.DUMMYFUNCTION("GOOGLETRANSLATE(English!G101, ""en"", ""bg"")"),"direct_qa")</f>
        <v>direct_qa</v>
      </c>
      <c r="H101" s="1" t="str">
        <f ca="1">IFERROR(__xludf.DUMMYFUNCTION("GOOGLETRANSLATE(English!H101, ""en"", ""bg"")"),"заявка_за_знание")</f>
        <v>заявка_за_знание</v>
      </c>
    </row>
    <row r="102" spans="1:8" ht="13.2" x14ac:dyDescent="0.25">
      <c r="A102" s="1" t="str">
        <f ca="1">IFERROR(__xludf.DUMMYFUNCTION("GOOGLETRANSLATE(English!A102, ""en"", ""bg"")"),"hw_00712")</f>
        <v>hw_00712</v>
      </c>
      <c r="B102" s="1" t="str">
        <f ca="1">IFERROR(__xludf.DUMMYFUNCTION("GOOGLETRANSLATE(English!B102, ""en"", ""bg"")"),"физика")</f>
        <v>физика</v>
      </c>
      <c r="C102" s="1" t="str">
        <f ca="1">IFERROR(__xludf.DUMMYFUNCTION("GOOGLETRANSLATE(English!C102, ""en"", ""bg"")"),"високо")</f>
        <v>високо</v>
      </c>
      <c r="D102" s="1" t="str">
        <f ca="1">IFERROR(__xludf.DUMMYFUNCTION("GOOGLETRANSLATE(English!D102, ""en"", ""bg"")"),"електромагнетизъм")</f>
        <v>електромагнетизъм</v>
      </c>
      <c r="E102" s="1" t="str">
        <f ca="1">IFERROR(__xludf.DUMMYFUNCTION("GOOGLETRANSLATE(English!E102, ""en"", ""bg"")"),"Заседнал съм с този проблем с електромагнетизма. Можете ли да помогнете?")</f>
        <v>Заседнал съм с този проблем с електромагнетизма. Можете ли да помогнете?</v>
      </c>
      <c r="F102" s="1" t="str">
        <f ca="1">IFERROR(__xludf.DUMMYFUNCTION("GOOGLETRANSLATE(English!F102,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102" s="1" t="str">
        <f ca="1">IFERROR(__xludf.DUMMYFUNCTION("GOOGLETRANSLATE(English!G102, ""en"", ""bg"")"),"помощ_за_домашно_изпълнение")</f>
        <v>помощ_за_домашно_изпълнение</v>
      </c>
      <c r="H102" s="1" t="str">
        <f ca="1">IFERROR(__xludf.DUMMYFUNCTION("GOOGLETRANSLATE(English!H102, ""en"", ""bg"")"),"помощ_за_домашно_задаване")</f>
        <v>помощ_за_домашно_задаване</v>
      </c>
    </row>
    <row r="103" spans="1:8" ht="13.2" x14ac:dyDescent="0.25">
      <c r="A103" s="1" t="str">
        <f ca="1">IFERROR(__xludf.DUMMYFUNCTION("GOOGLETRANSLATE(English!A103, ""en"", ""bg"")"),"qa_12959")</f>
        <v>qa_12959</v>
      </c>
      <c r="B103" s="1" t="str">
        <f ca="1">IFERROR(__xludf.DUMMYFUNCTION("GOOGLETRANSLATE(English!B103, ""en"", ""bg"")"),"биология")</f>
        <v>биология</v>
      </c>
      <c r="C103" s="1" t="str">
        <f ca="1">IFERROR(__xludf.DUMMYFUNCTION("GOOGLETRANSLATE(English!C103, ""en"", ""bg"")"),"средата")</f>
        <v>средата</v>
      </c>
      <c r="D103" s="1" t="str">
        <f ca="1">IFERROR(__xludf.DUMMYFUNCTION("GOOGLETRANSLATE(English!D103, ""en"", ""bg"")"),"екосистеми")</f>
        <v>екосистеми</v>
      </c>
      <c r="E103" s="1" t="str">
        <f ca="1">IFERROR(__xludf.DUMMYFUNCTION("GOOGLETRANSLATE(English!E103, ""en"", ""bg"")"),"Какво е важно да знаем за екосистемите?")</f>
        <v>Какво е важно да знаем за екосистемите?</v>
      </c>
      <c r="F103" s="1" t="str">
        <f ca="1">IFERROR(__xludf.DUMMYFUNCTION("GOOGLETRANSLATE(English!F103,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103" s="1" t="str">
        <f ca="1">IFERROR(__xludf.DUMMYFUNCTION("GOOGLETRANSLATE(English!G103, ""en"", ""bg"")"),"direct_qa")</f>
        <v>direct_qa</v>
      </c>
      <c r="H103" s="1" t="str">
        <f ca="1">IFERROR(__xludf.DUMMYFUNCTION("GOOGLETRANSLATE(English!H103, ""en"", ""bg"")"),"заявка_за_знание")</f>
        <v>заявка_за_знание</v>
      </c>
    </row>
    <row r="104" spans="1:8" ht="13.2" x14ac:dyDescent="0.25">
      <c r="A104" s="1" t="str">
        <f ca="1">IFERROR(__xludf.DUMMYFUNCTION("GOOGLETRANSLATE(English!A104, ""en"", ""bg"")"),"qa_01952")</f>
        <v>qa_01952</v>
      </c>
      <c r="B104" s="1" t="str">
        <f ca="1">IFERROR(__xludf.DUMMYFUNCTION("GOOGLETRANSLATE(English!B104, ""en"", ""bg"")"),"химия")</f>
        <v>химия</v>
      </c>
      <c r="C104" s="1" t="str">
        <f ca="1">IFERROR(__xludf.DUMMYFUNCTION("GOOGLETRANSLATE(English!C104, ""en"", ""bg"")"),"средата")</f>
        <v>средата</v>
      </c>
      <c r="D104" s="1" t="str">
        <f ca="1">IFERROR(__xludf.DUMMYFUNCTION("GOOGLETRANSLATE(English!D104, ""en"", ""bg"")"),"основи на периодичната таблица")</f>
        <v>основи на периодичната таблица</v>
      </c>
      <c r="E104" s="1" t="str">
        <f ca="1">IFERROR(__xludf.DUMMYFUNCTION("GOOGLETRANSLATE(English!E104, ""en"", ""bg"")"),"Как функционират основите на периодичната таблица в химията?")</f>
        <v>Как функционират основите на периодичната таблица в химията?</v>
      </c>
      <c r="F104" s="1" t="str">
        <f ca="1">IFERROR(__xludf.DUMMYFUNCTION("GOOGLETRANSLATE(English!F104,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104" s="1" t="str">
        <f ca="1">IFERROR(__xludf.DUMMYFUNCTION("GOOGLETRANSLATE(English!G104, ""en"", ""bg"")"),"direct_qa")</f>
        <v>direct_qa</v>
      </c>
      <c r="H104" s="1" t="str">
        <f ca="1">IFERROR(__xludf.DUMMYFUNCTION("GOOGLETRANSLATE(English!H104, ""en"", ""bg"")"),"заявка_за_знание")</f>
        <v>заявка_за_знание</v>
      </c>
    </row>
    <row r="105" spans="1:8" ht="13.2" x14ac:dyDescent="0.25">
      <c r="A105" s="1" t="str">
        <f ca="1">IFERROR(__xludf.DUMMYFUNCTION("GOOGLETRANSLATE(English!A105, ""en"", ""bg"")"),"qa_09686")</f>
        <v>qa_09686</v>
      </c>
      <c r="B105" s="1" t="str">
        <f ca="1">IFERROR(__xludf.DUMMYFUNCTION("GOOGLETRANSLATE(English!B105, ""en"", ""bg"")"),"биология")</f>
        <v>биология</v>
      </c>
      <c r="C105" s="1" t="str">
        <f ca="1">IFERROR(__xludf.DUMMYFUNCTION("GOOGLETRANSLATE(English!C105, ""en"", ""bg"")"),"високо")</f>
        <v>високо</v>
      </c>
      <c r="D105" s="1" t="str">
        <f ca="1">IFERROR(__xludf.DUMMYFUNCTION("GOOGLETRANSLATE(English!D105, ""en"", ""bg"")"),"митоза и мейоза")</f>
        <v>митоза и мейоза</v>
      </c>
      <c r="E105" s="1" t="str">
        <f ca="1">IFERROR(__xludf.DUMMYFUNCTION("GOOGLETRANSLATE(English!E105, ""en"", ""bg"")"),"Защо митозата и мейозата са важни в биологията?")</f>
        <v>Защо митозата и мейозата са важни в биологията?</v>
      </c>
      <c r="F105" s="1" t="str">
        <f ca="1">IFERROR(__xludf.DUMMYFUNCTION("GOOGLETRANSLATE(English!F105,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105" s="1" t="str">
        <f ca="1">IFERROR(__xludf.DUMMYFUNCTION("GOOGLETRANSLATE(English!G105, ""en"", ""bg"")"),"direct_qa")</f>
        <v>direct_qa</v>
      </c>
      <c r="H105" s="1" t="str">
        <f ca="1">IFERROR(__xludf.DUMMYFUNCTION("GOOGLETRANSLATE(English!H105, ""en"", ""bg"")"),"заявка_за_знание")</f>
        <v>заявка_за_знание</v>
      </c>
    </row>
    <row r="106" spans="1:8" ht="13.2" x14ac:dyDescent="0.25">
      <c r="A106" s="1" t="str">
        <f ca="1">IFERROR(__xludf.DUMMYFUNCTION("GOOGLETRANSLATE(English!A106, ""en"", ""bg"")"),"qa_09189")</f>
        <v>qa_09189</v>
      </c>
      <c r="B106" s="1" t="str">
        <f ca="1">IFERROR(__xludf.DUMMYFUNCTION("GOOGLETRANSLATE(English!B106, ""en"", ""bg"")"),"биология")</f>
        <v>биология</v>
      </c>
      <c r="C106" s="1" t="str">
        <f ca="1">IFERROR(__xludf.DUMMYFUNCTION("GOOGLETRANSLATE(English!C106, ""en"", ""bg"")"),"високо")</f>
        <v>високо</v>
      </c>
      <c r="D106" s="1" t="str">
        <f ca="1">IFERROR(__xludf.DUMMYFUNCTION("GOOGLETRANSLATE(English!D106, ""en"", ""bg"")"),"синтез на протеини")</f>
        <v>синтез на протеини</v>
      </c>
      <c r="E106" s="1" t="str">
        <f ca="1">IFERROR(__xludf.DUMMYFUNCTION("GOOGLETRANSLATE(English!E106, ""en"", ""bg"")"),"Какво е важно да знаем за синтеза на протеини?")</f>
        <v>Какво е важно да знаем за синтеза на протеини?</v>
      </c>
      <c r="F106" s="1" t="str">
        <f ca="1">IFERROR(__xludf.DUMMYFUNCTION("GOOGLETRANSLATE(English!F106,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106" s="1" t="str">
        <f ca="1">IFERROR(__xludf.DUMMYFUNCTION("GOOGLETRANSLATE(English!G106, ""en"", ""bg"")"),"direct_qa")</f>
        <v>direct_qa</v>
      </c>
      <c r="H106" s="1" t="str">
        <f ca="1">IFERROR(__xludf.DUMMYFUNCTION("GOOGLETRANSLATE(English!H106, ""en"", ""bg"")"),"заявка_за_знание")</f>
        <v>заявка_за_знание</v>
      </c>
    </row>
    <row r="107" spans="1:8" ht="13.2" x14ac:dyDescent="0.25">
      <c r="A107" s="1" t="str">
        <f ca="1">IFERROR(__xludf.DUMMYFUNCTION("GOOGLETRANSLATE(English!A107, ""en"", ""bg"")"),"qa_08438")</f>
        <v>qa_08438</v>
      </c>
      <c r="B107" s="1" t="str">
        <f ca="1">IFERROR(__xludf.DUMMYFUNCTION("GOOGLETRANSLATE(English!B107, ""en"", ""bg"")"),"химия")</f>
        <v>химия</v>
      </c>
      <c r="C107" s="1" t="str">
        <f ca="1">IFERROR(__xludf.DUMMYFUNCTION("GOOGLETRANSLATE(English!C107, ""en"", ""bg"")"),"средата")</f>
        <v>средата</v>
      </c>
      <c r="D107" s="1" t="str">
        <f ca="1">IFERROR(__xludf.DUMMYFUNCTION("GOOGLETRANSLATE(English!D107, ""en"", ""bg"")"),"химични промени")</f>
        <v>химични промени</v>
      </c>
      <c r="E107" s="1" t="str">
        <f ca="1">IFERROR(__xludf.DUMMYFUNCTION("GOOGLETRANSLATE(English!E107, ""en"", ""bg"")"),"Как протичат химичните промени в химията?")</f>
        <v>Как протичат химичните промени в химията?</v>
      </c>
      <c r="F107" s="1" t="str">
        <f ca="1">IFERROR(__xludf.DUMMYFUNCTION("GOOGLETRANSLATE(English!F107,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107" s="1" t="str">
        <f ca="1">IFERROR(__xludf.DUMMYFUNCTION("GOOGLETRANSLATE(English!G107, ""en"", ""bg"")"),"direct_qa")</f>
        <v>direct_qa</v>
      </c>
      <c r="H107" s="1" t="str">
        <f ca="1">IFERROR(__xludf.DUMMYFUNCTION("GOOGLETRANSLATE(English!H107, ""en"", ""bg"")"),"заявка_за_знание")</f>
        <v>заявка_за_знание</v>
      </c>
    </row>
    <row r="108" spans="1:8" ht="13.2" x14ac:dyDescent="0.25">
      <c r="A108" s="1" t="str">
        <f ca="1">IFERROR(__xludf.DUMMYFUNCTION("GOOGLETRANSLATE(English!A108, ""en"", ""bg"")"),"hw_01677")</f>
        <v>hw_01677</v>
      </c>
      <c r="B108" s="1" t="str">
        <f ca="1">IFERROR(__xludf.DUMMYFUNCTION("GOOGLETRANSLATE(English!B108, ""en"", ""bg"")"),"химия")</f>
        <v>химия</v>
      </c>
      <c r="C108" s="1" t="str">
        <f ca="1">IFERROR(__xludf.DUMMYFUNCTION("GOOGLETRANSLATE(English!C108, ""en"", ""bg"")"),"високо")</f>
        <v>високо</v>
      </c>
      <c r="D108" s="1" t="str">
        <f ca="1">IFERROR(__xludf.DUMMYFUNCTION("GOOGLETRANSLATE(English!D108, ""en"", ""bg"")"),"стехиометрия")</f>
        <v>стехиометрия</v>
      </c>
      <c r="E108" s="1" t="str">
        <f ca="1">IFERROR(__xludf.DUMMYFUNCTION("GOOGLETRANSLATE(English!E108,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108" s="1" t="str">
        <f ca="1">IFERROR(__xludf.DUMMYFUNCTION("GOOGLETRANSLATE(English!F108,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08" s="1" t="str">
        <f ca="1">IFERROR(__xludf.DUMMYFUNCTION("GOOGLETRANSLATE(English!G108, ""en"", ""bg"")"),"помощ_за_домашно_изпълнение")</f>
        <v>помощ_за_домашно_изпълнение</v>
      </c>
      <c r="H108" s="1" t="str">
        <f ca="1">IFERROR(__xludf.DUMMYFUNCTION("GOOGLETRANSLATE(English!H108, ""en"", ""bg"")"),"помощ_за_домашно_задаване")</f>
        <v>помощ_за_домашно_задаване</v>
      </c>
    </row>
    <row r="109" spans="1:8" ht="13.2" x14ac:dyDescent="0.25">
      <c r="A109" s="1" t="str">
        <f ca="1">IFERROR(__xludf.DUMMYFUNCTION("GOOGLETRANSLATE(English!A109, ""en"", ""bg"")"),"hw_10849")</f>
        <v>hw_10849</v>
      </c>
      <c r="B109" s="1" t="str">
        <f ca="1">IFERROR(__xludf.DUMMYFUNCTION("GOOGLETRANSLATE(English!B109, ""en"", ""bg"")"),"физика")</f>
        <v>физика</v>
      </c>
      <c r="C109" s="1" t="str">
        <f ca="1">IFERROR(__xludf.DUMMYFUNCTION("GOOGLETRANSLATE(English!C109, ""en"", ""bg"")"),"високо")</f>
        <v>високо</v>
      </c>
      <c r="D109" s="1" t="str">
        <f ca="1">IFERROR(__xludf.DUMMYFUNCTION("GOOGLETRANSLATE(English!D109, ""en"", ""bg"")"),"електромагнетизъм")</f>
        <v>електромагнетизъм</v>
      </c>
      <c r="E109" s="1" t="str">
        <f ca="1">IFERROR(__xludf.DUMMYFUNCTION("GOOGLETRANSLATE(English!E109, ""en"", ""bg"")"),"Заседнал съм с този проблем с електромагнетизма. Можете ли да помогнете?")</f>
        <v>Заседнал съм с този проблем с електромагнетизма. Можете ли да помогнете?</v>
      </c>
      <c r="F109" s="1" t="str">
        <f ca="1">IFERROR(__xludf.DUMMYFUNCTION("GOOGLETRANSLATE(English!F109,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109" s="1" t="str">
        <f ca="1">IFERROR(__xludf.DUMMYFUNCTION("GOOGLETRANSLATE(English!G109, ""en"", ""bg"")"),"помощ_за_домашно_изпълнение")</f>
        <v>помощ_за_домашно_изпълнение</v>
      </c>
      <c r="H109" s="1" t="str">
        <f ca="1">IFERROR(__xludf.DUMMYFUNCTION("GOOGLETRANSLATE(English!H109, ""en"", ""bg"")"),"помощ_за_домашно_задаване")</f>
        <v>помощ_за_домашно_задаване</v>
      </c>
    </row>
    <row r="110" spans="1:8" ht="13.2" x14ac:dyDescent="0.25">
      <c r="A110" s="1" t="str">
        <f ca="1">IFERROR(__xludf.DUMMYFUNCTION("GOOGLETRANSLATE(English!A110, ""en"", ""bg"")"),"hw_03417")</f>
        <v>hw_03417</v>
      </c>
      <c r="B110" s="1" t="str">
        <f ca="1">IFERROR(__xludf.DUMMYFUNCTION("GOOGLETRANSLATE(English!B110, ""en"", ""bg"")"),"биология")</f>
        <v>биология</v>
      </c>
      <c r="C110" s="1" t="str">
        <f ca="1">IFERROR(__xludf.DUMMYFUNCTION("GOOGLETRANSLATE(English!C110, ""en"", ""bg"")"),"средата")</f>
        <v>средата</v>
      </c>
      <c r="D110" s="1" t="str">
        <f ca="1">IFERROR(__xludf.DUMMYFUNCTION("GOOGLETRANSLATE(English!D110, ""en"", ""bg"")"),"екосистеми")</f>
        <v>екосистеми</v>
      </c>
      <c r="E110" s="1" t="str">
        <f ca="1">IFERROR(__xludf.DUMMYFUNCTION("GOOGLETRANSLATE(English!E110, ""en"", ""bg"")"),"Трябва да напиша доклад за екосистемите. Можете ли да ми помогнете да започна?")</f>
        <v>Трябва да напиша доклад за екосистемите. Можете ли да ми помогнете да започна?</v>
      </c>
      <c r="F110" s="1" t="str">
        <f ca="1">IFERROR(__xludf.DUMMYFUNCTION("GOOGLETRANSLATE(English!F110,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10" s="1" t="str">
        <f ca="1">IFERROR(__xludf.DUMMYFUNCTION("GOOGLETRANSLATE(English!G110, ""en"", ""bg"")"),"помощ_за_домашно_изпълнение")</f>
        <v>помощ_за_домашно_изпълнение</v>
      </c>
      <c r="H110" s="1" t="str">
        <f ca="1">IFERROR(__xludf.DUMMYFUNCTION("GOOGLETRANSLATE(English!H110, ""en"", ""bg"")"),"помощ_за_домашно_задаване")</f>
        <v>помощ_за_домашно_задаване</v>
      </c>
    </row>
    <row r="111" spans="1:8" ht="13.2" x14ac:dyDescent="0.25">
      <c r="A111" s="1" t="str">
        <f ca="1">IFERROR(__xludf.DUMMYFUNCTION("GOOGLETRANSLATE(English!A111, ""en"", ""bg"")"),"conv_08181")</f>
        <v>conv_08181</v>
      </c>
      <c r="B111" s="1" t="str">
        <f ca="1">IFERROR(__xludf.DUMMYFUNCTION("GOOGLETRANSLATE(English!B111, ""en"", ""bg"")"),"физика")</f>
        <v>физика</v>
      </c>
      <c r="C111" s="1" t="str">
        <f ca="1">IFERROR(__xludf.DUMMYFUNCTION("GOOGLETRANSLATE(English!C111, ""en"", ""bg"")"),"средата")</f>
        <v>средата</v>
      </c>
      <c r="D111" s="1" t="str">
        <f ca="1">IFERROR(__xludf.DUMMYFUNCTION("GOOGLETRANSLATE(English!D111, ""en"", ""bg"")"),"състояния на материята")</f>
        <v>състояния на материята</v>
      </c>
      <c r="E111" s="1" t="str">
        <f ca="1">IFERROR(__xludf.DUMMYFUNCTION("GOOGLETRANSLATE(English!E111, ""en"", ""bg"")"),"Помогнете ми да уча за теста си. Защо състоянията на материята са важни?")</f>
        <v>Помогнете ми да уча за теста си. Защо състоянията на материята са важни?</v>
      </c>
      <c r="F111" s="1" t="str">
        <f ca="1">IFERROR(__xludf.DUMMYFUNCTION("GOOGLETRANSLATE(English!F111,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111" s="1" t="str">
        <f ca="1">IFERROR(__xludf.DUMMYFUNCTION("GOOGLETRANSLATE(English!G111, ""en"", ""bg"")"),"разговор")</f>
        <v>разговор</v>
      </c>
      <c r="H111" s="1" t="str">
        <f ca="1">IFERROR(__xludf.DUMMYFUNCTION("GOOGLETRANSLATE(English!H111, ""en"", ""bg"")"),"образователна_помощ")</f>
        <v>образователна_помощ</v>
      </c>
    </row>
    <row r="112" spans="1:8" ht="13.2" x14ac:dyDescent="0.25">
      <c r="A112" s="1" t="str">
        <f ca="1">IFERROR(__xludf.DUMMYFUNCTION("GOOGLETRANSLATE(English!A112, ""en"", ""bg"")"),"conv_01242")</f>
        <v>conv_01242</v>
      </c>
      <c r="B112" s="1" t="str">
        <f ca="1">IFERROR(__xludf.DUMMYFUNCTION("GOOGLETRANSLATE(English!B112, ""en"", ""bg"")"),"биология")</f>
        <v>биология</v>
      </c>
      <c r="C112" s="1" t="str">
        <f ca="1">IFERROR(__xludf.DUMMYFUNCTION("GOOGLETRANSLATE(English!C112, ""en"", ""bg"")"),"средата")</f>
        <v>средата</v>
      </c>
      <c r="D112" s="1" t="str">
        <f ca="1">IFERROR(__xludf.DUMMYFUNCTION("GOOGLETRANSLATE(English!D112, ""en"", ""bg"")"),"фотосинтеза")</f>
        <v>фотосинтеза</v>
      </c>
      <c r="E112" s="1" t="str">
        <f ca="1">IFERROR(__xludf.DUMMYFUNCTION("GOOGLETRANSLATE(English!E112, ""en"", ""bg"")"),"Имам нужда от помощ с домашното си. Как работи фотосинтезата?")</f>
        <v>Имам нужда от помощ с домашното си. Как работи фотосинтезата?</v>
      </c>
      <c r="F112" s="1" t="str">
        <f ca="1">IFERROR(__xludf.DUMMYFUNCTION("GOOGLETRANSLATE(English!F112,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112" s="1" t="str">
        <f ca="1">IFERROR(__xludf.DUMMYFUNCTION("GOOGLETRANSLATE(English!G112, ""en"", ""bg"")"),"разговор")</f>
        <v>разговор</v>
      </c>
      <c r="H112" s="1" t="str">
        <f ca="1">IFERROR(__xludf.DUMMYFUNCTION("GOOGLETRANSLATE(English!H112, ""en"", ""bg"")"),"образователна_помощ")</f>
        <v>образователна_помощ</v>
      </c>
    </row>
    <row r="113" spans="1:8" ht="13.2" x14ac:dyDescent="0.25">
      <c r="A113" s="1" t="str">
        <f ca="1">IFERROR(__xludf.DUMMYFUNCTION("GOOGLETRANSLATE(English!A113, ""en"", ""bg"")"),"qa_09777")</f>
        <v>qa_09777</v>
      </c>
      <c r="B113" s="1" t="str">
        <f ca="1">IFERROR(__xludf.DUMMYFUNCTION("GOOGLETRANSLATE(English!B113, ""en"", ""bg"")"),"биология")</f>
        <v>биология</v>
      </c>
      <c r="C113" s="1" t="str">
        <f ca="1">IFERROR(__xludf.DUMMYFUNCTION("GOOGLETRANSLATE(English!C113, ""en"", ""bg"")"),"високо")</f>
        <v>високо</v>
      </c>
      <c r="D113" s="1" t="str">
        <f ca="1">IFERROR(__xludf.DUMMYFUNCTION("GOOGLETRANSLATE(English!D113, ""en"", ""bg"")"),"синтез на протеини")</f>
        <v>синтез на протеини</v>
      </c>
      <c r="E113" s="1" t="str">
        <f ca="1">IFERROR(__xludf.DUMMYFUNCTION("GOOGLETRANSLATE(English!E113, ""en"", ""bg"")"),"Какво е важно да знаем за синтеза на протеини?")</f>
        <v>Какво е важно да знаем за синтеза на протеини?</v>
      </c>
      <c r="F113" s="1" t="str">
        <f ca="1">IFERROR(__xludf.DUMMYFUNCTION("GOOGLETRANSLATE(English!F113,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113" s="1" t="str">
        <f ca="1">IFERROR(__xludf.DUMMYFUNCTION("GOOGLETRANSLATE(English!G113, ""en"", ""bg"")"),"direct_qa")</f>
        <v>direct_qa</v>
      </c>
      <c r="H113" s="1" t="str">
        <f ca="1">IFERROR(__xludf.DUMMYFUNCTION("GOOGLETRANSLATE(English!H113, ""en"", ""bg"")"),"заявка_за_знание")</f>
        <v>заявка_за_знание</v>
      </c>
    </row>
    <row r="114" spans="1:8" ht="13.2" x14ac:dyDescent="0.25">
      <c r="A114" s="1" t="str">
        <f ca="1">IFERROR(__xludf.DUMMYFUNCTION("GOOGLETRANSLATE(English!A114, ""en"", ""bg"")"),"conv_05393")</f>
        <v>conv_05393</v>
      </c>
      <c r="B114" s="1" t="str">
        <f ca="1">IFERROR(__xludf.DUMMYFUNCTION("GOOGLETRANSLATE(English!B114, ""en"", ""bg"")"),"биология")</f>
        <v>биология</v>
      </c>
      <c r="C114" s="1" t="str">
        <f ca="1">IFERROR(__xludf.DUMMYFUNCTION("GOOGLETRANSLATE(English!C114, ""en"", ""bg"")"),"елементарен")</f>
        <v>елементарен</v>
      </c>
      <c r="D114" s="1" t="str">
        <f ca="1">IFERROR(__xludf.DUMMYFUNCTION("GOOGLETRANSLATE(English!D114, ""en"", ""bg"")"),"домашни любимци срещу диви животни")</f>
        <v>домашни любимци срещу диви животни</v>
      </c>
      <c r="E114" s="1" t="str">
        <f ca="1">IFERROR(__xludf.DUMMYFUNCTION("GOOGLETRANSLATE(English!E114, ""en"", ""bg"")"),"Можете ли да ми обясните това? Какво е важно да знаем за домашните любимци спрямо дивите животни?")</f>
        <v>Можете ли да ми обясните това? Какво е важно да знаем за домашните любимци спрямо дивите животни?</v>
      </c>
      <c r="F114" s="1" t="str">
        <f ca="1">IFERROR(__xludf.DUMMYFUNCTION("GOOGLETRANSLATE(English!F114,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114" s="1" t="str">
        <f ca="1">IFERROR(__xludf.DUMMYFUNCTION("GOOGLETRANSLATE(English!G114, ""en"", ""bg"")"),"разговор")</f>
        <v>разговор</v>
      </c>
      <c r="H114" s="1" t="str">
        <f ca="1">IFERROR(__xludf.DUMMYFUNCTION("GOOGLETRANSLATE(English!H114, ""en"", ""bg"")"),"образователна_помощ")</f>
        <v>образователна_помощ</v>
      </c>
    </row>
    <row r="115" spans="1:8" ht="13.2" x14ac:dyDescent="0.25">
      <c r="A115" s="1" t="str">
        <f ca="1">IFERROR(__xludf.DUMMYFUNCTION("GOOGLETRANSLATE(English!A115, ""en"", ""bg"")"),"conv_01057")</f>
        <v>conv_01057</v>
      </c>
      <c r="B115" s="1" t="str">
        <f ca="1">IFERROR(__xludf.DUMMYFUNCTION("GOOGLETRANSLATE(English!B115, ""en"", ""bg"")"),"химия")</f>
        <v>химия</v>
      </c>
      <c r="C115" s="1" t="str">
        <f ca="1">IFERROR(__xludf.DUMMYFUNCTION("GOOGLETRANSLATE(English!C115, ""en"", ""bg"")"),"елементарен")</f>
        <v>елементарен</v>
      </c>
      <c r="D115" s="1" t="str">
        <f ca="1">IFERROR(__xludf.DUMMYFUNCTION("GOOGLETRANSLATE(English!D115, ""en"", ""bg"")"),"ежедневни химикали")</f>
        <v>ежедневни химикали</v>
      </c>
      <c r="E115" s="1" t="str">
        <f ca="1">IFERROR(__xludf.DUMMYFUNCTION("GOOGLETRANSLATE(English!E115, ""en"", ""bg"")"),"Можете ли да ми помогнете? Какво представляват ежедневните химикали?")</f>
        <v>Можете ли да ми помогнете? Какво представляват ежедневните химикали?</v>
      </c>
      <c r="F115" s="1" t="str">
        <f ca="1">IFERROR(__xludf.DUMMYFUNCTION("GOOGLETRANSLATE(English!F115,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115" s="1" t="str">
        <f ca="1">IFERROR(__xludf.DUMMYFUNCTION("GOOGLETRANSLATE(English!G115, ""en"", ""bg"")"),"разговор")</f>
        <v>разговор</v>
      </c>
      <c r="H115" s="1" t="str">
        <f ca="1">IFERROR(__xludf.DUMMYFUNCTION("GOOGLETRANSLATE(English!H115, ""en"", ""bg"")"),"образователна_помощ")</f>
        <v>образователна_помощ</v>
      </c>
    </row>
    <row r="116" spans="1:8" ht="13.2" x14ac:dyDescent="0.25">
      <c r="A116" s="1" t="str">
        <f ca="1">IFERROR(__xludf.DUMMYFUNCTION("GOOGLETRANSLATE(English!A116, ""en"", ""bg"")"),"qa_06473")</f>
        <v>qa_06473</v>
      </c>
      <c r="B116" s="1" t="str">
        <f ca="1">IFERROR(__xludf.DUMMYFUNCTION("GOOGLETRANSLATE(English!B116, ""en"", ""bg"")"),"биология")</f>
        <v>биология</v>
      </c>
      <c r="C116" s="1" t="str">
        <f ca="1">IFERROR(__xludf.DUMMYFUNCTION("GOOGLETRANSLATE(English!C116, ""en"", ""bg"")"),"средата")</f>
        <v>средата</v>
      </c>
      <c r="D116" s="1" t="str">
        <f ca="1">IFERROR(__xludf.DUMMYFUNCTION("GOOGLETRANSLATE(English!D116, ""en"", ""bg"")"),"основи на генетиката")</f>
        <v>основи на генетиката</v>
      </c>
      <c r="E116" s="1" t="str">
        <f ca="1">IFERROR(__xludf.DUMMYFUNCTION("GOOGLETRANSLATE(English!E116, ""en"", ""bg"")"),"Защо основите на генетиката са важни в биологията?")</f>
        <v>Защо основите на генетиката са важни в биологията?</v>
      </c>
      <c r="F116" s="1" t="str">
        <f ca="1">IFERROR(__xludf.DUMMYFUNCTION("GOOGLETRANSLATE(English!F116,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116" s="1" t="str">
        <f ca="1">IFERROR(__xludf.DUMMYFUNCTION("GOOGLETRANSLATE(English!G116, ""en"", ""bg"")"),"direct_qa")</f>
        <v>direct_qa</v>
      </c>
      <c r="H116" s="1" t="str">
        <f ca="1">IFERROR(__xludf.DUMMYFUNCTION("GOOGLETRANSLATE(English!H116, ""en"", ""bg"")"),"заявка_за_знание")</f>
        <v>заявка_за_знание</v>
      </c>
    </row>
    <row r="117" spans="1:8" ht="13.2" x14ac:dyDescent="0.25">
      <c r="A117" s="1" t="str">
        <f ca="1">IFERROR(__xludf.DUMMYFUNCTION("GOOGLETRANSLATE(English!A117, ""en"", ""bg"")"),"qa_01870")</f>
        <v>qa_01870</v>
      </c>
      <c r="B117" s="1" t="str">
        <f ca="1">IFERROR(__xludf.DUMMYFUNCTION("GOOGLETRANSLATE(English!B117, ""en"", ""bg"")"),"физика")</f>
        <v>физика</v>
      </c>
      <c r="C117" s="1" t="str">
        <f ca="1">IFERROR(__xludf.DUMMYFUNCTION("GOOGLETRANSLATE(English!C117, ""en"", ""bg"")"),"елементарен")</f>
        <v>елементарен</v>
      </c>
      <c r="D117" s="1" t="str">
        <f ca="1">IFERROR(__xludf.DUMMYFUNCTION("GOOGLETRANSLATE(English!D117, ""en"", ""bg"")"),"светлина и сянка")</f>
        <v>светлина и сянка</v>
      </c>
      <c r="E117" s="1" t="str">
        <f ca="1">IFERROR(__xludf.DUMMYFUNCTION("GOOGLETRANSLATE(English!E117, ""en"", ""bg"")"),"Как се правят сенките?")</f>
        <v>Как се правят сенките?</v>
      </c>
      <c r="F117" s="1" t="str">
        <f ca="1">IFERROR(__xludf.DUMMYFUNCTION("GOOGLETRANSLATE(English!F117,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117" s="1" t="str">
        <f ca="1">IFERROR(__xludf.DUMMYFUNCTION("GOOGLETRANSLATE(English!G117, ""en"", ""bg"")"),"direct_qa")</f>
        <v>direct_qa</v>
      </c>
      <c r="H117" s="1" t="str">
        <f ca="1">IFERROR(__xludf.DUMMYFUNCTION("GOOGLETRANSLATE(English!H117, ""en"", ""bg"")"),"заявка_за_знание")</f>
        <v>заявка_за_знание</v>
      </c>
    </row>
    <row r="118" spans="1:8" ht="13.2" x14ac:dyDescent="0.25">
      <c r="A118" s="1" t="str">
        <f ca="1">IFERROR(__xludf.DUMMYFUNCTION("GOOGLETRANSLATE(English!A118, ""en"", ""bg"")"),"conv_11255")</f>
        <v>conv_11255</v>
      </c>
      <c r="B118" s="1" t="str">
        <f ca="1">IFERROR(__xludf.DUMMYFUNCTION("GOOGLETRANSLATE(English!B118, ""en"", ""bg"")"),"физика")</f>
        <v>физика</v>
      </c>
      <c r="C118" s="1" t="str">
        <f ca="1">IFERROR(__xludf.DUMMYFUNCTION("GOOGLETRANSLATE(English!C118, ""en"", ""bg"")"),"елементарен")</f>
        <v>елементарен</v>
      </c>
      <c r="D118" s="1" t="str">
        <f ca="1">IFERROR(__xludf.DUMMYFUNCTION("GOOGLETRANSLATE(English!D118, ""en"", ""bg"")"),"светлина и сянка")</f>
        <v>светлина и сянка</v>
      </c>
      <c r="E118" s="1" t="str">
        <f ca="1">IFERROR(__xludf.DUMMYFUNCTION("GOOGLETRANSLATE(English!E118, ""en"", ""bg"")"),"Имам научен въпрос. Защо можем да виждаме цветове?")</f>
        <v>Имам научен въпрос. Защо можем да виждаме цветове?</v>
      </c>
      <c r="F118" s="1" t="str">
        <f ca="1">IFERROR(__xludf.DUMMYFUNCTION("GOOGLETRANSLATE(English!F118,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118" s="1" t="str">
        <f ca="1">IFERROR(__xludf.DUMMYFUNCTION("GOOGLETRANSLATE(English!G118, ""en"", ""bg"")"),"разговор")</f>
        <v>разговор</v>
      </c>
      <c r="H118" s="1" t="str">
        <f ca="1">IFERROR(__xludf.DUMMYFUNCTION("GOOGLETRANSLATE(English!H118, ""en"", ""bg"")"),"образователна_помощ")</f>
        <v>образователна_помощ</v>
      </c>
    </row>
    <row r="119" spans="1:8" ht="13.2" x14ac:dyDescent="0.25">
      <c r="A119" s="1" t="str">
        <f ca="1">IFERROR(__xludf.DUMMYFUNCTION("GOOGLETRANSLATE(English!A119, ""en"", ""bg"")"),"qa_06486")</f>
        <v>qa_06486</v>
      </c>
      <c r="B119" s="1" t="str">
        <f ca="1">IFERROR(__xludf.DUMMYFUNCTION("GOOGLETRANSLATE(English!B119, ""en"", ""bg"")"),"химия")</f>
        <v>химия</v>
      </c>
      <c r="C119" s="1" t="str">
        <f ca="1">IFERROR(__xludf.DUMMYFUNCTION("GOOGLETRANSLATE(English!C119, ""en"", ""bg"")"),"елементарен")</f>
        <v>елементарен</v>
      </c>
      <c r="D119" s="1" t="str">
        <f ca="1">IFERROR(__xludf.DUMMYFUNCTION("GOOGLETRANSLATE(English!D119, ""en"", ""bg"")"),"разтваряне")</f>
        <v>разтваряне</v>
      </c>
      <c r="E119" s="1" t="str">
        <f ca="1">IFERROR(__xludf.DUMMYFUNCTION("GOOGLETRANSLATE(English!E119, ""en"", ""bg"")"),"Защо е важно да се научим да разтваряме?")</f>
        <v>Защо е важно да се научим да разтваряме?</v>
      </c>
      <c r="F119" s="1" t="str">
        <f ca="1">IFERROR(__xludf.DUMMYFUNCTION("GOOGLETRANSLATE(English!F119,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119" s="1" t="str">
        <f ca="1">IFERROR(__xludf.DUMMYFUNCTION("GOOGLETRANSLATE(English!G119, ""en"", ""bg"")"),"direct_qa")</f>
        <v>direct_qa</v>
      </c>
      <c r="H119" s="1" t="str">
        <f ca="1">IFERROR(__xludf.DUMMYFUNCTION("GOOGLETRANSLATE(English!H119, ""en"", ""bg"")"),"заявка_за_знание")</f>
        <v>заявка_за_знание</v>
      </c>
    </row>
    <row r="120" spans="1:8" ht="13.2" x14ac:dyDescent="0.25">
      <c r="A120" s="1" t="str">
        <f ca="1">IFERROR(__xludf.DUMMYFUNCTION("GOOGLETRANSLATE(English!A120, ""en"", ""bg"")"),"conv_10617")</f>
        <v>conv_10617</v>
      </c>
      <c r="B120" s="1" t="str">
        <f ca="1">IFERROR(__xludf.DUMMYFUNCTION("GOOGLETRANSLATE(English!B120, ""en"", ""bg"")"),"физика")</f>
        <v>физика</v>
      </c>
      <c r="C120" s="1" t="str">
        <f ca="1">IFERROR(__xludf.DUMMYFUNCTION("GOOGLETRANSLATE(English!C120, ""en"", ""bg"")"),"елементарен")</f>
        <v>елементарен</v>
      </c>
      <c r="D120" s="1" t="str">
        <f ca="1">IFERROR(__xludf.DUMMYFUNCTION("GOOGLETRANSLATE(English!D120, ""en"", ""bg"")"),"бутане и дърпане")</f>
        <v>бутане и дърпане</v>
      </c>
      <c r="E120" s="1" t="str">
        <f ca="1">IFERROR(__xludf.DUMMYFUNCTION("GOOGLETRANSLATE(English!E120, ""en"", ""bg"")"),"Можете ли да ми обясните това? Какво трябва да знам за бутането и дърпането?")</f>
        <v>Можете ли да ми обясните това? Какво трябва да знам за бутането и дърпането?</v>
      </c>
      <c r="F120" s="1" t="str">
        <f ca="1">IFERROR(__xludf.DUMMYFUNCTION("GOOGLETRANSLATE(English!F120,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120" s="1" t="str">
        <f ca="1">IFERROR(__xludf.DUMMYFUNCTION("GOOGLETRANSLATE(English!G120, ""en"", ""bg"")"),"разговор")</f>
        <v>разговор</v>
      </c>
      <c r="H120" s="1" t="str">
        <f ca="1">IFERROR(__xludf.DUMMYFUNCTION("GOOGLETRANSLATE(English!H120, ""en"", ""bg"")"),"образователна_помощ")</f>
        <v>образователна_помощ</v>
      </c>
    </row>
    <row r="121" spans="1:8" ht="13.2" x14ac:dyDescent="0.25">
      <c r="A121" s="1" t="str">
        <f ca="1">IFERROR(__xludf.DUMMYFUNCTION("GOOGLETRANSLATE(English!A121, ""en"", ""bg"")"),"conv_00723")</f>
        <v>conv_00723</v>
      </c>
      <c r="B121" s="1" t="str">
        <f ca="1">IFERROR(__xludf.DUMMYFUNCTION("GOOGLETRANSLATE(English!B121, ""en"", ""bg"")"),"биология")</f>
        <v>биология</v>
      </c>
      <c r="C121" s="1" t="str">
        <f ca="1">IFERROR(__xludf.DUMMYFUNCTION("GOOGLETRANSLATE(English!C121, ""en"", ""bg"")"),"елементарен")</f>
        <v>елементарен</v>
      </c>
      <c r="D121" s="1" t="str">
        <f ca="1">IFERROR(__xludf.DUMMYFUNCTION("GOOGLETRANSLATE(English!D121, ""en"", ""bg"")"),"сетива")</f>
        <v>сетива</v>
      </c>
      <c r="E121" s="1" t="str">
        <f ca="1">IFERROR(__xludf.DUMMYFUNCTION("GOOGLETRANSLATE(English!E121, ""en"", ""bg"")"),"Здравей, преподавателю! Какво е важно да знаеш за сетивата?")</f>
        <v>Здравей, преподавателю! Какво е важно да знаеш за сетивата?</v>
      </c>
      <c r="F121" s="1" t="str">
        <f ca="1">IFERROR(__xludf.DUMMYFUNCTION("GOOGLETRANSLATE(English!F121,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121" s="1" t="str">
        <f ca="1">IFERROR(__xludf.DUMMYFUNCTION("GOOGLETRANSLATE(English!G121, ""en"", ""bg"")"),"разговор")</f>
        <v>разговор</v>
      </c>
      <c r="H121" s="1" t="str">
        <f ca="1">IFERROR(__xludf.DUMMYFUNCTION("GOOGLETRANSLATE(English!H121, ""en"", ""bg"")"),"образователна_помощ")</f>
        <v>образователна_помощ</v>
      </c>
    </row>
    <row r="122" spans="1:8" ht="13.2" x14ac:dyDescent="0.25">
      <c r="A122" s="1" t="str">
        <f ca="1">IFERROR(__xludf.DUMMYFUNCTION("GOOGLETRANSLATE(English!A122, ""en"", ""bg"")"),"conv_02157")</f>
        <v>conv_02157</v>
      </c>
      <c r="B122" s="1" t="str">
        <f ca="1">IFERROR(__xludf.DUMMYFUNCTION("GOOGLETRANSLATE(English!B122, ""en"", ""bg"")"),"физика")</f>
        <v>физика</v>
      </c>
      <c r="C122" s="1" t="str">
        <f ca="1">IFERROR(__xludf.DUMMYFUNCTION("GOOGLETRANSLATE(English!C122, ""en"", ""bg"")"),"средата")</f>
        <v>средата</v>
      </c>
      <c r="D122" s="1" t="str">
        <f ca="1">IFERROR(__xludf.DUMMYFUNCTION("GOOGLETRANSLATE(English!D122, ""en"", ""bg"")"),"състояния на материята")</f>
        <v>състояния на материята</v>
      </c>
      <c r="E122" s="1" t="str">
        <f ca="1">IFERROR(__xludf.DUMMYFUNCTION("GOOGLETRANSLATE(English!E122, ""en"", ""bg"")"),"Имам научен въпрос. Как функционират състоянията на материята във физиката?")</f>
        <v>Имам научен въпрос. Как функционират състоянията на материята във физиката?</v>
      </c>
      <c r="F122" s="1" t="str">
        <f ca="1">IFERROR(__xludf.DUMMYFUNCTION("GOOGLETRANSLATE(English!F122,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122" s="1" t="str">
        <f ca="1">IFERROR(__xludf.DUMMYFUNCTION("GOOGLETRANSLATE(English!G122, ""en"", ""bg"")"),"разговор")</f>
        <v>разговор</v>
      </c>
      <c r="H122" s="1" t="str">
        <f ca="1">IFERROR(__xludf.DUMMYFUNCTION("GOOGLETRANSLATE(English!H122, ""en"", ""bg"")"),"образователна_помощ")</f>
        <v>образователна_помощ</v>
      </c>
    </row>
    <row r="123" spans="1:8" ht="13.2" x14ac:dyDescent="0.25">
      <c r="A123" s="1" t="str">
        <f ca="1">IFERROR(__xludf.DUMMYFUNCTION("GOOGLETRANSLATE(English!A123, ""en"", ""bg"")"),"hw_12906")</f>
        <v>hw_12906</v>
      </c>
      <c r="B123" s="1" t="str">
        <f ca="1">IFERROR(__xludf.DUMMYFUNCTION("GOOGLETRANSLATE(English!B123, ""en"", ""bg"")"),"физика")</f>
        <v>физика</v>
      </c>
      <c r="C123" s="1" t="str">
        <f ca="1">IFERROR(__xludf.DUMMYFUNCTION("GOOGLETRANSLATE(English!C123, ""en"", ""bg"")"),"елементарен")</f>
        <v>елементарен</v>
      </c>
      <c r="D123" s="1" t="str">
        <f ca="1">IFERROR(__xludf.DUMMYFUNCTION("GOOGLETRANSLATE(English!D123, ""en"", ""bg"")"),"магнити")</f>
        <v>магнити</v>
      </c>
      <c r="E123" s="1" t="str">
        <f ca="1">IFERROR(__xludf.DUMMYFUNCTION("GOOGLETRANSLATE(English!E123, ""en"", ""bg"")"),"Заседнал съм с този проблем с магнитите. Можете ли да помогнете?")</f>
        <v>Заседнал съм с този проблем с магнитите. Можете ли да помогнете?</v>
      </c>
      <c r="F123" s="1" t="str">
        <f ca="1">IFERROR(__xludf.DUMMYFUNCTION("GOOGLETRANSLATE(English!F123,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23" s="1" t="str">
        <f ca="1">IFERROR(__xludf.DUMMYFUNCTION("GOOGLETRANSLATE(English!G123, ""en"", ""bg"")"),"помощ_за_домашно_изпълнение")</f>
        <v>помощ_за_домашно_изпълнение</v>
      </c>
      <c r="H123" s="1" t="str">
        <f ca="1">IFERROR(__xludf.DUMMYFUNCTION("GOOGLETRANSLATE(English!H123, ""en"", ""bg"")"),"помощ_за_домашно_задаване")</f>
        <v>помощ_за_домашно_задаване</v>
      </c>
    </row>
    <row r="124" spans="1:8" ht="13.2" x14ac:dyDescent="0.25">
      <c r="A124" s="1" t="str">
        <f ca="1">IFERROR(__xludf.DUMMYFUNCTION("GOOGLETRANSLATE(English!A124, ""en"", ""bg"")"),"conv_14183")</f>
        <v>conv_14183</v>
      </c>
      <c r="B124" s="1" t="str">
        <f ca="1">IFERROR(__xludf.DUMMYFUNCTION("GOOGLETRANSLATE(English!B124, ""en"", ""bg"")"),"химия")</f>
        <v>химия</v>
      </c>
      <c r="C124" s="1" t="str">
        <f ca="1">IFERROR(__xludf.DUMMYFUNCTION("GOOGLETRANSLATE(English!C124, ""en"", ""bg"")"),"високо")</f>
        <v>високо</v>
      </c>
      <c r="D124" s="1" t="str">
        <f ca="1">IFERROR(__xludf.DUMMYFUNCTION("GOOGLETRANSLATE(English!D124, ""en"", ""bg"")"),"електрохимия")</f>
        <v>електрохимия</v>
      </c>
      <c r="E124" s="1" t="str">
        <f ca="1">IFERROR(__xludf.DUMMYFUNCTION("GOOGLETRANSLATE(English!E124, ""en"", ""bg"")"),"Не разбирам тази тема. Защо е важно да се учи електрохимия?")</f>
        <v>Не разбирам тази тема. Защо е важно да се учи електрохимия?</v>
      </c>
      <c r="F124" s="1" t="str">
        <f ca="1">IFERROR(__xludf.DUMMYFUNCTION("GOOGLETRANSLATE(English!F124,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124" s="1" t="str">
        <f ca="1">IFERROR(__xludf.DUMMYFUNCTION("GOOGLETRANSLATE(English!G124, ""en"", ""bg"")"),"разговор")</f>
        <v>разговор</v>
      </c>
      <c r="H124" s="1" t="str">
        <f ca="1">IFERROR(__xludf.DUMMYFUNCTION("GOOGLETRANSLATE(English!H124, ""en"", ""bg"")"),"образователна_помощ")</f>
        <v>образователна_помощ</v>
      </c>
    </row>
    <row r="125" spans="1:8" ht="13.2" x14ac:dyDescent="0.25">
      <c r="A125" s="1" t="str">
        <f ca="1">IFERROR(__xludf.DUMMYFUNCTION("GOOGLETRANSLATE(English!A125, ""en"", ""bg"")"),"conv_03193")</f>
        <v>conv_03193</v>
      </c>
      <c r="B125" s="1" t="str">
        <f ca="1">IFERROR(__xludf.DUMMYFUNCTION("GOOGLETRANSLATE(English!B125, ""en"", ""bg"")"),"биология")</f>
        <v>биология</v>
      </c>
      <c r="C125" s="1" t="str">
        <f ca="1">IFERROR(__xludf.DUMMYFUNCTION("GOOGLETRANSLATE(English!C125, ""en"", ""bg"")"),"елементарен")</f>
        <v>елементарен</v>
      </c>
      <c r="D125" s="1" t="str">
        <f ca="1">IFERROR(__xludf.DUMMYFUNCTION("GOOGLETRANSLATE(English!D125, ""en"", ""bg"")"),"основни нужди")</f>
        <v>основни нужди</v>
      </c>
      <c r="E125" s="1" t="str">
        <f ca="1">IFERROR(__xludf.DUMMYFUNCTION("GOOGLETRANSLATE(English!E125, ""en"", ""bg"")"),"Имам научен въпрос. Как работят основните потребности?")</f>
        <v>Имам научен въпрос. Как работят основните потребности?</v>
      </c>
      <c r="F125" s="1" t="str">
        <f ca="1">IFERROR(__xludf.DUMMYFUNCTION("GOOGLETRANSLATE(English!F125,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125" s="1" t="str">
        <f ca="1">IFERROR(__xludf.DUMMYFUNCTION("GOOGLETRANSLATE(English!G125, ""en"", ""bg"")"),"разговор")</f>
        <v>разговор</v>
      </c>
      <c r="H125" s="1" t="str">
        <f ca="1">IFERROR(__xludf.DUMMYFUNCTION("GOOGLETRANSLATE(English!H125, ""en"", ""bg"")"),"образователна_помощ")</f>
        <v>образователна_помощ</v>
      </c>
    </row>
    <row r="126" spans="1:8" ht="13.2" x14ac:dyDescent="0.25">
      <c r="A126" s="1" t="str">
        <f ca="1">IFERROR(__xludf.DUMMYFUNCTION("GOOGLETRANSLATE(English!A126, ""en"", ""bg"")"),"hw_12259")</f>
        <v>hw_12259</v>
      </c>
      <c r="B126" s="1" t="str">
        <f ca="1">IFERROR(__xludf.DUMMYFUNCTION("GOOGLETRANSLATE(English!B126, ""en"", ""bg"")"),"биология")</f>
        <v>биология</v>
      </c>
      <c r="C126" s="1" t="str">
        <f ca="1">IFERROR(__xludf.DUMMYFUNCTION("GOOGLETRANSLATE(English!C126, ""en"", ""bg"")"),"средата")</f>
        <v>средата</v>
      </c>
      <c r="D126" s="1" t="str">
        <f ca="1">IFERROR(__xludf.DUMMYFUNCTION("GOOGLETRANSLATE(English!D126, ""en"", ""bg"")"),"дишане")</f>
        <v>дишане</v>
      </c>
      <c r="E126" s="1" t="str">
        <f ca="1">IFERROR(__xludf.DUMMYFUNCTION("GOOGLETRANSLATE(English!E126, ""en"", ""bg"")"),"Можете ли да обясните дишането за моя научен проект?")</f>
        <v>Можете ли да обясните дишането за моя научен проект?</v>
      </c>
      <c r="F126" s="1" t="str">
        <f ca="1">IFERROR(__xludf.DUMMYFUNCTION("GOOGLETRANSLATE(English!F126,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126" s="1" t="str">
        <f ca="1">IFERROR(__xludf.DUMMYFUNCTION("GOOGLETRANSLATE(English!G126, ""en"", ""bg"")"),"помощ_за_домашно_изпълнение")</f>
        <v>помощ_за_домашно_изпълнение</v>
      </c>
      <c r="H126" s="1" t="str">
        <f ca="1">IFERROR(__xludf.DUMMYFUNCTION("GOOGLETRANSLATE(English!H126, ""en"", ""bg"")"),"помощ_за_домашно_задаване")</f>
        <v>помощ_за_домашно_задаване</v>
      </c>
    </row>
    <row r="127" spans="1:8" ht="13.2" x14ac:dyDescent="0.25">
      <c r="A127" s="1" t="str">
        <f ca="1">IFERROR(__xludf.DUMMYFUNCTION("GOOGLETRANSLATE(English!A127, ""en"", ""bg"")"),"qa_13374")</f>
        <v>qa_13374</v>
      </c>
      <c r="B127" s="1" t="str">
        <f ca="1">IFERROR(__xludf.DUMMYFUNCTION("GOOGLETRANSLATE(English!B127, ""en"", ""bg"")"),"химия")</f>
        <v>химия</v>
      </c>
      <c r="C127" s="1" t="str">
        <f ca="1">IFERROR(__xludf.DUMMYFUNCTION("GOOGLETRANSLATE(English!C127, ""en"", ""bg"")"),"елементарен")</f>
        <v>елементарен</v>
      </c>
      <c r="D127" s="1" t="str">
        <f ca="1">IFERROR(__xludf.DUMMYFUNCTION("GOOGLETRANSLATE(English!D127, ""en"", ""bg"")"),"безопасност")</f>
        <v>безопасност</v>
      </c>
      <c r="E127" s="1" t="str">
        <f ca="1">IFERROR(__xludf.DUMMYFUNCTION("GOOGLETRANSLATE(English!E127, ""en"", ""bg"")"),"Как работи безопасността в химията?")</f>
        <v>Как работи безопасността в химията?</v>
      </c>
      <c r="F127" s="1" t="str">
        <f ca="1">IFERROR(__xludf.DUMMYFUNCTION("GOOGLETRANSLATE(English!F127,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127" s="1" t="str">
        <f ca="1">IFERROR(__xludf.DUMMYFUNCTION("GOOGLETRANSLATE(English!G127, ""en"", ""bg"")"),"direct_qa")</f>
        <v>direct_qa</v>
      </c>
      <c r="H127" s="1" t="str">
        <f ca="1">IFERROR(__xludf.DUMMYFUNCTION("GOOGLETRANSLATE(English!H127, ""en"", ""bg"")"),"заявка_за_знание")</f>
        <v>заявка_за_знание</v>
      </c>
    </row>
    <row r="128" spans="1:8" ht="13.2" x14ac:dyDescent="0.25">
      <c r="A128" s="1" t="str">
        <f ca="1">IFERROR(__xludf.DUMMYFUNCTION("GOOGLETRANSLATE(English!A128, ""en"", ""bg"")"),"conv_01650")</f>
        <v>conv_01650</v>
      </c>
      <c r="B128" s="1" t="str">
        <f ca="1">IFERROR(__xludf.DUMMYFUNCTION("GOOGLETRANSLATE(English!B128, ""en"", ""bg"")"),"биология")</f>
        <v>биология</v>
      </c>
      <c r="C128" s="1" t="str">
        <f ca="1">IFERROR(__xludf.DUMMYFUNCTION("GOOGLETRANSLATE(English!C128, ""en"", ""bg"")"),"средата")</f>
        <v>средата</v>
      </c>
      <c r="D128" s="1" t="str">
        <f ca="1">IFERROR(__xludf.DUMMYFUNCTION("GOOGLETRANSLATE(English!D128, ""en"", ""bg"")"),"размножаване")</f>
        <v>размножаване</v>
      </c>
      <c r="E128" s="1" t="str">
        <f ca="1">IFERROR(__xludf.DUMMYFUNCTION("GOOGLETRANSLATE(English!E128, ""en"", ""bg"")"),"Помогнете ми да уча за теста. Можете ли да ми разкажете за размножаването?")</f>
        <v>Помогнете ми да уча за теста. Можете ли да ми разкажете за размножаването?</v>
      </c>
      <c r="F128" s="1" t="str">
        <f ca="1">IFERROR(__xludf.DUMMYFUNCTION("GOOGLETRANSLATE(English!F128,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128" s="1" t="str">
        <f ca="1">IFERROR(__xludf.DUMMYFUNCTION("GOOGLETRANSLATE(English!G128, ""en"", ""bg"")"),"разговор")</f>
        <v>разговор</v>
      </c>
      <c r="H128" s="1" t="str">
        <f ca="1">IFERROR(__xludf.DUMMYFUNCTION("GOOGLETRANSLATE(English!H128, ""en"", ""bg"")"),"образователна_помощ")</f>
        <v>образователна_помощ</v>
      </c>
    </row>
    <row r="129" spans="1:8" ht="13.2" x14ac:dyDescent="0.25">
      <c r="A129" s="1" t="str">
        <f ca="1">IFERROR(__xludf.DUMMYFUNCTION("GOOGLETRANSLATE(English!A129, ""en"", ""bg"")"),"qa_13390")</f>
        <v>qa_13390</v>
      </c>
      <c r="B129" s="1" t="str">
        <f ca="1">IFERROR(__xludf.DUMMYFUNCTION("GOOGLETRANSLATE(English!B129, ""en"", ""bg"")"),"химия")</f>
        <v>химия</v>
      </c>
      <c r="C129" s="1" t="str">
        <f ca="1">IFERROR(__xludf.DUMMYFUNCTION("GOOGLETRANSLATE(English!C129, ""en"", ""bg"")"),"средата")</f>
        <v>средата</v>
      </c>
      <c r="D129" s="1" t="str">
        <f ca="1">IFERROR(__xludf.DUMMYFUNCTION("GOOGLETRANSLATE(English!D129, ""en"", ""bg"")"),"основи на периодичната таблица")</f>
        <v>основи на периодичната таблица</v>
      </c>
      <c r="E129" s="1" t="str">
        <f ca="1">IFERROR(__xludf.DUMMYFUNCTION("GOOGLETRANSLATE(English!E129,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129" s="1" t="str">
        <f ca="1">IFERROR(__xludf.DUMMYFUNCTION("GOOGLETRANSLATE(English!F129,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129" s="1" t="str">
        <f ca="1">IFERROR(__xludf.DUMMYFUNCTION("GOOGLETRANSLATE(English!G129, ""en"", ""bg"")"),"direct_qa")</f>
        <v>direct_qa</v>
      </c>
      <c r="H129" s="1" t="str">
        <f ca="1">IFERROR(__xludf.DUMMYFUNCTION("GOOGLETRANSLATE(English!H129, ""en"", ""bg"")"),"заявка_за_знание")</f>
        <v>заявка_за_знание</v>
      </c>
    </row>
    <row r="130" spans="1:8" ht="13.2" x14ac:dyDescent="0.25">
      <c r="A130" s="1" t="str">
        <f ca="1">IFERROR(__xludf.DUMMYFUNCTION("GOOGLETRANSLATE(English!A130, ""en"", ""bg"")"),"conv_02231")</f>
        <v>conv_02231</v>
      </c>
      <c r="B130" s="1" t="str">
        <f ca="1">IFERROR(__xludf.DUMMYFUNCTION("GOOGLETRANSLATE(English!B130, ""en"", ""bg"")"),"физика")</f>
        <v>физика</v>
      </c>
      <c r="C130" s="1" t="str">
        <f ca="1">IFERROR(__xludf.DUMMYFUNCTION("GOOGLETRANSLATE(English!C130, ""en"", ""bg"")"),"елементарен")</f>
        <v>елементарен</v>
      </c>
      <c r="D130" s="1" t="str">
        <f ca="1">IFERROR(__xludf.DUMMYFUNCTION("GOOGLETRANSLATE(English!D130, ""en"", ""bg"")"),"горещо и студено")</f>
        <v>горещо и студено</v>
      </c>
      <c r="E130" s="1" t="str">
        <f ca="1">IFERROR(__xludf.DUMMYFUNCTION("GOOGLETRANSLATE(English!E130, ""en"", ""bg"")"),"Имам научен въпрос. Как работят топлото и студеното във физиката?")</f>
        <v>Имам научен въпрос. Как работят топлото и студеното във физиката?</v>
      </c>
      <c r="F130" s="1" t="str">
        <f ca="1">IFERROR(__xludf.DUMMYFUNCTION("GOOGLETRANSLATE(English!F130,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30" s="1" t="str">
        <f ca="1">IFERROR(__xludf.DUMMYFUNCTION("GOOGLETRANSLATE(English!G130, ""en"", ""bg"")"),"разговор")</f>
        <v>разговор</v>
      </c>
      <c r="H130" s="1" t="str">
        <f ca="1">IFERROR(__xludf.DUMMYFUNCTION("GOOGLETRANSLATE(English!H130, ""en"", ""bg"")"),"образователна_помощ")</f>
        <v>образователна_помощ</v>
      </c>
    </row>
    <row r="131" spans="1:8" ht="13.2" x14ac:dyDescent="0.25">
      <c r="A131" s="1" t="str">
        <f ca="1">IFERROR(__xludf.DUMMYFUNCTION("GOOGLETRANSLATE(English!A131, ""en"", ""bg"")"),"qa_09779")</f>
        <v>qa_09779</v>
      </c>
      <c r="B131" s="1" t="str">
        <f ca="1">IFERROR(__xludf.DUMMYFUNCTION("GOOGLETRANSLATE(English!B131, ""en"", ""bg"")"),"химия")</f>
        <v>химия</v>
      </c>
      <c r="C131" s="1" t="str">
        <f ca="1">IFERROR(__xludf.DUMMYFUNCTION("GOOGLETRANSLATE(English!C131, ""en"", ""bg"")"),"средата")</f>
        <v>средата</v>
      </c>
      <c r="D131" s="1" t="str">
        <f ca="1">IFERROR(__xludf.DUMMYFUNCTION("GOOGLETRANSLATE(English!D131, ""en"", ""bg"")"),"атоми и молекули")</f>
        <v>атоми и молекули</v>
      </c>
      <c r="E131" s="1" t="str">
        <f ca="1">IFERROR(__xludf.DUMMYFUNCTION("GOOGLETRANSLATE(English!E131, ""en"", ""bg"")"),"Коя е най-малката част от един елемент?")</f>
        <v>Коя е най-малката част от един елемент?</v>
      </c>
      <c r="F131" s="1" t="str">
        <f ca="1">IFERROR(__xludf.DUMMYFUNCTION("GOOGLETRANSLATE(English!F131,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131" s="1" t="str">
        <f ca="1">IFERROR(__xludf.DUMMYFUNCTION("GOOGLETRANSLATE(English!G131, ""en"", ""bg"")"),"direct_qa")</f>
        <v>direct_qa</v>
      </c>
      <c r="H131" s="1" t="str">
        <f ca="1">IFERROR(__xludf.DUMMYFUNCTION("GOOGLETRANSLATE(English!H131, ""en"", ""bg"")"),"заявка_за_знание")</f>
        <v>заявка_за_знание</v>
      </c>
    </row>
    <row r="132" spans="1:8" ht="13.2" x14ac:dyDescent="0.25">
      <c r="A132" s="1" t="str">
        <f ca="1">IFERROR(__xludf.DUMMYFUNCTION("GOOGLETRANSLATE(English!A132, ""en"", ""bg"")"),"hw_00844")</f>
        <v>hw_00844</v>
      </c>
      <c r="B132" s="1" t="str">
        <f ca="1">IFERROR(__xludf.DUMMYFUNCTION("GOOGLETRANSLATE(English!B132, ""en"", ""bg"")"),"физика")</f>
        <v>физика</v>
      </c>
      <c r="C132" s="1" t="str">
        <f ca="1">IFERROR(__xludf.DUMMYFUNCTION("GOOGLETRANSLATE(English!C132, ""en"", ""bg"")"),"високо")</f>
        <v>високо</v>
      </c>
      <c r="D132" s="1" t="str">
        <f ca="1">IFERROR(__xludf.DUMMYFUNCTION("GOOGLETRANSLATE(English!D132, ""en"", ""bg"")"),"атомна структура")</f>
        <v>атомна структура</v>
      </c>
      <c r="E132" s="1" t="str">
        <f ca="1">IFERROR(__xludf.DUMMYFUNCTION("GOOGLETRANSLATE(English!E132, ""en"", ""bg"")"),"Домашното ми по физика е за атомната структура. Объркващо е!")</f>
        <v>Домашното ми по физика е за атомната структура. Объркващо е!</v>
      </c>
      <c r="F132" s="1" t="str">
        <f ca="1">IFERROR(__xludf.DUMMYFUNCTION("GOOGLETRANSLATE(English!F132,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132" s="1" t="str">
        <f ca="1">IFERROR(__xludf.DUMMYFUNCTION("GOOGLETRANSLATE(English!G132, ""en"", ""bg"")"),"помощ_за_домашно_изпълнение")</f>
        <v>помощ_за_домашно_изпълнение</v>
      </c>
      <c r="H132" s="1" t="str">
        <f ca="1">IFERROR(__xludf.DUMMYFUNCTION("GOOGLETRANSLATE(English!H132, ""en"", ""bg"")"),"помощ_за_домашно_задаване")</f>
        <v>помощ_за_домашно_задаване</v>
      </c>
    </row>
    <row r="133" spans="1:8" ht="13.2" x14ac:dyDescent="0.25">
      <c r="A133" s="1" t="str">
        <f ca="1">IFERROR(__xludf.DUMMYFUNCTION("GOOGLETRANSLATE(English!A133, ""en"", ""bg"")"),"qa_06468")</f>
        <v>qa_06468</v>
      </c>
      <c r="B133" s="1" t="str">
        <f ca="1">IFERROR(__xludf.DUMMYFUNCTION("GOOGLETRANSLATE(English!B133, ""en"", ""bg"")"),"биология")</f>
        <v>биология</v>
      </c>
      <c r="C133" s="1" t="str">
        <f ca="1">IFERROR(__xludf.DUMMYFUNCTION("GOOGLETRANSLATE(English!C133, ""en"", ""bg"")"),"елементарен")</f>
        <v>елементарен</v>
      </c>
      <c r="D133" s="1" t="str">
        <f ca="1">IFERROR(__xludf.DUMMYFUNCTION("GOOGLETRANSLATE(English!D133, ""en"", ""bg"")"),"основни нужди")</f>
        <v>основни нужди</v>
      </c>
      <c r="E133" s="1" t="str">
        <f ca="1">IFERROR(__xludf.DUMMYFUNCTION("GOOGLETRANSLATE(English!E133, ""en"", ""bg"")"),"Можете ли да ми кажете за основните нужди?")</f>
        <v>Можете ли да ми кажете за основните нужди?</v>
      </c>
      <c r="F133" s="1" t="str">
        <f ca="1">IFERROR(__xludf.DUMMYFUNCTION("GOOGLETRANSLATE(English!F133,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133" s="1" t="str">
        <f ca="1">IFERROR(__xludf.DUMMYFUNCTION("GOOGLETRANSLATE(English!G133, ""en"", ""bg"")"),"direct_qa")</f>
        <v>direct_qa</v>
      </c>
      <c r="H133" s="1" t="str">
        <f ca="1">IFERROR(__xludf.DUMMYFUNCTION("GOOGLETRANSLATE(English!H133, ""en"", ""bg"")"),"заявка_за_знание")</f>
        <v>заявка_за_знание</v>
      </c>
    </row>
    <row r="134" spans="1:8" ht="13.2" x14ac:dyDescent="0.25">
      <c r="A134" s="1" t="str">
        <f ca="1">IFERROR(__xludf.DUMMYFUNCTION("GOOGLETRANSLATE(English!A134, ""en"", ""bg"")"),"hw_06695")</f>
        <v>hw_06695</v>
      </c>
      <c r="B134" s="1" t="str">
        <f ca="1">IFERROR(__xludf.DUMMYFUNCTION("GOOGLETRANSLATE(English!B134, ""en"", ""bg"")"),"физика")</f>
        <v>физика</v>
      </c>
      <c r="C134" s="1" t="str">
        <f ca="1">IFERROR(__xludf.DUMMYFUNCTION("GOOGLETRANSLATE(English!C134, ""en"", ""bg"")"),"средата")</f>
        <v>средата</v>
      </c>
      <c r="D134" s="1" t="str">
        <f ca="1">IFERROR(__xludf.DUMMYFUNCTION("GOOGLETRANSLATE(English!D134, ""en"", ""bg"")"),"прости схеми")</f>
        <v>прости схеми</v>
      </c>
      <c r="E134" s="1" t="str">
        <f ca="1">IFERROR(__xludf.DUMMYFUNCTION("GOOGLETRANSLATE(English!E134,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134" s="1" t="str">
        <f ca="1">IFERROR(__xludf.DUMMYFUNCTION("GOOGLETRANSLATE(English!F134,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34" s="1" t="str">
        <f ca="1">IFERROR(__xludf.DUMMYFUNCTION("GOOGLETRANSLATE(English!G134, ""en"", ""bg"")"),"помощ_за_домашно_изпълнение")</f>
        <v>помощ_за_домашно_изпълнение</v>
      </c>
      <c r="H134" s="1" t="str">
        <f ca="1">IFERROR(__xludf.DUMMYFUNCTION("GOOGLETRANSLATE(English!H134, ""en"", ""bg"")"),"помощ_за_домашно_задаване")</f>
        <v>помощ_за_домашно_задаване</v>
      </c>
    </row>
    <row r="135" spans="1:8" ht="13.2" x14ac:dyDescent="0.25">
      <c r="A135" s="1" t="str">
        <f ca="1">IFERROR(__xludf.DUMMYFUNCTION("GOOGLETRANSLATE(English!A135, ""en"", ""bg"")"),"hw_10026")</f>
        <v>hw_10026</v>
      </c>
      <c r="B135" s="1" t="str">
        <f ca="1">IFERROR(__xludf.DUMMYFUNCTION("GOOGLETRANSLATE(English!B135, ""en"", ""bg"")"),"физика")</f>
        <v>физика</v>
      </c>
      <c r="C135" s="1" t="str">
        <f ca="1">IFERROR(__xludf.DUMMYFUNCTION("GOOGLETRANSLATE(English!C135, ""en"", ""bg"")"),"високо")</f>
        <v>високо</v>
      </c>
      <c r="D135" s="1" t="str">
        <f ca="1">IFERROR(__xludf.DUMMYFUNCTION("GOOGLETRANSLATE(English!D135, ""en"", ""bg"")"),"термодинамика")</f>
        <v>термодинамика</v>
      </c>
      <c r="E135" s="1" t="str">
        <f ca="1">IFERROR(__xludf.DUMMYFUNCTION("GOOGLETRANSLATE(English!E135, ""en"", ""bg"")"),"Домашното ми по физика е за термодинамика. Объркващо е!")</f>
        <v>Домашното ми по физика е за термодинамика. Объркващо е!</v>
      </c>
      <c r="F135" s="1" t="str">
        <f ca="1">IFERROR(__xludf.DUMMYFUNCTION("GOOGLETRANSLATE(English!F135,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135" s="1" t="str">
        <f ca="1">IFERROR(__xludf.DUMMYFUNCTION("GOOGLETRANSLATE(English!G135, ""en"", ""bg"")"),"помощ_за_домашно_изпълнение")</f>
        <v>помощ_за_домашно_изпълнение</v>
      </c>
      <c r="H135" s="1" t="str">
        <f ca="1">IFERROR(__xludf.DUMMYFUNCTION("GOOGLETRANSLATE(English!H135, ""en"", ""bg"")"),"помощ_за_домашно_задаване")</f>
        <v>помощ_за_домашно_задаване</v>
      </c>
    </row>
    <row r="136" spans="1:8" ht="13.2" x14ac:dyDescent="0.25">
      <c r="A136" s="1" t="str">
        <f ca="1">IFERROR(__xludf.DUMMYFUNCTION("GOOGLETRANSLATE(English!A136, ""en"", ""bg"")"),"conv_02566")</f>
        <v>conv_02566</v>
      </c>
      <c r="B136" s="1" t="str">
        <f ca="1">IFERROR(__xludf.DUMMYFUNCTION("GOOGLETRANSLATE(English!B136, ""en"", ""bg"")"),"химия")</f>
        <v>химия</v>
      </c>
      <c r="C136" s="1" t="str">
        <f ca="1">IFERROR(__xludf.DUMMYFUNCTION("GOOGLETRANSLATE(English!C136, ""en"", ""bg"")"),"средата")</f>
        <v>средата</v>
      </c>
      <c r="D136" s="1" t="str">
        <f ca="1">IFERROR(__xludf.DUMMYFUNCTION("GOOGLETRANSLATE(English!D136, ""en"", ""bg"")"),"съединения срещу елементи")</f>
        <v>съединения срещу елементи</v>
      </c>
      <c r="E136" s="1" t="str">
        <f ca="1">IFERROR(__xludf.DUMMYFUNCTION("GOOGLETRANSLATE(English!E136, ""en"", ""bg"")"),"Можете ли да ми помогнете? Можете ли да ми помогнете да разбера какво представляват съединенията спрямо елементите?")</f>
        <v>Можете ли да ми помогнете? Можете ли да ми помогнете да разбера какво представляват съединенията спрямо елементите?</v>
      </c>
      <c r="F136" s="1" t="str">
        <f ca="1">IFERROR(__xludf.DUMMYFUNCTION("GOOGLETRANSLATE(English!F136,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136" s="1" t="str">
        <f ca="1">IFERROR(__xludf.DUMMYFUNCTION("GOOGLETRANSLATE(English!G136, ""en"", ""bg"")"),"разговор")</f>
        <v>разговор</v>
      </c>
      <c r="H136" s="1" t="str">
        <f ca="1">IFERROR(__xludf.DUMMYFUNCTION("GOOGLETRANSLATE(English!H136, ""en"", ""bg"")"),"образователна_помощ")</f>
        <v>образователна_помощ</v>
      </c>
    </row>
    <row r="137" spans="1:8" ht="13.2" x14ac:dyDescent="0.25">
      <c r="A137" s="1" t="str">
        <f ca="1">IFERROR(__xludf.DUMMYFUNCTION("GOOGLETRANSLATE(English!A137, ""en"", ""bg"")"),"conv_17410")</f>
        <v>conv_17410</v>
      </c>
      <c r="B137" s="1" t="str">
        <f ca="1">IFERROR(__xludf.DUMMYFUNCTION("GOOGLETRANSLATE(English!B137, ""en"", ""bg"")"),"химия")</f>
        <v>химия</v>
      </c>
      <c r="C137" s="1" t="str">
        <f ca="1">IFERROR(__xludf.DUMMYFUNCTION("GOOGLETRANSLATE(English!C137, ""en"", ""bg"")"),"средата")</f>
        <v>средата</v>
      </c>
      <c r="D137" s="1" t="str">
        <f ca="1">IFERROR(__xludf.DUMMYFUNCTION("GOOGLETRANSLATE(English!D137, ""en"", ""bg"")"),"основи на периодичната таблица")</f>
        <v>основи на периодичната таблица</v>
      </c>
      <c r="E137" s="1" t="str">
        <f ca="1">IFERROR(__xludf.DUMMYFUNCTION("GOOGLETRANSLATE(English!E137, ""en"", ""bg"")"),"Можете ли да ми помогнете? Защо е важно да се научат основите на периодичната таблица?")</f>
        <v>Можете ли да ми помогнете? Защо е важно да се научат основите на периодичната таблица?</v>
      </c>
      <c r="F137" s="1" t="str">
        <f ca="1">IFERROR(__xludf.DUMMYFUNCTION("GOOGLETRANSLATE(English!F137,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137" s="1" t="str">
        <f ca="1">IFERROR(__xludf.DUMMYFUNCTION("GOOGLETRANSLATE(English!G137, ""en"", ""bg"")"),"разговор")</f>
        <v>разговор</v>
      </c>
      <c r="H137" s="1" t="str">
        <f ca="1">IFERROR(__xludf.DUMMYFUNCTION("GOOGLETRANSLATE(English!H137, ""en"", ""bg"")"),"образователна_помощ")</f>
        <v>образователна_помощ</v>
      </c>
    </row>
    <row r="138" spans="1:8" ht="13.2" x14ac:dyDescent="0.25">
      <c r="A138" s="1" t="str">
        <f ca="1">IFERROR(__xludf.DUMMYFUNCTION("GOOGLETRANSLATE(English!A138, ""en"", ""bg"")"),"hw_10007")</f>
        <v>hw_10007</v>
      </c>
      <c r="B138" s="1" t="str">
        <f ca="1">IFERROR(__xludf.DUMMYFUNCTION("GOOGLETRANSLATE(English!B138, ""en"", ""bg"")"),"химия")</f>
        <v>химия</v>
      </c>
      <c r="C138" s="1" t="str">
        <f ca="1">IFERROR(__xludf.DUMMYFUNCTION("GOOGLETRANSLATE(English!C138, ""en"", ""bg"")"),"елементарен")</f>
        <v>елементарен</v>
      </c>
      <c r="D138" s="1" t="str">
        <f ca="1">IFERROR(__xludf.DUMMYFUNCTION("GOOGLETRANSLATE(English!D138, ""en"", ""bg"")"),"твърди вещества, течности, газове")</f>
        <v>твърди вещества, течности, газове</v>
      </c>
      <c r="E138" s="1" t="str">
        <f ca="1">IFERROR(__xludf.DUMMYFUNCTION("GOOGLETRANSLATE(English!E138, ""en"", ""bg"")"),"Моят доклад по химия е за твърди вещества, течности, газове. Помогнете ми да разбера.")</f>
        <v>Моят доклад по химия е за твърди вещества, течности, газове. Помогнете ми да разбера.</v>
      </c>
      <c r="F138" s="1" t="str">
        <f ca="1">IFERROR(__xludf.DUMMYFUNCTION("GOOGLETRANSLATE(English!F138,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138" s="1" t="str">
        <f ca="1">IFERROR(__xludf.DUMMYFUNCTION("GOOGLETRANSLATE(English!G138, ""en"", ""bg"")"),"помощ_за_домашно_изпълнение")</f>
        <v>помощ_за_домашно_изпълнение</v>
      </c>
      <c r="H138" s="1" t="str">
        <f ca="1">IFERROR(__xludf.DUMMYFUNCTION("GOOGLETRANSLATE(English!H138, ""en"", ""bg"")"),"помощ_за_домашно_задаване")</f>
        <v>помощ_за_домашно_задаване</v>
      </c>
    </row>
    <row r="139" spans="1:8" ht="13.2" x14ac:dyDescent="0.25">
      <c r="A139" s="1" t="str">
        <f ca="1">IFERROR(__xludf.DUMMYFUNCTION("GOOGLETRANSLATE(English!A139, ""en"", ""bg"")"),"conv_02068")</f>
        <v>conv_02068</v>
      </c>
      <c r="B139" s="1" t="str">
        <f ca="1">IFERROR(__xludf.DUMMYFUNCTION("GOOGLETRANSLATE(English!B139, ""en"", ""bg"")"),"биология")</f>
        <v>биология</v>
      </c>
      <c r="C139" s="1" t="str">
        <f ca="1">IFERROR(__xludf.DUMMYFUNCTION("GOOGLETRANSLATE(English!C139, ""en"", ""bg"")"),"средата")</f>
        <v>средата</v>
      </c>
      <c r="D139" s="1" t="str">
        <f ca="1">IFERROR(__xludf.DUMMYFUNCTION("GOOGLETRANSLATE(English!D139, ""en"", ""bg"")"),"основи на еволюцията")</f>
        <v>основи на еволюцията</v>
      </c>
      <c r="E139" s="1" t="str">
        <f ca="1">IFERROR(__xludf.DUMMYFUNCTION("GOOGLETRANSLATE(English!E139, ""en"", ""bg"")"),"Имам научен въпрос. Можете ли да ми разкажете за основите на еволюцията?")</f>
        <v>Имам научен въпрос. Можете ли да ми разкажете за основите на еволюцията?</v>
      </c>
      <c r="F139" s="1" t="str">
        <f ca="1">IFERROR(__xludf.DUMMYFUNCTION("GOOGLETRANSLATE(English!F139,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139" s="1" t="str">
        <f ca="1">IFERROR(__xludf.DUMMYFUNCTION("GOOGLETRANSLATE(English!G139, ""en"", ""bg"")"),"разговор")</f>
        <v>разговор</v>
      </c>
      <c r="H139" s="1" t="str">
        <f ca="1">IFERROR(__xludf.DUMMYFUNCTION("GOOGLETRANSLATE(English!H139, ""en"", ""bg"")"),"образователна_помощ")</f>
        <v>образователна_помощ</v>
      </c>
    </row>
    <row r="140" spans="1:8" ht="13.2" x14ac:dyDescent="0.25">
      <c r="A140" s="1" t="str">
        <f ca="1">IFERROR(__xludf.DUMMYFUNCTION("GOOGLETRANSLATE(English!A140, ""en"", ""bg"")"),"hw_07564")</f>
        <v>hw_07564</v>
      </c>
      <c r="B140" s="1" t="str">
        <f ca="1">IFERROR(__xludf.DUMMYFUNCTION("GOOGLETRANSLATE(English!B140, ""en"", ""bg"")"),"биология")</f>
        <v>биология</v>
      </c>
      <c r="C140" s="1" t="str">
        <f ca="1">IFERROR(__xludf.DUMMYFUNCTION("GOOGLETRANSLATE(English!C140, ""en"", ""bg"")"),"елементарен")</f>
        <v>елементарен</v>
      </c>
      <c r="D140" s="1" t="str">
        <f ca="1">IFERROR(__xludf.DUMMYFUNCTION("GOOGLETRANSLATE(English!D140, ""en"", ""bg"")"),"местообитания")</f>
        <v>местообитания</v>
      </c>
      <c r="E140" s="1" t="str">
        <f ca="1">IFERROR(__xludf.DUMMYFUNCTION("GOOGLETRANSLATE(English!E140, ""en"", ""bg"")"),"Утре имам тест по местообитания. Помогни ми да уча!")</f>
        <v>Утре имам тест по местообитания. Помогни ми да уча!</v>
      </c>
      <c r="F140" s="1" t="str">
        <f ca="1">IFERROR(__xludf.DUMMYFUNCTION("GOOGLETRANSLATE(English!F140,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140" s="1" t="str">
        <f ca="1">IFERROR(__xludf.DUMMYFUNCTION("GOOGLETRANSLATE(English!G140, ""en"", ""bg"")"),"помощ_за_домашно_изпълнение")</f>
        <v>помощ_за_домашно_изпълнение</v>
      </c>
      <c r="H140" s="1" t="str">
        <f ca="1">IFERROR(__xludf.DUMMYFUNCTION("GOOGLETRANSLATE(English!H140, ""en"", ""bg"")"),"помощ_за_домашно_задаване")</f>
        <v>помощ_за_домашно_задаване</v>
      </c>
    </row>
    <row r="141" spans="1:8" ht="13.2" x14ac:dyDescent="0.25">
      <c r="A141" s="1" t="str">
        <f ca="1">IFERROR(__xludf.DUMMYFUNCTION("GOOGLETRANSLATE(English!A141, ""en"", ""bg"")"),"hw_01140")</f>
        <v>hw_01140</v>
      </c>
      <c r="B141" s="1" t="str">
        <f ca="1">IFERROR(__xludf.DUMMYFUNCTION("GOOGLETRANSLATE(English!B141, ""en"", ""bg"")"),"химия")</f>
        <v>химия</v>
      </c>
      <c r="C141" s="1" t="str">
        <f ca="1">IFERROR(__xludf.DUMMYFUNCTION("GOOGLETRANSLATE(English!C141, ""en"", ""bg"")"),"средата")</f>
        <v>средата</v>
      </c>
      <c r="D141" s="1" t="str">
        <f ca="1">IFERROR(__xludf.DUMMYFUNCTION("GOOGLETRANSLATE(English!D141, ""en"", ""bg"")"),"киселини и основи")</f>
        <v>киселини и основи</v>
      </c>
      <c r="E141" s="1" t="str">
        <f ca="1">IFERROR(__xludf.DUMMYFUNCTION("GOOGLETRANSLATE(English!E141, ""en"", ""bg"")"),"Не разбирам тази концепция за киселини и основи. Моля, обяснете!")</f>
        <v>Не разбирам тази концепция за киселини и основи. Моля, обяснете!</v>
      </c>
      <c r="F141" s="1" t="str">
        <f ca="1">IFERROR(__xludf.DUMMYFUNCTION("GOOGLETRANSLATE(English!F141,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141" s="1" t="str">
        <f ca="1">IFERROR(__xludf.DUMMYFUNCTION("GOOGLETRANSLATE(English!G141, ""en"", ""bg"")"),"помощ_за_домашно_изпълнение")</f>
        <v>помощ_за_домашно_изпълнение</v>
      </c>
      <c r="H141" s="1" t="str">
        <f ca="1">IFERROR(__xludf.DUMMYFUNCTION("GOOGLETRANSLATE(English!H141, ""en"", ""bg"")"),"помощ_за_домашно_задаване")</f>
        <v>помощ_за_домашно_задаване</v>
      </c>
    </row>
    <row r="142" spans="1:8" ht="13.2" x14ac:dyDescent="0.25">
      <c r="A142" s="1" t="str">
        <f ca="1">IFERROR(__xludf.DUMMYFUNCTION("GOOGLETRANSLATE(English!A142, ""en"", ""bg"")"),"hw_02398")</f>
        <v>hw_02398</v>
      </c>
      <c r="B142" s="1" t="str">
        <f ca="1">IFERROR(__xludf.DUMMYFUNCTION("GOOGLETRANSLATE(English!B142, ""en"", ""bg"")"),"химия")</f>
        <v>химия</v>
      </c>
      <c r="C142" s="1" t="str">
        <f ca="1">IFERROR(__xludf.DUMMYFUNCTION("GOOGLETRANSLATE(English!C142, ""en"", ""bg"")"),"средата")</f>
        <v>средата</v>
      </c>
      <c r="D142" s="1" t="str">
        <f ca="1">IFERROR(__xludf.DUMMYFUNCTION("GOOGLETRANSLATE(English!D142, ""en"", ""bg"")"),"киселини и основи")</f>
        <v>киселини и основи</v>
      </c>
      <c r="E142" s="1" t="str">
        <f ca="1">IFERROR(__xludf.DUMMYFUNCTION("GOOGLETRANSLATE(English!E142,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142" s="1" t="str">
        <f ca="1">IFERROR(__xludf.DUMMYFUNCTION("GOOGLETRANSLATE(English!F142,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142" s="1" t="str">
        <f ca="1">IFERROR(__xludf.DUMMYFUNCTION("GOOGLETRANSLATE(English!G142, ""en"", ""bg"")"),"помощ_за_домашно_изпълнение")</f>
        <v>помощ_за_домашно_изпълнение</v>
      </c>
      <c r="H142" s="1" t="str">
        <f ca="1">IFERROR(__xludf.DUMMYFUNCTION("GOOGLETRANSLATE(English!H142, ""en"", ""bg"")"),"помощ_за_домашно_задаване")</f>
        <v>помощ_за_домашно_задаване</v>
      </c>
    </row>
    <row r="143" spans="1:8" ht="13.2" x14ac:dyDescent="0.25">
      <c r="A143" s="1" t="str">
        <f ca="1">IFERROR(__xludf.DUMMYFUNCTION("GOOGLETRANSLATE(English!A143, ""en"", ""bg"")"),"qa_10999")</f>
        <v>qa_10999</v>
      </c>
      <c r="B143" s="1" t="str">
        <f ca="1">IFERROR(__xludf.DUMMYFUNCTION("GOOGLETRANSLATE(English!B143, ""en"", ""bg"")"),"биология")</f>
        <v>биология</v>
      </c>
      <c r="C143" s="1" t="str">
        <f ca="1">IFERROR(__xludf.DUMMYFUNCTION("GOOGLETRANSLATE(English!C143, ""en"", ""bg"")"),"елементарен")</f>
        <v>елементарен</v>
      </c>
      <c r="D143" s="1" t="str">
        <f ca="1">IFERROR(__xludf.DUMMYFUNCTION("GOOGLETRANSLATE(English!D143, ""en"", ""bg"")"),"местообитания")</f>
        <v>местообитания</v>
      </c>
      <c r="E143" s="1" t="str">
        <f ca="1">IFERROR(__xludf.DUMMYFUNCTION("GOOGLETRANSLATE(English!E143, ""en"", ""bg"")"),"Защо местообитанията са важни в биологията?")</f>
        <v>Защо местообитанията са важни в биологията?</v>
      </c>
      <c r="F143" s="1" t="str">
        <f ca="1">IFERROR(__xludf.DUMMYFUNCTION("GOOGLETRANSLATE(English!F143,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143" s="1" t="str">
        <f ca="1">IFERROR(__xludf.DUMMYFUNCTION("GOOGLETRANSLATE(English!G143, ""en"", ""bg"")"),"direct_qa")</f>
        <v>direct_qa</v>
      </c>
      <c r="H143" s="1" t="str">
        <f ca="1">IFERROR(__xludf.DUMMYFUNCTION("GOOGLETRANSLATE(English!H143, ""en"", ""bg"")"),"заявка_за_знание")</f>
        <v>заявка_за_знание</v>
      </c>
    </row>
    <row r="144" spans="1:8" ht="13.2" x14ac:dyDescent="0.25">
      <c r="A144" s="1" t="str">
        <f ca="1">IFERROR(__xludf.DUMMYFUNCTION("GOOGLETRANSLATE(English!A144, ""en"", ""bg"")"),"conv_09758")</f>
        <v>conv_09758</v>
      </c>
      <c r="B144" s="1" t="str">
        <f ca="1">IFERROR(__xludf.DUMMYFUNCTION("GOOGLETRANSLATE(English!B144, ""en"", ""bg"")"),"химия")</f>
        <v>химия</v>
      </c>
      <c r="C144" s="1" t="str">
        <f ca="1">IFERROR(__xludf.DUMMYFUNCTION("GOOGLETRANSLATE(English!C144, ""en"", ""bg"")"),"средата")</f>
        <v>средата</v>
      </c>
      <c r="D144" s="1" t="str">
        <f ca="1">IFERROR(__xludf.DUMMYFUNCTION("GOOGLETRANSLATE(English!D144, ""en"", ""bg"")"),"атоми и молекули")</f>
        <v>атоми и молекули</v>
      </c>
      <c r="E144" s="1" t="str">
        <f ca="1">IFERROR(__xludf.DUMMYFUNCTION("GOOGLETRANSLATE(English!E144, ""en"", ""bg"")"),"Имам научен въпрос. Защо атомите се свързват?")</f>
        <v>Имам научен въпрос. Защо атомите се свързват?</v>
      </c>
      <c r="F144" s="1" t="str">
        <f ca="1">IFERROR(__xludf.DUMMYFUNCTION("GOOGLETRANSLATE(English!F144,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144" s="1" t="str">
        <f ca="1">IFERROR(__xludf.DUMMYFUNCTION("GOOGLETRANSLATE(English!G144, ""en"", ""bg"")"),"разговор")</f>
        <v>разговор</v>
      </c>
      <c r="H144" s="1" t="str">
        <f ca="1">IFERROR(__xludf.DUMMYFUNCTION("GOOGLETRANSLATE(English!H144, ""en"", ""bg"")"),"образователна_помощ")</f>
        <v>образователна_помощ</v>
      </c>
    </row>
    <row r="145" spans="1:8" ht="13.2" x14ac:dyDescent="0.25">
      <c r="A145" s="1" t="str">
        <f ca="1">IFERROR(__xludf.DUMMYFUNCTION("GOOGLETRANSLATE(English!A145, ""en"", ""bg"")"),"qa_00845")</f>
        <v>qa_00845</v>
      </c>
      <c r="B145" s="1" t="str">
        <f ca="1">IFERROR(__xludf.DUMMYFUNCTION("GOOGLETRANSLATE(English!B145, ""en"", ""bg"")"),"биология")</f>
        <v>биология</v>
      </c>
      <c r="C145" s="1" t="str">
        <f ca="1">IFERROR(__xludf.DUMMYFUNCTION("GOOGLETRANSLATE(English!C145, ""en"", ""bg"")"),"елементарен")</f>
        <v>елементарен</v>
      </c>
      <c r="D145" s="1" t="str">
        <f ca="1">IFERROR(__xludf.DUMMYFUNCTION("GOOGLETRANSLATE(English!D145, ""en"", ""bg"")"),"хранителни вериги")</f>
        <v>хранителни вериги</v>
      </c>
      <c r="E145" s="1" t="str">
        <f ca="1">IFERROR(__xludf.DUMMYFUNCTION("GOOGLETRANSLATE(English!E145, ""en"", ""bg"")"),"Защо хранителните вериги са важни в биологията?")</f>
        <v>Защо хранителните вериги са важни в биологията?</v>
      </c>
      <c r="F145" s="1" t="str">
        <f ca="1">IFERROR(__xludf.DUMMYFUNCTION("GOOGLETRANSLATE(English!F145, ""en"", ""bg"")"),"Хранителните вериги са важни, защото ни помагат да разберем живота и как живите същества оцеляват.")</f>
        <v>Хранителните вериги са важни, защото ни помагат да разберем живота и как живите същества оцеляват.</v>
      </c>
      <c r="G145" s="1" t="str">
        <f ca="1">IFERROR(__xludf.DUMMYFUNCTION("GOOGLETRANSLATE(English!G145, ""en"", ""bg"")"),"direct_qa")</f>
        <v>direct_qa</v>
      </c>
      <c r="H145" s="1" t="str">
        <f ca="1">IFERROR(__xludf.DUMMYFUNCTION("GOOGLETRANSLATE(English!H145, ""en"", ""bg"")"),"заявка_за_знание")</f>
        <v>заявка_за_знание</v>
      </c>
    </row>
    <row r="146" spans="1:8" ht="13.2" x14ac:dyDescent="0.25">
      <c r="A146" s="1" t="str">
        <f ca="1">IFERROR(__xludf.DUMMYFUNCTION("GOOGLETRANSLATE(English!A146, ""en"", ""bg"")"),"qa_12308")</f>
        <v>qa_12308</v>
      </c>
      <c r="B146" s="1" t="str">
        <f ca="1">IFERROR(__xludf.DUMMYFUNCTION("GOOGLETRANSLATE(English!B146, ""en"", ""bg"")"),"химия")</f>
        <v>химия</v>
      </c>
      <c r="C146" s="1" t="str">
        <f ca="1">IFERROR(__xludf.DUMMYFUNCTION("GOOGLETRANSLATE(English!C146, ""en"", ""bg"")"),"средата")</f>
        <v>средата</v>
      </c>
      <c r="D146" s="1" t="str">
        <f ca="1">IFERROR(__xludf.DUMMYFUNCTION("GOOGLETRANSLATE(English!D146, ""en"", ""bg"")"),"киселини и основи")</f>
        <v>киселини и основи</v>
      </c>
      <c r="E146" s="1" t="str">
        <f ca="1">IFERROR(__xludf.DUMMYFUNCTION("GOOGLETRANSLATE(English!E146, ""en"", ""bg"")"),"Можете ли да ми помогнете да разбера понятията киселини и основи?")</f>
        <v>Можете ли да ми помогнете да разбера понятията киселини и основи?</v>
      </c>
      <c r="F146" s="1" t="str">
        <f ca="1">IFERROR(__xludf.DUMMYFUNCTION("GOOGLETRANSLATE(English!F146,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146" s="1" t="str">
        <f ca="1">IFERROR(__xludf.DUMMYFUNCTION("GOOGLETRANSLATE(English!G146, ""en"", ""bg"")"),"direct_qa")</f>
        <v>direct_qa</v>
      </c>
      <c r="H146" s="1" t="str">
        <f ca="1">IFERROR(__xludf.DUMMYFUNCTION("GOOGLETRANSLATE(English!H146, ""en"", ""bg"")"),"заявка_за_знание")</f>
        <v>заявка_за_знание</v>
      </c>
    </row>
    <row r="147" spans="1:8" ht="13.2" x14ac:dyDescent="0.25">
      <c r="A147" s="1" t="str">
        <f ca="1">IFERROR(__xludf.DUMMYFUNCTION("GOOGLETRANSLATE(English!A147, ""en"", ""bg"")"),"qa_14548")</f>
        <v>qa_14548</v>
      </c>
      <c r="B147" s="1" t="str">
        <f ca="1">IFERROR(__xludf.DUMMYFUNCTION("GOOGLETRANSLATE(English!B147, ""en"", ""bg"")"),"биология")</f>
        <v>биология</v>
      </c>
      <c r="C147" s="1" t="str">
        <f ca="1">IFERROR(__xludf.DUMMYFUNCTION("GOOGLETRANSLATE(English!C147, ""en"", ""bg"")"),"високо")</f>
        <v>високо</v>
      </c>
      <c r="D147" s="1" t="str">
        <f ca="1">IFERROR(__xludf.DUMMYFUNCTION("GOOGLETRANSLATE(English!D147, ""en"", ""bg"")"),"молекулярна биология")</f>
        <v>молекулярна биология</v>
      </c>
      <c r="E147" s="1" t="str">
        <f ca="1">IFERROR(__xludf.DUMMYFUNCTION("GOOGLETRANSLATE(English!E147, ""en"", ""bg"")"),"Какво е важно да знаем за молекулярната биология?")</f>
        <v>Какво е важно да знаем за молекулярната биология?</v>
      </c>
      <c r="F147" s="1" t="str">
        <f ca="1">IFERROR(__xludf.DUMMYFUNCTION("GOOGLETRANSLATE(English!F147,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147" s="1" t="str">
        <f ca="1">IFERROR(__xludf.DUMMYFUNCTION("GOOGLETRANSLATE(English!G147, ""en"", ""bg"")"),"direct_qa")</f>
        <v>direct_qa</v>
      </c>
      <c r="H147" s="1" t="str">
        <f ca="1">IFERROR(__xludf.DUMMYFUNCTION("GOOGLETRANSLATE(English!H147, ""en"", ""bg"")"),"заявка_за_знание")</f>
        <v>заявка_за_знание</v>
      </c>
    </row>
    <row r="148" spans="1:8" ht="13.2" x14ac:dyDescent="0.25">
      <c r="A148" s="1" t="str">
        <f ca="1">IFERROR(__xludf.DUMMYFUNCTION("GOOGLETRANSLATE(English!A148, ""en"", ""bg"")"),"hw_01525")</f>
        <v>hw_01525</v>
      </c>
      <c r="B148" s="1" t="str">
        <f ca="1">IFERROR(__xludf.DUMMYFUNCTION("GOOGLETRANSLATE(English!B148, ""en"", ""bg"")"),"биология")</f>
        <v>биология</v>
      </c>
      <c r="C148" s="1" t="str">
        <f ca="1">IFERROR(__xludf.DUMMYFUNCTION("GOOGLETRANSLATE(English!C148, ""en"", ""bg"")"),"високо")</f>
        <v>високо</v>
      </c>
      <c r="D148" s="1" t="str">
        <f ca="1">IFERROR(__xludf.DUMMYFUNCTION("GOOGLETRANSLATE(English!D148, ""en"", ""bg"")"),"модели на наследяване")</f>
        <v>модели на наследяване</v>
      </c>
      <c r="E148" s="1" t="str">
        <f ca="1">IFERROR(__xludf.DUMMYFUNCTION("GOOGLETRANSLATE(English!E148, ""en"", ""bg"")"),"Трябва да напиша доклад за моделите на наследяване. Можете ли да ми помогнете да започна?")</f>
        <v>Трябва да напиша доклад за моделите на наследяване. Можете ли да ми помогнете да започна?</v>
      </c>
      <c r="F148" s="1" t="str">
        <f ca="1">IFERROR(__xludf.DUMMYFUNCTION("GOOGLETRANSLATE(English!F148,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148" s="1" t="str">
        <f ca="1">IFERROR(__xludf.DUMMYFUNCTION("GOOGLETRANSLATE(English!G148, ""en"", ""bg"")"),"помощ_за_домашно_изпълнение")</f>
        <v>помощ_за_домашно_изпълнение</v>
      </c>
      <c r="H148" s="1" t="str">
        <f ca="1">IFERROR(__xludf.DUMMYFUNCTION("GOOGLETRANSLATE(English!H148, ""en"", ""bg"")"),"помощ_за_домашно_задаване")</f>
        <v>помощ_за_домашно_задаване</v>
      </c>
    </row>
    <row r="149" spans="1:8" ht="13.2" x14ac:dyDescent="0.25">
      <c r="A149" s="1" t="str">
        <f ca="1">IFERROR(__xludf.DUMMYFUNCTION("GOOGLETRANSLATE(English!A149, ""en"", ""bg"")"),"qa_09490")</f>
        <v>qa_09490</v>
      </c>
      <c r="B149" s="1" t="str">
        <f ca="1">IFERROR(__xludf.DUMMYFUNCTION("GOOGLETRANSLATE(English!B149, ""en"", ""bg"")"),"биология")</f>
        <v>биология</v>
      </c>
      <c r="C149" s="1" t="str">
        <f ca="1">IFERROR(__xludf.DUMMYFUNCTION("GOOGLETRANSLATE(English!C149, ""en"", ""bg"")"),"високо")</f>
        <v>високо</v>
      </c>
      <c r="D149" s="1" t="str">
        <f ca="1">IFERROR(__xludf.DUMMYFUNCTION("GOOGLETRANSLATE(English!D149, ""en"", ""bg"")"),"клетъчно дишане")</f>
        <v>клетъчно дишане</v>
      </c>
      <c r="E149" s="1" t="str">
        <f ca="1">IFERROR(__xludf.DUMMYFUNCTION("GOOGLETRANSLATE(English!E149, ""en"", ""bg"")"),"Какво е важно да знаем за клетъчното дишане?")</f>
        <v>Какво е важно да знаем за клетъчното дишане?</v>
      </c>
      <c r="F149" s="1" t="str">
        <f ca="1">IFERROR(__xludf.DUMMYFUNCTION("GOOGLETRANSLATE(English!F149,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149" s="1" t="str">
        <f ca="1">IFERROR(__xludf.DUMMYFUNCTION("GOOGLETRANSLATE(English!G149, ""en"", ""bg"")"),"direct_qa")</f>
        <v>direct_qa</v>
      </c>
      <c r="H149" s="1" t="str">
        <f ca="1">IFERROR(__xludf.DUMMYFUNCTION("GOOGLETRANSLATE(English!H149, ""en"", ""bg"")"),"заявка_за_знание")</f>
        <v>заявка_за_знание</v>
      </c>
    </row>
    <row r="150" spans="1:8" ht="13.2" x14ac:dyDescent="0.25">
      <c r="A150" s="1" t="str">
        <f ca="1">IFERROR(__xludf.DUMMYFUNCTION("GOOGLETRANSLATE(English!A150, ""en"", ""bg"")"),"conv_01493")</f>
        <v>conv_01493</v>
      </c>
      <c r="B150" s="1" t="str">
        <f ca="1">IFERROR(__xludf.DUMMYFUNCTION("GOOGLETRANSLATE(English!B150, ""en"", ""bg"")"),"химия")</f>
        <v>химия</v>
      </c>
      <c r="C150" s="1" t="str">
        <f ca="1">IFERROR(__xludf.DUMMYFUNCTION("GOOGLETRANSLATE(English!C150, ""en"", ""bg"")"),"елементарен")</f>
        <v>елементарен</v>
      </c>
      <c r="D150" s="1" t="str">
        <f ca="1">IFERROR(__xludf.DUMMYFUNCTION("GOOGLETRANSLATE(English!D150, ""en"", ""bg"")"),"твърди вещества, течности, газове")</f>
        <v>твърди вещества, течности, газове</v>
      </c>
      <c r="E150" s="1" t="str">
        <f ca="1">IFERROR(__xludf.DUMMYFUNCTION("GOOGLETRANSLATE(English!E150, ""en"", ""bg"")"),"Здравей, преподавателю! Какво се случва, когато нагряваш твърдо тяло?")</f>
        <v>Здравей, преподавателю! Какво се случва, когато нагряваш твърдо тяло?</v>
      </c>
      <c r="F150" s="1" t="str">
        <f ca="1">IFERROR(__xludf.DUMMYFUNCTION("GOOGLETRANSLATE(English!F150,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150" s="1" t="str">
        <f ca="1">IFERROR(__xludf.DUMMYFUNCTION("GOOGLETRANSLATE(English!G150, ""en"", ""bg"")"),"разговор")</f>
        <v>разговор</v>
      </c>
      <c r="H150" s="1" t="str">
        <f ca="1">IFERROR(__xludf.DUMMYFUNCTION("GOOGLETRANSLATE(English!H150, ""en"", ""bg"")"),"образователна_помощ")</f>
        <v>образователна_помощ</v>
      </c>
    </row>
    <row r="151" spans="1:8" ht="13.2" x14ac:dyDescent="0.25">
      <c r="A151" s="1" t="str">
        <f ca="1">IFERROR(__xludf.DUMMYFUNCTION("GOOGLETRANSLATE(English!A151, ""en"", ""bg"")"),"qa_03872")</f>
        <v>qa_03872</v>
      </c>
      <c r="B151" s="1" t="str">
        <f ca="1">IFERROR(__xludf.DUMMYFUNCTION("GOOGLETRANSLATE(English!B151, ""en"", ""bg"")"),"физика")</f>
        <v>физика</v>
      </c>
      <c r="C151" s="1" t="str">
        <f ca="1">IFERROR(__xludf.DUMMYFUNCTION("GOOGLETRANSLATE(English!C151, ""en"", ""bg"")"),"елементарен")</f>
        <v>елементарен</v>
      </c>
      <c r="D151" s="1" t="str">
        <f ca="1">IFERROR(__xludf.DUMMYFUNCTION("GOOGLETRANSLATE(English!D151, ""en"", ""bg"")"),"звук")</f>
        <v>звук</v>
      </c>
      <c r="E151" s="1" t="str">
        <f ca="1">IFERROR(__xludf.DUMMYFUNCTION("GOOGLETRANSLATE(English!E151, ""en"", ""bg"")"),"Защо звукът е важен?")</f>
        <v>Защо звукът е важен?</v>
      </c>
      <c r="F151" s="1" t="str">
        <f ca="1">IFERROR(__xludf.DUMMYFUNCTION("GOOGLETRANSLATE(English!F151,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151" s="1" t="str">
        <f ca="1">IFERROR(__xludf.DUMMYFUNCTION("GOOGLETRANSLATE(English!G151, ""en"", ""bg"")"),"direct_qa")</f>
        <v>direct_qa</v>
      </c>
      <c r="H151" s="1" t="str">
        <f ca="1">IFERROR(__xludf.DUMMYFUNCTION("GOOGLETRANSLATE(English!H151, ""en"", ""bg"")"),"заявка_за_знание")</f>
        <v>заявка_за_знание</v>
      </c>
    </row>
    <row r="152" spans="1:8" ht="13.2" x14ac:dyDescent="0.25">
      <c r="A152" s="1" t="str">
        <f ca="1">IFERROR(__xludf.DUMMYFUNCTION("GOOGLETRANSLATE(English!A152, ""en"", ""bg"")"),"hw_12551")</f>
        <v>hw_12551</v>
      </c>
      <c r="B152" s="1" t="str">
        <f ca="1">IFERROR(__xludf.DUMMYFUNCTION("GOOGLETRANSLATE(English!B152, ""en"", ""bg"")"),"физика")</f>
        <v>физика</v>
      </c>
      <c r="C152" s="1" t="str">
        <f ca="1">IFERROR(__xludf.DUMMYFUNCTION("GOOGLETRANSLATE(English!C152, ""en"", ""bg"")"),"средата")</f>
        <v>средата</v>
      </c>
      <c r="D152" s="1" t="str">
        <f ca="1">IFERROR(__xludf.DUMMYFUNCTION("GOOGLETRANSLATE(English!D152, ""en"", ""bg"")"),"сили и движение")</f>
        <v>сили и движение</v>
      </c>
      <c r="E152" s="1" t="str">
        <f ca="1">IFERROR(__xludf.DUMMYFUNCTION("GOOGLETRANSLATE(English!E152, ""en"", ""bg"")"),"Трябва да разбера силите и движението за изпита си.")</f>
        <v>Трябва да разбера силите и движението за изпита си.</v>
      </c>
      <c r="F152" s="1" t="str">
        <f ca="1">IFERROR(__xludf.DUMMYFUNCTION("GOOGLETRANSLATE(English!F152,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152" s="1" t="str">
        <f ca="1">IFERROR(__xludf.DUMMYFUNCTION("GOOGLETRANSLATE(English!G152, ""en"", ""bg"")"),"помощ_за_домашно_изпълнение")</f>
        <v>помощ_за_домашно_изпълнение</v>
      </c>
      <c r="H152" s="1" t="str">
        <f ca="1">IFERROR(__xludf.DUMMYFUNCTION("GOOGLETRANSLATE(English!H152, ""en"", ""bg"")"),"помощ_за_домашно_задаване")</f>
        <v>помощ_за_домашно_задаване</v>
      </c>
    </row>
    <row r="153" spans="1:8" ht="13.2" x14ac:dyDescent="0.25">
      <c r="A153" s="1" t="str">
        <f ca="1">IFERROR(__xludf.DUMMYFUNCTION("GOOGLETRANSLATE(English!A153, ""en"", ""bg"")"),"conv_13486")</f>
        <v>conv_13486</v>
      </c>
      <c r="B153" s="1" t="str">
        <f ca="1">IFERROR(__xludf.DUMMYFUNCTION("GOOGLETRANSLATE(English!B153, ""en"", ""bg"")"),"химия")</f>
        <v>химия</v>
      </c>
      <c r="C153" s="1" t="str">
        <f ca="1">IFERROR(__xludf.DUMMYFUNCTION("GOOGLETRANSLATE(English!C153, ""en"", ""bg"")"),"средата")</f>
        <v>средата</v>
      </c>
      <c r="D153" s="1" t="str">
        <f ca="1">IFERROR(__xludf.DUMMYFUNCTION("GOOGLETRANSLATE(English!D153, ""en"", ""bg"")"),"киселини и основи")</f>
        <v>киселини и основи</v>
      </c>
      <c r="E153" s="1" t="str">
        <f ca="1">IFERROR(__xludf.DUMMYFUNCTION("GOOGLETRANSLATE(English!E153, ""en"", ""bg"")"),"Можете ли да ми помогнете? Как действат киселините и основите в химията?")</f>
        <v>Можете ли да ми помогнете? Как действат киселините и основите в химията?</v>
      </c>
      <c r="F153" s="1" t="str">
        <f ca="1">IFERROR(__xludf.DUMMYFUNCTION("GOOGLETRANSLATE(English!F153,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53" s="1" t="str">
        <f ca="1">IFERROR(__xludf.DUMMYFUNCTION("GOOGLETRANSLATE(English!G153, ""en"", ""bg"")"),"разговор")</f>
        <v>разговор</v>
      </c>
      <c r="H153" s="1" t="str">
        <f ca="1">IFERROR(__xludf.DUMMYFUNCTION("GOOGLETRANSLATE(English!H153, ""en"", ""bg"")"),"образователна_помощ")</f>
        <v>образователна_помощ</v>
      </c>
    </row>
    <row r="154" spans="1:8" ht="13.2" x14ac:dyDescent="0.25">
      <c r="A154" s="1" t="str">
        <f ca="1">IFERROR(__xludf.DUMMYFUNCTION("GOOGLETRANSLATE(English!A154, ""en"", ""bg"")"),"qa_07467")</f>
        <v>qa_07467</v>
      </c>
      <c r="B154" s="1" t="str">
        <f ca="1">IFERROR(__xludf.DUMMYFUNCTION("GOOGLETRANSLATE(English!B154, ""en"", ""bg"")"),"биология")</f>
        <v>биология</v>
      </c>
      <c r="C154" s="1" t="str">
        <f ca="1">IFERROR(__xludf.DUMMYFUNCTION("GOOGLETRANSLATE(English!C154, ""en"", ""bg"")"),"елементарен")</f>
        <v>елементарен</v>
      </c>
      <c r="D154" s="1" t="str">
        <f ca="1">IFERROR(__xludf.DUMMYFUNCTION("GOOGLETRANSLATE(English!D154, ""en"", ""bg"")"),"домашни любимци срещу диви животни")</f>
        <v>домашни любимци срещу диви животни</v>
      </c>
      <c r="E154" s="1" t="str">
        <f ca="1">IFERROR(__xludf.DUMMYFUNCTION("GOOGLETRANSLATE(English!E154, ""en"", ""bg"")"),"Какво е важно да знаем за домашните любимци спрямо дивите животни?")</f>
        <v>Какво е важно да знаем за домашните любимци спрямо дивите животни?</v>
      </c>
      <c r="F154" s="1" t="str">
        <f ca="1">IFERROR(__xludf.DUMMYFUNCTION("GOOGLETRANSLATE(English!F154,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154" s="1" t="str">
        <f ca="1">IFERROR(__xludf.DUMMYFUNCTION("GOOGLETRANSLATE(English!G154, ""en"", ""bg"")"),"direct_qa")</f>
        <v>direct_qa</v>
      </c>
      <c r="H154" s="1" t="str">
        <f ca="1">IFERROR(__xludf.DUMMYFUNCTION("GOOGLETRANSLATE(English!H154, ""en"", ""bg"")"),"заявка_за_знание")</f>
        <v>заявка_за_знание</v>
      </c>
    </row>
    <row r="155" spans="1:8" ht="13.2" x14ac:dyDescent="0.25">
      <c r="A155" s="1" t="str">
        <f ca="1">IFERROR(__xludf.DUMMYFUNCTION("GOOGLETRANSLATE(English!A155, ""en"", ""bg"")"),"qa_11656")</f>
        <v>qa_11656</v>
      </c>
      <c r="B155" s="1" t="str">
        <f ca="1">IFERROR(__xludf.DUMMYFUNCTION("GOOGLETRANSLATE(English!B155, ""en"", ""bg"")"),"биология")</f>
        <v>биология</v>
      </c>
      <c r="C155" s="1" t="str">
        <f ca="1">IFERROR(__xludf.DUMMYFUNCTION("GOOGLETRANSLATE(English!C155, ""en"", ""bg"")"),"средата")</f>
        <v>средата</v>
      </c>
      <c r="D155" s="1" t="str">
        <f ca="1">IFERROR(__xludf.DUMMYFUNCTION("GOOGLETRANSLATE(English!D155, ""en"", ""bg"")"),"клетки")</f>
        <v>клетки</v>
      </c>
      <c r="E155" s="1" t="str">
        <f ca="1">IFERROR(__xludf.DUMMYFUNCTION("GOOGLETRANSLATE(English!E155, ""en"", ""bg"")"),"Какво е клетка?")</f>
        <v>Какво е клетка?</v>
      </c>
      <c r="F155" s="1" t="str">
        <f ca="1">IFERROR(__xludf.DUMMYFUNCTION("GOOGLETRANSLATE(English!F155,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155" s="1" t="str">
        <f ca="1">IFERROR(__xludf.DUMMYFUNCTION("GOOGLETRANSLATE(English!G155, ""en"", ""bg"")"),"direct_qa")</f>
        <v>direct_qa</v>
      </c>
      <c r="H155" s="1" t="str">
        <f ca="1">IFERROR(__xludf.DUMMYFUNCTION("GOOGLETRANSLATE(English!H155, ""en"", ""bg"")"),"заявка_за_знание")</f>
        <v>заявка_за_знание</v>
      </c>
    </row>
    <row r="156" spans="1:8" ht="13.2" x14ac:dyDescent="0.25">
      <c r="A156" s="1" t="str">
        <f ca="1">IFERROR(__xludf.DUMMYFUNCTION("GOOGLETRANSLATE(English!A156, ""en"", ""bg"")"),"qa_04718")</f>
        <v>qa_04718</v>
      </c>
      <c r="B156" s="1" t="str">
        <f ca="1">IFERROR(__xludf.DUMMYFUNCTION("GOOGLETRANSLATE(English!B156, ""en"", ""bg"")"),"химия")</f>
        <v>химия</v>
      </c>
      <c r="C156" s="1" t="str">
        <f ca="1">IFERROR(__xludf.DUMMYFUNCTION("GOOGLETRANSLATE(English!C156, ""en"", ""bg"")"),"елементарен")</f>
        <v>елементарен</v>
      </c>
      <c r="D156" s="1" t="str">
        <f ca="1">IFERROR(__xludf.DUMMYFUNCTION("GOOGLETRANSLATE(English!D156, ""en"", ""bg"")"),"твърди вещества, течности, газове")</f>
        <v>твърди вещества, течности, газове</v>
      </c>
      <c r="E156" s="1" t="str">
        <f ca="1">IFERROR(__xludf.DUMMYFUNCTION("GOOGLETRANSLATE(English!E156, ""en"", ""bg"")"),"Как водата се превръща от течност в газообразно състояние?")</f>
        <v>Как водата се превръща от течност в газообразно състояние?</v>
      </c>
      <c r="F156" s="1" t="str">
        <f ca="1">IFERROR(__xludf.DUMMYFUNCTION("GOOGLETRANSLATE(English!F156,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156" s="1" t="str">
        <f ca="1">IFERROR(__xludf.DUMMYFUNCTION("GOOGLETRANSLATE(English!G156, ""en"", ""bg"")"),"direct_qa")</f>
        <v>direct_qa</v>
      </c>
      <c r="H156" s="1" t="str">
        <f ca="1">IFERROR(__xludf.DUMMYFUNCTION("GOOGLETRANSLATE(English!H156, ""en"", ""bg"")"),"заявка_за_знание")</f>
        <v>заявка_за_знание</v>
      </c>
    </row>
    <row r="157" spans="1:8" ht="13.2" x14ac:dyDescent="0.25">
      <c r="A157" s="1" t="str">
        <f ca="1">IFERROR(__xludf.DUMMYFUNCTION("GOOGLETRANSLATE(English!A157, ""en"", ""bg"")"),"conv_06508")</f>
        <v>conv_06508</v>
      </c>
      <c r="B157" s="1" t="str">
        <f ca="1">IFERROR(__xludf.DUMMYFUNCTION("GOOGLETRANSLATE(English!B157, ""en"", ""bg"")"),"биология")</f>
        <v>биология</v>
      </c>
      <c r="C157" s="1" t="str">
        <f ca="1">IFERROR(__xludf.DUMMYFUNCTION("GOOGLETRANSLATE(English!C157, ""en"", ""bg"")"),"високо")</f>
        <v>високо</v>
      </c>
      <c r="D157" s="1" t="str">
        <f ca="1">IFERROR(__xludf.DUMMYFUNCTION("GOOGLETRANSLATE(English!D157, ""en"", ""bg"")"),"митоза и мейоза")</f>
        <v>митоза и мейоза</v>
      </c>
      <c r="E157" s="1" t="str">
        <f ca="1">IFERROR(__xludf.DUMMYFUNCTION("GOOGLETRANSLATE(English!E157, ""en"", ""bg"")"),"Можете ли да ми помогнете? Как протичат митозата и мейозата?")</f>
        <v>Можете ли да ми помогнете? Как протичат митозата и мейозата?</v>
      </c>
      <c r="F157" s="1" t="str">
        <f ca="1">IFERROR(__xludf.DUMMYFUNCTION("GOOGLETRANSLATE(English!F157,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157" s="1" t="str">
        <f ca="1">IFERROR(__xludf.DUMMYFUNCTION("GOOGLETRANSLATE(English!G157, ""en"", ""bg"")"),"разговор")</f>
        <v>разговор</v>
      </c>
      <c r="H157" s="1" t="str">
        <f ca="1">IFERROR(__xludf.DUMMYFUNCTION("GOOGLETRANSLATE(English!H157, ""en"", ""bg"")"),"образователна_помощ")</f>
        <v>образователна_помощ</v>
      </c>
    </row>
    <row r="158" spans="1:8" ht="13.2" x14ac:dyDescent="0.25">
      <c r="A158" s="1" t="str">
        <f ca="1">IFERROR(__xludf.DUMMYFUNCTION("GOOGLETRANSLATE(English!A158, ""en"", ""bg"")"),"conv_06130")</f>
        <v>conv_06130</v>
      </c>
      <c r="B158" s="1" t="str">
        <f ca="1">IFERROR(__xludf.DUMMYFUNCTION("GOOGLETRANSLATE(English!B158, ""en"", ""bg"")"),"физика")</f>
        <v>физика</v>
      </c>
      <c r="C158" s="1" t="str">
        <f ca="1">IFERROR(__xludf.DUMMYFUNCTION("GOOGLETRANSLATE(English!C158, ""en"", ""bg"")"),"елементарен")</f>
        <v>елементарен</v>
      </c>
      <c r="D158" s="1" t="str">
        <f ca="1">IFERROR(__xludf.DUMMYFUNCTION("GOOGLETRANSLATE(English!D158, ""en"", ""bg"")"),"бутане и дърпане")</f>
        <v>бутане и дърпане</v>
      </c>
      <c r="E158" s="1" t="str">
        <f ca="1">IFERROR(__xludf.DUMMYFUNCTION("GOOGLETRANSLATE(English!E158, ""en"", ""bg"")"),"Здравей, преподавателю! Защо бутането и дърпането са важни?")</f>
        <v>Здравей, преподавателю! Защо бутането и дърпането са важни?</v>
      </c>
      <c r="F158" s="1" t="str">
        <f ca="1">IFERROR(__xludf.DUMMYFUNCTION("GOOGLETRANSLATE(English!F158,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158" s="1" t="str">
        <f ca="1">IFERROR(__xludf.DUMMYFUNCTION("GOOGLETRANSLATE(English!G158, ""en"", ""bg"")"),"разговор")</f>
        <v>разговор</v>
      </c>
      <c r="H158" s="1" t="str">
        <f ca="1">IFERROR(__xludf.DUMMYFUNCTION("GOOGLETRANSLATE(English!H158, ""en"", ""bg"")"),"образователна_помощ")</f>
        <v>образователна_помощ</v>
      </c>
    </row>
    <row r="159" spans="1:8" ht="13.2" x14ac:dyDescent="0.25">
      <c r="A159" s="1" t="str">
        <f ca="1">IFERROR(__xludf.DUMMYFUNCTION("GOOGLETRANSLATE(English!A159, ""en"", ""bg"")"),"qa_07633")</f>
        <v>qa_07633</v>
      </c>
      <c r="B159" s="1" t="str">
        <f ca="1">IFERROR(__xludf.DUMMYFUNCTION("GOOGLETRANSLATE(English!B159, ""en"", ""bg"")"),"биология")</f>
        <v>биология</v>
      </c>
      <c r="C159" s="1" t="str">
        <f ca="1">IFERROR(__xludf.DUMMYFUNCTION("GOOGLETRANSLATE(English!C159, ""en"", ""bg"")"),"високо")</f>
        <v>високо</v>
      </c>
      <c r="D159" s="1" t="str">
        <f ca="1">IFERROR(__xludf.DUMMYFUNCTION("GOOGLETRANSLATE(English!D159, ""en"", ""bg"")"),"клетъчно дишане")</f>
        <v>клетъчно дишане</v>
      </c>
      <c r="E159" s="1" t="str">
        <f ca="1">IFERROR(__xludf.DUMMYFUNCTION("GOOGLETRANSLATE(English!E159, ""en"", ""bg"")"),"Как работи клетъчното дишане?")</f>
        <v>Как работи клетъчното дишане?</v>
      </c>
      <c r="F159" s="1" t="str">
        <f ca="1">IFERROR(__xludf.DUMMYFUNCTION("GOOGLETRANSLATE(English!F159,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159" s="1" t="str">
        <f ca="1">IFERROR(__xludf.DUMMYFUNCTION("GOOGLETRANSLATE(English!G159, ""en"", ""bg"")"),"direct_qa")</f>
        <v>direct_qa</v>
      </c>
      <c r="H159" s="1" t="str">
        <f ca="1">IFERROR(__xludf.DUMMYFUNCTION("GOOGLETRANSLATE(English!H159, ""en"", ""bg"")"),"заявка_за_знание")</f>
        <v>заявка_за_знание</v>
      </c>
    </row>
    <row r="160" spans="1:8" ht="13.2" x14ac:dyDescent="0.25">
      <c r="A160" s="1" t="str">
        <f ca="1">IFERROR(__xludf.DUMMYFUNCTION("GOOGLETRANSLATE(English!A160, ""en"", ""bg"")"),"conv_08505")</f>
        <v>conv_08505</v>
      </c>
      <c r="B160" s="1" t="str">
        <f ca="1">IFERROR(__xludf.DUMMYFUNCTION("GOOGLETRANSLATE(English!B160, ""en"", ""bg"")"),"биология")</f>
        <v>биология</v>
      </c>
      <c r="C160" s="1" t="str">
        <f ca="1">IFERROR(__xludf.DUMMYFUNCTION("GOOGLETRANSLATE(English!C160, ""en"", ""bg"")"),"средата")</f>
        <v>средата</v>
      </c>
      <c r="D160" s="1" t="str">
        <f ca="1">IFERROR(__xludf.DUMMYFUNCTION("GOOGLETRANSLATE(English!D160, ""en"", ""bg"")"),"клетки")</f>
        <v>клетки</v>
      </c>
      <c r="E160" s="1" t="str">
        <f ca="1">IFERROR(__xludf.DUMMYFUNCTION("GOOGLETRANSLATE(English!E160, ""en"", ""bg"")"),"Не разбирам тази тема. Какво е клетка?")</f>
        <v>Не разбирам тази тема. Какво е клетка?</v>
      </c>
      <c r="F160" s="1" t="str">
        <f ca="1">IFERROR(__xludf.DUMMYFUNCTION("GOOGLETRANSLATE(English!F160,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160" s="1" t="str">
        <f ca="1">IFERROR(__xludf.DUMMYFUNCTION("GOOGLETRANSLATE(English!G160, ""en"", ""bg"")"),"разговор")</f>
        <v>разговор</v>
      </c>
      <c r="H160" s="1" t="str">
        <f ca="1">IFERROR(__xludf.DUMMYFUNCTION("GOOGLETRANSLATE(English!H160, ""en"", ""bg"")"),"образователна_помощ")</f>
        <v>образователна_помощ</v>
      </c>
    </row>
    <row r="161" spans="1:8" ht="13.2" x14ac:dyDescent="0.25">
      <c r="A161" s="1" t="str">
        <f ca="1">IFERROR(__xludf.DUMMYFUNCTION("GOOGLETRANSLATE(English!A161, ""en"", ""bg"")"),"qa_10273")</f>
        <v>qa_10273</v>
      </c>
      <c r="B161" s="1" t="str">
        <f ca="1">IFERROR(__xludf.DUMMYFUNCTION("GOOGLETRANSLATE(English!B161, ""en"", ""bg"")"),"биология")</f>
        <v>биология</v>
      </c>
      <c r="C161" s="1" t="str">
        <f ca="1">IFERROR(__xludf.DUMMYFUNCTION("GOOGLETRANSLATE(English!C161, ""en"", ""bg"")"),"елементарен")</f>
        <v>елементарен</v>
      </c>
      <c r="D161" s="1" t="str">
        <f ca="1">IFERROR(__xludf.DUMMYFUNCTION("GOOGLETRANSLATE(English!D161, ""en"", ""bg"")"),"местообитания")</f>
        <v>местообитания</v>
      </c>
      <c r="E161" s="1" t="str">
        <f ca="1">IFERROR(__xludf.DUMMYFUNCTION("GOOGLETRANSLATE(English!E161, ""en"", ""bg"")"),"Как функционират местообитанията?")</f>
        <v>Как функционират местообитанията?</v>
      </c>
      <c r="F161" s="1" t="str">
        <f ca="1">IFERROR(__xludf.DUMMYFUNCTION("GOOGLETRANSLATE(English!F161, ""en"", ""bg"")"),"Хабитатите функционират чрез естествени процеси, които учените изучават от много години.")</f>
        <v>Хабитатите функционират чрез естествени процеси, които учените изучават от много години.</v>
      </c>
      <c r="G161" s="1" t="str">
        <f ca="1">IFERROR(__xludf.DUMMYFUNCTION("GOOGLETRANSLATE(English!G161, ""en"", ""bg"")"),"direct_qa")</f>
        <v>direct_qa</v>
      </c>
      <c r="H161" s="1" t="str">
        <f ca="1">IFERROR(__xludf.DUMMYFUNCTION("GOOGLETRANSLATE(English!H161, ""en"", ""bg"")"),"заявка_за_знание")</f>
        <v>заявка_за_знание</v>
      </c>
    </row>
    <row r="162" spans="1:8" ht="13.2" x14ac:dyDescent="0.25">
      <c r="A162" s="1" t="str">
        <f ca="1">IFERROR(__xludf.DUMMYFUNCTION("GOOGLETRANSLATE(English!A162, ""en"", ""bg"")"),"hw_14870")</f>
        <v>hw_14870</v>
      </c>
      <c r="B162" s="1" t="str">
        <f ca="1">IFERROR(__xludf.DUMMYFUNCTION("GOOGLETRANSLATE(English!B162, ""en"", ""bg"")"),"биология")</f>
        <v>биология</v>
      </c>
      <c r="C162" s="1" t="str">
        <f ca="1">IFERROR(__xludf.DUMMYFUNCTION("GOOGLETRANSLATE(English!C162, ""en"", ""bg"")"),"средата")</f>
        <v>средата</v>
      </c>
      <c r="D162" s="1" t="str">
        <f ca="1">IFERROR(__xludf.DUMMYFUNCTION("GOOGLETRANSLATE(English!D162, ""en"", ""bg"")"),"основи на еволюцията")</f>
        <v>основи на еволюцията</v>
      </c>
      <c r="E162" s="1" t="str">
        <f ca="1">IFERROR(__xludf.DUMMYFUNCTION("GOOGLETRANSLATE(English!E162, ""en"", ""bg"")"),"Трябва да напиша доклад за основите на еволюцията. Можете ли да ми помогнете да започна?")</f>
        <v>Трябва да напиша доклад за основите на еволюцията. Можете ли да ми помогнете да започна?</v>
      </c>
      <c r="F162" s="1" t="str">
        <f ca="1">IFERROR(__xludf.DUMMYFUNCTION("GOOGLETRANSLATE(English!F162,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162" s="1" t="str">
        <f ca="1">IFERROR(__xludf.DUMMYFUNCTION("GOOGLETRANSLATE(English!G162, ""en"", ""bg"")"),"помощ_за_домашно_изпълнение")</f>
        <v>помощ_за_домашно_изпълнение</v>
      </c>
      <c r="H162" s="1" t="str">
        <f ca="1">IFERROR(__xludf.DUMMYFUNCTION("GOOGLETRANSLATE(English!H162, ""en"", ""bg"")"),"помощ_за_домашно_задаване")</f>
        <v>помощ_за_домашно_задаване</v>
      </c>
    </row>
    <row r="163" spans="1:8" ht="13.2" x14ac:dyDescent="0.25">
      <c r="A163" s="1" t="str">
        <f ca="1">IFERROR(__xludf.DUMMYFUNCTION("GOOGLETRANSLATE(English!A163, ""en"", ""bg"")"),"qa_01628")</f>
        <v>qa_01628</v>
      </c>
      <c r="B163" s="1" t="str">
        <f ca="1">IFERROR(__xludf.DUMMYFUNCTION("GOOGLETRANSLATE(English!B163, ""en"", ""bg"")"),"биология")</f>
        <v>биология</v>
      </c>
      <c r="C163" s="1" t="str">
        <f ca="1">IFERROR(__xludf.DUMMYFUNCTION("GOOGLETRANSLATE(English!C163, ""en"", ""bg"")"),"елементарен")</f>
        <v>елементарен</v>
      </c>
      <c r="D163" s="1" t="str">
        <f ca="1">IFERROR(__xludf.DUMMYFUNCTION("GOOGLETRANSLATE(English!D163, ""en"", ""bg"")"),"домашни любимци срещу диви животни")</f>
        <v>домашни любимци срещу диви животни</v>
      </c>
      <c r="E163" s="1" t="str">
        <f ca="1">IFERROR(__xludf.DUMMYFUNCTION("GOOGLETRANSLATE(English!E163,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163" s="1" t="str">
        <f ca="1">IFERROR(__xludf.DUMMYFUNCTION("GOOGLETRANSLATE(English!F163,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163" s="1" t="str">
        <f ca="1">IFERROR(__xludf.DUMMYFUNCTION("GOOGLETRANSLATE(English!G163, ""en"", ""bg"")"),"direct_qa")</f>
        <v>direct_qa</v>
      </c>
      <c r="H163" s="1" t="str">
        <f ca="1">IFERROR(__xludf.DUMMYFUNCTION("GOOGLETRANSLATE(English!H163, ""en"", ""bg"")"),"заявка_за_знание")</f>
        <v>заявка_за_знание</v>
      </c>
    </row>
    <row r="164" spans="1:8" ht="13.2" x14ac:dyDescent="0.25">
      <c r="A164" s="1" t="str">
        <f ca="1">IFERROR(__xludf.DUMMYFUNCTION("GOOGLETRANSLATE(English!A164, ""en"", ""bg"")"),"conv_06409")</f>
        <v>conv_06409</v>
      </c>
      <c r="B164" s="1" t="str">
        <f ca="1">IFERROR(__xludf.DUMMYFUNCTION("GOOGLETRANSLATE(English!B164, ""en"", ""bg"")"),"биология")</f>
        <v>биология</v>
      </c>
      <c r="C164" s="1" t="str">
        <f ca="1">IFERROR(__xludf.DUMMYFUNCTION("GOOGLETRANSLATE(English!C164, ""en"", ""bg"")"),"средата")</f>
        <v>средата</v>
      </c>
      <c r="D164" s="1" t="str">
        <f ca="1">IFERROR(__xludf.DUMMYFUNCTION("GOOGLETRANSLATE(English!D164, ""en"", ""bg"")"),"клетки")</f>
        <v>клетки</v>
      </c>
      <c r="E164" s="1" t="str">
        <f ca="1">IFERROR(__xludf.DUMMYFUNCTION("GOOGLETRANSLATE(English!E164, ""en"", ""bg"")"),"Здравей, преподавателю! Какво е клетка?")</f>
        <v>Здравей, преподавателю! Какво е клетка?</v>
      </c>
      <c r="F164" s="1" t="str">
        <f ca="1">IFERROR(__xludf.DUMMYFUNCTION("GOOGLETRANSLATE(English!F164,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164" s="1" t="str">
        <f ca="1">IFERROR(__xludf.DUMMYFUNCTION("GOOGLETRANSLATE(English!G164, ""en"", ""bg"")"),"разговор")</f>
        <v>разговор</v>
      </c>
      <c r="H164" s="1" t="str">
        <f ca="1">IFERROR(__xludf.DUMMYFUNCTION("GOOGLETRANSLATE(English!H164, ""en"", ""bg"")"),"образователна_помощ")</f>
        <v>образователна_помощ</v>
      </c>
    </row>
    <row r="165" spans="1:8" ht="13.2" x14ac:dyDescent="0.25">
      <c r="A165" s="1" t="str">
        <f ca="1">IFERROR(__xludf.DUMMYFUNCTION("GOOGLETRANSLATE(English!A165, ""en"", ""bg"")"),"conv_01773")</f>
        <v>conv_01773</v>
      </c>
      <c r="B165" s="1" t="str">
        <f ca="1">IFERROR(__xludf.DUMMYFUNCTION("GOOGLETRANSLATE(English!B165, ""en"", ""bg"")"),"химия")</f>
        <v>химия</v>
      </c>
      <c r="C165" s="1" t="str">
        <f ca="1">IFERROR(__xludf.DUMMYFUNCTION("GOOGLETRANSLATE(English!C165, ""en"", ""bg"")"),"средата")</f>
        <v>средата</v>
      </c>
      <c r="D165" s="1" t="str">
        <f ca="1">IFERROR(__xludf.DUMMYFUNCTION("GOOGLETRANSLATE(English!D165, ""en"", ""bg"")"),"основи на периодичната таблица")</f>
        <v>основи на периодичната таблица</v>
      </c>
      <c r="E165" s="1" t="str">
        <f ca="1">IFERROR(__xludf.DUMMYFUNCTION("GOOGLETRANSLATE(English!E165, ""en"", ""bg"")"),"Можете ли да ми обясните това? Какво представляват основите на периодичната таблица?")</f>
        <v>Можете ли да ми обясните това? Какво представляват основите на периодичната таблица?</v>
      </c>
      <c r="F165" s="1" t="str">
        <f ca="1">IFERROR(__xludf.DUMMYFUNCTION("GOOGLETRANSLATE(English!F165,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165" s="1" t="str">
        <f ca="1">IFERROR(__xludf.DUMMYFUNCTION("GOOGLETRANSLATE(English!G165, ""en"", ""bg"")"),"разговор")</f>
        <v>разговор</v>
      </c>
      <c r="H165" s="1" t="str">
        <f ca="1">IFERROR(__xludf.DUMMYFUNCTION("GOOGLETRANSLATE(English!H165, ""en"", ""bg"")"),"образователна_помощ")</f>
        <v>образователна_помощ</v>
      </c>
    </row>
    <row r="166" spans="1:8" ht="13.2" x14ac:dyDescent="0.25">
      <c r="A166" s="1" t="str">
        <f ca="1">IFERROR(__xludf.DUMMYFUNCTION("GOOGLETRANSLATE(English!A166, ""en"", ""bg"")"),"conv_19386")</f>
        <v>conv_19386</v>
      </c>
      <c r="B166" s="1" t="str">
        <f ca="1">IFERROR(__xludf.DUMMYFUNCTION("GOOGLETRANSLATE(English!B166, ""en"", ""bg"")"),"физика")</f>
        <v>физика</v>
      </c>
      <c r="C166" s="1" t="str">
        <f ca="1">IFERROR(__xludf.DUMMYFUNCTION("GOOGLETRANSLATE(English!C166, ""en"", ""bg"")"),"високо")</f>
        <v>високо</v>
      </c>
      <c r="D166" s="1" t="str">
        <f ca="1">IFERROR(__xludf.DUMMYFUNCTION("GOOGLETRANSLATE(English!D166, ""en"", ""bg"")"),"оптика")</f>
        <v>оптика</v>
      </c>
      <c r="E166" s="1" t="str">
        <f ca="1">IFERROR(__xludf.DUMMYFUNCTION("GOOGLETRANSLATE(English!E166, ""en"", ""bg"")"),"Не разбирам тази тема. Можете ли да ми обясните оптиката?")</f>
        <v>Не разбирам тази тема. Можете ли да ми обясните оптиката?</v>
      </c>
      <c r="F166" s="1" t="str">
        <f ca="1">IFERROR(__xludf.DUMMYFUNCTION("GOOGLETRANSLATE(English!F166,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166" s="1" t="str">
        <f ca="1">IFERROR(__xludf.DUMMYFUNCTION("GOOGLETRANSLATE(English!G166, ""en"", ""bg"")"),"разговор")</f>
        <v>разговор</v>
      </c>
      <c r="H166" s="1" t="str">
        <f ca="1">IFERROR(__xludf.DUMMYFUNCTION("GOOGLETRANSLATE(English!H166, ""en"", ""bg"")"),"образователна_помощ")</f>
        <v>образователна_помощ</v>
      </c>
    </row>
    <row r="167" spans="1:8" ht="13.2" x14ac:dyDescent="0.25">
      <c r="A167" s="1" t="str">
        <f ca="1">IFERROR(__xludf.DUMMYFUNCTION("GOOGLETRANSLATE(English!A167, ""en"", ""bg"")"),"conv_08339")</f>
        <v>conv_08339</v>
      </c>
      <c r="B167" s="1" t="str">
        <f ca="1">IFERROR(__xludf.DUMMYFUNCTION("GOOGLETRANSLATE(English!B167, ""en"", ""bg"")"),"химия")</f>
        <v>химия</v>
      </c>
      <c r="C167" s="1" t="str">
        <f ca="1">IFERROR(__xludf.DUMMYFUNCTION("GOOGLETRANSLATE(English!C167, ""en"", ""bg"")"),"елементарен")</f>
        <v>елементарен</v>
      </c>
      <c r="D167" s="1" t="str">
        <f ca="1">IFERROR(__xludf.DUMMYFUNCTION("GOOGLETRANSLATE(English!D167, ""en"", ""bg"")"),"твърди вещества, течности, газове")</f>
        <v>твърди вещества, течности, газове</v>
      </c>
      <c r="E167" s="1" t="str">
        <f ca="1">IFERROR(__xludf.DUMMYFUNCTION("GOOGLETRANSLATE(English!E167, ""en"", ""bg"")"),"Имам научен въпрос. Кои са трите агрегатни състояния на материята?")</f>
        <v>Имам научен въпрос. Кои са трите агрегатни състояния на материята?</v>
      </c>
      <c r="F167" s="1" t="str">
        <f ca="1">IFERROR(__xludf.DUMMYFUNCTION("GOOGLETRANSLATE(English!F167,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167" s="1" t="str">
        <f ca="1">IFERROR(__xludf.DUMMYFUNCTION("GOOGLETRANSLATE(English!G167, ""en"", ""bg"")"),"разговор")</f>
        <v>разговор</v>
      </c>
      <c r="H167" s="1" t="str">
        <f ca="1">IFERROR(__xludf.DUMMYFUNCTION("GOOGLETRANSLATE(English!H167, ""en"", ""bg"")"),"образователна_помощ")</f>
        <v>образователна_помощ</v>
      </c>
    </row>
    <row r="168" spans="1:8" ht="13.2" x14ac:dyDescent="0.25">
      <c r="A168" s="1" t="str">
        <f ca="1">IFERROR(__xludf.DUMMYFUNCTION("GOOGLETRANSLATE(English!A168, ""en"", ""bg"")"),"conv_01936")</f>
        <v>conv_01936</v>
      </c>
      <c r="B168" s="1" t="str">
        <f ca="1">IFERROR(__xludf.DUMMYFUNCTION("GOOGLETRANSLATE(English!B168, ""en"", ""bg"")"),"биология")</f>
        <v>биология</v>
      </c>
      <c r="C168" s="1" t="str">
        <f ca="1">IFERROR(__xludf.DUMMYFUNCTION("GOOGLETRANSLATE(English!C168, ""en"", ""bg"")"),"елементарен")</f>
        <v>елементарен</v>
      </c>
      <c r="D168" s="1" t="str">
        <f ca="1">IFERROR(__xludf.DUMMYFUNCTION("GOOGLETRANSLATE(English!D168, ""en"", ""bg"")"),"сетива")</f>
        <v>сетива</v>
      </c>
      <c r="E168" s="1" t="str">
        <f ca="1">IFERROR(__xludf.DUMMYFUNCTION("GOOGLETRANSLATE(English!E168, ""en"", ""bg"")"),"Можете ли да ми помогнете? Можете ли да ми разкажете за сетивата?")</f>
        <v>Можете ли да ми помогнете? Можете ли да ми разкажете за сетивата?</v>
      </c>
      <c r="F168" s="1" t="str">
        <f ca="1">IFERROR(__xludf.DUMMYFUNCTION("GOOGLETRANSLATE(English!F168,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168" s="1" t="str">
        <f ca="1">IFERROR(__xludf.DUMMYFUNCTION("GOOGLETRANSLATE(English!G168, ""en"", ""bg"")"),"разговор")</f>
        <v>разговор</v>
      </c>
      <c r="H168" s="1" t="str">
        <f ca="1">IFERROR(__xludf.DUMMYFUNCTION("GOOGLETRANSLATE(English!H168, ""en"", ""bg"")"),"образователна_помощ")</f>
        <v>образователна_помощ</v>
      </c>
    </row>
    <row r="169" spans="1:8" ht="13.2" x14ac:dyDescent="0.25">
      <c r="A169" s="1" t="str">
        <f ca="1">IFERROR(__xludf.DUMMYFUNCTION("GOOGLETRANSLATE(English!A169, ""en"", ""bg"")"),"conv_15624")</f>
        <v>conv_15624</v>
      </c>
      <c r="B169" s="1" t="str">
        <f ca="1">IFERROR(__xludf.DUMMYFUNCTION("GOOGLETRANSLATE(English!B169, ""en"", ""bg"")"),"химия")</f>
        <v>химия</v>
      </c>
      <c r="C169" s="1" t="str">
        <f ca="1">IFERROR(__xludf.DUMMYFUNCTION("GOOGLETRANSLATE(English!C169, ""en"", ""bg"")"),"високо")</f>
        <v>високо</v>
      </c>
      <c r="D169" s="1" t="str">
        <f ca="1">IFERROR(__xludf.DUMMYFUNCTION("GOOGLETRANSLATE(English!D169, ""en"", ""bg"")"),"органична химия")</f>
        <v>органична химия</v>
      </c>
      <c r="E169" s="1" t="str">
        <f ca="1">IFERROR(__xludf.DUMMYFUNCTION("GOOGLETRANSLATE(English!E169, ""en"", ""bg"")"),"Здравей, преподавателю! Как се прилага органичната химия в химията?")</f>
        <v>Здравей, преподавателю! Как се прилага органичната химия в химията?</v>
      </c>
      <c r="F169" s="1" t="str">
        <f ca="1">IFERROR(__xludf.DUMMYFUNCTION("GOOGLETRANSLATE(English!F169,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169" s="1" t="str">
        <f ca="1">IFERROR(__xludf.DUMMYFUNCTION("GOOGLETRANSLATE(English!G169, ""en"", ""bg"")"),"разговор")</f>
        <v>разговор</v>
      </c>
      <c r="H169" s="1" t="str">
        <f ca="1">IFERROR(__xludf.DUMMYFUNCTION("GOOGLETRANSLATE(English!H169, ""en"", ""bg"")"),"образователна_помощ")</f>
        <v>образователна_помощ</v>
      </c>
    </row>
    <row r="170" spans="1:8" ht="13.2" x14ac:dyDescent="0.25">
      <c r="A170" s="1" t="str">
        <f ca="1">IFERROR(__xludf.DUMMYFUNCTION("GOOGLETRANSLATE(English!A170, ""en"", ""bg"")"),"conv_07366")</f>
        <v>conv_07366</v>
      </c>
      <c r="B170" s="1" t="str">
        <f ca="1">IFERROR(__xludf.DUMMYFUNCTION("GOOGLETRANSLATE(English!B170, ""en"", ""bg"")"),"биология")</f>
        <v>биология</v>
      </c>
      <c r="C170" s="1" t="str">
        <f ca="1">IFERROR(__xludf.DUMMYFUNCTION("GOOGLETRANSLATE(English!C170, ""en"", ""bg"")"),"елементарен")</f>
        <v>елементарен</v>
      </c>
      <c r="D170" s="1" t="str">
        <f ca="1">IFERROR(__xludf.DUMMYFUNCTION("GOOGLETRANSLATE(English!D170, ""en"", ""bg"")"),"животни")</f>
        <v>животни</v>
      </c>
      <c r="E170" s="1" t="str">
        <f ca="1">IFERROR(__xludf.DUMMYFUNCTION("GOOGLETRANSLATE(English!E170, ""en"", ""bg"")"),"Имам нужда от помощ с домашното. По какво бозайниците се различават от птиците?")</f>
        <v>Имам нужда от помощ с домашното. По какво бозайниците се различават от птиците?</v>
      </c>
      <c r="F170" s="1" t="str">
        <f ca="1">IFERROR(__xludf.DUMMYFUNCTION("GOOGLETRANSLATE(English!F170,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170" s="1" t="str">
        <f ca="1">IFERROR(__xludf.DUMMYFUNCTION("GOOGLETRANSLATE(English!G170, ""en"", ""bg"")"),"разговор")</f>
        <v>разговор</v>
      </c>
      <c r="H170" s="1" t="str">
        <f ca="1">IFERROR(__xludf.DUMMYFUNCTION("GOOGLETRANSLATE(English!H170, ""en"", ""bg"")"),"образователна_помощ")</f>
        <v>образователна_помощ</v>
      </c>
    </row>
    <row r="171" spans="1:8" ht="13.2" x14ac:dyDescent="0.25">
      <c r="A171" s="1" t="str">
        <f ca="1">IFERROR(__xludf.DUMMYFUNCTION("GOOGLETRANSLATE(English!A171, ""en"", ""bg"")"),"hw_14443")</f>
        <v>hw_14443</v>
      </c>
      <c r="B171" s="1" t="str">
        <f ca="1">IFERROR(__xludf.DUMMYFUNCTION("GOOGLETRANSLATE(English!B171, ""en"", ""bg"")"),"физика")</f>
        <v>физика</v>
      </c>
      <c r="C171" s="1" t="str">
        <f ca="1">IFERROR(__xludf.DUMMYFUNCTION("GOOGLETRANSLATE(English!C171, ""en"", ""bg"")"),"средата")</f>
        <v>средата</v>
      </c>
      <c r="D171" s="1" t="str">
        <f ca="1">IFERROR(__xludf.DUMMYFUNCTION("GOOGLETRANSLATE(English!D171, ""en"", ""bg"")"),"видове енергия")</f>
        <v>видове енергия</v>
      </c>
      <c r="E171" s="1" t="str">
        <f ca="1">IFERROR(__xludf.DUMMYFUNCTION("GOOGLETRANSLATE(English!E171, ""en"", ""bg"")"),"Домашното ми по физика е за видовете енергия. Объркващо е!")</f>
        <v>Домашното ми по физика е за видовете енергия. Объркващо е!</v>
      </c>
      <c r="F171" s="1" t="str">
        <f ca="1">IFERROR(__xludf.DUMMYFUNCTION("GOOGLETRANSLATE(English!F171,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71" s="1" t="str">
        <f ca="1">IFERROR(__xludf.DUMMYFUNCTION("GOOGLETRANSLATE(English!G171, ""en"", ""bg"")"),"помощ_за_домашно_изпълнение")</f>
        <v>помощ_за_домашно_изпълнение</v>
      </c>
      <c r="H171" s="1" t="str">
        <f ca="1">IFERROR(__xludf.DUMMYFUNCTION("GOOGLETRANSLATE(English!H171, ""en"", ""bg"")"),"помощ_за_домашно_задаване")</f>
        <v>помощ_за_домашно_задаване</v>
      </c>
    </row>
    <row r="172" spans="1:8" ht="13.2" x14ac:dyDescent="0.25">
      <c r="A172" s="1" t="str">
        <f ca="1">IFERROR(__xludf.DUMMYFUNCTION("GOOGLETRANSLATE(English!A172, ""en"", ""bg"")"),"qa_14517")</f>
        <v>qa_14517</v>
      </c>
      <c r="B172" s="1" t="str">
        <f ca="1">IFERROR(__xludf.DUMMYFUNCTION("GOOGLETRANSLATE(English!B172, ""en"", ""bg"")"),"биология")</f>
        <v>биология</v>
      </c>
      <c r="C172" s="1" t="str">
        <f ca="1">IFERROR(__xludf.DUMMYFUNCTION("GOOGLETRANSLATE(English!C172, ""en"", ""bg"")"),"елементарен")</f>
        <v>елементарен</v>
      </c>
      <c r="D172" s="1" t="str">
        <f ca="1">IFERROR(__xludf.DUMMYFUNCTION("GOOGLETRANSLATE(English!D172, ""en"", ""bg"")"),"хранителни вериги")</f>
        <v>хранителни вериги</v>
      </c>
      <c r="E172" s="1" t="str">
        <f ca="1">IFERROR(__xludf.DUMMYFUNCTION("GOOGLETRANSLATE(English!E172, ""en"", ""bg"")"),"Какво е важно да знаем за хранителните вериги?")</f>
        <v>Какво е важно да знаем за хранителните вериги?</v>
      </c>
      <c r="F172" s="1" t="str">
        <f ca="1">IFERROR(__xludf.DUMMYFUNCTION("GOOGLETRANSLATE(English!F172,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172" s="1" t="str">
        <f ca="1">IFERROR(__xludf.DUMMYFUNCTION("GOOGLETRANSLATE(English!G172, ""en"", ""bg"")"),"direct_qa")</f>
        <v>direct_qa</v>
      </c>
      <c r="H172" s="1" t="str">
        <f ca="1">IFERROR(__xludf.DUMMYFUNCTION("GOOGLETRANSLATE(English!H172, ""en"", ""bg"")"),"заявка_за_знание")</f>
        <v>заявка_за_знание</v>
      </c>
    </row>
    <row r="173" spans="1:8" ht="13.2" x14ac:dyDescent="0.25">
      <c r="A173" s="1" t="str">
        <f ca="1">IFERROR(__xludf.DUMMYFUNCTION("GOOGLETRANSLATE(English!A173, ""en"", ""bg"")"),"conv_18362")</f>
        <v>conv_18362</v>
      </c>
      <c r="B173" s="1" t="str">
        <f ca="1">IFERROR(__xludf.DUMMYFUNCTION("GOOGLETRANSLATE(English!B173, ""en"", ""bg"")"),"физика")</f>
        <v>физика</v>
      </c>
      <c r="C173" s="1" t="str">
        <f ca="1">IFERROR(__xludf.DUMMYFUNCTION("GOOGLETRANSLATE(English!C173, ""en"", ""bg"")"),"средата")</f>
        <v>средата</v>
      </c>
      <c r="D173" s="1" t="str">
        <f ca="1">IFERROR(__xludf.DUMMYFUNCTION("GOOGLETRANSLATE(English!D173, ""en"", ""bg"")"),"прости схеми")</f>
        <v>прости схеми</v>
      </c>
      <c r="E173" s="1" t="str">
        <f ca="1">IFERROR(__xludf.DUMMYFUNCTION("GOOGLETRANSLATE(English!E173, ""en"", ""bg"")"),"Можете ли да ми обясните това? Защо простите схеми са важни?")</f>
        <v>Можете ли да ми обясните това? Защо простите схеми са важни?</v>
      </c>
      <c r="F173" s="1" t="str">
        <f ca="1">IFERROR(__xludf.DUMMYFUNCTION("GOOGLETRANSLATE(English!F173,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73" s="1" t="str">
        <f ca="1">IFERROR(__xludf.DUMMYFUNCTION("GOOGLETRANSLATE(English!G173, ""en"", ""bg"")"),"разговор")</f>
        <v>разговор</v>
      </c>
      <c r="H173" s="1" t="str">
        <f ca="1">IFERROR(__xludf.DUMMYFUNCTION("GOOGLETRANSLATE(English!H173, ""en"", ""bg"")"),"образователна_помощ")</f>
        <v>образователна_помощ</v>
      </c>
    </row>
    <row r="174" spans="1:8" ht="13.2" x14ac:dyDescent="0.25">
      <c r="A174" s="1" t="str">
        <f ca="1">IFERROR(__xludf.DUMMYFUNCTION("GOOGLETRANSLATE(English!A174, ""en"", ""bg"")"),"conv_15732")</f>
        <v>conv_15732</v>
      </c>
      <c r="B174" s="1" t="str">
        <f ca="1">IFERROR(__xludf.DUMMYFUNCTION("GOOGLETRANSLATE(English!B174, ""en"", ""bg"")"),"физика")</f>
        <v>физика</v>
      </c>
      <c r="C174" s="1" t="str">
        <f ca="1">IFERROR(__xludf.DUMMYFUNCTION("GOOGLETRANSLATE(English!C174, ""en"", ""bg"")"),"елементарен")</f>
        <v>елементарен</v>
      </c>
      <c r="D174" s="1" t="str">
        <f ca="1">IFERROR(__xludf.DUMMYFUNCTION("GOOGLETRANSLATE(English!D174, ""en"", ""bg"")"),"светлина и сянка")</f>
        <v>светлина и сянка</v>
      </c>
      <c r="E174" s="1" t="str">
        <f ca="1">IFERROR(__xludf.DUMMYFUNCTION("GOOGLETRANSLATE(English!E174, ""en"", ""bg"")"),"Можете ли да ми помогнете? Какво е светлина?")</f>
        <v>Можете ли да ми помогнете? Какво е светлина?</v>
      </c>
      <c r="F174" s="1" t="str">
        <f ca="1">IFERROR(__xludf.DUMMYFUNCTION("GOOGLETRANSLATE(English!F174,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174" s="1" t="str">
        <f ca="1">IFERROR(__xludf.DUMMYFUNCTION("GOOGLETRANSLATE(English!G174, ""en"", ""bg"")"),"разговор")</f>
        <v>разговор</v>
      </c>
      <c r="H174" s="1" t="str">
        <f ca="1">IFERROR(__xludf.DUMMYFUNCTION("GOOGLETRANSLATE(English!H174, ""en"", ""bg"")"),"образователна_помощ")</f>
        <v>образователна_помощ</v>
      </c>
    </row>
    <row r="175" spans="1:8" ht="13.2" x14ac:dyDescent="0.25">
      <c r="A175" s="1" t="str">
        <f ca="1">IFERROR(__xludf.DUMMYFUNCTION("GOOGLETRANSLATE(English!A175, ""en"", ""bg"")"),"conv_09102")</f>
        <v>conv_09102</v>
      </c>
      <c r="B175" s="1" t="str">
        <f ca="1">IFERROR(__xludf.DUMMYFUNCTION("GOOGLETRANSLATE(English!B175, ""en"", ""bg"")"),"физика")</f>
        <v>физика</v>
      </c>
      <c r="C175" s="1" t="str">
        <f ca="1">IFERROR(__xludf.DUMMYFUNCTION("GOOGLETRANSLATE(English!C175, ""en"", ""bg"")"),"високо")</f>
        <v>високо</v>
      </c>
      <c r="D175" s="1" t="str">
        <f ca="1">IFERROR(__xludf.DUMMYFUNCTION("GOOGLETRANSLATE(English!D175, ""en"", ""bg"")"),"атомна структура")</f>
        <v>атомна структура</v>
      </c>
      <c r="E175" s="1" t="str">
        <f ca="1">IFERROR(__xludf.DUMMYFUNCTION("GOOGLETRANSLATE(English!E175, ""en"", ""bg"")"),"Можете ли да ми обясните това? Какво трябва да знам за атомната структура?")</f>
        <v>Можете ли да ми обясните това? Какво трябва да знам за атомната структура?</v>
      </c>
      <c r="F175" s="1" t="str">
        <f ca="1">IFERROR(__xludf.DUMMYFUNCTION("GOOGLETRANSLATE(English!F175,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175" s="1" t="str">
        <f ca="1">IFERROR(__xludf.DUMMYFUNCTION("GOOGLETRANSLATE(English!G175, ""en"", ""bg"")"),"разговор")</f>
        <v>разговор</v>
      </c>
      <c r="H175" s="1" t="str">
        <f ca="1">IFERROR(__xludf.DUMMYFUNCTION("GOOGLETRANSLATE(English!H175, ""en"", ""bg"")"),"образователна_помощ")</f>
        <v>образователна_помощ</v>
      </c>
    </row>
    <row r="176" spans="1:8" ht="13.2" x14ac:dyDescent="0.25">
      <c r="A176" s="1" t="str">
        <f ca="1">IFERROR(__xludf.DUMMYFUNCTION("GOOGLETRANSLATE(English!A176, ""en"", ""bg"")"),"conv_16580")</f>
        <v>conv_16580</v>
      </c>
      <c r="B176" s="1" t="str">
        <f ca="1">IFERROR(__xludf.DUMMYFUNCTION("GOOGLETRANSLATE(English!B176, ""en"", ""bg"")"),"химия")</f>
        <v>химия</v>
      </c>
      <c r="C176" s="1" t="str">
        <f ca="1">IFERROR(__xludf.DUMMYFUNCTION("GOOGLETRANSLATE(English!C176, ""en"", ""bg"")"),"високо")</f>
        <v>високо</v>
      </c>
      <c r="D176" s="1" t="str">
        <f ca="1">IFERROR(__xludf.DUMMYFUNCTION("GOOGLETRANSLATE(English!D176, ""en"", ""bg"")"),"химическо свързване")</f>
        <v>химическо свързване</v>
      </c>
      <c r="E176" s="1" t="str">
        <f ca="1">IFERROR(__xludf.DUMMYFUNCTION("GOOGLETRANSLATE(English!E176, ""en"", ""bg"")"),"Не разбирам тази тема. Можете ли да ми помогнете да разбера химическото свързване?")</f>
        <v>Не разбирам тази тема. Можете ли да ми помогнете да разбера химическото свързване?</v>
      </c>
      <c r="F176" s="1" t="str">
        <f ca="1">IFERROR(__xludf.DUMMYFUNCTION("GOOGLETRANSLATE(English!F176,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176" s="1" t="str">
        <f ca="1">IFERROR(__xludf.DUMMYFUNCTION("GOOGLETRANSLATE(English!G176, ""en"", ""bg"")"),"разговор")</f>
        <v>разговор</v>
      </c>
      <c r="H176" s="1" t="str">
        <f ca="1">IFERROR(__xludf.DUMMYFUNCTION("GOOGLETRANSLATE(English!H176, ""en"", ""bg"")"),"образователна_помощ")</f>
        <v>образователна_помощ</v>
      </c>
    </row>
    <row r="177" spans="1:8" ht="13.2" x14ac:dyDescent="0.25">
      <c r="A177" s="1" t="str">
        <f ca="1">IFERROR(__xludf.DUMMYFUNCTION("GOOGLETRANSLATE(English!A177, ""en"", ""bg"")"),"qa_04399")</f>
        <v>qa_04399</v>
      </c>
      <c r="B177" s="1" t="str">
        <f ca="1">IFERROR(__xludf.DUMMYFUNCTION("GOOGLETRANSLATE(English!B177, ""en"", ""bg"")"),"биология")</f>
        <v>биология</v>
      </c>
      <c r="C177" s="1" t="str">
        <f ca="1">IFERROR(__xludf.DUMMYFUNCTION("GOOGLETRANSLATE(English!C177, ""en"", ""bg"")"),"високо")</f>
        <v>високо</v>
      </c>
      <c r="D177" s="1" t="str">
        <f ca="1">IFERROR(__xludf.DUMMYFUNCTION("GOOGLETRANSLATE(English!D177, ""en"", ""bg"")"),"модели на наследяване")</f>
        <v>модели на наследяване</v>
      </c>
      <c r="E177" s="1" t="str">
        <f ca="1">IFERROR(__xludf.DUMMYFUNCTION("GOOGLETRANSLATE(English!E177, ""en"", ""bg"")"),"Можете ли да ми разкажете за моделите на наследяване?")</f>
        <v>Можете ли да ми разкажете за моделите на наследяване?</v>
      </c>
      <c r="F177" s="1" t="str">
        <f ca="1">IFERROR(__xludf.DUMMYFUNCTION("GOOGLETRANSLATE(English!F177,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177" s="1" t="str">
        <f ca="1">IFERROR(__xludf.DUMMYFUNCTION("GOOGLETRANSLATE(English!G177, ""en"", ""bg"")"),"direct_qa")</f>
        <v>direct_qa</v>
      </c>
      <c r="H177" s="1" t="str">
        <f ca="1">IFERROR(__xludf.DUMMYFUNCTION("GOOGLETRANSLATE(English!H177, ""en"", ""bg"")"),"заявка_за_знание")</f>
        <v>заявка_за_знание</v>
      </c>
    </row>
    <row r="178" spans="1:8" ht="13.2" x14ac:dyDescent="0.25">
      <c r="A178" s="1" t="str">
        <f ca="1">IFERROR(__xludf.DUMMYFUNCTION("GOOGLETRANSLATE(English!A178, ""en"", ""bg"")"),"conv_13312")</f>
        <v>conv_13312</v>
      </c>
      <c r="B178" s="1" t="str">
        <f ca="1">IFERROR(__xludf.DUMMYFUNCTION("GOOGLETRANSLATE(English!B178, ""en"", ""bg"")"),"биология")</f>
        <v>биология</v>
      </c>
      <c r="C178" s="1" t="str">
        <f ca="1">IFERROR(__xludf.DUMMYFUNCTION("GOOGLETRANSLATE(English!C178, ""en"", ""bg"")"),"елементарен")</f>
        <v>елементарен</v>
      </c>
      <c r="D178" s="1" t="str">
        <f ca="1">IFERROR(__xludf.DUMMYFUNCTION("GOOGLETRANSLATE(English!D178, ""en"", ""bg"")"),"растения")</f>
        <v>растения</v>
      </c>
      <c r="E178" s="1" t="str">
        <f ca="1">IFERROR(__xludf.DUMMYFUNCTION("GOOGLETRANSLATE(English!E178, ""en"", ""bg"")"),"Не разбирам тази тема. От какво се нуждаят растенията, за да растат?")</f>
        <v>Не разбирам тази тема. От какво се нуждаят растенията, за да растат?</v>
      </c>
      <c r="F178" s="1" t="str">
        <f ca="1">IFERROR(__xludf.DUMMYFUNCTION("GOOGLETRANSLATE(English!F178,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178" s="1" t="str">
        <f ca="1">IFERROR(__xludf.DUMMYFUNCTION("GOOGLETRANSLATE(English!G178, ""en"", ""bg"")"),"разговор")</f>
        <v>разговор</v>
      </c>
      <c r="H178" s="1" t="str">
        <f ca="1">IFERROR(__xludf.DUMMYFUNCTION("GOOGLETRANSLATE(English!H178, ""en"", ""bg"")"),"образователна_помощ")</f>
        <v>образователна_помощ</v>
      </c>
    </row>
    <row r="179" spans="1:8" ht="13.2" x14ac:dyDescent="0.25">
      <c r="A179" s="1" t="str">
        <f ca="1">IFERROR(__xludf.DUMMYFUNCTION("GOOGLETRANSLATE(English!A179, ""en"", ""bg"")"),"qa_01463")</f>
        <v>qa_01463</v>
      </c>
      <c r="B179" s="1" t="str">
        <f ca="1">IFERROR(__xludf.DUMMYFUNCTION("GOOGLETRANSLATE(English!B179, ""en"", ""bg"")"),"биология")</f>
        <v>биология</v>
      </c>
      <c r="C179" s="1" t="str">
        <f ca="1">IFERROR(__xludf.DUMMYFUNCTION("GOOGLETRANSLATE(English!C179, ""en"", ""bg"")"),"елементарен")</f>
        <v>елементарен</v>
      </c>
      <c r="D179" s="1" t="str">
        <f ca="1">IFERROR(__xludf.DUMMYFUNCTION("GOOGLETRANSLATE(English!D179, ""en"", ""bg"")"),"жизнени цикли")</f>
        <v>жизнени цикли</v>
      </c>
      <c r="E179" s="1" t="str">
        <f ca="1">IFERROR(__xludf.DUMMYFUNCTION("GOOGLETRANSLATE(English!E179, ""en"", ""bg"")"),"Защо жизнените цикли са важни в биологията?")</f>
        <v>Защо жизнените цикли са важни в биологията?</v>
      </c>
      <c r="F179" s="1" t="str">
        <f ca="1">IFERROR(__xludf.DUMMYFUNCTION("GOOGLETRANSLATE(English!F179,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179" s="1" t="str">
        <f ca="1">IFERROR(__xludf.DUMMYFUNCTION("GOOGLETRANSLATE(English!G179, ""en"", ""bg"")"),"direct_qa")</f>
        <v>direct_qa</v>
      </c>
      <c r="H179" s="1" t="str">
        <f ca="1">IFERROR(__xludf.DUMMYFUNCTION("GOOGLETRANSLATE(English!H179, ""en"", ""bg"")"),"заявка_за_знание")</f>
        <v>заявка_за_знание</v>
      </c>
    </row>
    <row r="180" spans="1:8" ht="13.2" x14ac:dyDescent="0.25">
      <c r="A180" s="1" t="str">
        <f ca="1">IFERROR(__xludf.DUMMYFUNCTION("GOOGLETRANSLATE(English!A180, ""en"", ""bg"")"),"qa_00216")</f>
        <v>qa_00216</v>
      </c>
      <c r="B180" s="1" t="str">
        <f ca="1">IFERROR(__xludf.DUMMYFUNCTION("GOOGLETRANSLATE(English!B180, ""en"", ""bg"")"),"физика")</f>
        <v>физика</v>
      </c>
      <c r="C180" s="1" t="str">
        <f ca="1">IFERROR(__xludf.DUMMYFUNCTION("GOOGLETRANSLATE(English!C180, ""en"", ""bg"")"),"елементарен")</f>
        <v>елементарен</v>
      </c>
      <c r="D180" s="1" t="str">
        <f ca="1">IFERROR(__xludf.DUMMYFUNCTION("GOOGLETRANSLATE(English!D180, ""en"", ""bg"")"),"прости машини")</f>
        <v>прости машини</v>
      </c>
      <c r="E180" s="1" t="str">
        <f ca="1">IFERROR(__xludf.DUMMYFUNCTION("GOOGLETRANSLATE(English!E180, ""en"", ""bg"")"),"Какво трябва да знам за простите машини?")</f>
        <v>Какво трябва да знам за простите машини?</v>
      </c>
      <c r="F180" s="1" t="str">
        <f ca="1">IFERROR(__xludf.DUMMYFUNCTION("GOOGLETRANSLATE(English!F180,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180" s="1" t="str">
        <f ca="1">IFERROR(__xludf.DUMMYFUNCTION("GOOGLETRANSLATE(English!G180, ""en"", ""bg"")"),"direct_qa")</f>
        <v>direct_qa</v>
      </c>
      <c r="H180" s="1" t="str">
        <f ca="1">IFERROR(__xludf.DUMMYFUNCTION("GOOGLETRANSLATE(English!H180, ""en"", ""bg"")"),"заявка_за_знание")</f>
        <v>заявка_за_знание</v>
      </c>
    </row>
    <row r="181" spans="1:8" ht="13.2" x14ac:dyDescent="0.25">
      <c r="A181" s="1" t="str">
        <f ca="1">IFERROR(__xludf.DUMMYFUNCTION("GOOGLETRANSLATE(English!A181, ""en"", ""bg"")"),"conv_02165")</f>
        <v>conv_02165</v>
      </c>
      <c r="B181" s="1" t="str">
        <f ca="1">IFERROR(__xludf.DUMMYFUNCTION("GOOGLETRANSLATE(English!B181, ""en"", ""bg"")"),"физика")</f>
        <v>физика</v>
      </c>
      <c r="C181" s="1" t="str">
        <f ca="1">IFERROR(__xludf.DUMMYFUNCTION("GOOGLETRANSLATE(English!C181, ""en"", ""bg"")"),"средата")</f>
        <v>средата</v>
      </c>
      <c r="D181" s="1" t="str">
        <f ca="1">IFERROR(__xludf.DUMMYFUNCTION("GOOGLETRANSLATE(English!D181, ""en"", ""bg"")"),"вълни")</f>
        <v>вълни</v>
      </c>
      <c r="E181" s="1" t="str">
        <f ca="1">IFERROR(__xludf.DUMMYFUNCTION("GOOGLETRANSLATE(English!E181, ""en"", ""bg"")"),"Можете ли да ми помогнете? Какво трябва да знам за вълните?")</f>
        <v>Можете ли да ми помогнете? Какво трябва да знам за вълните?</v>
      </c>
      <c r="F181" s="1" t="str">
        <f ca="1">IFERROR(__xludf.DUMMYFUNCTION("GOOGLETRANSLATE(English!F181,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181" s="1" t="str">
        <f ca="1">IFERROR(__xludf.DUMMYFUNCTION("GOOGLETRANSLATE(English!G181, ""en"", ""bg"")"),"разговор")</f>
        <v>разговор</v>
      </c>
      <c r="H181" s="1" t="str">
        <f ca="1">IFERROR(__xludf.DUMMYFUNCTION("GOOGLETRANSLATE(English!H181, ""en"", ""bg"")"),"образователна_помощ")</f>
        <v>образователна_помощ</v>
      </c>
    </row>
    <row r="182" spans="1:8" ht="13.2" x14ac:dyDescent="0.25">
      <c r="A182" s="1" t="str">
        <f ca="1">IFERROR(__xludf.DUMMYFUNCTION("GOOGLETRANSLATE(English!A182, ""en"", ""bg"")"),"qa_13829")</f>
        <v>qa_13829</v>
      </c>
      <c r="B182" s="1" t="str">
        <f ca="1">IFERROR(__xludf.DUMMYFUNCTION("GOOGLETRANSLATE(English!B182, ""en"", ""bg"")"),"физика")</f>
        <v>физика</v>
      </c>
      <c r="C182" s="1" t="str">
        <f ca="1">IFERROR(__xludf.DUMMYFUNCTION("GOOGLETRANSLATE(English!C182, ""en"", ""bg"")"),"средата")</f>
        <v>средата</v>
      </c>
      <c r="D182" s="1" t="str">
        <f ca="1">IFERROR(__xludf.DUMMYFUNCTION("GOOGLETRANSLATE(English!D182, ""en"", ""bg"")"),"плътност")</f>
        <v>плътност</v>
      </c>
      <c r="E182" s="1" t="str">
        <f ca="1">IFERROR(__xludf.DUMMYFUNCTION("GOOGLETRANSLATE(English!E182, ""en"", ""bg"")"),"Можете ли да ми обясните плътността?")</f>
        <v>Можете ли да ми обясните плътността?</v>
      </c>
      <c r="F182" s="1" t="str">
        <f ca="1">IFERROR(__xludf.DUMMYFUNCTION("GOOGLETRANSLATE(English!F182,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182" s="1" t="str">
        <f ca="1">IFERROR(__xludf.DUMMYFUNCTION("GOOGLETRANSLATE(English!G182, ""en"", ""bg"")"),"direct_qa")</f>
        <v>direct_qa</v>
      </c>
      <c r="H182" s="1" t="str">
        <f ca="1">IFERROR(__xludf.DUMMYFUNCTION("GOOGLETRANSLATE(English!H182, ""en"", ""bg"")"),"заявка_за_знание")</f>
        <v>заявка_за_знание</v>
      </c>
    </row>
    <row r="183" spans="1:8" ht="13.2" x14ac:dyDescent="0.25">
      <c r="A183" s="1" t="str">
        <f ca="1">IFERROR(__xludf.DUMMYFUNCTION("GOOGLETRANSLATE(English!A183, ""en"", ""bg"")"),"conv_13063")</f>
        <v>conv_13063</v>
      </c>
      <c r="B183" s="1" t="str">
        <f ca="1">IFERROR(__xludf.DUMMYFUNCTION("GOOGLETRANSLATE(English!B183, ""en"", ""bg"")"),"химия")</f>
        <v>химия</v>
      </c>
      <c r="C183" s="1" t="str">
        <f ca="1">IFERROR(__xludf.DUMMYFUNCTION("GOOGLETRANSLATE(English!C183, ""en"", ""bg"")"),"високо")</f>
        <v>високо</v>
      </c>
      <c r="D183" s="1" t="str">
        <f ca="1">IFERROR(__xludf.DUMMYFUNCTION("GOOGLETRANSLATE(English!D183, ""en"", ""bg"")"),"органична химия")</f>
        <v>органична химия</v>
      </c>
      <c r="E183" s="1" t="str">
        <f ca="1">IFERROR(__xludf.DUMMYFUNCTION("GOOGLETRANSLATE(English!E183, ""en"", ""bg"")"),"Помогнете ми да уча за теста. Можете ли да ми помогнете да разбера органичната химия?")</f>
        <v>Помогнете ми да уча за теста. Можете ли да ми помогнете да разбера органичната химия?</v>
      </c>
      <c r="F183" s="1" t="str">
        <f ca="1">IFERROR(__xludf.DUMMYFUNCTION("GOOGLETRANSLATE(English!F183,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183" s="1" t="str">
        <f ca="1">IFERROR(__xludf.DUMMYFUNCTION("GOOGLETRANSLATE(English!G183, ""en"", ""bg"")"),"разговор")</f>
        <v>разговор</v>
      </c>
      <c r="H183" s="1" t="str">
        <f ca="1">IFERROR(__xludf.DUMMYFUNCTION("GOOGLETRANSLATE(English!H183, ""en"", ""bg"")"),"образователна_помощ")</f>
        <v>образователна_помощ</v>
      </c>
    </row>
    <row r="184" spans="1:8" ht="13.2" x14ac:dyDescent="0.25">
      <c r="A184" s="1" t="str">
        <f ca="1">IFERROR(__xludf.DUMMYFUNCTION("GOOGLETRANSLATE(English!A184, ""en"", ""bg"")"),"conv_01094")</f>
        <v>conv_01094</v>
      </c>
      <c r="B184" s="1" t="str">
        <f ca="1">IFERROR(__xludf.DUMMYFUNCTION("GOOGLETRANSLATE(English!B184, ""en"", ""bg"")"),"физика")</f>
        <v>физика</v>
      </c>
      <c r="C184" s="1" t="str">
        <f ca="1">IFERROR(__xludf.DUMMYFUNCTION("GOOGLETRANSLATE(English!C184, ""en"", ""bg"")"),"елементарен")</f>
        <v>елементарен</v>
      </c>
      <c r="D184" s="1" t="str">
        <f ca="1">IFERROR(__xludf.DUMMYFUNCTION("GOOGLETRANSLATE(English!D184, ""en"", ""bg"")"),"бутане и дърпане")</f>
        <v>бутане и дърпане</v>
      </c>
      <c r="E184" s="1" t="str">
        <f ca="1">IFERROR(__xludf.DUMMYFUNCTION("GOOGLETRANSLATE(English!E184, ""en"", ""bg"")"),"Можете ли да ми обясните това? Какво трябва да знам за бутането и дърпането?")</f>
        <v>Можете ли да ми обясните това? Какво трябва да знам за бутането и дърпането?</v>
      </c>
      <c r="F184" s="1" t="str">
        <f ca="1">IFERROR(__xludf.DUMMYFUNCTION("GOOGLETRANSLATE(English!F184,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184" s="1" t="str">
        <f ca="1">IFERROR(__xludf.DUMMYFUNCTION("GOOGLETRANSLATE(English!G184, ""en"", ""bg"")"),"разговор")</f>
        <v>разговор</v>
      </c>
      <c r="H184" s="1" t="str">
        <f ca="1">IFERROR(__xludf.DUMMYFUNCTION("GOOGLETRANSLATE(English!H184, ""en"", ""bg"")"),"образователна_помощ")</f>
        <v>образователна_помощ</v>
      </c>
    </row>
    <row r="185" spans="1:8" ht="13.2" x14ac:dyDescent="0.25">
      <c r="A185" s="1" t="str">
        <f ca="1">IFERROR(__xludf.DUMMYFUNCTION("GOOGLETRANSLATE(English!A185, ""en"", ""bg"")"),"qa_05442")</f>
        <v>qa_05442</v>
      </c>
      <c r="B185" s="1" t="str">
        <f ca="1">IFERROR(__xludf.DUMMYFUNCTION("GOOGLETRANSLATE(English!B185, ""en"", ""bg"")"),"химия")</f>
        <v>химия</v>
      </c>
      <c r="C185" s="1" t="str">
        <f ca="1">IFERROR(__xludf.DUMMYFUNCTION("GOOGLETRANSLATE(English!C185, ""en"", ""bg"")"),"средата")</f>
        <v>средата</v>
      </c>
      <c r="D185" s="1" t="str">
        <f ca="1">IFERROR(__xludf.DUMMYFUNCTION("GOOGLETRANSLATE(English!D185, ""en"", ""bg"")"),"химични реакции")</f>
        <v>химични реакции</v>
      </c>
      <c r="E185" s="1" t="str">
        <f ca="1">IFERROR(__xludf.DUMMYFUNCTION("GOOGLETRANSLATE(English!E185, ""en"", ""bg"")"),"Какво представляват реагентите и продуктите?")</f>
        <v>Какво представляват реагентите и продуктите?</v>
      </c>
      <c r="F185" s="1" t="str">
        <f ca="1">IFERROR(__xludf.DUMMYFUNCTION("GOOGLETRANSLATE(English!F185,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185" s="1" t="str">
        <f ca="1">IFERROR(__xludf.DUMMYFUNCTION("GOOGLETRANSLATE(English!G185, ""en"", ""bg"")"),"direct_qa")</f>
        <v>direct_qa</v>
      </c>
      <c r="H185" s="1" t="str">
        <f ca="1">IFERROR(__xludf.DUMMYFUNCTION("GOOGLETRANSLATE(English!H185, ""en"", ""bg"")"),"заявка_за_знание")</f>
        <v>заявка_за_знание</v>
      </c>
    </row>
    <row r="186" spans="1:8" ht="13.2" x14ac:dyDescent="0.25">
      <c r="A186" s="1" t="str">
        <f ca="1">IFERROR(__xludf.DUMMYFUNCTION("GOOGLETRANSLATE(English!A186, ""en"", ""bg"")"),"conv_16694")</f>
        <v>conv_16694</v>
      </c>
      <c r="B186" s="1" t="str">
        <f ca="1">IFERROR(__xludf.DUMMYFUNCTION("GOOGLETRANSLATE(English!B186, ""en"", ""bg"")"),"биология")</f>
        <v>биология</v>
      </c>
      <c r="C186" s="1" t="str">
        <f ca="1">IFERROR(__xludf.DUMMYFUNCTION("GOOGLETRANSLATE(English!C186, ""en"", ""bg"")"),"високо")</f>
        <v>високо</v>
      </c>
      <c r="D186" s="1" t="str">
        <f ca="1">IFERROR(__xludf.DUMMYFUNCTION("GOOGLETRANSLATE(English!D186, ""en"", ""bg"")"),"синтез на протеини")</f>
        <v>синтез на протеини</v>
      </c>
      <c r="E186" s="1" t="str">
        <f ca="1">IFERROR(__xludf.DUMMYFUNCTION("GOOGLETRANSLATE(English!E186, ""en"", ""bg"")"),"Можете ли да ми обясните това? Как работи синтезът на протеини?")</f>
        <v>Можете ли да ми обясните това? Как работи синтезът на протеини?</v>
      </c>
      <c r="F186" s="1" t="str">
        <f ca="1">IFERROR(__xludf.DUMMYFUNCTION("GOOGLETRANSLATE(English!F186,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186" s="1" t="str">
        <f ca="1">IFERROR(__xludf.DUMMYFUNCTION("GOOGLETRANSLATE(English!G186, ""en"", ""bg"")"),"разговор")</f>
        <v>разговор</v>
      </c>
      <c r="H186" s="1" t="str">
        <f ca="1">IFERROR(__xludf.DUMMYFUNCTION("GOOGLETRANSLATE(English!H186, ""en"", ""bg"")"),"образователна_помощ")</f>
        <v>образователна_помощ</v>
      </c>
    </row>
    <row r="187" spans="1:8" ht="13.2" x14ac:dyDescent="0.25">
      <c r="A187" s="1" t="str">
        <f ca="1">IFERROR(__xludf.DUMMYFUNCTION("GOOGLETRANSLATE(English!A187, ""en"", ""bg"")"),"hw_05276")</f>
        <v>hw_05276</v>
      </c>
      <c r="B187" s="1" t="str">
        <f ca="1">IFERROR(__xludf.DUMMYFUNCTION("GOOGLETRANSLATE(English!B187, ""en"", ""bg"")"),"химия")</f>
        <v>химия</v>
      </c>
      <c r="C187" s="1" t="str">
        <f ca="1">IFERROR(__xludf.DUMMYFUNCTION("GOOGLETRANSLATE(English!C187, ""en"", ""bg"")"),"средата")</f>
        <v>средата</v>
      </c>
      <c r="D187" s="1" t="str">
        <f ca="1">IFERROR(__xludf.DUMMYFUNCTION("GOOGLETRANSLATE(English!D187, ""en"", ""bg"")"),"химични промени")</f>
        <v>химични промени</v>
      </c>
      <c r="E187" s="1" t="str">
        <f ca="1">IFERROR(__xludf.DUMMYFUNCTION("GOOGLETRANSLATE(English!E187, ""en"", ""bg"")"),"Имам проблеми с химичните промени в домашното си.")</f>
        <v>Имам проблеми с химичните промени в домашното си.</v>
      </c>
      <c r="F187" s="1" t="str">
        <f ca="1">IFERROR(__xludf.DUMMYFUNCTION("GOOGLETRANSLATE(English!F187,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187" s="1" t="str">
        <f ca="1">IFERROR(__xludf.DUMMYFUNCTION("GOOGLETRANSLATE(English!G187, ""en"", ""bg"")"),"помощ_за_домашно_изпълнение")</f>
        <v>помощ_за_домашно_изпълнение</v>
      </c>
      <c r="H187" s="1" t="str">
        <f ca="1">IFERROR(__xludf.DUMMYFUNCTION("GOOGLETRANSLATE(English!H187, ""en"", ""bg"")"),"помощ_за_домашно_задаване")</f>
        <v>помощ_за_домашно_задаване</v>
      </c>
    </row>
    <row r="188" spans="1:8" ht="13.2" x14ac:dyDescent="0.25">
      <c r="A188" s="1" t="str">
        <f ca="1">IFERROR(__xludf.DUMMYFUNCTION("GOOGLETRANSLATE(English!A188, ""en"", ""bg"")"),"conv_17622")</f>
        <v>conv_17622</v>
      </c>
      <c r="B188" s="1" t="str">
        <f ca="1">IFERROR(__xludf.DUMMYFUNCTION("GOOGLETRANSLATE(English!B188, ""en"", ""bg"")"),"химия")</f>
        <v>химия</v>
      </c>
      <c r="C188" s="1" t="str">
        <f ca="1">IFERROR(__xludf.DUMMYFUNCTION("GOOGLETRANSLATE(English!C188, ""en"", ""bg"")"),"високо")</f>
        <v>високо</v>
      </c>
      <c r="D188" s="1" t="str">
        <f ca="1">IFERROR(__xludf.DUMMYFUNCTION("GOOGLETRANSLATE(English!D188, ""en"", ""bg"")"),"органична химия")</f>
        <v>органична химия</v>
      </c>
      <c r="E188" s="1" t="str">
        <f ca="1">IFERROR(__xludf.DUMMYFUNCTION("GOOGLETRANSLATE(English!E188, ""en"", ""bg"")"),"Помогнете ми да уча за теста си. Как работи органичната химия в химията?")</f>
        <v>Помогнете ми да уча за теста си. Как работи органичната химия в химията?</v>
      </c>
      <c r="F188" s="1" t="str">
        <f ca="1">IFERROR(__xludf.DUMMYFUNCTION("GOOGLETRANSLATE(English!F188,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188" s="1" t="str">
        <f ca="1">IFERROR(__xludf.DUMMYFUNCTION("GOOGLETRANSLATE(English!G188, ""en"", ""bg"")"),"разговор")</f>
        <v>разговор</v>
      </c>
      <c r="H188" s="1" t="str">
        <f ca="1">IFERROR(__xludf.DUMMYFUNCTION("GOOGLETRANSLATE(English!H188, ""en"", ""bg"")"),"образователна_помощ")</f>
        <v>образователна_помощ</v>
      </c>
    </row>
    <row r="189" spans="1:8" ht="13.2" x14ac:dyDescent="0.25">
      <c r="A189" s="1" t="str">
        <f ca="1">IFERROR(__xludf.DUMMYFUNCTION("GOOGLETRANSLATE(English!A189, ""en"", ""bg"")"),"hw_02237")</f>
        <v>hw_02237</v>
      </c>
      <c r="B189" s="1" t="str">
        <f ca="1">IFERROR(__xludf.DUMMYFUNCTION("GOOGLETRANSLATE(English!B189, ""en"", ""bg"")"),"химия")</f>
        <v>химия</v>
      </c>
      <c r="C189" s="1" t="str">
        <f ca="1">IFERROR(__xludf.DUMMYFUNCTION("GOOGLETRANSLATE(English!C189, ""en"", ""bg"")"),"елементарен")</f>
        <v>елементарен</v>
      </c>
      <c r="D189" s="1" t="str">
        <f ca="1">IFERROR(__xludf.DUMMYFUNCTION("GOOGLETRANSLATE(English!D189, ""en"", ""bg"")"),"ежедневни химикали")</f>
        <v>ежедневни химикали</v>
      </c>
      <c r="E189" s="1" t="str">
        <f ca="1">IFERROR(__xludf.DUMMYFUNCTION("GOOGLETRANSLATE(English!E189, ""en"", ""bg"")"),"Моят доклад по химия е за ежедневни химикали. Помогнете ми да разбера.")</f>
        <v>Моят доклад по химия е за ежедневни химикали. Помогнете ми да разбера.</v>
      </c>
      <c r="F189" s="1" t="str">
        <f ca="1">IFERROR(__xludf.DUMMYFUNCTION("GOOGLETRANSLATE(English!F189,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189" s="1" t="str">
        <f ca="1">IFERROR(__xludf.DUMMYFUNCTION("GOOGLETRANSLATE(English!G189, ""en"", ""bg"")"),"помощ_за_домашно_изпълнение")</f>
        <v>помощ_за_домашно_изпълнение</v>
      </c>
      <c r="H189" s="1" t="str">
        <f ca="1">IFERROR(__xludf.DUMMYFUNCTION("GOOGLETRANSLATE(English!H189, ""en"", ""bg"")"),"помощ_за_домашно_задаване")</f>
        <v>помощ_за_домашно_задаване</v>
      </c>
    </row>
    <row r="190" spans="1:8" ht="13.2" x14ac:dyDescent="0.25">
      <c r="A190" s="1" t="str">
        <f ca="1">IFERROR(__xludf.DUMMYFUNCTION("GOOGLETRANSLATE(English!A190, ""en"", ""bg"")"),"hw_06681")</f>
        <v>hw_06681</v>
      </c>
      <c r="B190" s="1" t="str">
        <f ca="1">IFERROR(__xludf.DUMMYFUNCTION("GOOGLETRANSLATE(English!B190, ""en"", ""bg"")"),"биология")</f>
        <v>биология</v>
      </c>
      <c r="C190" s="1" t="str">
        <f ca="1">IFERROR(__xludf.DUMMYFUNCTION("GOOGLETRANSLATE(English!C190, ""en"", ""bg"")"),"високо")</f>
        <v>високо</v>
      </c>
      <c r="D190" s="1" t="str">
        <f ca="1">IFERROR(__xludf.DUMMYFUNCTION("GOOGLETRANSLATE(English!D190, ""en"", ""bg"")"),"клетъчно дишане")</f>
        <v>клетъчно дишане</v>
      </c>
      <c r="E190" s="1" t="str">
        <f ca="1">IFERROR(__xludf.DUMMYFUNCTION("GOOGLETRANSLATE(English!E190, ""en"", ""bg"")"),"Утре имам тест по клетъчно дишане. Помогни ми да уча!")</f>
        <v>Утре имам тест по клетъчно дишане. Помогни ми да уча!</v>
      </c>
      <c r="F190" s="1" t="str">
        <f ca="1">IFERROR(__xludf.DUMMYFUNCTION("GOOGLETRANSLATE(English!F190,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90" s="1" t="str">
        <f ca="1">IFERROR(__xludf.DUMMYFUNCTION("GOOGLETRANSLATE(English!G190, ""en"", ""bg"")"),"помощ_за_домашно_изпълнение")</f>
        <v>помощ_за_домашно_изпълнение</v>
      </c>
      <c r="H190" s="1" t="str">
        <f ca="1">IFERROR(__xludf.DUMMYFUNCTION("GOOGLETRANSLATE(English!H190, ""en"", ""bg"")"),"помощ_за_домашно_задаване")</f>
        <v>помощ_за_домашно_задаване</v>
      </c>
    </row>
    <row r="191" spans="1:8" ht="13.2" x14ac:dyDescent="0.25">
      <c r="A191" s="1" t="str">
        <f ca="1">IFERROR(__xludf.DUMMYFUNCTION("GOOGLETRANSLATE(English!A191, ""en"", ""bg"")"),"qa_10368")</f>
        <v>qa_10368</v>
      </c>
      <c r="B191" s="1" t="str">
        <f ca="1">IFERROR(__xludf.DUMMYFUNCTION("GOOGLETRANSLATE(English!B191, ""en"", ""bg"")"),"физика")</f>
        <v>физика</v>
      </c>
      <c r="C191" s="1" t="str">
        <f ca="1">IFERROR(__xludf.DUMMYFUNCTION("GOOGLETRANSLATE(English!C191, ""en"", ""bg"")"),"високо")</f>
        <v>високо</v>
      </c>
      <c r="D191" s="1" t="str">
        <f ca="1">IFERROR(__xludf.DUMMYFUNCTION("GOOGLETRANSLATE(English!D191, ""en"", ""bg"")"),"механика")</f>
        <v>механика</v>
      </c>
      <c r="E191" s="1" t="str">
        <f ca="1">IFERROR(__xludf.DUMMYFUNCTION("GOOGLETRANSLATE(English!E191, ""en"", ""bg"")"),"Как работи механиката във физиката?")</f>
        <v>Как работи механиката във физиката?</v>
      </c>
      <c r="F191" s="1" t="str">
        <f ca="1">IFERROR(__xludf.DUMMYFUNCTION("GOOGLETRANSLATE(English!F191,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191" s="1" t="str">
        <f ca="1">IFERROR(__xludf.DUMMYFUNCTION("GOOGLETRANSLATE(English!G191, ""en"", ""bg"")"),"direct_qa")</f>
        <v>direct_qa</v>
      </c>
      <c r="H191" s="1" t="str">
        <f ca="1">IFERROR(__xludf.DUMMYFUNCTION("GOOGLETRANSLATE(English!H191, ""en"", ""bg"")"),"заявка_за_знание")</f>
        <v>заявка_за_знание</v>
      </c>
    </row>
    <row r="192" spans="1:8" ht="13.2" x14ac:dyDescent="0.25">
      <c r="A192" s="1" t="str">
        <f ca="1">IFERROR(__xludf.DUMMYFUNCTION("GOOGLETRANSLATE(English!A192, ""en"", ""bg"")"),"conv_08332")</f>
        <v>conv_08332</v>
      </c>
      <c r="B192" s="1" t="str">
        <f ca="1">IFERROR(__xludf.DUMMYFUNCTION("GOOGLETRANSLATE(English!B192, ""en"", ""bg"")"),"физика")</f>
        <v>физика</v>
      </c>
      <c r="C192" s="1" t="str">
        <f ca="1">IFERROR(__xludf.DUMMYFUNCTION("GOOGLETRANSLATE(English!C192, ""en"", ""bg"")"),"високо")</f>
        <v>високо</v>
      </c>
      <c r="D192" s="1" t="str">
        <f ca="1">IFERROR(__xludf.DUMMYFUNCTION("GOOGLETRANSLATE(English!D192, ""en"", ""bg"")"),"атомна структура")</f>
        <v>атомна структура</v>
      </c>
      <c r="E192" s="1" t="str">
        <f ca="1">IFERROR(__xludf.DUMMYFUNCTION("GOOGLETRANSLATE(English!E192, ""en"", ""bg"")"),"Не разбирам тази тема. Защо атомната структура е важна?")</f>
        <v>Не разбирам тази тема. Защо атомната структура е важна?</v>
      </c>
      <c r="F192" s="1" t="str">
        <f ca="1">IFERROR(__xludf.DUMMYFUNCTION("GOOGLETRANSLATE(English!F192,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192" s="1" t="str">
        <f ca="1">IFERROR(__xludf.DUMMYFUNCTION("GOOGLETRANSLATE(English!G192, ""en"", ""bg"")"),"разговор")</f>
        <v>разговор</v>
      </c>
      <c r="H192" s="1" t="str">
        <f ca="1">IFERROR(__xludf.DUMMYFUNCTION("GOOGLETRANSLATE(English!H192, ""en"", ""bg"")"),"образователна_помощ")</f>
        <v>образователна_помощ</v>
      </c>
    </row>
    <row r="193" spans="1:8" ht="13.2" x14ac:dyDescent="0.25">
      <c r="A193" s="1" t="str">
        <f ca="1">IFERROR(__xludf.DUMMYFUNCTION("GOOGLETRANSLATE(English!A193, ""en"", ""bg"")"),"qa_14009")</f>
        <v>qa_14009</v>
      </c>
      <c r="B193" s="1" t="str">
        <f ca="1">IFERROR(__xludf.DUMMYFUNCTION("GOOGLETRANSLATE(English!B193, ""en"", ""bg"")"),"биология")</f>
        <v>биология</v>
      </c>
      <c r="C193" s="1" t="str">
        <f ca="1">IFERROR(__xludf.DUMMYFUNCTION("GOOGLETRANSLATE(English!C193, ""en"", ""bg"")"),"средата")</f>
        <v>средата</v>
      </c>
      <c r="D193" s="1" t="str">
        <f ca="1">IFERROR(__xludf.DUMMYFUNCTION("GOOGLETRANSLATE(English!D193, ""en"", ""bg"")"),"основи на генетиката")</f>
        <v>основи на генетиката</v>
      </c>
      <c r="E193" s="1" t="str">
        <f ca="1">IFERROR(__xludf.DUMMYFUNCTION("GOOGLETRANSLATE(English!E193, ""en"", ""bg"")"),"Защо основите на генетиката са важни в биологията?")</f>
        <v>Защо основите на генетиката са важни в биологията?</v>
      </c>
      <c r="F193" s="1" t="str">
        <f ca="1">IFERROR(__xludf.DUMMYFUNCTION("GOOGLETRANSLATE(English!F193,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193" s="1" t="str">
        <f ca="1">IFERROR(__xludf.DUMMYFUNCTION("GOOGLETRANSLATE(English!G193, ""en"", ""bg"")"),"direct_qa")</f>
        <v>direct_qa</v>
      </c>
      <c r="H193" s="1" t="str">
        <f ca="1">IFERROR(__xludf.DUMMYFUNCTION("GOOGLETRANSLATE(English!H193, ""en"", ""bg"")"),"заявка_за_знание")</f>
        <v>заявка_за_знание</v>
      </c>
    </row>
    <row r="194" spans="1:8" ht="13.2" x14ac:dyDescent="0.25">
      <c r="A194" s="1" t="str">
        <f ca="1">IFERROR(__xludf.DUMMYFUNCTION("GOOGLETRANSLATE(English!A194, ""en"", ""bg"")"),"qa_08701")</f>
        <v>qa_08701</v>
      </c>
      <c r="B194" s="1" t="str">
        <f ca="1">IFERROR(__xludf.DUMMYFUNCTION("GOOGLETRANSLATE(English!B194, ""en"", ""bg"")"),"химия")</f>
        <v>химия</v>
      </c>
      <c r="C194" s="1" t="str">
        <f ca="1">IFERROR(__xludf.DUMMYFUNCTION("GOOGLETRANSLATE(English!C194, ""en"", ""bg"")"),"елементарен")</f>
        <v>елементарен</v>
      </c>
      <c r="D194" s="1" t="str">
        <f ca="1">IFERROR(__xludf.DUMMYFUNCTION("GOOGLETRANSLATE(English!D194, ""en"", ""bg"")"),"твърди вещества, течности, газове")</f>
        <v>твърди вещества, течности, газове</v>
      </c>
      <c r="E194" s="1" t="str">
        <f ca="1">IFERROR(__xludf.DUMMYFUNCTION("GOOGLETRANSLATE(English!E194, ""en"", ""bg"")"),"Можете ли да превърнете газ обратно в течност?")</f>
        <v>Можете ли да превърнете газ обратно в течност?</v>
      </c>
      <c r="F194" s="1" t="str">
        <f ca="1">IFERROR(__xludf.DUMMYFUNCTION("GOOGLETRANSLATE(English!F194, ""en"", ""bg"")"),"Да! Можете да превърнете газ обратно в течност, като го охладите. Този процес се нарича кондензация.")</f>
        <v>Да! Можете да превърнете газ обратно в течност, като го охладите. Този процес се нарича кондензация.</v>
      </c>
      <c r="G194" s="1" t="str">
        <f ca="1">IFERROR(__xludf.DUMMYFUNCTION("GOOGLETRANSLATE(English!G194, ""en"", ""bg"")"),"direct_qa")</f>
        <v>direct_qa</v>
      </c>
      <c r="H194" s="1" t="str">
        <f ca="1">IFERROR(__xludf.DUMMYFUNCTION("GOOGLETRANSLATE(English!H194, ""en"", ""bg"")"),"заявка_за_знание")</f>
        <v>заявка_за_знание</v>
      </c>
    </row>
    <row r="195" spans="1:8" ht="13.2" x14ac:dyDescent="0.25">
      <c r="A195" s="1" t="str">
        <f ca="1">IFERROR(__xludf.DUMMYFUNCTION("GOOGLETRANSLATE(English!A195, ""en"", ""bg"")"),"conv_03191")</f>
        <v>conv_03191</v>
      </c>
      <c r="B195" s="1" t="str">
        <f ca="1">IFERROR(__xludf.DUMMYFUNCTION("GOOGLETRANSLATE(English!B195, ""en"", ""bg"")"),"биология")</f>
        <v>биология</v>
      </c>
      <c r="C195" s="1" t="str">
        <f ca="1">IFERROR(__xludf.DUMMYFUNCTION("GOOGLETRANSLATE(English!C195, ""en"", ""bg"")"),"високо")</f>
        <v>високо</v>
      </c>
      <c r="D195" s="1" t="str">
        <f ca="1">IFERROR(__xludf.DUMMYFUNCTION("GOOGLETRANSLATE(English!D195, ""en"", ""bg"")"),"синтез на протеини")</f>
        <v>синтез на протеини</v>
      </c>
      <c r="E195" s="1" t="str">
        <f ca="1">IFERROR(__xludf.DUMMYFUNCTION("GOOGLETRANSLATE(English!E195, ""en"", ""bg"")"),"Можете ли да ми обясните това? Как работи синтезът на протеини?")</f>
        <v>Можете ли да ми обясните това? Как работи синтезът на протеини?</v>
      </c>
      <c r="F195" s="1" t="str">
        <f ca="1">IFERROR(__xludf.DUMMYFUNCTION("GOOGLETRANSLATE(English!F195,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195" s="1" t="str">
        <f ca="1">IFERROR(__xludf.DUMMYFUNCTION("GOOGLETRANSLATE(English!G195, ""en"", ""bg"")"),"разговор")</f>
        <v>разговор</v>
      </c>
      <c r="H195" s="1" t="str">
        <f ca="1">IFERROR(__xludf.DUMMYFUNCTION("GOOGLETRANSLATE(English!H195, ""en"", ""bg"")"),"образователна_помощ")</f>
        <v>образователна_помощ</v>
      </c>
    </row>
    <row r="196" spans="1:8" ht="13.2" x14ac:dyDescent="0.25">
      <c r="A196" s="1" t="str">
        <f ca="1">IFERROR(__xludf.DUMMYFUNCTION("GOOGLETRANSLATE(English!A196, ""en"", ""bg"")"),"qa_10161")</f>
        <v>qa_10161</v>
      </c>
      <c r="B196" s="1" t="str">
        <f ca="1">IFERROR(__xludf.DUMMYFUNCTION("GOOGLETRANSLATE(English!B196, ""en"", ""bg"")"),"химия")</f>
        <v>химия</v>
      </c>
      <c r="C196" s="1" t="str">
        <f ca="1">IFERROR(__xludf.DUMMYFUNCTION("GOOGLETRANSLATE(English!C196, ""en"", ""bg"")"),"високо")</f>
        <v>високо</v>
      </c>
      <c r="D196" s="1" t="str">
        <f ca="1">IFERROR(__xludf.DUMMYFUNCTION("GOOGLETRANSLATE(English!D196, ""en"", ""bg"")"),"равновесие")</f>
        <v>равновесие</v>
      </c>
      <c r="E196" s="1" t="str">
        <f ca="1">IFERROR(__xludf.DUMMYFUNCTION("GOOGLETRANSLATE(English!E196, ""en"", ""bg"")"),"Как работи равновесието в химията?")</f>
        <v>Как работи равновесието в химията?</v>
      </c>
      <c r="F196" s="1" t="str">
        <f ca="1">IFERROR(__xludf.DUMMYFUNCTION("GOOGLETRANSLATE(English!F196,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196" s="1" t="str">
        <f ca="1">IFERROR(__xludf.DUMMYFUNCTION("GOOGLETRANSLATE(English!G196, ""en"", ""bg"")"),"direct_qa")</f>
        <v>direct_qa</v>
      </c>
      <c r="H196" s="1" t="str">
        <f ca="1">IFERROR(__xludf.DUMMYFUNCTION("GOOGLETRANSLATE(English!H196, ""en"", ""bg"")"),"заявка_за_знание")</f>
        <v>заявка_за_знание</v>
      </c>
    </row>
    <row r="197" spans="1:8" ht="13.2" x14ac:dyDescent="0.25">
      <c r="A197" s="1" t="str">
        <f ca="1">IFERROR(__xludf.DUMMYFUNCTION("GOOGLETRANSLATE(English!A197, ""en"", ""bg"")"),"hw_05953")</f>
        <v>hw_05953</v>
      </c>
      <c r="B197" s="1" t="str">
        <f ca="1">IFERROR(__xludf.DUMMYFUNCTION("GOOGLETRANSLATE(English!B197, ""en"", ""bg"")"),"биология")</f>
        <v>биология</v>
      </c>
      <c r="C197" s="1" t="str">
        <f ca="1">IFERROR(__xludf.DUMMYFUNCTION("GOOGLETRANSLATE(English!C197, ""en"", ""bg"")"),"елементарен")</f>
        <v>елементарен</v>
      </c>
      <c r="D197" s="1" t="str">
        <f ca="1">IFERROR(__xludf.DUMMYFUNCTION("GOOGLETRANSLATE(English!D197, ""en"", ""bg"")"),"местообитания")</f>
        <v>местообитания</v>
      </c>
      <c r="E197" s="1" t="str">
        <f ca="1">IFERROR(__xludf.DUMMYFUNCTION("GOOGLETRANSLATE(English!E197, ""en"", ""bg"")"),"Можете ли да обясните местообитанията за моя научен проект?")</f>
        <v>Можете ли да обясните местообитанията за моя научен проект?</v>
      </c>
      <c r="F197" s="1" t="str">
        <f ca="1">IFERROR(__xludf.DUMMYFUNCTION("GOOGLETRANSLATE(English!F197,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197" s="1" t="str">
        <f ca="1">IFERROR(__xludf.DUMMYFUNCTION("GOOGLETRANSLATE(English!G197, ""en"", ""bg"")"),"помощ_за_домашно_изпълнение")</f>
        <v>помощ_за_домашно_изпълнение</v>
      </c>
      <c r="H197" s="1" t="str">
        <f ca="1">IFERROR(__xludf.DUMMYFUNCTION("GOOGLETRANSLATE(English!H197, ""en"", ""bg"")"),"помощ_за_домашно_задаване")</f>
        <v>помощ_за_домашно_задаване</v>
      </c>
    </row>
    <row r="198" spans="1:8" ht="13.2" x14ac:dyDescent="0.25">
      <c r="A198" s="1" t="str">
        <f ca="1">IFERROR(__xludf.DUMMYFUNCTION("GOOGLETRANSLATE(English!A198, ""en"", ""bg"")"),"hw_14599")</f>
        <v>hw_14599</v>
      </c>
      <c r="B198" s="1" t="str">
        <f ca="1">IFERROR(__xludf.DUMMYFUNCTION("GOOGLETRANSLATE(English!B198, ""en"", ""bg"")"),"биология")</f>
        <v>биология</v>
      </c>
      <c r="C198" s="1" t="str">
        <f ca="1">IFERROR(__xludf.DUMMYFUNCTION("GOOGLETRANSLATE(English!C198, ""en"", ""bg"")"),"елементарен")</f>
        <v>елементарен</v>
      </c>
      <c r="D198" s="1" t="str">
        <f ca="1">IFERROR(__xludf.DUMMYFUNCTION("GOOGLETRANSLATE(English!D198, ""en"", ""bg"")"),"растения")</f>
        <v>растения</v>
      </c>
      <c r="E198" s="1" t="str">
        <f ca="1">IFERROR(__xludf.DUMMYFUNCTION("GOOGLETRANSLATE(English!E198, ""en"", ""bg"")"),"Утре имам тест по растения. Помогни ми да уча!")</f>
        <v>Утре имам тест по растения. Помогни ми да уча!</v>
      </c>
      <c r="F198" s="1" t="str">
        <f ca="1">IFERROR(__xludf.DUMMYFUNCTION("GOOGLETRANSLATE(English!F198,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198" s="1" t="str">
        <f ca="1">IFERROR(__xludf.DUMMYFUNCTION("GOOGLETRANSLATE(English!G198, ""en"", ""bg"")"),"помощ_за_домашно_изпълнение")</f>
        <v>помощ_за_домашно_изпълнение</v>
      </c>
      <c r="H198" s="1" t="str">
        <f ca="1">IFERROR(__xludf.DUMMYFUNCTION("GOOGLETRANSLATE(English!H198, ""en"", ""bg"")"),"помощ_за_домашно_задаване")</f>
        <v>помощ_за_домашно_задаване</v>
      </c>
    </row>
    <row r="199" spans="1:8" ht="13.2" x14ac:dyDescent="0.25">
      <c r="A199" s="1" t="str">
        <f ca="1">IFERROR(__xludf.DUMMYFUNCTION("GOOGLETRANSLATE(English!A199, ""en"", ""bg"")"),"hw_14545")</f>
        <v>hw_14545</v>
      </c>
      <c r="B199" s="1" t="str">
        <f ca="1">IFERROR(__xludf.DUMMYFUNCTION("GOOGLETRANSLATE(English!B199, ""en"", ""bg"")"),"физика")</f>
        <v>физика</v>
      </c>
      <c r="C199" s="1" t="str">
        <f ca="1">IFERROR(__xludf.DUMMYFUNCTION("GOOGLETRANSLATE(English!C199, ""en"", ""bg"")"),"средата")</f>
        <v>средата</v>
      </c>
      <c r="D199" s="1" t="str">
        <f ca="1">IFERROR(__xludf.DUMMYFUNCTION("GOOGLETRANSLATE(English!D199, ""en"", ""bg"")"),"основи на електричеството")</f>
        <v>основи на електричеството</v>
      </c>
      <c r="E199" s="1" t="str">
        <f ca="1">IFERROR(__xludf.DUMMYFUNCTION("GOOGLETRANSLATE(English!E199, ""en"", ""bg"")"),"Можете ли да решите този въпрос по основи на електричеството с мен?")</f>
        <v>Можете ли да решите този въпрос по основи на електричеството с мен?</v>
      </c>
      <c r="F199" s="1" t="str">
        <f ca="1">IFERROR(__xludf.DUMMYFUNCTION("GOOGLETRANSLATE(English!F199,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199" s="1" t="str">
        <f ca="1">IFERROR(__xludf.DUMMYFUNCTION("GOOGLETRANSLATE(English!G199, ""en"", ""bg"")"),"помощ_за_домашно_изпълнение")</f>
        <v>помощ_за_домашно_изпълнение</v>
      </c>
      <c r="H199" s="1" t="str">
        <f ca="1">IFERROR(__xludf.DUMMYFUNCTION("GOOGLETRANSLATE(English!H199, ""en"", ""bg"")"),"помощ_за_домашно_задаване")</f>
        <v>помощ_за_домашно_задаване</v>
      </c>
    </row>
    <row r="200" spans="1:8" ht="13.2" x14ac:dyDescent="0.25">
      <c r="A200" s="1" t="str">
        <f ca="1">IFERROR(__xludf.DUMMYFUNCTION("GOOGLETRANSLATE(English!A200, ""en"", ""bg"")"),"qa_12650")</f>
        <v>qa_12650</v>
      </c>
      <c r="B200" s="1" t="str">
        <f ca="1">IFERROR(__xludf.DUMMYFUNCTION("GOOGLETRANSLATE(English!B200, ""en"", ""bg"")"),"физика")</f>
        <v>физика</v>
      </c>
      <c r="C200" s="1" t="str">
        <f ca="1">IFERROR(__xludf.DUMMYFUNCTION("GOOGLETRANSLATE(English!C200, ""en"", ""bg"")"),"високо")</f>
        <v>високо</v>
      </c>
      <c r="D200" s="1" t="str">
        <f ca="1">IFERROR(__xludf.DUMMYFUNCTION("GOOGLETRANSLATE(English!D200, ""en"", ""bg"")"),"механика")</f>
        <v>механика</v>
      </c>
      <c r="E200" s="1" t="str">
        <f ca="1">IFERROR(__xludf.DUMMYFUNCTION("GOOGLETRANSLATE(English!E200, ""en"", ""bg"")"),"Какво трябва да знам за механиката?")</f>
        <v>Какво трябва да знам за механиката?</v>
      </c>
      <c r="F200" s="1" t="str">
        <f ca="1">IFERROR(__xludf.DUMMYFUNCTION("GOOGLETRANSLATE(English!F200,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200" s="1" t="str">
        <f ca="1">IFERROR(__xludf.DUMMYFUNCTION("GOOGLETRANSLATE(English!G200, ""en"", ""bg"")"),"direct_qa")</f>
        <v>direct_qa</v>
      </c>
      <c r="H200" s="1" t="str">
        <f ca="1">IFERROR(__xludf.DUMMYFUNCTION("GOOGLETRANSLATE(English!H200, ""en"", ""bg"")"),"заявка_за_знание")</f>
        <v>заявка_за_знание</v>
      </c>
    </row>
    <row r="201" spans="1:8" ht="13.2" x14ac:dyDescent="0.25">
      <c r="A201" s="1" t="str">
        <f ca="1">IFERROR(__xludf.DUMMYFUNCTION("GOOGLETRANSLATE(English!A201, ""en"", ""bg"")"),"conv_05307")</f>
        <v>conv_05307</v>
      </c>
      <c r="B201" s="1" t="str">
        <f ca="1">IFERROR(__xludf.DUMMYFUNCTION("GOOGLETRANSLATE(English!B201, ""en"", ""bg"")"),"биология")</f>
        <v>биология</v>
      </c>
      <c r="C201" s="1" t="str">
        <f ca="1">IFERROR(__xludf.DUMMYFUNCTION("GOOGLETRANSLATE(English!C201, ""en"", ""bg"")"),"високо")</f>
        <v>високо</v>
      </c>
      <c r="D201" s="1" t="str">
        <f ca="1">IFERROR(__xludf.DUMMYFUNCTION("GOOGLETRANSLATE(English!D201, ""en"", ""bg"")"),"клетъчно дишане")</f>
        <v>клетъчно дишане</v>
      </c>
      <c r="E201" s="1" t="str">
        <f ca="1">IFERROR(__xludf.DUMMYFUNCTION("GOOGLETRANSLATE(English!E201, ""en"", ""bg"")"),"Можете ли да ми помогнете? Как работи клетъчното дишане?")</f>
        <v>Можете ли да ми помогнете? Как работи клетъчното дишане?</v>
      </c>
      <c r="F201" s="1" t="str">
        <f ca="1">IFERROR(__xludf.DUMMYFUNCTION("GOOGLETRANSLATE(English!F201,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201" s="1" t="str">
        <f ca="1">IFERROR(__xludf.DUMMYFUNCTION("GOOGLETRANSLATE(English!G201, ""en"", ""bg"")"),"разговор")</f>
        <v>разговор</v>
      </c>
      <c r="H201" s="1" t="str">
        <f ca="1">IFERROR(__xludf.DUMMYFUNCTION("GOOGLETRANSLATE(English!H201, ""en"", ""bg"")"),"образователна_помощ")</f>
        <v>образователна_помощ</v>
      </c>
    </row>
    <row r="202" spans="1:8" ht="13.2" x14ac:dyDescent="0.25">
      <c r="A202" s="1" t="str">
        <f ca="1">IFERROR(__xludf.DUMMYFUNCTION("GOOGLETRANSLATE(English!A202, ""en"", ""bg"")"),"conv_13596")</f>
        <v>conv_13596</v>
      </c>
      <c r="B202" s="1" t="str">
        <f ca="1">IFERROR(__xludf.DUMMYFUNCTION("GOOGLETRANSLATE(English!B202, ""en"", ""bg"")"),"биология")</f>
        <v>биология</v>
      </c>
      <c r="C202" s="1" t="str">
        <f ca="1">IFERROR(__xludf.DUMMYFUNCTION("GOOGLETRANSLATE(English!C202, ""en"", ""bg"")"),"високо")</f>
        <v>високо</v>
      </c>
      <c r="D202" s="1" t="str">
        <f ca="1">IFERROR(__xludf.DUMMYFUNCTION("GOOGLETRANSLATE(English!D202, ""en"", ""bg"")"),"клетъчно дишане")</f>
        <v>клетъчно дишане</v>
      </c>
      <c r="E202" s="1" t="str">
        <f ca="1">IFERROR(__xludf.DUMMYFUNCTION("GOOGLETRANSLATE(English!E202, ""en"", ""bg"")"),"Не разбирам тази тема. Защо клетъчното дишане е важно в биологията?")</f>
        <v>Не разбирам тази тема. Защо клетъчното дишане е важно в биологията?</v>
      </c>
      <c r="F202" s="1" t="str">
        <f ca="1">IFERROR(__xludf.DUMMYFUNCTION("GOOGLETRANSLATE(English!F202,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202" s="1" t="str">
        <f ca="1">IFERROR(__xludf.DUMMYFUNCTION("GOOGLETRANSLATE(English!G202, ""en"", ""bg"")"),"разговор")</f>
        <v>разговор</v>
      </c>
      <c r="H202" s="1" t="str">
        <f ca="1">IFERROR(__xludf.DUMMYFUNCTION("GOOGLETRANSLATE(English!H202, ""en"", ""bg"")"),"образователна_помощ")</f>
        <v>образователна_помощ</v>
      </c>
    </row>
    <row r="203" spans="1:8" ht="13.2" x14ac:dyDescent="0.25">
      <c r="A203" s="1" t="str">
        <f ca="1">IFERROR(__xludf.DUMMYFUNCTION("GOOGLETRANSLATE(English!A203, ""en"", ""bg"")"),"conv_04336")</f>
        <v>conv_04336</v>
      </c>
      <c r="B203" s="1" t="str">
        <f ca="1">IFERROR(__xludf.DUMMYFUNCTION("GOOGLETRANSLATE(English!B203, ""en"", ""bg"")"),"физика")</f>
        <v>физика</v>
      </c>
      <c r="C203" s="1" t="str">
        <f ca="1">IFERROR(__xludf.DUMMYFUNCTION("GOOGLETRANSLATE(English!C203, ""en"", ""bg"")"),"елементарен")</f>
        <v>елементарен</v>
      </c>
      <c r="D203" s="1" t="str">
        <f ca="1">IFERROR(__xludf.DUMMYFUNCTION("GOOGLETRANSLATE(English!D203, ""en"", ""bg"")"),"горещо и студено")</f>
        <v>горещо и студено</v>
      </c>
      <c r="E203" s="1" t="str">
        <f ca="1">IFERROR(__xludf.DUMMYFUNCTION("GOOGLETRANSLATE(English!E203, ""en"", ""bg"")"),"Можете ли да ми обясните това? Защо топлото и студеното са важни?")</f>
        <v>Можете ли да ми обясните това? Защо топлото и студеното са важни?</v>
      </c>
      <c r="F203" s="1" t="str">
        <f ca="1">IFERROR(__xludf.DUMMYFUNCTION("GOOGLETRANSLATE(English!F203,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203" s="1" t="str">
        <f ca="1">IFERROR(__xludf.DUMMYFUNCTION("GOOGLETRANSLATE(English!G203, ""en"", ""bg"")"),"разговор")</f>
        <v>разговор</v>
      </c>
      <c r="H203" s="1" t="str">
        <f ca="1">IFERROR(__xludf.DUMMYFUNCTION("GOOGLETRANSLATE(English!H203, ""en"", ""bg"")"),"образователна_помощ")</f>
        <v>образователна_помощ</v>
      </c>
    </row>
    <row r="204" spans="1:8" ht="13.2" x14ac:dyDescent="0.25">
      <c r="A204" s="1" t="str">
        <f ca="1">IFERROR(__xludf.DUMMYFUNCTION("GOOGLETRANSLATE(English!A204, ""en"", ""bg"")"),"conv_01138")</f>
        <v>conv_01138</v>
      </c>
      <c r="B204" s="1" t="str">
        <f ca="1">IFERROR(__xludf.DUMMYFUNCTION("GOOGLETRANSLATE(English!B204, ""en"", ""bg"")"),"биология")</f>
        <v>биология</v>
      </c>
      <c r="C204" s="1" t="str">
        <f ca="1">IFERROR(__xludf.DUMMYFUNCTION("GOOGLETRANSLATE(English!C204, ""en"", ""bg"")"),"елементарен")</f>
        <v>елементарен</v>
      </c>
      <c r="D204" s="1" t="str">
        <f ca="1">IFERROR(__xludf.DUMMYFUNCTION("GOOGLETRANSLATE(English!D204, ""en"", ""bg"")"),"животни")</f>
        <v>животни</v>
      </c>
      <c r="E204" s="1" t="str">
        <f ca="1">IFERROR(__xludf.DUMMYFUNCTION("GOOGLETRANSLATE(English!E204, ""en"", ""bg"")"),"Имам научен въпрос. Защо някои животни живеят на групи?")</f>
        <v>Имам научен въпрос. Защо някои животни живеят на групи?</v>
      </c>
      <c r="F204" s="1" t="str">
        <f ca="1">IFERROR(__xludf.DUMMYFUNCTION("GOOGLETRANSLATE(English!F204, ""en"", ""bg"")"),"Животните живеят на групи за защита, за да намират храна по-лесно и за да отглеждат малките си заедно.")</f>
        <v>Животните живеят на групи за защита, за да намират храна по-лесно и за да отглеждат малките си заедно.</v>
      </c>
      <c r="G204" s="1" t="str">
        <f ca="1">IFERROR(__xludf.DUMMYFUNCTION("GOOGLETRANSLATE(English!G204, ""en"", ""bg"")"),"разговор")</f>
        <v>разговор</v>
      </c>
      <c r="H204" s="1" t="str">
        <f ca="1">IFERROR(__xludf.DUMMYFUNCTION("GOOGLETRANSLATE(English!H204, ""en"", ""bg"")"),"образователна_помощ")</f>
        <v>образователна_помощ</v>
      </c>
    </row>
    <row r="205" spans="1:8" ht="13.2" x14ac:dyDescent="0.25">
      <c r="A205" s="1" t="str">
        <f ca="1">IFERROR(__xludf.DUMMYFUNCTION("GOOGLETRANSLATE(English!A205, ""en"", ""bg"")"),"conv_06000")</f>
        <v>conv_06000</v>
      </c>
      <c r="B205" s="1" t="str">
        <f ca="1">IFERROR(__xludf.DUMMYFUNCTION("GOOGLETRANSLATE(English!B205, ""en"", ""bg"")"),"биология")</f>
        <v>биология</v>
      </c>
      <c r="C205" s="1" t="str">
        <f ca="1">IFERROR(__xludf.DUMMYFUNCTION("GOOGLETRANSLATE(English!C205, ""en"", ""bg"")"),"високо")</f>
        <v>високо</v>
      </c>
      <c r="D205" s="1" t="str">
        <f ca="1">IFERROR(__xludf.DUMMYFUNCTION("GOOGLETRANSLATE(English!D205, ""en"", ""bg"")"),"молекулярна биология")</f>
        <v>молекулярна биология</v>
      </c>
      <c r="E205" s="1" t="str">
        <f ca="1">IFERROR(__xludf.DUMMYFUNCTION("GOOGLETRANSLATE(English!E205, ""en"", ""bg"")"),"Имам нужда от помощ с домашното. Какво е важно да знаем за молекулярната биология?")</f>
        <v>Имам нужда от помощ с домашното. Какво е важно да знаем за молекулярната биология?</v>
      </c>
      <c r="F205" s="1" t="str">
        <f ca="1">IFERROR(__xludf.DUMMYFUNCTION("GOOGLETRANSLATE(English!F205,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205" s="1" t="str">
        <f ca="1">IFERROR(__xludf.DUMMYFUNCTION("GOOGLETRANSLATE(English!G205, ""en"", ""bg"")"),"разговор")</f>
        <v>разговор</v>
      </c>
      <c r="H205" s="1" t="str">
        <f ca="1">IFERROR(__xludf.DUMMYFUNCTION("GOOGLETRANSLATE(English!H205, ""en"", ""bg"")"),"образователна_помощ")</f>
        <v>образователна_помощ</v>
      </c>
    </row>
    <row r="206" spans="1:8" ht="13.2" x14ac:dyDescent="0.25">
      <c r="A206" s="1" t="str">
        <f ca="1">IFERROR(__xludf.DUMMYFUNCTION("GOOGLETRANSLATE(English!A206, ""en"", ""bg"")"),"conv_06433")</f>
        <v>conv_06433</v>
      </c>
      <c r="B206" s="1" t="str">
        <f ca="1">IFERROR(__xludf.DUMMYFUNCTION("GOOGLETRANSLATE(English!B206, ""en"", ""bg"")"),"физика")</f>
        <v>физика</v>
      </c>
      <c r="C206" s="1" t="str">
        <f ca="1">IFERROR(__xludf.DUMMYFUNCTION("GOOGLETRANSLATE(English!C206, ""en"", ""bg"")"),"елементарен")</f>
        <v>елементарен</v>
      </c>
      <c r="D206" s="1" t="str">
        <f ca="1">IFERROR(__xludf.DUMMYFUNCTION("GOOGLETRANSLATE(English!D206, ""en"", ""bg"")"),"прости машини")</f>
        <v>прости машини</v>
      </c>
      <c r="E206" s="1" t="str">
        <f ca="1">IFERROR(__xludf.DUMMYFUNCTION("GOOGLETRANSLATE(English!E206, ""en"", ""bg"")"),"Не разбирам тази тема. Какво трябва да знам за простите машини?")</f>
        <v>Не разбирам тази тема. Какво трябва да знам за простите машини?</v>
      </c>
      <c r="F206" s="1" t="str">
        <f ca="1">IFERROR(__xludf.DUMMYFUNCTION("GOOGLETRANSLATE(English!F206,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206" s="1" t="str">
        <f ca="1">IFERROR(__xludf.DUMMYFUNCTION("GOOGLETRANSLATE(English!G206, ""en"", ""bg"")"),"разговор")</f>
        <v>разговор</v>
      </c>
      <c r="H206" s="1" t="str">
        <f ca="1">IFERROR(__xludf.DUMMYFUNCTION("GOOGLETRANSLATE(English!H206, ""en"", ""bg"")"),"образователна_помощ")</f>
        <v>образователна_помощ</v>
      </c>
    </row>
    <row r="207" spans="1:8" ht="13.2" x14ac:dyDescent="0.25">
      <c r="A207" s="1" t="str">
        <f ca="1">IFERROR(__xludf.DUMMYFUNCTION("GOOGLETRANSLATE(English!A207, ""en"", ""bg"")"),"conv_19518")</f>
        <v>conv_19518</v>
      </c>
      <c r="B207" s="1" t="str">
        <f ca="1">IFERROR(__xludf.DUMMYFUNCTION("GOOGLETRANSLATE(English!B207, ""en"", ""bg"")"),"биология")</f>
        <v>биология</v>
      </c>
      <c r="C207" s="1" t="str">
        <f ca="1">IFERROR(__xludf.DUMMYFUNCTION("GOOGLETRANSLATE(English!C207, ""en"", ""bg"")"),"елементарен")</f>
        <v>елементарен</v>
      </c>
      <c r="D207" s="1" t="str">
        <f ca="1">IFERROR(__xludf.DUMMYFUNCTION("GOOGLETRANSLATE(English!D207, ""en"", ""bg"")"),"основни нужди")</f>
        <v>основни нужди</v>
      </c>
      <c r="E207" s="1" t="str">
        <f ca="1">IFERROR(__xludf.DUMMYFUNCTION("GOOGLETRANSLATE(English!E207, ""en"", ""bg"")"),"Не разбирам тази тема. Как работят основните потребности?")</f>
        <v>Не разбирам тази тема. Как работят основните потребности?</v>
      </c>
      <c r="F207" s="1" t="str">
        <f ca="1">IFERROR(__xludf.DUMMYFUNCTION("GOOGLETRANSLATE(English!F207,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207" s="1" t="str">
        <f ca="1">IFERROR(__xludf.DUMMYFUNCTION("GOOGLETRANSLATE(English!G207, ""en"", ""bg"")"),"разговор")</f>
        <v>разговор</v>
      </c>
      <c r="H207" s="1" t="str">
        <f ca="1">IFERROR(__xludf.DUMMYFUNCTION("GOOGLETRANSLATE(English!H207, ""en"", ""bg"")"),"образователна_помощ")</f>
        <v>образователна_помощ</v>
      </c>
    </row>
    <row r="208" spans="1:8" ht="13.2" x14ac:dyDescent="0.25">
      <c r="A208" s="1" t="str">
        <f ca="1">IFERROR(__xludf.DUMMYFUNCTION("GOOGLETRANSLATE(English!A208, ""en"", ""bg"")"),"hw_11812")</f>
        <v>hw_11812</v>
      </c>
      <c r="B208" s="1" t="str">
        <f ca="1">IFERROR(__xludf.DUMMYFUNCTION("GOOGLETRANSLATE(English!B208, ""en"", ""bg"")"),"физика")</f>
        <v>физика</v>
      </c>
      <c r="C208" s="1" t="str">
        <f ca="1">IFERROR(__xludf.DUMMYFUNCTION("GOOGLETRANSLATE(English!C208, ""en"", ""bg"")"),"елементарен")</f>
        <v>елементарен</v>
      </c>
      <c r="D208" s="1" t="str">
        <f ca="1">IFERROR(__xludf.DUMMYFUNCTION("GOOGLETRANSLATE(English!D208, ""en"", ""bg"")"),"бутане и дърпане")</f>
        <v>бутане и дърпане</v>
      </c>
      <c r="E208" s="1" t="str">
        <f ca="1">IFERROR(__xludf.DUMMYFUNCTION("GOOGLETRANSLATE(English!E208, ""en"", ""bg"")"),"Домашното ми по физика е за бутане и дърпане. Объркващо е!")</f>
        <v>Домашното ми по физика е за бутане и дърпане. Объркващо е!</v>
      </c>
      <c r="F208" s="1" t="str">
        <f ca="1">IFERROR(__xludf.DUMMYFUNCTION("GOOGLETRANSLATE(English!F208,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208" s="1" t="str">
        <f ca="1">IFERROR(__xludf.DUMMYFUNCTION("GOOGLETRANSLATE(English!G208, ""en"", ""bg"")"),"помощ_за_домашно_изпълнение")</f>
        <v>помощ_за_домашно_изпълнение</v>
      </c>
      <c r="H208" s="1" t="str">
        <f ca="1">IFERROR(__xludf.DUMMYFUNCTION("GOOGLETRANSLATE(English!H208, ""en"", ""bg"")"),"помощ_за_домашно_задаване")</f>
        <v>помощ_за_домашно_задаване</v>
      </c>
    </row>
    <row r="209" spans="1:8" ht="13.2" x14ac:dyDescent="0.25">
      <c r="A209" s="1" t="str">
        <f ca="1">IFERROR(__xludf.DUMMYFUNCTION("GOOGLETRANSLATE(English!A209, ""en"", ""bg"")"),"hw_07915")</f>
        <v>hw_07915</v>
      </c>
      <c r="B209" s="1" t="str">
        <f ca="1">IFERROR(__xludf.DUMMYFUNCTION("GOOGLETRANSLATE(English!B209, ""en"", ""bg"")"),"химия")</f>
        <v>химия</v>
      </c>
      <c r="C209" s="1" t="str">
        <f ca="1">IFERROR(__xludf.DUMMYFUNCTION("GOOGLETRANSLATE(English!C209, ""en"", ""bg"")"),"елементарен")</f>
        <v>елементарен</v>
      </c>
      <c r="D209" s="1" t="str">
        <f ca="1">IFERROR(__xludf.DUMMYFUNCTION("GOOGLETRANSLATE(English!D209, ""en"", ""bg"")"),"промени в материалите")</f>
        <v>промени в материалите</v>
      </c>
      <c r="E209" s="1" t="str">
        <f ca="1">IFERROR(__xludf.DUMMYFUNCTION("GOOGLETRANSLATE(English!E209,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209" s="1" t="str">
        <f ca="1">IFERROR(__xludf.DUMMYFUNCTION("GOOGLETRANSLATE(English!F209,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09" s="1" t="str">
        <f ca="1">IFERROR(__xludf.DUMMYFUNCTION("GOOGLETRANSLATE(English!G209, ""en"", ""bg"")"),"помощ_за_домашно_изпълнение")</f>
        <v>помощ_за_домашно_изпълнение</v>
      </c>
      <c r="H209" s="1" t="str">
        <f ca="1">IFERROR(__xludf.DUMMYFUNCTION("GOOGLETRANSLATE(English!H209, ""en"", ""bg"")"),"помощ_за_домашно_задаване")</f>
        <v>помощ_за_домашно_задаване</v>
      </c>
    </row>
    <row r="210" spans="1:8" ht="13.2" x14ac:dyDescent="0.25">
      <c r="A210" s="1" t="str">
        <f ca="1">IFERROR(__xludf.DUMMYFUNCTION("GOOGLETRANSLATE(English!A210, ""en"", ""bg"")"),"hw_10023")</f>
        <v>hw_10023</v>
      </c>
      <c r="B210" s="1" t="str">
        <f ca="1">IFERROR(__xludf.DUMMYFUNCTION("GOOGLETRANSLATE(English!B210, ""en"", ""bg"")"),"биология")</f>
        <v>биология</v>
      </c>
      <c r="C210" s="1" t="str">
        <f ca="1">IFERROR(__xludf.DUMMYFUNCTION("GOOGLETRANSLATE(English!C210, ""en"", ""bg"")"),"високо")</f>
        <v>високо</v>
      </c>
      <c r="D210" s="1" t="str">
        <f ca="1">IFERROR(__xludf.DUMMYFUNCTION("GOOGLETRANSLATE(English!D210, ""en"", ""bg"")"),"клетъчно дишане")</f>
        <v>клетъчно дишане</v>
      </c>
      <c r="E210" s="1" t="str">
        <f ca="1">IFERROR(__xludf.DUMMYFUNCTION("GOOGLETRANSLATE(English!E210,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210" s="1" t="str">
        <f ca="1">IFERROR(__xludf.DUMMYFUNCTION("GOOGLETRANSLATE(English!F210,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10" s="1" t="str">
        <f ca="1">IFERROR(__xludf.DUMMYFUNCTION("GOOGLETRANSLATE(English!G210, ""en"", ""bg"")"),"помощ_за_домашно_изпълнение")</f>
        <v>помощ_за_домашно_изпълнение</v>
      </c>
      <c r="H210" s="1" t="str">
        <f ca="1">IFERROR(__xludf.DUMMYFUNCTION("GOOGLETRANSLATE(English!H210, ""en"", ""bg"")"),"помощ_за_домашно_задаване")</f>
        <v>помощ_за_домашно_задаване</v>
      </c>
    </row>
    <row r="211" spans="1:8" ht="13.2" x14ac:dyDescent="0.25">
      <c r="A211" s="1" t="str">
        <f ca="1">IFERROR(__xludf.DUMMYFUNCTION("GOOGLETRANSLATE(English!A211, ""en"", ""bg"")"),"qa_07068")</f>
        <v>qa_07068</v>
      </c>
      <c r="B211" s="1" t="str">
        <f ca="1">IFERROR(__xludf.DUMMYFUNCTION("GOOGLETRANSLATE(English!B211, ""en"", ""bg"")"),"химия")</f>
        <v>химия</v>
      </c>
      <c r="C211" s="1" t="str">
        <f ca="1">IFERROR(__xludf.DUMMYFUNCTION("GOOGLETRANSLATE(English!C211, ""en"", ""bg"")"),"елементарен")</f>
        <v>елементарен</v>
      </c>
      <c r="D211" s="1" t="str">
        <f ca="1">IFERROR(__xludf.DUMMYFUNCTION("GOOGLETRANSLATE(English!D211, ""en"", ""bg"")"),"разтваряне")</f>
        <v>разтваряне</v>
      </c>
      <c r="E211" s="1" t="str">
        <f ca="1">IFERROR(__xludf.DUMMYFUNCTION("GOOGLETRANSLATE(English!E211, ""en"", ""bg"")"),"Можете ли да ми помогнете да разбера разтварянето?")</f>
        <v>Можете ли да ми помогнете да разбера разтварянето?</v>
      </c>
      <c r="F211" s="1" t="str">
        <f ca="1">IFERROR(__xludf.DUMMYFUNCTION("GOOGLETRANSLATE(English!F211,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211" s="1" t="str">
        <f ca="1">IFERROR(__xludf.DUMMYFUNCTION("GOOGLETRANSLATE(English!G211, ""en"", ""bg"")"),"direct_qa")</f>
        <v>direct_qa</v>
      </c>
      <c r="H211" s="1" t="str">
        <f ca="1">IFERROR(__xludf.DUMMYFUNCTION("GOOGLETRANSLATE(English!H211, ""en"", ""bg"")"),"заявка_за_знание")</f>
        <v>заявка_за_знание</v>
      </c>
    </row>
    <row r="212" spans="1:8" ht="13.2" x14ac:dyDescent="0.25">
      <c r="A212" s="1" t="str">
        <f ca="1">IFERROR(__xludf.DUMMYFUNCTION("GOOGLETRANSLATE(English!A212, ""en"", ""bg"")"),"conv_07125")</f>
        <v>conv_07125</v>
      </c>
      <c r="B212" s="1" t="str">
        <f ca="1">IFERROR(__xludf.DUMMYFUNCTION("GOOGLETRANSLATE(English!B212, ""en"", ""bg"")"),"физика")</f>
        <v>физика</v>
      </c>
      <c r="C212" s="1" t="str">
        <f ca="1">IFERROR(__xludf.DUMMYFUNCTION("GOOGLETRANSLATE(English!C212, ""en"", ""bg"")"),"елементарен")</f>
        <v>елементарен</v>
      </c>
      <c r="D212" s="1" t="str">
        <f ca="1">IFERROR(__xludf.DUMMYFUNCTION("GOOGLETRANSLATE(English!D212, ""en"", ""bg"")"),"магнити")</f>
        <v>магнити</v>
      </c>
      <c r="E212" s="1" t="str">
        <f ca="1">IFERROR(__xludf.DUMMYFUNCTION("GOOGLETRANSLATE(English!E212, ""en"", ""bg"")"),"Можете ли да ми помогнете? Можете ли да направите магнит по-силен?")</f>
        <v>Можете ли да ми помогнете? Можете ли да направите магнит по-силен?</v>
      </c>
      <c r="F212" s="1" t="str">
        <f ca="1">IFERROR(__xludf.DUMMYFUNCTION("GOOGLETRANSLATE(English!F212,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212" s="1" t="str">
        <f ca="1">IFERROR(__xludf.DUMMYFUNCTION("GOOGLETRANSLATE(English!G212, ""en"", ""bg"")"),"разговор")</f>
        <v>разговор</v>
      </c>
      <c r="H212" s="1" t="str">
        <f ca="1">IFERROR(__xludf.DUMMYFUNCTION("GOOGLETRANSLATE(English!H212, ""en"", ""bg"")"),"образователна_помощ")</f>
        <v>образователна_помощ</v>
      </c>
    </row>
    <row r="213" spans="1:8" ht="13.2" x14ac:dyDescent="0.25">
      <c r="A213" s="1" t="str">
        <f ca="1">IFERROR(__xludf.DUMMYFUNCTION("GOOGLETRANSLATE(English!A213, ""en"", ""bg"")"),"qa_03818")</f>
        <v>qa_03818</v>
      </c>
      <c r="B213" s="1" t="str">
        <f ca="1">IFERROR(__xludf.DUMMYFUNCTION("GOOGLETRANSLATE(English!B213, ""en"", ""bg"")"),"химия")</f>
        <v>химия</v>
      </c>
      <c r="C213" s="1" t="str">
        <f ca="1">IFERROR(__xludf.DUMMYFUNCTION("GOOGLETRANSLATE(English!C213, ""en"", ""bg"")"),"елементарен")</f>
        <v>елементарен</v>
      </c>
      <c r="D213" s="1" t="str">
        <f ca="1">IFERROR(__xludf.DUMMYFUNCTION("GOOGLETRANSLATE(English!D213, ""en"", ""bg"")"),"твърди вещества, течности, газове")</f>
        <v>твърди вещества, течности, газове</v>
      </c>
      <c r="E213" s="1" t="str">
        <f ca="1">IFERROR(__xludf.DUMMYFUNCTION("GOOGLETRANSLATE(English!E213, ""en"", ""bg"")"),"Как водата се превръща от течност в газообразно състояние?")</f>
        <v>Как водата се превръща от течност в газообразно състояние?</v>
      </c>
      <c r="F213" s="1" t="str">
        <f ca="1">IFERROR(__xludf.DUMMYFUNCTION("GOOGLETRANSLATE(English!F213,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213" s="1" t="str">
        <f ca="1">IFERROR(__xludf.DUMMYFUNCTION("GOOGLETRANSLATE(English!G213, ""en"", ""bg"")"),"direct_qa")</f>
        <v>direct_qa</v>
      </c>
      <c r="H213" s="1" t="str">
        <f ca="1">IFERROR(__xludf.DUMMYFUNCTION("GOOGLETRANSLATE(English!H213, ""en"", ""bg"")"),"заявка_за_знание")</f>
        <v>заявка_за_знание</v>
      </c>
    </row>
    <row r="214" spans="1:8" ht="13.2" x14ac:dyDescent="0.25">
      <c r="A214" s="1" t="str">
        <f ca="1">IFERROR(__xludf.DUMMYFUNCTION("GOOGLETRANSLATE(English!A214, ""en"", ""bg"")"),"conv_10238")</f>
        <v>conv_10238</v>
      </c>
      <c r="B214" s="1" t="str">
        <f ca="1">IFERROR(__xludf.DUMMYFUNCTION("GOOGLETRANSLATE(English!B214, ""en"", ""bg"")"),"химия")</f>
        <v>химия</v>
      </c>
      <c r="C214" s="1" t="str">
        <f ca="1">IFERROR(__xludf.DUMMYFUNCTION("GOOGLETRANSLATE(English!C214, ""en"", ""bg"")"),"средата")</f>
        <v>средата</v>
      </c>
      <c r="D214" s="1" t="str">
        <f ca="1">IFERROR(__xludf.DUMMYFUNCTION("GOOGLETRANSLATE(English!D214, ""en"", ""bg"")"),"съединения срещу елементи")</f>
        <v>съединения срещу елементи</v>
      </c>
      <c r="E214" s="1" t="str">
        <f ca="1">IFERROR(__xludf.DUMMYFUNCTION("GOOGLETRANSLATE(English!E214, ""en"", ""bg"")"),"Здравей, преподавателю! Можеш ли да ми помогнеш да разбера по-добре какво представляват съединенията спрямо елементите?")</f>
        <v>Здравей, преподавателю! Можеш ли да ми помогнеш да разбера по-добре какво представляват съединенията спрямо елементите?</v>
      </c>
      <c r="F214" s="1" t="str">
        <f ca="1">IFERROR(__xludf.DUMMYFUNCTION("GOOGLETRANSLATE(English!F214,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214" s="1" t="str">
        <f ca="1">IFERROR(__xludf.DUMMYFUNCTION("GOOGLETRANSLATE(English!G214, ""en"", ""bg"")"),"разговор")</f>
        <v>разговор</v>
      </c>
      <c r="H214" s="1" t="str">
        <f ca="1">IFERROR(__xludf.DUMMYFUNCTION("GOOGLETRANSLATE(English!H214, ""en"", ""bg"")"),"образователна_помощ")</f>
        <v>образователна_помощ</v>
      </c>
    </row>
    <row r="215" spans="1:8" ht="13.2" x14ac:dyDescent="0.25">
      <c r="A215" s="1" t="str">
        <f ca="1">IFERROR(__xludf.DUMMYFUNCTION("GOOGLETRANSLATE(English!A215, ""en"", ""bg"")"),"conv_07743")</f>
        <v>conv_07743</v>
      </c>
      <c r="B215" s="1" t="str">
        <f ca="1">IFERROR(__xludf.DUMMYFUNCTION("GOOGLETRANSLATE(English!B215, ""en"", ""bg"")"),"физика")</f>
        <v>физика</v>
      </c>
      <c r="C215" s="1" t="str">
        <f ca="1">IFERROR(__xludf.DUMMYFUNCTION("GOOGLETRANSLATE(English!C215, ""en"", ""bg"")"),"елементарен")</f>
        <v>елементарен</v>
      </c>
      <c r="D215" s="1" t="str">
        <f ca="1">IFERROR(__xludf.DUMMYFUNCTION("GOOGLETRANSLATE(English!D215, ""en"", ""bg"")"),"прости машини")</f>
        <v>прости машини</v>
      </c>
      <c r="E215" s="1" t="str">
        <f ca="1">IFERROR(__xludf.DUMMYFUNCTION("GOOGLETRANSLATE(English!E215, ""en"", ""bg"")"),"Здравей, преподавателю! Можеш ли да ми обясниш прости машини?")</f>
        <v>Здравей, преподавателю! Можеш ли да ми обясниш прости машини?</v>
      </c>
      <c r="F215" s="1" t="str">
        <f ca="1">IFERROR(__xludf.DUMMYFUNCTION("GOOGLETRANSLATE(English!F215,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215" s="1" t="str">
        <f ca="1">IFERROR(__xludf.DUMMYFUNCTION("GOOGLETRANSLATE(English!G215, ""en"", ""bg"")"),"разговор")</f>
        <v>разговор</v>
      </c>
      <c r="H215" s="1" t="str">
        <f ca="1">IFERROR(__xludf.DUMMYFUNCTION("GOOGLETRANSLATE(English!H215, ""en"", ""bg"")"),"образователна_помощ")</f>
        <v>образователна_помощ</v>
      </c>
    </row>
    <row r="216" spans="1:8" ht="13.2" x14ac:dyDescent="0.25">
      <c r="A216" s="1" t="str">
        <f ca="1">IFERROR(__xludf.DUMMYFUNCTION("GOOGLETRANSLATE(English!A216, ""en"", ""bg"")"),"hw_14751")</f>
        <v>hw_14751</v>
      </c>
      <c r="B216" s="1" t="str">
        <f ca="1">IFERROR(__xludf.DUMMYFUNCTION("GOOGLETRANSLATE(English!B216, ""en"", ""bg"")"),"биология")</f>
        <v>биология</v>
      </c>
      <c r="C216" s="1" t="str">
        <f ca="1">IFERROR(__xludf.DUMMYFUNCTION("GOOGLETRANSLATE(English!C216, ""en"", ""bg"")"),"средата")</f>
        <v>средата</v>
      </c>
      <c r="D216" s="1" t="str">
        <f ca="1">IFERROR(__xludf.DUMMYFUNCTION("GOOGLETRANSLATE(English!D216, ""en"", ""bg"")"),"дишане")</f>
        <v>дишане</v>
      </c>
      <c r="E216" s="1" t="str">
        <f ca="1">IFERROR(__xludf.DUMMYFUNCTION("GOOGLETRANSLATE(English!E216, ""en"", ""bg"")"),"Можете ли да обясните дишането за моя научен проект?")</f>
        <v>Можете ли да обясните дишането за моя научен проект?</v>
      </c>
      <c r="F216" s="1" t="str">
        <f ca="1">IFERROR(__xludf.DUMMYFUNCTION("GOOGLETRANSLATE(English!F216,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216" s="1" t="str">
        <f ca="1">IFERROR(__xludf.DUMMYFUNCTION("GOOGLETRANSLATE(English!G216, ""en"", ""bg"")"),"помощ_за_домашно_изпълнение")</f>
        <v>помощ_за_домашно_изпълнение</v>
      </c>
      <c r="H216" s="1" t="str">
        <f ca="1">IFERROR(__xludf.DUMMYFUNCTION("GOOGLETRANSLATE(English!H216, ""en"", ""bg"")"),"помощ_за_домашно_задаване")</f>
        <v>помощ_за_домашно_задаване</v>
      </c>
    </row>
    <row r="217" spans="1:8" ht="13.2" x14ac:dyDescent="0.25">
      <c r="A217" s="1" t="str">
        <f ca="1">IFERROR(__xludf.DUMMYFUNCTION("GOOGLETRANSLATE(English!A217, ""en"", ""bg"")"),"hw_05622")</f>
        <v>hw_05622</v>
      </c>
      <c r="B217" s="1" t="str">
        <f ca="1">IFERROR(__xludf.DUMMYFUNCTION("GOOGLETRANSLATE(English!B217, ""en"", ""bg"")"),"физика")</f>
        <v>физика</v>
      </c>
      <c r="C217" s="1" t="str">
        <f ca="1">IFERROR(__xludf.DUMMYFUNCTION("GOOGLETRANSLATE(English!C217, ""en"", ""bg"")"),"високо")</f>
        <v>високо</v>
      </c>
      <c r="D217" s="1" t="str">
        <f ca="1">IFERROR(__xludf.DUMMYFUNCTION("GOOGLETRANSLATE(English!D217, ""en"", ""bg"")"),"електромагнетизъм")</f>
        <v>електромагнетизъм</v>
      </c>
      <c r="E217" s="1" t="str">
        <f ca="1">IFERROR(__xludf.DUMMYFUNCTION("GOOGLETRANSLATE(English!E217, ""en"", ""bg"")"),"Можете ли да решите този въпрос по електромагнетизъм с мен?")</f>
        <v>Можете ли да решите този въпрос по електромагнетизъм с мен?</v>
      </c>
      <c r="F217" s="1" t="str">
        <f ca="1">IFERROR(__xludf.DUMMYFUNCTION("GOOGLETRANSLATE(English!F217,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217" s="1" t="str">
        <f ca="1">IFERROR(__xludf.DUMMYFUNCTION("GOOGLETRANSLATE(English!G217, ""en"", ""bg"")"),"помощ_за_домашно_изпълнение")</f>
        <v>помощ_за_домашно_изпълнение</v>
      </c>
      <c r="H217" s="1" t="str">
        <f ca="1">IFERROR(__xludf.DUMMYFUNCTION("GOOGLETRANSLATE(English!H217, ""en"", ""bg"")"),"помощ_за_домашно_задаване")</f>
        <v>помощ_за_домашно_задаване</v>
      </c>
    </row>
    <row r="218" spans="1:8" ht="13.2" x14ac:dyDescent="0.25">
      <c r="A218" s="1" t="str">
        <f ca="1">IFERROR(__xludf.DUMMYFUNCTION("GOOGLETRANSLATE(English!A218, ""en"", ""bg"")"),"hw_11586")</f>
        <v>hw_11586</v>
      </c>
      <c r="B218" s="1" t="str">
        <f ca="1">IFERROR(__xludf.DUMMYFUNCTION("GOOGLETRANSLATE(English!B218, ""en"", ""bg"")"),"химия")</f>
        <v>химия</v>
      </c>
      <c r="C218" s="1" t="str">
        <f ca="1">IFERROR(__xludf.DUMMYFUNCTION("GOOGLETRANSLATE(English!C218, ""en"", ""bg"")"),"елементарен")</f>
        <v>елементарен</v>
      </c>
      <c r="D218" s="1" t="str">
        <f ca="1">IFERROR(__xludf.DUMMYFUNCTION("GOOGLETRANSLATE(English!D218, ""en"", ""bg"")"),"ежедневни химикали")</f>
        <v>ежедневни химикали</v>
      </c>
      <c r="E218" s="1" t="str">
        <f ca="1">IFERROR(__xludf.DUMMYFUNCTION("GOOGLETRANSLATE(English!E218, ""en"", ""bg"")"),"Трудя се с ежедневните химикали в домашните си.")</f>
        <v>Трудя се с ежедневните химикали в домашните си.</v>
      </c>
      <c r="F218" s="1" t="str">
        <f ca="1">IFERROR(__xludf.DUMMYFUNCTION("GOOGLETRANSLATE(English!F218,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218" s="1" t="str">
        <f ca="1">IFERROR(__xludf.DUMMYFUNCTION("GOOGLETRANSLATE(English!G218, ""en"", ""bg"")"),"помощ_за_домашно_изпълнение")</f>
        <v>помощ_за_домашно_изпълнение</v>
      </c>
      <c r="H218" s="1" t="str">
        <f ca="1">IFERROR(__xludf.DUMMYFUNCTION("GOOGLETRANSLATE(English!H218, ""en"", ""bg"")"),"помощ_за_домашно_задаване")</f>
        <v>помощ_за_домашно_задаване</v>
      </c>
    </row>
    <row r="219" spans="1:8" ht="13.2" x14ac:dyDescent="0.25">
      <c r="A219" s="1" t="str">
        <f ca="1">IFERROR(__xludf.DUMMYFUNCTION("GOOGLETRANSLATE(English!A219, ""en"", ""bg"")"),"conv_11211")</f>
        <v>conv_11211</v>
      </c>
      <c r="B219" s="1" t="str">
        <f ca="1">IFERROR(__xludf.DUMMYFUNCTION("GOOGLETRANSLATE(English!B219, ""en"", ""bg"")"),"биология")</f>
        <v>биология</v>
      </c>
      <c r="C219" s="1" t="str">
        <f ca="1">IFERROR(__xludf.DUMMYFUNCTION("GOOGLETRANSLATE(English!C219, ""en"", ""bg"")"),"елементарен")</f>
        <v>елементарен</v>
      </c>
      <c r="D219" s="1" t="str">
        <f ca="1">IFERROR(__xludf.DUMMYFUNCTION("GOOGLETRANSLATE(English!D219, ""en"", ""bg"")"),"домашни любимци срещу диви животни")</f>
        <v>домашни любимци срещу диви животни</v>
      </c>
      <c r="E219" s="1" t="str">
        <f ca="1">IFERROR(__xludf.DUMMYFUNCTION("GOOGLETRANSLATE(English!E219, ""en"", ""bg"")"),"Можете ли да ми обясните това? Защо домашните любимци срещу дивите животни са важни в биологията?")</f>
        <v>Можете ли да ми обясните това? Защо домашните любимци срещу дивите животни са важни в биологията?</v>
      </c>
      <c r="F219" s="1" t="str">
        <f ca="1">IFERROR(__xludf.DUMMYFUNCTION("GOOGLETRANSLATE(English!F219,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219" s="1" t="str">
        <f ca="1">IFERROR(__xludf.DUMMYFUNCTION("GOOGLETRANSLATE(English!G219, ""en"", ""bg"")"),"разговор")</f>
        <v>разговор</v>
      </c>
      <c r="H219" s="1" t="str">
        <f ca="1">IFERROR(__xludf.DUMMYFUNCTION("GOOGLETRANSLATE(English!H219, ""en"", ""bg"")"),"образователна_помощ")</f>
        <v>образователна_помощ</v>
      </c>
    </row>
    <row r="220" spans="1:8" ht="13.2" x14ac:dyDescent="0.25">
      <c r="A220" s="1" t="str">
        <f ca="1">IFERROR(__xludf.DUMMYFUNCTION("GOOGLETRANSLATE(English!A220, ""en"", ""bg"")"),"qa_01188")</f>
        <v>qa_01188</v>
      </c>
      <c r="B220" s="1" t="str">
        <f ca="1">IFERROR(__xludf.DUMMYFUNCTION("GOOGLETRANSLATE(English!B220, ""en"", ""bg"")"),"физика")</f>
        <v>физика</v>
      </c>
      <c r="C220" s="1" t="str">
        <f ca="1">IFERROR(__xludf.DUMMYFUNCTION("GOOGLETRANSLATE(English!C220, ""en"", ""bg"")"),"високо")</f>
        <v>високо</v>
      </c>
      <c r="D220" s="1" t="str">
        <f ca="1">IFERROR(__xludf.DUMMYFUNCTION("GOOGLETRANSLATE(English!D220, ""en"", ""bg"")"),"механика")</f>
        <v>механика</v>
      </c>
      <c r="E220" s="1" t="str">
        <f ca="1">IFERROR(__xludf.DUMMYFUNCTION("GOOGLETRANSLATE(English!E220, ""en"", ""bg"")"),"Защо механиката е важна?")</f>
        <v>Защо механиката е важна?</v>
      </c>
      <c r="F220" s="1" t="str">
        <f ca="1">IFERROR(__xludf.DUMMYFUNCTION("GOOGLETRANSLATE(English!F220,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220" s="1" t="str">
        <f ca="1">IFERROR(__xludf.DUMMYFUNCTION("GOOGLETRANSLATE(English!G220, ""en"", ""bg"")"),"direct_qa")</f>
        <v>direct_qa</v>
      </c>
      <c r="H220" s="1" t="str">
        <f ca="1">IFERROR(__xludf.DUMMYFUNCTION("GOOGLETRANSLATE(English!H220, ""en"", ""bg"")"),"заявка_за_знание")</f>
        <v>заявка_за_знание</v>
      </c>
    </row>
    <row r="221" spans="1:8" ht="13.2" x14ac:dyDescent="0.25">
      <c r="A221" s="1" t="str">
        <f ca="1">IFERROR(__xludf.DUMMYFUNCTION("GOOGLETRANSLATE(English!A221, ""en"", ""bg"")"),"qa_10044")</f>
        <v>qa_10044</v>
      </c>
      <c r="B221" s="1" t="str">
        <f ca="1">IFERROR(__xludf.DUMMYFUNCTION("GOOGLETRANSLATE(English!B221, ""en"", ""bg"")"),"биология")</f>
        <v>биология</v>
      </c>
      <c r="C221" s="1" t="str">
        <f ca="1">IFERROR(__xludf.DUMMYFUNCTION("GOOGLETRANSLATE(English!C221, ""en"", ""bg"")"),"елементарен")</f>
        <v>елементарен</v>
      </c>
      <c r="D221" s="1" t="str">
        <f ca="1">IFERROR(__xludf.DUMMYFUNCTION("GOOGLETRANSLATE(English!D221, ""en"", ""bg"")"),"домашни любимци срещу диви животни")</f>
        <v>домашни любимци срещу диви животни</v>
      </c>
      <c r="E221" s="1" t="str">
        <f ca="1">IFERROR(__xludf.DUMMYFUNCTION("GOOGLETRANSLATE(English!E221,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221" s="1" t="str">
        <f ca="1">IFERROR(__xludf.DUMMYFUNCTION("GOOGLETRANSLATE(English!F221,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221" s="1" t="str">
        <f ca="1">IFERROR(__xludf.DUMMYFUNCTION("GOOGLETRANSLATE(English!G221, ""en"", ""bg"")"),"direct_qa")</f>
        <v>direct_qa</v>
      </c>
      <c r="H221" s="1" t="str">
        <f ca="1">IFERROR(__xludf.DUMMYFUNCTION("GOOGLETRANSLATE(English!H221, ""en"", ""bg"")"),"заявка_за_знание")</f>
        <v>заявка_за_знание</v>
      </c>
    </row>
    <row r="222" spans="1:8" ht="13.2" x14ac:dyDescent="0.25">
      <c r="A222" s="1" t="str">
        <f ca="1">IFERROR(__xludf.DUMMYFUNCTION("GOOGLETRANSLATE(English!A222, ""en"", ""bg"")"),"hw_13169")</f>
        <v>hw_13169</v>
      </c>
      <c r="B222" s="1" t="str">
        <f ca="1">IFERROR(__xludf.DUMMYFUNCTION("GOOGLETRANSLATE(English!B222, ""en"", ""bg"")"),"биология")</f>
        <v>биология</v>
      </c>
      <c r="C222" s="1" t="str">
        <f ca="1">IFERROR(__xludf.DUMMYFUNCTION("GOOGLETRANSLATE(English!C222, ""en"", ""bg"")"),"елементарен")</f>
        <v>елементарен</v>
      </c>
      <c r="D222" s="1" t="str">
        <f ca="1">IFERROR(__xludf.DUMMYFUNCTION("GOOGLETRANSLATE(English!D222, ""en"", ""bg"")"),"основни нужди")</f>
        <v>основни нужди</v>
      </c>
      <c r="E222" s="1" t="str">
        <f ca="1">IFERROR(__xludf.DUMMYFUNCTION("GOOGLETRANSLATE(English!E222, ""en"", ""bg"")"),"Можете ли да обясните основните изисквания за моя научен проект?")</f>
        <v>Можете ли да обясните основните изисквания за моя научен проект?</v>
      </c>
      <c r="F222" s="1" t="str">
        <f ca="1">IFERROR(__xludf.DUMMYFUNCTION("GOOGLETRANSLATE(English!F222,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222" s="1" t="str">
        <f ca="1">IFERROR(__xludf.DUMMYFUNCTION("GOOGLETRANSLATE(English!G222, ""en"", ""bg"")"),"помощ_за_домашно_изпълнение")</f>
        <v>помощ_за_домашно_изпълнение</v>
      </c>
      <c r="H222" s="1" t="str">
        <f ca="1">IFERROR(__xludf.DUMMYFUNCTION("GOOGLETRANSLATE(English!H222, ""en"", ""bg"")"),"помощ_за_домашно_задаване")</f>
        <v>помощ_за_домашно_задаване</v>
      </c>
    </row>
    <row r="223" spans="1:8" ht="13.2" x14ac:dyDescent="0.25">
      <c r="A223" s="1" t="str">
        <f ca="1">IFERROR(__xludf.DUMMYFUNCTION("GOOGLETRANSLATE(English!A223, ""en"", ""bg"")"),"hw_12436")</f>
        <v>hw_12436</v>
      </c>
      <c r="B223" s="1" t="str">
        <f ca="1">IFERROR(__xludf.DUMMYFUNCTION("GOOGLETRANSLATE(English!B223, ""en"", ""bg"")"),"химия")</f>
        <v>химия</v>
      </c>
      <c r="C223" s="1" t="str">
        <f ca="1">IFERROR(__xludf.DUMMYFUNCTION("GOOGLETRANSLATE(English!C223, ""en"", ""bg"")"),"средата")</f>
        <v>средата</v>
      </c>
      <c r="D223" s="1" t="str">
        <f ca="1">IFERROR(__xludf.DUMMYFUNCTION("GOOGLETRANSLATE(English!D223, ""en"", ""bg"")"),"основи на периодичната таблица")</f>
        <v>основи на периодичната таблица</v>
      </c>
      <c r="E223" s="1" t="str">
        <f ca="1">IFERROR(__xludf.DUMMYFUNCTION("GOOGLETRANSLATE(English!E223, ""en"", ""bg"")"),"Моят доклад по химия е за основите на периодичната таблица. Помогнете ми да разбера.")</f>
        <v>Моят доклад по химия е за основите на периодичната таблица. Помогнете ми да разбера.</v>
      </c>
      <c r="F223" s="1" t="str">
        <f ca="1">IFERROR(__xludf.DUMMYFUNCTION("GOOGLETRANSLATE(English!F223,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223" s="1" t="str">
        <f ca="1">IFERROR(__xludf.DUMMYFUNCTION("GOOGLETRANSLATE(English!G223, ""en"", ""bg"")"),"помощ_за_домашно_изпълнение")</f>
        <v>помощ_за_домашно_изпълнение</v>
      </c>
      <c r="H223" s="1" t="str">
        <f ca="1">IFERROR(__xludf.DUMMYFUNCTION("GOOGLETRANSLATE(English!H223, ""en"", ""bg"")"),"помощ_за_домашно_задаване")</f>
        <v>помощ_за_домашно_задаване</v>
      </c>
    </row>
    <row r="224" spans="1:8" ht="13.2" x14ac:dyDescent="0.25">
      <c r="A224" s="1" t="str">
        <f ca="1">IFERROR(__xludf.DUMMYFUNCTION("GOOGLETRANSLATE(English!A224, ""en"", ""bg"")"),"hw_10481")</f>
        <v>hw_10481</v>
      </c>
      <c r="B224" s="1" t="str">
        <f ca="1">IFERROR(__xludf.DUMMYFUNCTION("GOOGLETRANSLATE(English!B224, ""en"", ""bg"")"),"химия")</f>
        <v>химия</v>
      </c>
      <c r="C224" s="1" t="str">
        <f ca="1">IFERROR(__xludf.DUMMYFUNCTION("GOOGLETRANSLATE(English!C224, ""en"", ""bg"")"),"средата")</f>
        <v>средата</v>
      </c>
      <c r="D224" s="1" t="str">
        <f ca="1">IFERROR(__xludf.DUMMYFUNCTION("GOOGLETRANSLATE(English!D224, ""en"", ""bg"")"),"киселини и основи")</f>
        <v>киселини и основи</v>
      </c>
      <c r="E224" s="1" t="str">
        <f ca="1">IFERROR(__xludf.DUMMYFUNCTION("GOOGLETRANSLATE(English!E224, ""en"", ""bg"")"),"Имам затруднения с киселините и основите в домашното си.")</f>
        <v>Имам затруднения с киселините и основите в домашното си.</v>
      </c>
      <c r="F224" s="1" t="str">
        <f ca="1">IFERROR(__xludf.DUMMYFUNCTION("GOOGLETRANSLATE(English!F224,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224" s="1" t="str">
        <f ca="1">IFERROR(__xludf.DUMMYFUNCTION("GOOGLETRANSLATE(English!G224, ""en"", ""bg"")"),"помощ_за_домашно_изпълнение")</f>
        <v>помощ_за_домашно_изпълнение</v>
      </c>
      <c r="H224" s="1" t="str">
        <f ca="1">IFERROR(__xludf.DUMMYFUNCTION("GOOGLETRANSLATE(English!H224, ""en"", ""bg"")"),"помощ_за_домашно_задаване")</f>
        <v>помощ_за_домашно_задаване</v>
      </c>
    </row>
    <row r="225" spans="1:8" ht="13.2" x14ac:dyDescent="0.25">
      <c r="A225" s="1" t="str">
        <f ca="1">IFERROR(__xludf.DUMMYFUNCTION("GOOGLETRANSLATE(English!A225, ""en"", ""bg"")"),"hw_14548")</f>
        <v>hw_14548</v>
      </c>
      <c r="B225" s="1" t="str">
        <f ca="1">IFERROR(__xludf.DUMMYFUNCTION("GOOGLETRANSLATE(English!B225, ""en"", ""bg"")"),"химия")</f>
        <v>химия</v>
      </c>
      <c r="C225" s="1" t="str">
        <f ca="1">IFERROR(__xludf.DUMMYFUNCTION("GOOGLETRANSLATE(English!C225, ""en"", ""bg"")"),"високо")</f>
        <v>високо</v>
      </c>
      <c r="D225" s="1" t="str">
        <f ca="1">IFERROR(__xludf.DUMMYFUNCTION("GOOGLETRANSLATE(English!D225, ""en"", ""bg"")"),"електрохимия")</f>
        <v>електрохимия</v>
      </c>
      <c r="E225" s="1" t="str">
        <f ca="1">IFERROR(__xludf.DUMMYFUNCTION("GOOGLETRANSLATE(English!E225, ""en"", ""bg"")"),"Имам затруднения с електрохимията в домашното си.")</f>
        <v>Имам затруднения с електрохимията в домашното си.</v>
      </c>
      <c r="F225" s="1" t="str">
        <f ca="1">IFERROR(__xludf.DUMMYFUNCTION("GOOGLETRANSLATE(English!F225,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225" s="1" t="str">
        <f ca="1">IFERROR(__xludf.DUMMYFUNCTION("GOOGLETRANSLATE(English!G225, ""en"", ""bg"")"),"помощ_за_домашно_изпълнение")</f>
        <v>помощ_за_домашно_изпълнение</v>
      </c>
      <c r="H225" s="1" t="str">
        <f ca="1">IFERROR(__xludf.DUMMYFUNCTION("GOOGLETRANSLATE(English!H225, ""en"", ""bg"")"),"помощ_за_домашно_задаване")</f>
        <v>помощ_за_домашно_задаване</v>
      </c>
    </row>
    <row r="226" spans="1:8" ht="13.2" x14ac:dyDescent="0.25">
      <c r="A226" s="1" t="str">
        <f ca="1">IFERROR(__xludf.DUMMYFUNCTION("GOOGLETRANSLATE(English!A226, ""en"", ""bg"")"),"qa_14207")</f>
        <v>qa_14207</v>
      </c>
      <c r="B226" s="1" t="str">
        <f ca="1">IFERROR(__xludf.DUMMYFUNCTION("GOOGLETRANSLATE(English!B226, ""en"", ""bg"")"),"химия")</f>
        <v>химия</v>
      </c>
      <c r="C226" s="1" t="str">
        <f ca="1">IFERROR(__xludf.DUMMYFUNCTION("GOOGLETRANSLATE(English!C226, ""en"", ""bg"")"),"високо")</f>
        <v>високо</v>
      </c>
      <c r="D226" s="1" t="str">
        <f ca="1">IFERROR(__xludf.DUMMYFUNCTION("GOOGLETRANSLATE(English!D226, ""en"", ""bg"")"),"равновесие")</f>
        <v>равновесие</v>
      </c>
      <c r="E226" s="1" t="str">
        <f ca="1">IFERROR(__xludf.DUMMYFUNCTION("GOOGLETRANSLATE(English!E226, ""en"", ""bg"")"),"Как работи равновесието в химията?")</f>
        <v>Как работи равновесието в химията?</v>
      </c>
      <c r="F226" s="1" t="str">
        <f ca="1">IFERROR(__xludf.DUMMYFUNCTION("GOOGLETRANSLATE(English!F226,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226" s="1" t="str">
        <f ca="1">IFERROR(__xludf.DUMMYFUNCTION("GOOGLETRANSLATE(English!G226, ""en"", ""bg"")"),"direct_qa")</f>
        <v>direct_qa</v>
      </c>
      <c r="H226" s="1" t="str">
        <f ca="1">IFERROR(__xludf.DUMMYFUNCTION("GOOGLETRANSLATE(English!H226, ""en"", ""bg"")"),"заявка_за_знание")</f>
        <v>заявка_за_знание</v>
      </c>
    </row>
    <row r="227" spans="1:8" ht="13.2" x14ac:dyDescent="0.25">
      <c r="A227" s="1" t="str">
        <f ca="1">IFERROR(__xludf.DUMMYFUNCTION("GOOGLETRANSLATE(English!A227, ""en"", ""bg"")"),"hw_03025")</f>
        <v>hw_03025</v>
      </c>
      <c r="B227" s="1" t="str">
        <f ca="1">IFERROR(__xludf.DUMMYFUNCTION("GOOGLETRANSLATE(English!B227, ""en"", ""bg"")"),"физика")</f>
        <v>физика</v>
      </c>
      <c r="C227" s="1" t="str">
        <f ca="1">IFERROR(__xludf.DUMMYFUNCTION("GOOGLETRANSLATE(English!C227, ""en"", ""bg"")"),"елементарен")</f>
        <v>елементарен</v>
      </c>
      <c r="D227" s="1" t="str">
        <f ca="1">IFERROR(__xludf.DUMMYFUNCTION("GOOGLETRANSLATE(English!D227, ""en"", ""bg"")"),"плаващ и потъващ")</f>
        <v>плаващ и потъващ</v>
      </c>
      <c r="E227" s="1" t="str">
        <f ca="1">IFERROR(__xludf.DUMMYFUNCTION("GOOGLETRANSLATE(English!E227, ""en"", ""bg"")"),"Можеш ли да решиш този плаващ и потъващ въпрос с мен?")</f>
        <v>Можеш ли да решиш този плаващ и потъващ въпрос с мен?</v>
      </c>
      <c r="F227" s="1" t="str">
        <f ca="1">IFERROR(__xludf.DUMMYFUNCTION("GOOGLETRANSLATE(English!F227,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27" s="1" t="str">
        <f ca="1">IFERROR(__xludf.DUMMYFUNCTION("GOOGLETRANSLATE(English!G227, ""en"", ""bg"")"),"помощ_за_домашно_изпълнение")</f>
        <v>помощ_за_домашно_изпълнение</v>
      </c>
      <c r="H227" s="1" t="str">
        <f ca="1">IFERROR(__xludf.DUMMYFUNCTION("GOOGLETRANSLATE(English!H227, ""en"", ""bg"")"),"помощ_за_домашно_задаване")</f>
        <v>помощ_за_домашно_задаване</v>
      </c>
    </row>
    <row r="228" spans="1:8" ht="13.2" x14ac:dyDescent="0.25">
      <c r="A228" s="1" t="str">
        <f ca="1">IFERROR(__xludf.DUMMYFUNCTION("GOOGLETRANSLATE(English!A228, ""en"", ""bg"")"),"qa_02977")</f>
        <v>qa_02977</v>
      </c>
      <c r="B228" s="1" t="str">
        <f ca="1">IFERROR(__xludf.DUMMYFUNCTION("GOOGLETRANSLATE(English!B228, ""en"", ""bg"")"),"физика")</f>
        <v>физика</v>
      </c>
      <c r="C228" s="1" t="str">
        <f ca="1">IFERROR(__xludf.DUMMYFUNCTION("GOOGLETRANSLATE(English!C228, ""en"", ""bg"")"),"високо")</f>
        <v>високо</v>
      </c>
      <c r="D228" s="1" t="str">
        <f ca="1">IFERROR(__xludf.DUMMYFUNCTION("GOOGLETRANSLATE(English!D228, ""en"", ""bg"")"),"оптика")</f>
        <v>оптика</v>
      </c>
      <c r="E228" s="1" t="str">
        <f ca="1">IFERROR(__xludf.DUMMYFUNCTION("GOOGLETRANSLATE(English!E228, ""en"", ""bg"")"),"Как работи оптиката във физиката?")</f>
        <v>Как работи оптиката във физиката?</v>
      </c>
      <c r="F228" s="1" t="str">
        <f ca="1">IFERROR(__xludf.DUMMYFUNCTION("GOOGLETRANSLATE(English!F228,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228" s="1" t="str">
        <f ca="1">IFERROR(__xludf.DUMMYFUNCTION("GOOGLETRANSLATE(English!G228, ""en"", ""bg"")"),"direct_qa")</f>
        <v>direct_qa</v>
      </c>
      <c r="H228" s="1" t="str">
        <f ca="1">IFERROR(__xludf.DUMMYFUNCTION("GOOGLETRANSLATE(English!H228, ""en"", ""bg"")"),"заявка_за_знание")</f>
        <v>заявка_за_знание</v>
      </c>
    </row>
    <row r="229" spans="1:8" ht="13.2" x14ac:dyDescent="0.25">
      <c r="A229" s="1" t="str">
        <f ca="1">IFERROR(__xludf.DUMMYFUNCTION("GOOGLETRANSLATE(English!A229, ""en"", ""bg"")"),"conv_17094")</f>
        <v>conv_17094</v>
      </c>
      <c r="B229" s="1" t="str">
        <f ca="1">IFERROR(__xludf.DUMMYFUNCTION("GOOGLETRANSLATE(English!B229, ""en"", ""bg"")"),"химия")</f>
        <v>химия</v>
      </c>
      <c r="C229" s="1" t="str">
        <f ca="1">IFERROR(__xludf.DUMMYFUNCTION("GOOGLETRANSLATE(English!C229, ""en"", ""bg"")"),"средата")</f>
        <v>средата</v>
      </c>
      <c r="D229" s="1" t="str">
        <f ca="1">IFERROR(__xludf.DUMMYFUNCTION("GOOGLETRANSLATE(English!D229, ""en"", ""bg"")"),"съединения срещу елементи")</f>
        <v>съединения срещу елементи</v>
      </c>
      <c r="E229" s="1" t="str">
        <f ca="1">IFERROR(__xludf.DUMMYFUNCTION("GOOGLETRANSLATE(English!E229, ""en"", ""bg"")"),"Можете ли да ми обясните това? Как взаимодействат съединенията и елементите в химията?")</f>
        <v>Можете ли да ми обясните това? Как взаимодействат съединенията и елементите в химията?</v>
      </c>
      <c r="F229" s="1" t="str">
        <f ca="1">IFERROR(__xludf.DUMMYFUNCTION("GOOGLETRANSLATE(English!F229,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229" s="1" t="str">
        <f ca="1">IFERROR(__xludf.DUMMYFUNCTION("GOOGLETRANSLATE(English!G229, ""en"", ""bg"")"),"разговор")</f>
        <v>разговор</v>
      </c>
      <c r="H229" s="1" t="str">
        <f ca="1">IFERROR(__xludf.DUMMYFUNCTION("GOOGLETRANSLATE(English!H229, ""en"", ""bg"")"),"образователна_помощ")</f>
        <v>образователна_помощ</v>
      </c>
    </row>
    <row r="230" spans="1:8" ht="13.2" x14ac:dyDescent="0.25">
      <c r="A230" s="1" t="str">
        <f ca="1">IFERROR(__xludf.DUMMYFUNCTION("GOOGLETRANSLATE(English!A230, ""en"", ""bg"")"),"hw_07712")</f>
        <v>hw_07712</v>
      </c>
      <c r="B230" s="1" t="str">
        <f ca="1">IFERROR(__xludf.DUMMYFUNCTION("GOOGLETRANSLATE(English!B230, ""en"", ""bg"")"),"физика")</f>
        <v>физика</v>
      </c>
      <c r="C230" s="1" t="str">
        <f ca="1">IFERROR(__xludf.DUMMYFUNCTION("GOOGLETRANSLATE(English!C230, ""en"", ""bg"")"),"високо")</f>
        <v>високо</v>
      </c>
      <c r="D230" s="1" t="str">
        <f ca="1">IFERROR(__xludf.DUMMYFUNCTION("GOOGLETRANSLATE(English!D230, ""en"", ""bg"")"),"оптика")</f>
        <v>оптика</v>
      </c>
      <c r="E230" s="1" t="str">
        <f ca="1">IFERROR(__xludf.DUMMYFUNCTION("GOOGLETRANSLATE(English!E230, ""en"", ""bg"")"),"Заседнал съм с този проблем с оптиката. Можете ли да помогнете?")</f>
        <v>Заседнал съм с този проблем с оптиката. Можете ли да помогнете?</v>
      </c>
      <c r="F230" s="1" t="str">
        <f ca="1">IFERROR(__xludf.DUMMYFUNCTION("GOOGLETRANSLATE(English!F230,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230" s="1" t="str">
        <f ca="1">IFERROR(__xludf.DUMMYFUNCTION("GOOGLETRANSLATE(English!G230, ""en"", ""bg"")"),"помощ_за_домашно_изпълнение")</f>
        <v>помощ_за_домашно_изпълнение</v>
      </c>
      <c r="H230" s="1" t="str">
        <f ca="1">IFERROR(__xludf.DUMMYFUNCTION("GOOGLETRANSLATE(English!H230, ""en"", ""bg"")"),"помощ_за_домашно_задаване")</f>
        <v>помощ_за_домашно_задаване</v>
      </c>
    </row>
    <row r="231" spans="1:8" ht="13.2" x14ac:dyDescent="0.25">
      <c r="A231" s="1" t="str">
        <f ca="1">IFERROR(__xludf.DUMMYFUNCTION("GOOGLETRANSLATE(English!A231, ""en"", ""bg"")"),"qa_01592")</f>
        <v>qa_01592</v>
      </c>
      <c r="B231" s="1" t="str">
        <f ca="1">IFERROR(__xludf.DUMMYFUNCTION("GOOGLETRANSLATE(English!B231, ""en"", ""bg"")"),"физика")</f>
        <v>физика</v>
      </c>
      <c r="C231" s="1" t="str">
        <f ca="1">IFERROR(__xludf.DUMMYFUNCTION("GOOGLETRANSLATE(English!C231, ""en"", ""bg"")"),"елементарен")</f>
        <v>елементарен</v>
      </c>
      <c r="D231" s="1" t="str">
        <f ca="1">IFERROR(__xludf.DUMMYFUNCTION("GOOGLETRANSLATE(English!D231, ""en"", ""bg"")"),"магнити")</f>
        <v>магнити</v>
      </c>
      <c r="E231" s="1" t="str">
        <f ca="1">IFERROR(__xludf.DUMMYFUNCTION("GOOGLETRANSLATE(English!E231, ""en"", ""bg"")"),"Какви са полюсите на магнита?")</f>
        <v>Какви са полюсите на магнита?</v>
      </c>
      <c r="F231" s="1" t="str">
        <f ca="1">IFERROR(__xludf.DUMMYFUNCTION("GOOGLETRANSLATE(English!F231,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231" s="1" t="str">
        <f ca="1">IFERROR(__xludf.DUMMYFUNCTION("GOOGLETRANSLATE(English!G231, ""en"", ""bg"")"),"direct_qa")</f>
        <v>direct_qa</v>
      </c>
      <c r="H231" s="1" t="str">
        <f ca="1">IFERROR(__xludf.DUMMYFUNCTION("GOOGLETRANSLATE(English!H231, ""en"", ""bg"")"),"заявка_за_знание")</f>
        <v>заявка_за_знание</v>
      </c>
    </row>
    <row r="232" spans="1:8" ht="13.2" x14ac:dyDescent="0.25">
      <c r="A232" s="1" t="str">
        <f ca="1">IFERROR(__xludf.DUMMYFUNCTION("GOOGLETRANSLATE(English!A232, ""en"", ""bg"")"),"qa_13568")</f>
        <v>qa_13568</v>
      </c>
      <c r="B232" s="1" t="str">
        <f ca="1">IFERROR(__xludf.DUMMYFUNCTION("GOOGLETRANSLATE(English!B232, ""en"", ""bg"")"),"биология")</f>
        <v>биология</v>
      </c>
      <c r="C232" s="1" t="str">
        <f ca="1">IFERROR(__xludf.DUMMYFUNCTION("GOOGLETRANSLATE(English!C232, ""en"", ""bg"")"),"средата")</f>
        <v>средата</v>
      </c>
      <c r="D232" s="1" t="str">
        <f ca="1">IFERROR(__xludf.DUMMYFUNCTION("GOOGLETRANSLATE(English!D232, ""en"", ""bg"")"),"клетки")</f>
        <v>клетки</v>
      </c>
      <c r="E232" s="1" t="str">
        <f ca="1">IFERROR(__xludf.DUMMYFUNCTION("GOOGLETRANSLATE(English!E232, ""en"", ""bg"")"),"Какво е клетка?")</f>
        <v>Какво е клетка?</v>
      </c>
      <c r="F232" s="1" t="str">
        <f ca="1">IFERROR(__xludf.DUMMYFUNCTION("GOOGLETRANSLATE(English!F232,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232" s="1" t="str">
        <f ca="1">IFERROR(__xludf.DUMMYFUNCTION("GOOGLETRANSLATE(English!G232, ""en"", ""bg"")"),"direct_qa")</f>
        <v>direct_qa</v>
      </c>
      <c r="H232" s="1" t="str">
        <f ca="1">IFERROR(__xludf.DUMMYFUNCTION("GOOGLETRANSLATE(English!H232, ""en"", ""bg"")"),"заявка_за_знание")</f>
        <v>заявка_за_знание</v>
      </c>
    </row>
    <row r="233" spans="1:8" ht="13.2" x14ac:dyDescent="0.25">
      <c r="A233" s="1" t="str">
        <f ca="1">IFERROR(__xludf.DUMMYFUNCTION("GOOGLETRANSLATE(English!A233, ""en"", ""bg"")"),"qa_01201")</f>
        <v>qa_01201</v>
      </c>
      <c r="B233" s="1" t="str">
        <f ca="1">IFERROR(__xludf.DUMMYFUNCTION("GOOGLETRANSLATE(English!B233, ""en"", ""bg"")"),"химия")</f>
        <v>химия</v>
      </c>
      <c r="C233" s="1" t="str">
        <f ca="1">IFERROR(__xludf.DUMMYFUNCTION("GOOGLETRANSLATE(English!C233, ""en"", ""bg"")"),"високо")</f>
        <v>високо</v>
      </c>
      <c r="D233" s="1" t="str">
        <f ca="1">IFERROR(__xludf.DUMMYFUNCTION("GOOGLETRANSLATE(English!D233, ""en"", ""bg"")"),"скорости на реакция")</f>
        <v>скорости на реакция</v>
      </c>
      <c r="E233" s="1" t="str">
        <f ca="1">IFERROR(__xludf.DUMMYFUNCTION("GOOGLETRANSLATE(English!E233, ""en"", ""bg"")"),"Какво представляват скоростите на реакция?")</f>
        <v>Какво представляват скоростите на реакция?</v>
      </c>
      <c r="F233" s="1" t="str">
        <f ca="1">IFERROR(__xludf.DUMMYFUNCTION("GOOGLETRANSLATE(English!F233,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233" s="1" t="str">
        <f ca="1">IFERROR(__xludf.DUMMYFUNCTION("GOOGLETRANSLATE(English!G233, ""en"", ""bg"")"),"direct_qa")</f>
        <v>direct_qa</v>
      </c>
      <c r="H233" s="1" t="str">
        <f ca="1">IFERROR(__xludf.DUMMYFUNCTION("GOOGLETRANSLATE(English!H233, ""en"", ""bg"")"),"заявка_за_знание")</f>
        <v>заявка_за_знание</v>
      </c>
    </row>
    <row r="234" spans="1:8" ht="13.2" x14ac:dyDescent="0.25">
      <c r="A234" s="1" t="str">
        <f ca="1">IFERROR(__xludf.DUMMYFUNCTION("GOOGLETRANSLATE(English!A234, ""en"", ""bg"")"),"conv_04129")</f>
        <v>conv_04129</v>
      </c>
      <c r="B234" s="1" t="str">
        <f ca="1">IFERROR(__xludf.DUMMYFUNCTION("GOOGLETRANSLATE(English!B234, ""en"", ""bg"")"),"физика")</f>
        <v>физика</v>
      </c>
      <c r="C234" s="1" t="str">
        <f ca="1">IFERROR(__xludf.DUMMYFUNCTION("GOOGLETRANSLATE(English!C234, ""en"", ""bg"")"),"средата")</f>
        <v>средата</v>
      </c>
      <c r="D234" s="1" t="str">
        <f ca="1">IFERROR(__xludf.DUMMYFUNCTION("GOOGLETRANSLATE(English!D234, ""en"", ""bg"")"),"видове енергия")</f>
        <v>видове енергия</v>
      </c>
      <c r="E234" s="1" t="str">
        <f ca="1">IFERROR(__xludf.DUMMYFUNCTION("GOOGLETRANSLATE(English!E234, ""en"", ""bg"")"),"Не разбирам тази тема. Какви са различните видове енергия?")</f>
        <v>Не разбирам тази тема. Какви са различните видове енергия?</v>
      </c>
      <c r="F234" s="1" t="str">
        <f ca="1">IFERROR(__xludf.DUMMYFUNCTION("GOOGLETRANSLATE(English!F234,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234" s="1" t="str">
        <f ca="1">IFERROR(__xludf.DUMMYFUNCTION("GOOGLETRANSLATE(English!G234, ""en"", ""bg"")"),"разговор")</f>
        <v>разговор</v>
      </c>
      <c r="H234" s="1" t="str">
        <f ca="1">IFERROR(__xludf.DUMMYFUNCTION("GOOGLETRANSLATE(English!H234, ""en"", ""bg"")"),"образователна_помощ")</f>
        <v>образователна_помощ</v>
      </c>
    </row>
    <row r="235" spans="1:8" ht="13.2" x14ac:dyDescent="0.25">
      <c r="A235" s="1" t="str">
        <f ca="1">IFERROR(__xludf.DUMMYFUNCTION("GOOGLETRANSLATE(English!A235, ""en"", ""bg"")"),"conv_18647")</f>
        <v>conv_18647</v>
      </c>
      <c r="B235" s="1" t="str">
        <f ca="1">IFERROR(__xludf.DUMMYFUNCTION("GOOGLETRANSLATE(English!B235, ""en"", ""bg"")"),"биология")</f>
        <v>биология</v>
      </c>
      <c r="C235" s="1" t="str">
        <f ca="1">IFERROR(__xludf.DUMMYFUNCTION("GOOGLETRANSLATE(English!C235, ""en"", ""bg"")"),"елементарен")</f>
        <v>елементарен</v>
      </c>
      <c r="D235" s="1" t="str">
        <f ca="1">IFERROR(__xludf.DUMMYFUNCTION("GOOGLETRANSLATE(English!D235, ""en"", ""bg"")"),"сетива")</f>
        <v>сетива</v>
      </c>
      <c r="E235" s="1" t="str">
        <f ca="1">IFERROR(__xludf.DUMMYFUNCTION("GOOGLETRANSLATE(English!E235, ""en"", ""bg"")"),"Имам научен въпрос. Какво е важно да знаем за сетивата?")</f>
        <v>Имам научен въпрос. Какво е важно да знаем за сетивата?</v>
      </c>
      <c r="F235" s="1" t="str">
        <f ca="1">IFERROR(__xludf.DUMMYFUNCTION("GOOGLETRANSLATE(English!F235,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235" s="1" t="str">
        <f ca="1">IFERROR(__xludf.DUMMYFUNCTION("GOOGLETRANSLATE(English!G235, ""en"", ""bg"")"),"разговор")</f>
        <v>разговор</v>
      </c>
      <c r="H235" s="1" t="str">
        <f ca="1">IFERROR(__xludf.DUMMYFUNCTION("GOOGLETRANSLATE(English!H235, ""en"", ""bg"")"),"образователна_помощ")</f>
        <v>образователна_помощ</v>
      </c>
    </row>
    <row r="236" spans="1:8" ht="13.2" x14ac:dyDescent="0.25">
      <c r="A236" s="1" t="str">
        <f ca="1">IFERROR(__xludf.DUMMYFUNCTION("GOOGLETRANSLATE(English!A236, ""en"", ""bg"")"),"qa_10281")</f>
        <v>qa_10281</v>
      </c>
      <c r="B236" s="1" t="str">
        <f ca="1">IFERROR(__xludf.DUMMYFUNCTION("GOOGLETRANSLATE(English!B236, ""en"", ""bg"")"),"химия")</f>
        <v>химия</v>
      </c>
      <c r="C236" s="1" t="str">
        <f ca="1">IFERROR(__xludf.DUMMYFUNCTION("GOOGLETRANSLATE(English!C236, ""en"", ""bg"")"),"елементарен")</f>
        <v>елементарен</v>
      </c>
      <c r="D236" s="1" t="str">
        <f ca="1">IFERROR(__xludf.DUMMYFUNCTION("GOOGLETRANSLATE(English!D236, ""en"", ""bg"")"),"разтваряне")</f>
        <v>разтваряне</v>
      </c>
      <c r="E236" s="1" t="str">
        <f ca="1">IFERROR(__xludf.DUMMYFUNCTION("GOOGLETRANSLATE(English!E236, ""en"", ""bg"")"),"Какво е разтварянето?")</f>
        <v>Какво е разтварянето?</v>
      </c>
      <c r="F236" s="1" t="str">
        <f ca="1">IFERROR(__xludf.DUMMYFUNCTION("GOOGLETRANSLATE(English!F236,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236" s="1" t="str">
        <f ca="1">IFERROR(__xludf.DUMMYFUNCTION("GOOGLETRANSLATE(English!G236, ""en"", ""bg"")"),"direct_qa")</f>
        <v>direct_qa</v>
      </c>
      <c r="H236" s="1" t="str">
        <f ca="1">IFERROR(__xludf.DUMMYFUNCTION("GOOGLETRANSLATE(English!H236, ""en"", ""bg"")"),"заявка_за_знание")</f>
        <v>заявка_за_знание</v>
      </c>
    </row>
    <row r="237" spans="1:8" ht="13.2" x14ac:dyDescent="0.25">
      <c r="A237" s="1" t="str">
        <f ca="1">IFERROR(__xludf.DUMMYFUNCTION("GOOGLETRANSLATE(English!A237, ""en"", ""bg"")"),"conv_19309")</f>
        <v>conv_19309</v>
      </c>
      <c r="B237" s="1" t="str">
        <f ca="1">IFERROR(__xludf.DUMMYFUNCTION("GOOGLETRANSLATE(English!B237, ""en"", ""bg"")"),"биология")</f>
        <v>биология</v>
      </c>
      <c r="C237" s="1" t="str">
        <f ca="1">IFERROR(__xludf.DUMMYFUNCTION("GOOGLETRANSLATE(English!C237, ""en"", ""bg"")"),"високо")</f>
        <v>високо</v>
      </c>
      <c r="D237" s="1" t="str">
        <f ca="1">IFERROR(__xludf.DUMMYFUNCTION("GOOGLETRANSLATE(English!D237, ""en"", ""bg"")"),"модели на наследяване")</f>
        <v>модели на наследяване</v>
      </c>
      <c r="E237" s="1" t="str">
        <f ca="1">IFERROR(__xludf.DUMMYFUNCTION("GOOGLETRANSLATE(English!E237, ""en"", ""bg"")"),"Имам научен въпрос. Как работят моделите на наследяване?")</f>
        <v>Имам научен въпрос. Как работят моделите на наследяване?</v>
      </c>
      <c r="F237" s="1" t="str">
        <f ca="1">IFERROR(__xludf.DUMMYFUNCTION("GOOGLETRANSLATE(English!F237,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237" s="1" t="str">
        <f ca="1">IFERROR(__xludf.DUMMYFUNCTION("GOOGLETRANSLATE(English!G237, ""en"", ""bg"")"),"разговор")</f>
        <v>разговор</v>
      </c>
      <c r="H237" s="1" t="str">
        <f ca="1">IFERROR(__xludf.DUMMYFUNCTION("GOOGLETRANSLATE(English!H237, ""en"", ""bg"")"),"образователна_помощ")</f>
        <v>образователна_помощ</v>
      </c>
    </row>
    <row r="238" spans="1:8" ht="13.2" x14ac:dyDescent="0.25">
      <c r="A238" s="1" t="str">
        <f ca="1">IFERROR(__xludf.DUMMYFUNCTION("GOOGLETRANSLATE(English!A238, ""en"", ""bg"")"),"qa_05167")</f>
        <v>qa_05167</v>
      </c>
      <c r="B238" s="1" t="str">
        <f ca="1">IFERROR(__xludf.DUMMYFUNCTION("GOOGLETRANSLATE(English!B238, ""en"", ""bg"")"),"химия")</f>
        <v>химия</v>
      </c>
      <c r="C238" s="1" t="str">
        <f ca="1">IFERROR(__xludf.DUMMYFUNCTION("GOOGLETRANSLATE(English!C238, ""en"", ""bg"")"),"елементарен")</f>
        <v>елементарен</v>
      </c>
      <c r="D238" s="1" t="str">
        <f ca="1">IFERROR(__xludf.DUMMYFUNCTION("GOOGLETRANSLATE(English!D238, ""en"", ""bg"")"),"смесване на материали")</f>
        <v>смесване на материали</v>
      </c>
      <c r="E238" s="1" t="str">
        <f ca="1">IFERROR(__xludf.DUMMYFUNCTION("GOOGLETRANSLATE(English!E238, ""en"", ""bg"")"),"Защо някои неща се разтварят, а други не?")</f>
        <v>Защо някои неща се разтварят, а други не?</v>
      </c>
      <c r="F238" s="1" t="str">
        <f ca="1">IFERROR(__xludf.DUMMYFUNCTION("GOOGLETRANSLATE(English!F238,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238" s="1" t="str">
        <f ca="1">IFERROR(__xludf.DUMMYFUNCTION("GOOGLETRANSLATE(English!G238, ""en"", ""bg"")"),"direct_qa")</f>
        <v>direct_qa</v>
      </c>
      <c r="H238" s="1" t="str">
        <f ca="1">IFERROR(__xludf.DUMMYFUNCTION("GOOGLETRANSLATE(English!H238, ""en"", ""bg"")"),"заявка_за_знание")</f>
        <v>заявка_за_знание</v>
      </c>
    </row>
    <row r="239" spans="1:8" ht="13.2" x14ac:dyDescent="0.25">
      <c r="A239" s="1" t="str">
        <f ca="1">IFERROR(__xludf.DUMMYFUNCTION("GOOGLETRANSLATE(English!A239, ""en"", ""bg"")"),"qa_03723")</f>
        <v>qa_03723</v>
      </c>
      <c r="B239" s="1" t="str">
        <f ca="1">IFERROR(__xludf.DUMMYFUNCTION("GOOGLETRANSLATE(English!B239, ""en"", ""bg"")"),"биология")</f>
        <v>биология</v>
      </c>
      <c r="C239" s="1" t="str">
        <f ca="1">IFERROR(__xludf.DUMMYFUNCTION("GOOGLETRANSLATE(English!C239, ""en"", ""bg"")"),"елементарен")</f>
        <v>елементарен</v>
      </c>
      <c r="D239" s="1" t="str">
        <f ca="1">IFERROR(__xludf.DUMMYFUNCTION("GOOGLETRANSLATE(English!D239, ""en"", ""bg"")"),"човешкото тяло")</f>
        <v>човешкото тяло</v>
      </c>
      <c r="E239" s="1" t="str">
        <f ca="1">IFERROR(__xludf.DUMMYFUNCTION("GOOGLETRANSLATE(English!E239, ""en"", ""bg"")"),"Какво е важно да знаем за човешкото тяло?")</f>
        <v>Какво е важно да знаем за човешкото тяло?</v>
      </c>
      <c r="F239" s="1" t="str">
        <f ca="1">IFERROR(__xludf.DUMMYFUNCTION("GOOGLETRANSLATE(English!F239,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239" s="1" t="str">
        <f ca="1">IFERROR(__xludf.DUMMYFUNCTION("GOOGLETRANSLATE(English!G239, ""en"", ""bg"")"),"direct_qa")</f>
        <v>direct_qa</v>
      </c>
      <c r="H239" s="1" t="str">
        <f ca="1">IFERROR(__xludf.DUMMYFUNCTION("GOOGLETRANSLATE(English!H239, ""en"", ""bg"")"),"заявка_за_знание")</f>
        <v>заявка_за_знание</v>
      </c>
    </row>
    <row r="240" spans="1:8" ht="13.2" x14ac:dyDescent="0.25">
      <c r="A240" s="1" t="str">
        <f ca="1">IFERROR(__xludf.DUMMYFUNCTION("GOOGLETRANSLATE(English!A240, ""en"", ""bg"")"),"conv_01661")</f>
        <v>conv_01661</v>
      </c>
      <c r="B240" s="1" t="str">
        <f ca="1">IFERROR(__xludf.DUMMYFUNCTION("GOOGLETRANSLATE(English!B240, ""en"", ""bg"")"),"химия")</f>
        <v>химия</v>
      </c>
      <c r="C240" s="1" t="str">
        <f ca="1">IFERROR(__xludf.DUMMYFUNCTION("GOOGLETRANSLATE(English!C240, ""en"", ""bg"")"),"средата")</f>
        <v>средата</v>
      </c>
      <c r="D240" s="1" t="str">
        <f ca="1">IFERROR(__xludf.DUMMYFUNCTION("GOOGLETRANSLATE(English!D240, ""en"", ""bg"")"),"съединения срещу елементи")</f>
        <v>съединения срещу елементи</v>
      </c>
      <c r="E240" s="1" t="str">
        <f ca="1">IFERROR(__xludf.DUMMYFUNCTION("GOOGLETRANSLATE(English!E240, ""en"", ""bg"")"),"Не разбирам тази тема. Какво е сравнението между съединения и елементи?")</f>
        <v>Не разбирам тази тема. Какво е сравнението между съединения и елементи?</v>
      </c>
      <c r="F240" s="1" t="str">
        <f ca="1">IFERROR(__xludf.DUMMYFUNCTION("GOOGLETRANSLATE(English!F240,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240" s="1" t="str">
        <f ca="1">IFERROR(__xludf.DUMMYFUNCTION("GOOGLETRANSLATE(English!G240, ""en"", ""bg"")"),"разговор")</f>
        <v>разговор</v>
      </c>
      <c r="H240" s="1" t="str">
        <f ca="1">IFERROR(__xludf.DUMMYFUNCTION("GOOGLETRANSLATE(English!H240, ""en"", ""bg"")"),"образователна_помощ")</f>
        <v>образователна_помощ</v>
      </c>
    </row>
    <row r="241" spans="1:8" ht="13.2" x14ac:dyDescent="0.25">
      <c r="A241" s="1" t="str">
        <f ca="1">IFERROR(__xludf.DUMMYFUNCTION("GOOGLETRANSLATE(English!A241, ""en"", ""bg"")"),"hw_04006")</f>
        <v>hw_04006</v>
      </c>
      <c r="B241" s="1" t="str">
        <f ca="1">IFERROR(__xludf.DUMMYFUNCTION("GOOGLETRANSLATE(English!B241, ""en"", ""bg"")"),"физика")</f>
        <v>физика</v>
      </c>
      <c r="C241" s="1" t="str">
        <f ca="1">IFERROR(__xludf.DUMMYFUNCTION("GOOGLETRANSLATE(English!C241, ""en"", ""bg"")"),"елементарен")</f>
        <v>елементарен</v>
      </c>
      <c r="D241" s="1" t="str">
        <f ca="1">IFERROR(__xludf.DUMMYFUNCTION("GOOGLETRANSLATE(English!D241, ""en"", ""bg"")"),"светлина и сянка")</f>
        <v>светлина и сянка</v>
      </c>
      <c r="E241" s="1" t="str">
        <f ca="1">IFERROR(__xludf.DUMMYFUNCTION("GOOGLETRANSLATE(English!E241,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241" s="1" t="str">
        <f ca="1">IFERROR(__xludf.DUMMYFUNCTION("GOOGLETRANSLATE(English!F241,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241" s="1" t="str">
        <f ca="1">IFERROR(__xludf.DUMMYFUNCTION("GOOGLETRANSLATE(English!G241, ""en"", ""bg"")"),"помощ_за_домашно_изпълнение")</f>
        <v>помощ_за_домашно_изпълнение</v>
      </c>
      <c r="H241" s="1" t="str">
        <f ca="1">IFERROR(__xludf.DUMMYFUNCTION("GOOGLETRANSLATE(English!H241, ""en"", ""bg"")"),"помощ_за_домашно_задаване")</f>
        <v>помощ_за_домашно_задаване</v>
      </c>
    </row>
    <row r="242" spans="1:8" ht="13.2" x14ac:dyDescent="0.25">
      <c r="A242" s="1" t="str">
        <f ca="1">IFERROR(__xludf.DUMMYFUNCTION("GOOGLETRANSLATE(English!A242, ""en"", ""bg"")"),"qa_05057")</f>
        <v>qa_05057</v>
      </c>
      <c r="B242" s="1" t="str">
        <f ca="1">IFERROR(__xludf.DUMMYFUNCTION("GOOGLETRANSLATE(English!B242, ""en"", ""bg"")"),"физика")</f>
        <v>физика</v>
      </c>
      <c r="C242" s="1" t="str">
        <f ca="1">IFERROR(__xludf.DUMMYFUNCTION("GOOGLETRANSLATE(English!C242, ""en"", ""bg"")"),"високо")</f>
        <v>високо</v>
      </c>
      <c r="D242" s="1" t="str">
        <f ca="1">IFERROR(__xludf.DUMMYFUNCTION("GOOGLETRANSLATE(English!D242, ""en"", ""bg"")"),"радиоактивност")</f>
        <v>радиоактивност</v>
      </c>
      <c r="E242" s="1" t="str">
        <f ca="1">IFERROR(__xludf.DUMMYFUNCTION("GOOGLETRANSLATE(English!E242, ""en"", ""bg"")"),"Как работи радиоактивността във физиката?")</f>
        <v>Как работи радиоактивността във физиката?</v>
      </c>
      <c r="F242" s="1" t="str">
        <f ca="1">IFERROR(__xludf.DUMMYFUNCTION("GOOGLETRANSLATE(English!F242,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242" s="1" t="str">
        <f ca="1">IFERROR(__xludf.DUMMYFUNCTION("GOOGLETRANSLATE(English!G242, ""en"", ""bg"")"),"direct_qa")</f>
        <v>direct_qa</v>
      </c>
      <c r="H242" s="1" t="str">
        <f ca="1">IFERROR(__xludf.DUMMYFUNCTION("GOOGLETRANSLATE(English!H242, ""en"", ""bg"")"),"заявка_за_знание")</f>
        <v>заявка_за_знание</v>
      </c>
    </row>
    <row r="243" spans="1:8" ht="13.2" x14ac:dyDescent="0.25">
      <c r="A243" s="1" t="str">
        <f ca="1">IFERROR(__xludf.DUMMYFUNCTION("GOOGLETRANSLATE(English!A243, ""en"", ""bg"")"),"conv_01893")</f>
        <v>conv_01893</v>
      </c>
      <c r="B243" s="1" t="str">
        <f ca="1">IFERROR(__xludf.DUMMYFUNCTION("GOOGLETRANSLATE(English!B243, ""en"", ""bg"")"),"химия")</f>
        <v>химия</v>
      </c>
      <c r="C243" s="1" t="str">
        <f ca="1">IFERROR(__xludf.DUMMYFUNCTION("GOOGLETRANSLATE(English!C243, ""en"", ""bg"")"),"средата")</f>
        <v>средата</v>
      </c>
      <c r="D243" s="1" t="str">
        <f ca="1">IFERROR(__xludf.DUMMYFUNCTION("GOOGLETRANSLATE(English!D243, ""en"", ""bg"")"),"киселини и основи")</f>
        <v>киселини и основи</v>
      </c>
      <c r="E243" s="1" t="str">
        <f ca="1">IFERROR(__xludf.DUMMYFUNCTION("GOOGLETRANSLATE(English!E243, ""en"", ""bg"")"),"Помогнете ми да уча за теста. Защо е важно да се учат киселини и основи?")</f>
        <v>Помогнете ми да уча за теста. Защо е важно да се учат киселини и основи?</v>
      </c>
      <c r="F243" s="1" t="str">
        <f ca="1">IFERROR(__xludf.DUMMYFUNCTION("GOOGLETRANSLATE(English!F243,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243" s="1" t="str">
        <f ca="1">IFERROR(__xludf.DUMMYFUNCTION("GOOGLETRANSLATE(English!G243, ""en"", ""bg"")"),"разговор")</f>
        <v>разговор</v>
      </c>
      <c r="H243" s="1" t="str">
        <f ca="1">IFERROR(__xludf.DUMMYFUNCTION("GOOGLETRANSLATE(English!H243, ""en"", ""bg"")"),"образователна_помощ")</f>
        <v>образователна_помощ</v>
      </c>
    </row>
    <row r="244" spans="1:8" ht="13.2" x14ac:dyDescent="0.25">
      <c r="A244" s="1" t="str">
        <f ca="1">IFERROR(__xludf.DUMMYFUNCTION("GOOGLETRANSLATE(English!A244, ""en"", ""bg"")"),"hw_06057")</f>
        <v>hw_06057</v>
      </c>
      <c r="B244" s="1" t="str">
        <f ca="1">IFERROR(__xludf.DUMMYFUNCTION("GOOGLETRANSLATE(English!B244, ""en"", ""bg"")"),"биология")</f>
        <v>биология</v>
      </c>
      <c r="C244" s="1" t="str">
        <f ca="1">IFERROR(__xludf.DUMMYFUNCTION("GOOGLETRANSLATE(English!C244, ""en"", ""bg"")"),"елементарен")</f>
        <v>елементарен</v>
      </c>
      <c r="D244" s="1" t="str">
        <f ca="1">IFERROR(__xludf.DUMMYFUNCTION("GOOGLETRANSLATE(English!D244, ""en"", ""bg"")"),"животни")</f>
        <v>животни</v>
      </c>
      <c r="E244" s="1" t="str">
        <f ca="1">IFERROR(__xludf.DUMMYFUNCTION("GOOGLETRANSLATE(English!E244, ""en"", ""bg"")"),"Можете ли да обясните за животните за моя научен проект?")</f>
        <v>Можете ли да обясните за животните за моя научен проект?</v>
      </c>
      <c r="F244" s="1" t="str">
        <f ca="1">IFERROR(__xludf.DUMMYFUNCTION("GOOGLETRANSLATE(English!F244,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244" s="1" t="str">
        <f ca="1">IFERROR(__xludf.DUMMYFUNCTION("GOOGLETRANSLATE(English!G244, ""en"", ""bg"")"),"помощ_за_домашно_изпълнение")</f>
        <v>помощ_за_домашно_изпълнение</v>
      </c>
      <c r="H244" s="1" t="str">
        <f ca="1">IFERROR(__xludf.DUMMYFUNCTION("GOOGLETRANSLATE(English!H244, ""en"", ""bg"")"),"помощ_за_домашно_задаване")</f>
        <v>помощ_за_домашно_задаване</v>
      </c>
    </row>
    <row r="245" spans="1:8" ht="13.2" x14ac:dyDescent="0.25">
      <c r="A245" s="1" t="str">
        <f ca="1">IFERROR(__xludf.DUMMYFUNCTION("GOOGLETRANSLATE(English!A245, ""en"", ""bg"")"),"conv_05242")</f>
        <v>conv_05242</v>
      </c>
      <c r="B245" s="1" t="str">
        <f ca="1">IFERROR(__xludf.DUMMYFUNCTION("GOOGLETRANSLATE(English!B245, ""en"", ""bg"")"),"химия")</f>
        <v>химия</v>
      </c>
      <c r="C245" s="1" t="str">
        <f ca="1">IFERROR(__xludf.DUMMYFUNCTION("GOOGLETRANSLATE(English!C245, ""en"", ""bg"")"),"високо")</f>
        <v>високо</v>
      </c>
      <c r="D245" s="1" t="str">
        <f ca="1">IFERROR(__xludf.DUMMYFUNCTION("GOOGLETRANSLATE(English!D245, ""en"", ""bg"")"),"скорости на реакция")</f>
        <v>скорости на реакция</v>
      </c>
      <c r="E245" s="1" t="str">
        <f ca="1">IFERROR(__xludf.DUMMYFUNCTION("GOOGLETRANSLATE(English!E245, ""en"", ""bg"")"),"Имам нужда от помощ с домашното. Можете ли да ми помогнете да разбера скоростта на реакция?")</f>
        <v>Имам нужда от помощ с домашното. Можете ли да ми помогнете да разбера скоростта на реакция?</v>
      </c>
      <c r="F245" s="1" t="str">
        <f ca="1">IFERROR(__xludf.DUMMYFUNCTION("GOOGLETRANSLATE(English!F245,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245" s="1" t="str">
        <f ca="1">IFERROR(__xludf.DUMMYFUNCTION("GOOGLETRANSLATE(English!G245, ""en"", ""bg"")"),"разговор")</f>
        <v>разговор</v>
      </c>
      <c r="H245" s="1" t="str">
        <f ca="1">IFERROR(__xludf.DUMMYFUNCTION("GOOGLETRANSLATE(English!H245, ""en"", ""bg"")"),"образователна_помощ")</f>
        <v>образователна_помощ</v>
      </c>
    </row>
    <row r="246" spans="1:8" ht="13.2" x14ac:dyDescent="0.25">
      <c r="A246" s="1" t="str">
        <f ca="1">IFERROR(__xludf.DUMMYFUNCTION("GOOGLETRANSLATE(English!A246, ""en"", ""bg"")"),"conv_01185")</f>
        <v>conv_01185</v>
      </c>
      <c r="B246" s="1" t="str">
        <f ca="1">IFERROR(__xludf.DUMMYFUNCTION("GOOGLETRANSLATE(English!B246, ""en"", ""bg"")"),"физика")</f>
        <v>физика</v>
      </c>
      <c r="C246" s="1" t="str">
        <f ca="1">IFERROR(__xludf.DUMMYFUNCTION("GOOGLETRANSLATE(English!C246, ""en"", ""bg"")"),"средата")</f>
        <v>средата</v>
      </c>
      <c r="D246" s="1" t="str">
        <f ca="1">IFERROR(__xludf.DUMMYFUNCTION("GOOGLETRANSLATE(English!D246, ""en"", ""bg"")"),"вълни")</f>
        <v>вълни</v>
      </c>
      <c r="E246" s="1" t="str">
        <f ca="1">IFERROR(__xludf.DUMMYFUNCTION("GOOGLETRANSLATE(English!E246, ""en"", ""bg"")"),"Не разбирам тази тема. Защо вълните са важни?")</f>
        <v>Не разбирам тази тема. Защо вълните са важни?</v>
      </c>
      <c r="F246" s="1" t="str">
        <f ca="1">IFERROR(__xludf.DUMMYFUNCTION("GOOGLETRANSLATE(English!F246,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246" s="1" t="str">
        <f ca="1">IFERROR(__xludf.DUMMYFUNCTION("GOOGLETRANSLATE(English!G246, ""en"", ""bg"")"),"разговор")</f>
        <v>разговор</v>
      </c>
      <c r="H246" s="1" t="str">
        <f ca="1">IFERROR(__xludf.DUMMYFUNCTION("GOOGLETRANSLATE(English!H246, ""en"", ""bg"")"),"образователна_помощ")</f>
        <v>образователна_помощ</v>
      </c>
    </row>
    <row r="247" spans="1:8" ht="13.2" x14ac:dyDescent="0.25">
      <c r="A247" s="1" t="str">
        <f ca="1">IFERROR(__xludf.DUMMYFUNCTION("GOOGLETRANSLATE(English!A247, ""en"", ""bg"")"),"qa_06559")</f>
        <v>qa_06559</v>
      </c>
      <c r="B247" s="1" t="str">
        <f ca="1">IFERROR(__xludf.DUMMYFUNCTION("GOOGLETRANSLATE(English!B247, ""en"", ""bg"")"),"химия")</f>
        <v>химия</v>
      </c>
      <c r="C247" s="1" t="str">
        <f ca="1">IFERROR(__xludf.DUMMYFUNCTION("GOOGLETRANSLATE(English!C247, ""en"", ""bg"")"),"елементарен")</f>
        <v>елементарен</v>
      </c>
      <c r="D247" s="1" t="str">
        <f ca="1">IFERROR(__xludf.DUMMYFUNCTION("GOOGLETRANSLATE(English!D247, ""en"", ""bg"")"),"безопасност")</f>
        <v>безопасност</v>
      </c>
      <c r="E247" s="1" t="str">
        <f ca="1">IFERROR(__xludf.DUMMYFUNCTION("GOOGLETRANSLATE(English!E247, ""en"", ""bg"")"),"Можете ли да ми помогнете да разбера безопасността?")</f>
        <v>Можете ли да ми помогнете да разбера безопасността?</v>
      </c>
      <c r="F247" s="1" t="str">
        <f ca="1">IFERROR(__xludf.DUMMYFUNCTION("GOOGLETRANSLATE(English!F247,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247" s="1" t="str">
        <f ca="1">IFERROR(__xludf.DUMMYFUNCTION("GOOGLETRANSLATE(English!G247, ""en"", ""bg"")"),"direct_qa")</f>
        <v>direct_qa</v>
      </c>
      <c r="H247" s="1" t="str">
        <f ca="1">IFERROR(__xludf.DUMMYFUNCTION("GOOGLETRANSLATE(English!H247, ""en"", ""bg"")"),"заявка_за_знание")</f>
        <v>заявка_за_знание</v>
      </c>
    </row>
    <row r="248" spans="1:8" ht="13.2" x14ac:dyDescent="0.25">
      <c r="A248" s="1" t="str">
        <f ca="1">IFERROR(__xludf.DUMMYFUNCTION("GOOGLETRANSLATE(English!A248, ""en"", ""bg"")"),"qa_05414")</f>
        <v>qa_05414</v>
      </c>
      <c r="B248" s="1" t="str">
        <f ca="1">IFERROR(__xludf.DUMMYFUNCTION("GOOGLETRANSLATE(English!B248, ""en"", ""bg"")"),"химия")</f>
        <v>химия</v>
      </c>
      <c r="C248" s="1" t="str">
        <f ca="1">IFERROR(__xludf.DUMMYFUNCTION("GOOGLETRANSLATE(English!C248, ""en"", ""bg"")"),"средата")</f>
        <v>средата</v>
      </c>
      <c r="D248" s="1" t="str">
        <f ca="1">IFERROR(__xludf.DUMMYFUNCTION("GOOGLETRANSLATE(English!D248, ""en"", ""bg"")"),"химични реакции")</f>
        <v>химични реакции</v>
      </c>
      <c r="E248" s="1" t="str">
        <f ca="1">IFERROR(__xludf.DUMMYFUNCTION("GOOGLETRANSLATE(English!E248, ""en"", ""bg"")"),"Как да разберете дали е възникнала химическа реакция?")</f>
        <v>Как да разберете дали е възникнала химическа реакция?</v>
      </c>
      <c r="F248" s="1" t="str">
        <f ca="1">IFERROR(__xludf.DUMMYFUNCTION("GOOGLETRANSLATE(English!F248,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248" s="1" t="str">
        <f ca="1">IFERROR(__xludf.DUMMYFUNCTION("GOOGLETRANSLATE(English!G248, ""en"", ""bg"")"),"direct_qa")</f>
        <v>direct_qa</v>
      </c>
      <c r="H248" s="1" t="str">
        <f ca="1">IFERROR(__xludf.DUMMYFUNCTION("GOOGLETRANSLATE(English!H248, ""en"", ""bg"")"),"заявка_за_знание")</f>
        <v>заявка_за_знание</v>
      </c>
    </row>
    <row r="249" spans="1:8" ht="13.2" x14ac:dyDescent="0.25">
      <c r="A249" s="1" t="str">
        <f ca="1">IFERROR(__xludf.DUMMYFUNCTION("GOOGLETRANSLATE(English!A249, ""en"", ""bg"")"),"hw_01594")</f>
        <v>hw_01594</v>
      </c>
      <c r="B249" s="1" t="str">
        <f ca="1">IFERROR(__xludf.DUMMYFUNCTION("GOOGLETRANSLATE(English!B249, ""en"", ""bg"")"),"биология")</f>
        <v>биология</v>
      </c>
      <c r="C249" s="1" t="str">
        <f ca="1">IFERROR(__xludf.DUMMYFUNCTION("GOOGLETRANSLATE(English!C249, ""en"", ""bg"")"),"високо")</f>
        <v>високо</v>
      </c>
      <c r="D249" s="1" t="str">
        <f ca="1">IFERROR(__xludf.DUMMYFUNCTION("GOOGLETRANSLATE(English!D249, ""en"", ""bg"")"),"синтез на протеини")</f>
        <v>синтез на протеини</v>
      </c>
      <c r="E249" s="1" t="str">
        <f ca="1">IFERROR(__xludf.DUMMYFUNCTION("GOOGLETRANSLATE(English!E249,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249" s="1" t="str">
        <f ca="1">IFERROR(__xludf.DUMMYFUNCTION("GOOGLETRANSLATE(English!F249,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249" s="1" t="str">
        <f ca="1">IFERROR(__xludf.DUMMYFUNCTION("GOOGLETRANSLATE(English!G249, ""en"", ""bg"")"),"помощ_за_домашно_изпълнение")</f>
        <v>помощ_за_домашно_изпълнение</v>
      </c>
      <c r="H249" s="1" t="str">
        <f ca="1">IFERROR(__xludf.DUMMYFUNCTION("GOOGLETRANSLATE(English!H249, ""en"", ""bg"")"),"помощ_за_домашно_задаване")</f>
        <v>помощ_за_домашно_задаване</v>
      </c>
    </row>
    <row r="250" spans="1:8" ht="13.2" x14ac:dyDescent="0.25">
      <c r="A250" s="1" t="str">
        <f ca="1">IFERROR(__xludf.DUMMYFUNCTION("GOOGLETRANSLATE(English!A250, ""en"", ""bg"")"),"conv_12302")</f>
        <v>conv_12302</v>
      </c>
      <c r="B250" s="1" t="str">
        <f ca="1">IFERROR(__xludf.DUMMYFUNCTION("GOOGLETRANSLATE(English!B250, ""en"", ""bg"")"),"физика")</f>
        <v>физика</v>
      </c>
      <c r="C250" s="1" t="str">
        <f ca="1">IFERROR(__xludf.DUMMYFUNCTION("GOOGLETRANSLATE(English!C250, ""en"", ""bg"")"),"елементарен")</f>
        <v>елементарен</v>
      </c>
      <c r="D250" s="1" t="str">
        <f ca="1">IFERROR(__xludf.DUMMYFUNCTION("GOOGLETRANSLATE(English!D250, ""en"", ""bg"")"),"светлина и сянка")</f>
        <v>светлина и сянка</v>
      </c>
      <c r="E250" s="1" t="str">
        <f ca="1">IFERROR(__xludf.DUMMYFUNCTION("GOOGLETRANSLATE(English!E250, ""en"", ""bg"")"),"Здравей, преподавателю! Защо виждаме цветове?")</f>
        <v>Здравей, преподавателю! Защо виждаме цветове?</v>
      </c>
      <c r="F250" s="1" t="str">
        <f ca="1">IFERROR(__xludf.DUMMYFUNCTION("GOOGLETRANSLATE(English!F250,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250" s="1" t="str">
        <f ca="1">IFERROR(__xludf.DUMMYFUNCTION("GOOGLETRANSLATE(English!G250, ""en"", ""bg"")"),"разговор")</f>
        <v>разговор</v>
      </c>
      <c r="H250" s="1" t="str">
        <f ca="1">IFERROR(__xludf.DUMMYFUNCTION("GOOGLETRANSLATE(English!H250, ""en"", ""bg"")"),"образователна_помощ")</f>
        <v>образователна_помощ</v>
      </c>
    </row>
    <row r="251" spans="1:8" ht="13.2" x14ac:dyDescent="0.25">
      <c r="A251" s="1" t="str">
        <f ca="1">IFERROR(__xludf.DUMMYFUNCTION("GOOGLETRANSLATE(English!A251, ""en"", ""bg"")"),"qa_01142")</f>
        <v>qa_01142</v>
      </c>
      <c r="B251" s="1" t="str">
        <f ca="1">IFERROR(__xludf.DUMMYFUNCTION("GOOGLETRANSLATE(English!B251, ""en"", ""bg"")"),"физика")</f>
        <v>физика</v>
      </c>
      <c r="C251" s="1" t="str">
        <f ca="1">IFERROR(__xludf.DUMMYFUNCTION("GOOGLETRANSLATE(English!C251, ""en"", ""bg"")"),"високо")</f>
        <v>високо</v>
      </c>
      <c r="D251" s="1" t="str">
        <f ca="1">IFERROR(__xludf.DUMMYFUNCTION("GOOGLETRANSLATE(English!D251, ""en"", ""bg"")"),"термодинамика")</f>
        <v>термодинамика</v>
      </c>
      <c r="E251" s="1" t="str">
        <f ca="1">IFERROR(__xludf.DUMMYFUNCTION("GOOGLETRANSLATE(English!E251, ""en"", ""bg"")"),"Можете ли да ми обясните термодинамиката?")</f>
        <v>Можете ли да ми обясните термодинамиката?</v>
      </c>
      <c r="F251" s="1" t="str">
        <f ca="1">IFERROR(__xludf.DUMMYFUNCTION("GOOGLETRANSLATE(English!F251,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251" s="1" t="str">
        <f ca="1">IFERROR(__xludf.DUMMYFUNCTION("GOOGLETRANSLATE(English!G251, ""en"", ""bg"")"),"direct_qa")</f>
        <v>direct_qa</v>
      </c>
      <c r="H251" s="1" t="str">
        <f ca="1">IFERROR(__xludf.DUMMYFUNCTION("GOOGLETRANSLATE(English!H251, ""en"", ""bg"")"),"заявка_за_знание")</f>
        <v>заявка_за_знание</v>
      </c>
    </row>
    <row r="252" spans="1:8" ht="13.2" x14ac:dyDescent="0.25">
      <c r="A252" s="1" t="str">
        <f ca="1">IFERROR(__xludf.DUMMYFUNCTION("GOOGLETRANSLATE(English!A252, ""en"", ""bg"")"),"hw_07140")</f>
        <v>hw_07140</v>
      </c>
      <c r="B252" s="1" t="str">
        <f ca="1">IFERROR(__xludf.DUMMYFUNCTION("GOOGLETRANSLATE(English!B252, ""en"", ""bg"")"),"химия")</f>
        <v>химия</v>
      </c>
      <c r="C252" s="1" t="str">
        <f ca="1">IFERROR(__xludf.DUMMYFUNCTION("GOOGLETRANSLATE(English!C252, ""en"", ""bg"")"),"високо")</f>
        <v>високо</v>
      </c>
      <c r="D252" s="1" t="str">
        <f ca="1">IFERROR(__xludf.DUMMYFUNCTION("GOOGLETRANSLATE(English!D252, ""en"", ""bg"")"),"химическо свързване")</f>
        <v>химическо свързване</v>
      </c>
      <c r="E252" s="1" t="str">
        <f ca="1">IFERROR(__xludf.DUMMYFUNCTION("GOOGLETRANSLATE(English!E252,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252" s="1" t="str">
        <f ca="1">IFERROR(__xludf.DUMMYFUNCTION("GOOGLETRANSLATE(English!F252,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252" s="1" t="str">
        <f ca="1">IFERROR(__xludf.DUMMYFUNCTION("GOOGLETRANSLATE(English!G252, ""en"", ""bg"")"),"помощ_за_домашно_изпълнение")</f>
        <v>помощ_за_домашно_изпълнение</v>
      </c>
      <c r="H252" s="1" t="str">
        <f ca="1">IFERROR(__xludf.DUMMYFUNCTION("GOOGLETRANSLATE(English!H252, ""en"", ""bg"")"),"помощ_за_домашно_задаване")</f>
        <v>помощ_за_домашно_задаване</v>
      </c>
    </row>
    <row r="253" spans="1:8" ht="13.2" x14ac:dyDescent="0.25">
      <c r="A253" s="1" t="str">
        <f ca="1">IFERROR(__xludf.DUMMYFUNCTION("GOOGLETRANSLATE(English!A253, ""en"", ""bg"")"),"conv_01189")</f>
        <v>conv_01189</v>
      </c>
      <c r="B253" s="1" t="str">
        <f ca="1">IFERROR(__xludf.DUMMYFUNCTION("GOOGLETRANSLATE(English!B253, ""en"", ""bg"")"),"физика")</f>
        <v>физика</v>
      </c>
      <c r="C253" s="1" t="str">
        <f ca="1">IFERROR(__xludf.DUMMYFUNCTION("GOOGLETRANSLATE(English!C253, ""en"", ""bg"")"),"средата")</f>
        <v>средата</v>
      </c>
      <c r="D253" s="1" t="str">
        <f ca="1">IFERROR(__xludf.DUMMYFUNCTION("GOOGLETRANSLATE(English!D253, ""en"", ""bg"")"),"основи на електричеството")</f>
        <v>основи на електричеството</v>
      </c>
      <c r="E253" s="1" t="str">
        <f ca="1">IFERROR(__xludf.DUMMYFUNCTION("GOOGLETRANSLATE(English!E253, ""en"", ""bg"")"),"Можете ли да ми обясните това? Можете ли да ми обясните основите на електричеството?")</f>
        <v>Можете ли да ми обясните това? Можете ли да ми обясните основите на електричеството?</v>
      </c>
      <c r="F253" s="1" t="str">
        <f ca="1">IFERROR(__xludf.DUMMYFUNCTION("GOOGLETRANSLATE(English!F253,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253" s="1" t="str">
        <f ca="1">IFERROR(__xludf.DUMMYFUNCTION("GOOGLETRANSLATE(English!G253, ""en"", ""bg"")"),"разговор")</f>
        <v>разговор</v>
      </c>
      <c r="H253" s="1" t="str">
        <f ca="1">IFERROR(__xludf.DUMMYFUNCTION("GOOGLETRANSLATE(English!H253, ""en"", ""bg"")"),"образователна_помощ")</f>
        <v>образователна_помощ</v>
      </c>
    </row>
    <row r="254" spans="1:8" ht="13.2" x14ac:dyDescent="0.25">
      <c r="A254" s="1" t="str">
        <f ca="1">IFERROR(__xludf.DUMMYFUNCTION("GOOGLETRANSLATE(English!A254, ""en"", ""bg"")"),"conv_17289")</f>
        <v>conv_17289</v>
      </c>
      <c r="B254" s="1" t="str">
        <f ca="1">IFERROR(__xludf.DUMMYFUNCTION("GOOGLETRANSLATE(English!B254, ""en"", ""bg"")"),"биология")</f>
        <v>биология</v>
      </c>
      <c r="C254" s="1" t="str">
        <f ca="1">IFERROR(__xludf.DUMMYFUNCTION("GOOGLETRANSLATE(English!C254, ""en"", ""bg"")"),"високо")</f>
        <v>високо</v>
      </c>
      <c r="D254" s="1" t="str">
        <f ca="1">IFERROR(__xludf.DUMMYFUNCTION("GOOGLETRANSLATE(English!D254, ""en"", ""bg"")"),"модели на наследяване")</f>
        <v>модели на наследяване</v>
      </c>
      <c r="E254" s="1" t="str">
        <f ca="1">IFERROR(__xludf.DUMMYFUNCTION("GOOGLETRANSLATE(English!E254, ""en"", ""bg"")"),"Можете ли да ми обясните това? Можете ли да ми разкажете за моделите на наследяване?")</f>
        <v>Можете ли да ми обясните това? Можете ли да ми разкажете за моделите на наследяване?</v>
      </c>
      <c r="F254" s="1" t="str">
        <f ca="1">IFERROR(__xludf.DUMMYFUNCTION("GOOGLETRANSLATE(English!F254,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254" s="1" t="str">
        <f ca="1">IFERROR(__xludf.DUMMYFUNCTION("GOOGLETRANSLATE(English!G254, ""en"", ""bg"")"),"разговор")</f>
        <v>разговор</v>
      </c>
      <c r="H254" s="1" t="str">
        <f ca="1">IFERROR(__xludf.DUMMYFUNCTION("GOOGLETRANSLATE(English!H254, ""en"", ""bg"")"),"образователна_помощ")</f>
        <v>образователна_помощ</v>
      </c>
    </row>
    <row r="255" spans="1:8" ht="13.2" x14ac:dyDescent="0.25">
      <c r="A255" s="1" t="str">
        <f ca="1">IFERROR(__xludf.DUMMYFUNCTION("GOOGLETRANSLATE(English!A255, ""en"", ""bg"")"),"conv_16805")</f>
        <v>conv_16805</v>
      </c>
      <c r="B255" s="1" t="str">
        <f ca="1">IFERROR(__xludf.DUMMYFUNCTION("GOOGLETRANSLATE(English!B255, ""en"", ""bg"")"),"биология")</f>
        <v>биология</v>
      </c>
      <c r="C255" s="1" t="str">
        <f ca="1">IFERROR(__xludf.DUMMYFUNCTION("GOOGLETRANSLATE(English!C255, ""en"", ""bg"")"),"високо")</f>
        <v>високо</v>
      </c>
      <c r="D255" s="1" t="str">
        <f ca="1">IFERROR(__xludf.DUMMYFUNCTION("GOOGLETRANSLATE(English!D255, ""en"", ""bg"")"),"митоза и мейоза")</f>
        <v>митоза и мейоза</v>
      </c>
      <c r="E255" s="1" t="str">
        <f ca="1">IFERROR(__xludf.DUMMYFUNCTION("GOOGLETRANSLATE(English!E255, ""en"", ""bg"")"),"Можете ли да ми обясните това? Можете ли да ми разкажете за митозата и мейозата?")</f>
        <v>Можете ли да ми обясните това? Можете ли да ми разкажете за митозата и мейозата?</v>
      </c>
      <c r="F255" s="1" t="str">
        <f ca="1">IFERROR(__xludf.DUMMYFUNCTION("GOOGLETRANSLATE(English!F255,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255" s="1" t="str">
        <f ca="1">IFERROR(__xludf.DUMMYFUNCTION("GOOGLETRANSLATE(English!G255, ""en"", ""bg"")"),"разговор")</f>
        <v>разговор</v>
      </c>
      <c r="H255" s="1" t="str">
        <f ca="1">IFERROR(__xludf.DUMMYFUNCTION("GOOGLETRANSLATE(English!H255, ""en"", ""bg"")"),"образователна_помощ")</f>
        <v>образователна_помощ</v>
      </c>
    </row>
    <row r="256" spans="1:8" ht="13.2" x14ac:dyDescent="0.25">
      <c r="A256" s="1" t="str">
        <f ca="1">IFERROR(__xludf.DUMMYFUNCTION("GOOGLETRANSLATE(English!A256, ""en"", ""bg"")"),"conv_08350")</f>
        <v>conv_08350</v>
      </c>
      <c r="B256" s="1" t="str">
        <f ca="1">IFERROR(__xludf.DUMMYFUNCTION("GOOGLETRANSLATE(English!B256, ""en"", ""bg"")"),"химия")</f>
        <v>химия</v>
      </c>
      <c r="C256" s="1" t="str">
        <f ca="1">IFERROR(__xludf.DUMMYFUNCTION("GOOGLETRANSLATE(English!C256, ""en"", ""bg"")"),"високо")</f>
        <v>високо</v>
      </c>
      <c r="D256" s="1" t="str">
        <f ca="1">IFERROR(__xludf.DUMMYFUNCTION("GOOGLETRANSLATE(English!D256, ""en"", ""bg"")"),"стехиометрия")</f>
        <v>стехиометрия</v>
      </c>
      <c r="E256" s="1" t="str">
        <f ca="1">IFERROR(__xludf.DUMMYFUNCTION("GOOGLETRANSLATE(English!E256, ""en"", ""bg"")"),"Имам нужда от помощ с домашното. Защо е важно да се учи стехиометрията?")</f>
        <v>Имам нужда от помощ с домашното. Защо е важно да се учи стехиометрията?</v>
      </c>
      <c r="F256" s="1" t="str">
        <f ca="1">IFERROR(__xludf.DUMMYFUNCTION("GOOGLETRANSLATE(English!F256,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256" s="1" t="str">
        <f ca="1">IFERROR(__xludf.DUMMYFUNCTION("GOOGLETRANSLATE(English!G256, ""en"", ""bg"")"),"разговор")</f>
        <v>разговор</v>
      </c>
      <c r="H256" s="1" t="str">
        <f ca="1">IFERROR(__xludf.DUMMYFUNCTION("GOOGLETRANSLATE(English!H256, ""en"", ""bg"")"),"образователна_помощ")</f>
        <v>образователна_помощ</v>
      </c>
    </row>
    <row r="257" spans="1:8" ht="13.2" x14ac:dyDescent="0.25">
      <c r="A257" s="1" t="str">
        <f ca="1">IFERROR(__xludf.DUMMYFUNCTION("GOOGLETRANSLATE(English!A257, ""en"", ""bg"")"),"conv_08522")</f>
        <v>conv_08522</v>
      </c>
      <c r="B257" s="1" t="str">
        <f ca="1">IFERROR(__xludf.DUMMYFUNCTION("GOOGLETRANSLATE(English!B257, ""en"", ""bg"")"),"физика")</f>
        <v>физика</v>
      </c>
      <c r="C257" s="1" t="str">
        <f ca="1">IFERROR(__xludf.DUMMYFUNCTION("GOOGLETRANSLATE(English!C257, ""en"", ""bg"")"),"елементарен")</f>
        <v>елементарен</v>
      </c>
      <c r="D257" s="1" t="str">
        <f ca="1">IFERROR(__xludf.DUMMYFUNCTION("GOOGLETRANSLATE(English!D257, ""en"", ""bg"")"),"прости машини")</f>
        <v>прости машини</v>
      </c>
      <c r="E257" s="1" t="str">
        <f ca="1">IFERROR(__xludf.DUMMYFUNCTION("GOOGLETRANSLATE(English!E257, ""en"", ""bg"")"),"Можете ли да ми обясните това? Как работят прости машини във физиката?")</f>
        <v>Можете ли да ми обясните това? Как работят прости машини във физиката?</v>
      </c>
      <c r="F257" s="1" t="str">
        <f ca="1">IFERROR(__xludf.DUMMYFUNCTION("GOOGLETRANSLATE(English!F257,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257" s="1" t="str">
        <f ca="1">IFERROR(__xludf.DUMMYFUNCTION("GOOGLETRANSLATE(English!G257, ""en"", ""bg"")"),"разговор")</f>
        <v>разговор</v>
      </c>
      <c r="H257" s="1" t="str">
        <f ca="1">IFERROR(__xludf.DUMMYFUNCTION("GOOGLETRANSLATE(English!H257, ""en"", ""bg"")"),"образователна_помощ")</f>
        <v>образователна_помощ</v>
      </c>
    </row>
    <row r="258" spans="1:8" ht="13.2" x14ac:dyDescent="0.25">
      <c r="A258" s="1" t="str">
        <f ca="1">IFERROR(__xludf.DUMMYFUNCTION("GOOGLETRANSLATE(English!A258, ""en"", ""bg"")"),"qa_03141")</f>
        <v>qa_03141</v>
      </c>
      <c r="B258" s="1" t="str">
        <f ca="1">IFERROR(__xludf.DUMMYFUNCTION("GOOGLETRANSLATE(English!B258, ""en"", ""bg"")"),"биология")</f>
        <v>биология</v>
      </c>
      <c r="C258" s="1" t="str">
        <f ca="1">IFERROR(__xludf.DUMMYFUNCTION("GOOGLETRANSLATE(English!C258, ""en"", ""bg"")"),"елементарен")</f>
        <v>елементарен</v>
      </c>
      <c r="D258" s="1" t="str">
        <f ca="1">IFERROR(__xludf.DUMMYFUNCTION("GOOGLETRANSLATE(English!D258, ""en"", ""bg"")"),"растения")</f>
        <v>растения</v>
      </c>
      <c r="E258" s="1" t="str">
        <f ca="1">IFERROR(__xludf.DUMMYFUNCTION("GOOGLETRANSLATE(English!E258, ""en"", ""bg"")"),"Защо листата обикновено са зелени?")</f>
        <v>Защо листата обикновено са зелени?</v>
      </c>
      <c r="F258" s="1" t="str">
        <f ca="1">IFERROR(__xludf.DUMMYFUNCTION("GOOGLETRANSLATE(English!F258, ""en"", ""bg"")"),"Листата са зелени, защото съдържат хлорофил, специално вещество, което помага на растенията да улавят слънчевата светлина.")</f>
        <v>Листата са зелени, защото съдържат хлорофил, специално вещество, което помага на растенията да улавят слънчевата светлина.</v>
      </c>
      <c r="G258" s="1" t="str">
        <f ca="1">IFERROR(__xludf.DUMMYFUNCTION("GOOGLETRANSLATE(English!G258, ""en"", ""bg"")"),"direct_qa")</f>
        <v>direct_qa</v>
      </c>
      <c r="H258" s="1" t="str">
        <f ca="1">IFERROR(__xludf.DUMMYFUNCTION("GOOGLETRANSLATE(English!H258, ""en"", ""bg"")"),"заявка_за_знание")</f>
        <v>заявка_за_знание</v>
      </c>
    </row>
    <row r="259" spans="1:8" ht="13.2" x14ac:dyDescent="0.25">
      <c r="A259" s="1" t="str">
        <f ca="1">IFERROR(__xludf.DUMMYFUNCTION("GOOGLETRANSLATE(English!A259, ""en"", ""bg"")"),"conv_19995")</f>
        <v>conv_19995</v>
      </c>
      <c r="B259" s="1" t="str">
        <f ca="1">IFERROR(__xludf.DUMMYFUNCTION("GOOGLETRANSLATE(English!B259, ""en"", ""bg"")"),"физика")</f>
        <v>физика</v>
      </c>
      <c r="C259" s="1" t="str">
        <f ca="1">IFERROR(__xludf.DUMMYFUNCTION("GOOGLETRANSLATE(English!C259, ""en"", ""bg"")"),"средата")</f>
        <v>средата</v>
      </c>
      <c r="D259" s="1" t="str">
        <f ca="1">IFERROR(__xludf.DUMMYFUNCTION("GOOGLETRANSLATE(English!D259, ""en"", ""bg"")"),"видове енергия")</f>
        <v>видове енергия</v>
      </c>
      <c r="E259" s="1" t="str">
        <f ca="1">IFERROR(__xludf.DUMMYFUNCTION("GOOGLETRANSLATE(English!E259, ""en"", ""bg"")"),"Помогнете ми да уча за теста си. Какво е потенциална енергия?")</f>
        <v>Помогнете ми да уча за теста си. Какво е потенциална енергия?</v>
      </c>
      <c r="F259" s="1" t="str">
        <f ca="1">IFERROR(__xludf.DUMMYFUNCTION("GOOGLETRANSLATE(English!F259,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59" s="1" t="str">
        <f ca="1">IFERROR(__xludf.DUMMYFUNCTION("GOOGLETRANSLATE(English!G259, ""en"", ""bg"")"),"разговор")</f>
        <v>разговор</v>
      </c>
      <c r="H259" s="1" t="str">
        <f ca="1">IFERROR(__xludf.DUMMYFUNCTION("GOOGLETRANSLATE(English!H259, ""en"", ""bg"")"),"образователна_помощ")</f>
        <v>образователна_помощ</v>
      </c>
    </row>
    <row r="260" spans="1:8" ht="13.2" x14ac:dyDescent="0.25">
      <c r="A260" s="1" t="str">
        <f ca="1">IFERROR(__xludf.DUMMYFUNCTION("GOOGLETRANSLATE(English!A260, ""en"", ""bg"")"),"qa_08877")</f>
        <v>qa_08877</v>
      </c>
      <c r="B260" s="1" t="str">
        <f ca="1">IFERROR(__xludf.DUMMYFUNCTION("GOOGLETRANSLATE(English!B260, ""en"", ""bg"")"),"химия")</f>
        <v>химия</v>
      </c>
      <c r="C260" s="1" t="str">
        <f ca="1">IFERROR(__xludf.DUMMYFUNCTION("GOOGLETRANSLATE(English!C260, ""en"", ""bg"")"),"елементарен")</f>
        <v>елементарен</v>
      </c>
      <c r="D260" s="1" t="str">
        <f ca="1">IFERROR(__xludf.DUMMYFUNCTION("GOOGLETRANSLATE(English!D260, ""en"", ""bg"")"),"смесване на материали")</f>
        <v>смесване на материали</v>
      </c>
      <c r="E260" s="1" t="str">
        <f ca="1">IFERROR(__xludf.DUMMYFUNCTION("GOOGLETRANSLATE(English!E260, ""en"", ""bg"")"),"Какво е решение?")</f>
        <v>Какво е решение?</v>
      </c>
      <c r="F260" s="1" t="str">
        <f ca="1">IFERROR(__xludf.DUMMYFUNCTION("GOOGLETRANSLATE(English!F260,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260" s="1" t="str">
        <f ca="1">IFERROR(__xludf.DUMMYFUNCTION("GOOGLETRANSLATE(English!G260, ""en"", ""bg"")"),"direct_qa")</f>
        <v>direct_qa</v>
      </c>
      <c r="H260" s="1" t="str">
        <f ca="1">IFERROR(__xludf.DUMMYFUNCTION("GOOGLETRANSLATE(English!H260, ""en"", ""bg"")"),"заявка_за_знание")</f>
        <v>заявка_за_знание</v>
      </c>
    </row>
    <row r="261" spans="1:8" ht="13.2" x14ac:dyDescent="0.25">
      <c r="A261" s="1" t="str">
        <f ca="1">IFERROR(__xludf.DUMMYFUNCTION("GOOGLETRANSLATE(English!A261, ""en"", ""bg"")"),"conv_12549")</f>
        <v>conv_12549</v>
      </c>
      <c r="B261" s="1" t="str">
        <f ca="1">IFERROR(__xludf.DUMMYFUNCTION("GOOGLETRANSLATE(English!B261, ""en"", ""bg"")"),"биология")</f>
        <v>биология</v>
      </c>
      <c r="C261" s="1" t="str">
        <f ca="1">IFERROR(__xludf.DUMMYFUNCTION("GOOGLETRANSLATE(English!C261, ""en"", ""bg"")"),"елементарен")</f>
        <v>елементарен</v>
      </c>
      <c r="D261" s="1" t="str">
        <f ca="1">IFERROR(__xludf.DUMMYFUNCTION("GOOGLETRANSLATE(English!D261, ""en"", ""bg"")"),"животни")</f>
        <v>животни</v>
      </c>
      <c r="E261" s="1" t="str">
        <f ca="1">IFERROR(__xludf.DUMMYFUNCTION("GOOGLETRANSLATE(English!E261, ""en"", ""bg"")"),"Можете ли да ми помогнете? Защо птиците мигрират?")</f>
        <v>Можете ли да ми помогнете? Защо птиците мигрират?</v>
      </c>
      <c r="F261" s="1" t="str">
        <f ca="1">IFERROR(__xludf.DUMMYFUNCTION("GOOGLETRANSLATE(English!F261, ""en"", ""bg"")"),"Птиците мигрират, за да намерят храна, по-добро време и безопасни места за раждане на малките си.")</f>
        <v>Птиците мигрират, за да намерят храна, по-добро време и безопасни места за раждане на малките си.</v>
      </c>
      <c r="G261" s="1" t="str">
        <f ca="1">IFERROR(__xludf.DUMMYFUNCTION("GOOGLETRANSLATE(English!G261, ""en"", ""bg"")"),"разговор")</f>
        <v>разговор</v>
      </c>
      <c r="H261" s="1" t="str">
        <f ca="1">IFERROR(__xludf.DUMMYFUNCTION("GOOGLETRANSLATE(English!H261, ""en"", ""bg"")"),"образователна_помощ")</f>
        <v>образователна_помощ</v>
      </c>
    </row>
    <row r="262" spans="1:8" ht="13.2" x14ac:dyDescent="0.25">
      <c r="A262" s="1" t="str">
        <f ca="1">IFERROR(__xludf.DUMMYFUNCTION("GOOGLETRANSLATE(English!A262, ""en"", ""bg"")"),"conv_04362")</f>
        <v>conv_04362</v>
      </c>
      <c r="B262" s="1" t="str">
        <f ca="1">IFERROR(__xludf.DUMMYFUNCTION("GOOGLETRANSLATE(English!B262, ""en"", ""bg"")"),"химия")</f>
        <v>химия</v>
      </c>
      <c r="C262" s="1" t="str">
        <f ca="1">IFERROR(__xludf.DUMMYFUNCTION("GOOGLETRANSLATE(English!C262, ""en"", ""bg"")"),"високо")</f>
        <v>високо</v>
      </c>
      <c r="D262" s="1" t="str">
        <f ca="1">IFERROR(__xludf.DUMMYFUNCTION("GOOGLETRANSLATE(English!D262, ""en"", ""bg"")"),"химическо свързване")</f>
        <v>химическо свързване</v>
      </c>
      <c r="E262" s="1" t="str">
        <f ca="1">IFERROR(__xludf.DUMMYFUNCTION("GOOGLETRANSLATE(English!E262, ""en"", ""bg"")"),"Можете ли да ми обясните това? Как работи химическата връзка в химията?")</f>
        <v>Можете ли да ми обясните това? Как работи химическата връзка в химията?</v>
      </c>
      <c r="F262" s="1" t="str">
        <f ca="1">IFERROR(__xludf.DUMMYFUNCTION("GOOGLETRANSLATE(English!F262,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262" s="1" t="str">
        <f ca="1">IFERROR(__xludf.DUMMYFUNCTION("GOOGLETRANSLATE(English!G262, ""en"", ""bg"")"),"разговор")</f>
        <v>разговор</v>
      </c>
      <c r="H262" s="1" t="str">
        <f ca="1">IFERROR(__xludf.DUMMYFUNCTION("GOOGLETRANSLATE(English!H262, ""en"", ""bg"")"),"образователна_помощ")</f>
        <v>образователна_помощ</v>
      </c>
    </row>
    <row r="263" spans="1:8" ht="13.2" x14ac:dyDescent="0.25">
      <c r="A263" s="1" t="str">
        <f ca="1">IFERROR(__xludf.DUMMYFUNCTION("GOOGLETRANSLATE(English!A263, ""en"", ""bg"")"),"qa_06004")</f>
        <v>qa_06004</v>
      </c>
      <c r="B263" s="1" t="str">
        <f ca="1">IFERROR(__xludf.DUMMYFUNCTION("GOOGLETRANSLATE(English!B263, ""en"", ""bg"")"),"биология")</f>
        <v>биология</v>
      </c>
      <c r="C263" s="1" t="str">
        <f ca="1">IFERROR(__xludf.DUMMYFUNCTION("GOOGLETRANSLATE(English!C263, ""en"", ""bg"")"),"средата")</f>
        <v>средата</v>
      </c>
      <c r="D263" s="1" t="str">
        <f ca="1">IFERROR(__xludf.DUMMYFUNCTION("GOOGLETRANSLATE(English!D263, ""en"", ""bg"")"),"размножаване")</f>
        <v>размножаване</v>
      </c>
      <c r="E263" s="1" t="str">
        <f ca="1">IFERROR(__xludf.DUMMYFUNCTION("GOOGLETRANSLATE(English!E263, ""en"", ""bg"")"),"Какво е важно да знаем за размножаването?")</f>
        <v>Какво е важно да знаем за размножаването?</v>
      </c>
      <c r="F263" s="1" t="str">
        <f ca="1">IFERROR(__xludf.DUMMYFUNCTION("GOOGLETRANSLATE(English!F263,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263" s="1" t="str">
        <f ca="1">IFERROR(__xludf.DUMMYFUNCTION("GOOGLETRANSLATE(English!G263, ""en"", ""bg"")"),"direct_qa")</f>
        <v>direct_qa</v>
      </c>
      <c r="H263" s="1" t="str">
        <f ca="1">IFERROR(__xludf.DUMMYFUNCTION("GOOGLETRANSLATE(English!H263, ""en"", ""bg"")"),"заявка_за_знание")</f>
        <v>заявка_за_знание</v>
      </c>
    </row>
    <row r="264" spans="1:8" ht="13.2" x14ac:dyDescent="0.25">
      <c r="A264" s="1" t="str">
        <f ca="1">IFERROR(__xludf.DUMMYFUNCTION("GOOGLETRANSLATE(English!A264, ""en"", ""bg"")"),"hw_00003")</f>
        <v>hw_00003</v>
      </c>
      <c r="B264" s="1" t="str">
        <f ca="1">IFERROR(__xludf.DUMMYFUNCTION("GOOGLETRANSLATE(English!B264, ""en"", ""bg"")"),"химия")</f>
        <v>химия</v>
      </c>
      <c r="C264" s="1" t="str">
        <f ca="1">IFERROR(__xludf.DUMMYFUNCTION("GOOGLETRANSLATE(English!C264, ""en"", ""bg"")"),"средата")</f>
        <v>средата</v>
      </c>
      <c r="D264" s="1" t="str">
        <f ca="1">IFERROR(__xludf.DUMMYFUNCTION("GOOGLETRANSLATE(English!D264, ""en"", ""bg"")"),"киселини и основи")</f>
        <v>киселини и основи</v>
      </c>
      <c r="E264" s="1" t="str">
        <f ca="1">IFERROR(__xludf.DUMMYFUNCTION("GOOGLETRANSLATE(English!E264,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264" s="1" t="str">
        <f ca="1">IFERROR(__xludf.DUMMYFUNCTION("GOOGLETRANSLATE(English!F264,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264" s="1" t="str">
        <f ca="1">IFERROR(__xludf.DUMMYFUNCTION("GOOGLETRANSLATE(English!G264, ""en"", ""bg"")"),"помощ_за_домашно_изпълнение")</f>
        <v>помощ_за_домашно_изпълнение</v>
      </c>
      <c r="H264" s="1" t="str">
        <f ca="1">IFERROR(__xludf.DUMMYFUNCTION("GOOGLETRANSLATE(English!H264, ""en"", ""bg"")"),"помощ_за_домашно_задаване")</f>
        <v>помощ_за_домашно_задаване</v>
      </c>
    </row>
    <row r="265" spans="1:8" ht="13.2" x14ac:dyDescent="0.25">
      <c r="A265" s="1" t="str">
        <f ca="1">IFERROR(__xludf.DUMMYFUNCTION("GOOGLETRANSLATE(English!A265, ""en"", ""bg"")"),"qa_02800")</f>
        <v>qa_02800</v>
      </c>
      <c r="B265" s="1" t="str">
        <f ca="1">IFERROR(__xludf.DUMMYFUNCTION("GOOGLETRANSLATE(English!B265, ""en"", ""bg"")"),"химия")</f>
        <v>химия</v>
      </c>
      <c r="C265" s="1" t="str">
        <f ca="1">IFERROR(__xludf.DUMMYFUNCTION("GOOGLETRANSLATE(English!C265, ""en"", ""bg"")"),"високо")</f>
        <v>високо</v>
      </c>
      <c r="D265" s="1" t="str">
        <f ca="1">IFERROR(__xludf.DUMMYFUNCTION("GOOGLETRANSLATE(English!D265, ""en"", ""bg"")"),"химическо свързване")</f>
        <v>химическо свързване</v>
      </c>
      <c r="E265" s="1" t="str">
        <f ca="1">IFERROR(__xludf.DUMMYFUNCTION("GOOGLETRANSLATE(English!E265, ""en"", ""bg"")"),"Защо е важно да се учи химичното свързване?")</f>
        <v>Защо е важно да се учи химичното свързване?</v>
      </c>
      <c r="F265" s="1" t="str">
        <f ca="1">IFERROR(__xludf.DUMMYFUNCTION("GOOGLETRANSLATE(English!F265,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265" s="1" t="str">
        <f ca="1">IFERROR(__xludf.DUMMYFUNCTION("GOOGLETRANSLATE(English!G265, ""en"", ""bg"")"),"direct_qa")</f>
        <v>direct_qa</v>
      </c>
      <c r="H265" s="1" t="str">
        <f ca="1">IFERROR(__xludf.DUMMYFUNCTION("GOOGLETRANSLATE(English!H265, ""en"", ""bg"")"),"заявка_за_знание")</f>
        <v>заявка_за_знание</v>
      </c>
    </row>
    <row r="266" spans="1:8" ht="13.2" x14ac:dyDescent="0.25">
      <c r="A266" s="1" t="str">
        <f ca="1">IFERROR(__xludf.DUMMYFUNCTION("GOOGLETRANSLATE(English!A266, ""en"", ""bg"")"),"conv_03999")</f>
        <v>conv_03999</v>
      </c>
      <c r="B266" s="1" t="str">
        <f ca="1">IFERROR(__xludf.DUMMYFUNCTION("GOOGLETRANSLATE(English!B266, ""en"", ""bg"")"),"физика")</f>
        <v>физика</v>
      </c>
      <c r="C266" s="1" t="str">
        <f ca="1">IFERROR(__xludf.DUMMYFUNCTION("GOOGLETRANSLATE(English!C266, ""en"", ""bg"")"),"високо")</f>
        <v>високо</v>
      </c>
      <c r="D266" s="1" t="str">
        <f ca="1">IFERROR(__xludf.DUMMYFUNCTION("GOOGLETRANSLATE(English!D266, ""en"", ""bg"")"),"механика")</f>
        <v>механика</v>
      </c>
      <c r="E266" s="1" t="str">
        <f ca="1">IFERROR(__xludf.DUMMYFUNCTION("GOOGLETRANSLATE(English!E266, ""en"", ""bg"")"),"Имам нужда от помощ с домашното. Защо механиката е важна?")</f>
        <v>Имам нужда от помощ с домашното. Защо механиката е важна?</v>
      </c>
      <c r="F266" s="1" t="str">
        <f ca="1">IFERROR(__xludf.DUMMYFUNCTION("GOOGLETRANSLATE(English!F266,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266" s="1" t="str">
        <f ca="1">IFERROR(__xludf.DUMMYFUNCTION("GOOGLETRANSLATE(English!G266, ""en"", ""bg"")"),"разговор")</f>
        <v>разговор</v>
      </c>
      <c r="H266" s="1" t="str">
        <f ca="1">IFERROR(__xludf.DUMMYFUNCTION("GOOGLETRANSLATE(English!H266, ""en"", ""bg"")"),"образователна_помощ")</f>
        <v>образователна_помощ</v>
      </c>
    </row>
    <row r="267" spans="1:8" ht="13.2" x14ac:dyDescent="0.25">
      <c r="A267" s="1" t="str">
        <f ca="1">IFERROR(__xludf.DUMMYFUNCTION("GOOGLETRANSLATE(English!A267, ""en"", ""bg"")"),"conv_05399")</f>
        <v>conv_05399</v>
      </c>
      <c r="B267" s="1" t="str">
        <f ca="1">IFERROR(__xludf.DUMMYFUNCTION("GOOGLETRANSLATE(English!B267, ""en"", ""bg"")"),"химия")</f>
        <v>химия</v>
      </c>
      <c r="C267" s="1" t="str">
        <f ca="1">IFERROR(__xludf.DUMMYFUNCTION("GOOGLETRANSLATE(English!C267, ""en"", ""bg"")"),"високо")</f>
        <v>високо</v>
      </c>
      <c r="D267" s="1" t="str">
        <f ca="1">IFERROR(__xludf.DUMMYFUNCTION("GOOGLETRANSLATE(English!D267, ""en"", ""bg"")"),"стехиометрия")</f>
        <v>стехиометрия</v>
      </c>
      <c r="E267" s="1" t="str">
        <f ca="1">IFERROR(__xludf.DUMMYFUNCTION("GOOGLETRANSLATE(English!E267, ""en"", ""bg"")"),"Можете ли да ми обясните това? Какво е стехиометрия?")</f>
        <v>Можете ли да ми обясните това? Какво е стехиометрия?</v>
      </c>
      <c r="F267" s="1" t="str">
        <f ca="1">IFERROR(__xludf.DUMMYFUNCTION("GOOGLETRANSLATE(English!F267,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267" s="1" t="str">
        <f ca="1">IFERROR(__xludf.DUMMYFUNCTION("GOOGLETRANSLATE(English!G267, ""en"", ""bg"")"),"разговор")</f>
        <v>разговор</v>
      </c>
      <c r="H267" s="1" t="str">
        <f ca="1">IFERROR(__xludf.DUMMYFUNCTION("GOOGLETRANSLATE(English!H267, ""en"", ""bg"")"),"образователна_помощ")</f>
        <v>образователна_помощ</v>
      </c>
    </row>
    <row r="268" spans="1:8" ht="13.2" x14ac:dyDescent="0.25">
      <c r="A268" s="1" t="str">
        <f ca="1">IFERROR(__xludf.DUMMYFUNCTION("GOOGLETRANSLATE(English!A268, ""en"", ""bg"")"),"qa_14232")</f>
        <v>qa_14232</v>
      </c>
      <c r="B268" s="1" t="str">
        <f ca="1">IFERROR(__xludf.DUMMYFUNCTION("GOOGLETRANSLATE(English!B268, ""en"", ""bg"")"),"химия")</f>
        <v>химия</v>
      </c>
      <c r="C268" s="1" t="str">
        <f ca="1">IFERROR(__xludf.DUMMYFUNCTION("GOOGLETRANSLATE(English!C268, ""en"", ""bg"")"),"средата")</f>
        <v>средата</v>
      </c>
      <c r="D268" s="1" t="str">
        <f ca="1">IFERROR(__xludf.DUMMYFUNCTION("GOOGLETRANSLATE(English!D268, ""en"", ""bg"")"),"химични промени")</f>
        <v>химични промени</v>
      </c>
      <c r="E268" s="1" t="str">
        <f ca="1">IFERROR(__xludf.DUMMYFUNCTION("GOOGLETRANSLATE(English!E268, ""en"", ""bg"")"),"Защо е важно да се изучават химичните промени?")</f>
        <v>Защо е важно да се изучават химичните промени?</v>
      </c>
      <c r="F268" s="1" t="str">
        <f ca="1">IFERROR(__xludf.DUMMYFUNCTION("GOOGLETRANSLATE(English!F268,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268" s="1" t="str">
        <f ca="1">IFERROR(__xludf.DUMMYFUNCTION("GOOGLETRANSLATE(English!G268, ""en"", ""bg"")"),"direct_qa")</f>
        <v>direct_qa</v>
      </c>
      <c r="H268" s="1" t="str">
        <f ca="1">IFERROR(__xludf.DUMMYFUNCTION("GOOGLETRANSLATE(English!H268, ""en"", ""bg"")"),"заявка_за_знание")</f>
        <v>заявка_за_знание</v>
      </c>
    </row>
    <row r="269" spans="1:8" ht="13.2" x14ac:dyDescent="0.25">
      <c r="A269" s="1" t="str">
        <f ca="1">IFERROR(__xludf.DUMMYFUNCTION("GOOGLETRANSLATE(English!A269, ""en"", ""bg"")"),"conv_00304")</f>
        <v>conv_00304</v>
      </c>
      <c r="B269" s="1" t="str">
        <f ca="1">IFERROR(__xludf.DUMMYFUNCTION("GOOGLETRANSLATE(English!B269, ""en"", ""bg"")"),"физика")</f>
        <v>физика</v>
      </c>
      <c r="C269" s="1" t="str">
        <f ca="1">IFERROR(__xludf.DUMMYFUNCTION("GOOGLETRANSLATE(English!C269, ""en"", ""bg"")"),"високо")</f>
        <v>високо</v>
      </c>
      <c r="D269" s="1" t="str">
        <f ca="1">IFERROR(__xludf.DUMMYFUNCTION("GOOGLETRANSLATE(English!D269, ""en"", ""bg"")"),"термодинамика")</f>
        <v>термодинамика</v>
      </c>
      <c r="E269" s="1" t="str">
        <f ca="1">IFERROR(__xludf.DUMMYFUNCTION("GOOGLETRANSLATE(English!E269, ""en"", ""bg"")"),"Помогнете ми да уча за теста си. Защо термодинамиката е важна?")</f>
        <v>Помогнете ми да уча за теста си. Защо термодинамиката е важна?</v>
      </c>
      <c r="F269" s="1" t="str">
        <f ca="1">IFERROR(__xludf.DUMMYFUNCTION("GOOGLETRANSLATE(English!F269,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269" s="1" t="str">
        <f ca="1">IFERROR(__xludf.DUMMYFUNCTION("GOOGLETRANSLATE(English!G269, ""en"", ""bg"")"),"разговор")</f>
        <v>разговор</v>
      </c>
      <c r="H269" s="1" t="str">
        <f ca="1">IFERROR(__xludf.DUMMYFUNCTION("GOOGLETRANSLATE(English!H269, ""en"", ""bg"")"),"образователна_помощ")</f>
        <v>образователна_помощ</v>
      </c>
    </row>
    <row r="270" spans="1:8" ht="13.2" x14ac:dyDescent="0.25">
      <c r="A270" s="1" t="str">
        <f ca="1">IFERROR(__xludf.DUMMYFUNCTION("GOOGLETRANSLATE(English!A270, ""en"", ""bg"")"),"conv_01456")</f>
        <v>conv_01456</v>
      </c>
      <c r="B270" s="1" t="str">
        <f ca="1">IFERROR(__xludf.DUMMYFUNCTION("GOOGLETRANSLATE(English!B270, ""en"", ""bg"")"),"биология")</f>
        <v>биология</v>
      </c>
      <c r="C270" s="1" t="str">
        <f ca="1">IFERROR(__xludf.DUMMYFUNCTION("GOOGLETRANSLATE(English!C270, ""en"", ""bg"")"),"средата")</f>
        <v>средата</v>
      </c>
      <c r="D270" s="1" t="str">
        <f ca="1">IFERROR(__xludf.DUMMYFUNCTION("GOOGLETRANSLATE(English!D270, ""en"", ""bg"")"),"основи на еволюцията")</f>
        <v>основи на еволюцията</v>
      </c>
      <c r="E270" s="1" t="str">
        <f ca="1">IFERROR(__xludf.DUMMYFUNCTION("GOOGLETRANSLATE(English!E270, ""en"", ""bg"")"),"Здравей, преподавателю! Какво е важно да знаеш за основите на еволюцията?")</f>
        <v>Здравей, преподавателю! Какво е важно да знаеш за основите на еволюцията?</v>
      </c>
      <c r="F270" s="1" t="str">
        <f ca="1">IFERROR(__xludf.DUMMYFUNCTION("GOOGLETRANSLATE(English!F270,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270" s="1" t="str">
        <f ca="1">IFERROR(__xludf.DUMMYFUNCTION("GOOGLETRANSLATE(English!G270, ""en"", ""bg"")"),"разговор")</f>
        <v>разговор</v>
      </c>
      <c r="H270" s="1" t="str">
        <f ca="1">IFERROR(__xludf.DUMMYFUNCTION("GOOGLETRANSLATE(English!H270, ""en"", ""bg"")"),"образователна_помощ")</f>
        <v>образователна_помощ</v>
      </c>
    </row>
    <row r="271" spans="1:8" ht="13.2" x14ac:dyDescent="0.25">
      <c r="A271" s="1" t="str">
        <f ca="1">IFERROR(__xludf.DUMMYFUNCTION("GOOGLETRANSLATE(English!A271, ""en"", ""bg"")"),"qa_08855")</f>
        <v>qa_08855</v>
      </c>
      <c r="B271" s="1" t="str">
        <f ca="1">IFERROR(__xludf.DUMMYFUNCTION("GOOGLETRANSLATE(English!B271, ""en"", ""bg"")"),"химия")</f>
        <v>химия</v>
      </c>
      <c r="C271" s="1" t="str">
        <f ca="1">IFERROR(__xludf.DUMMYFUNCTION("GOOGLETRANSLATE(English!C271, ""en"", ""bg"")"),"средата")</f>
        <v>средата</v>
      </c>
      <c r="D271" s="1" t="str">
        <f ca="1">IFERROR(__xludf.DUMMYFUNCTION("GOOGLETRANSLATE(English!D271, ""en"", ""bg"")"),"химични реакции")</f>
        <v>химични реакции</v>
      </c>
      <c r="E271" s="1" t="str">
        <f ca="1">IFERROR(__xludf.DUMMYFUNCTION("GOOGLETRANSLATE(English!E271, ""en"", ""bg"")"),"Как да разберете дали е възникнала химическа реакция?")</f>
        <v>Как да разберете дали е възникнала химическа реакция?</v>
      </c>
      <c r="F271" s="1" t="str">
        <f ca="1">IFERROR(__xludf.DUMMYFUNCTION("GOOGLETRANSLATE(English!F271,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271" s="1" t="str">
        <f ca="1">IFERROR(__xludf.DUMMYFUNCTION("GOOGLETRANSLATE(English!G271, ""en"", ""bg"")"),"direct_qa")</f>
        <v>direct_qa</v>
      </c>
      <c r="H271" s="1" t="str">
        <f ca="1">IFERROR(__xludf.DUMMYFUNCTION("GOOGLETRANSLATE(English!H271, ""en"", ""bg"")"),"заявка_за_знание")</f>
        <v>заявка_за_знание</v>
      </c>
    </row>
    <row r="272" spans="1:8" ht="13.2" x14ac:dyDescent="0.25">
      <c r="A272" s="1" t="str">
        <f ca="1">IFERROR(__xludf.DUMMYFUNCTION("GOOGLETRANSLATE(English!A272, ""en"", ""bg"")"),"conv_17158")</f>
        <v>conv_17158</v>
      </c>
      <c r="B272" s="1" t="str">
        <f ca="1">IFERROR(__xludf.DUMMYFUNCTION("GOOGLETRANSLATE(English!B272, ""en"", ""bg"")"),"химия")</f>
        <v>химия</v>
      </c>
      <c r="C272" s="1" t="str">
        <f ca="1">IFERROR(__xludf.DUMMYFUNCTION("GOOGLETRANSLATE(English!C272, ""en"", ""bg"")"),"високо")</f>
        <v>високо</v>
      </c>
      <c r="D272" s="1" t="str">
        <f ca="1">IFERROR(__xludf.DUMMYFUNCTION("GOOGLETRANSLATE(English!D272, ""en"", ""bg"")"),"химическо свързване")</f>
        <v>химическо свързване</v>
      </c>
      <c r="E272" s="1" t="str">
        <f ca="1">IFERROR(__xludf.DUMMYFUNCTION("GOOGLETRANSLATE(English!E272, ""en"", ""bg"")"),"Имам нужда от помощ с домашното. Защо е важно да се учи химично свързване?")</f>
        <v>Имам нужда от помощ с домашното. Защо е важно да се учи химично свързване?</v>
      </c>
      <c r="F272" s="1" t="str">
        <f ca="1">IFERROR(__xludf.DUMMYFUNCTION("GOOGLETRANSLATE(English!F272,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272" s="1" t="str">
        <f ca="1">IFERROR(__xludf.DUMMYFUNCTION("GOOGLETRANSLATE(English!G272, ""en"", ""bg"")"),"разговор")</f>
        <v>разговор</v>
      </c>
      <c r="H272" s="1" t="str">
        <f ca="1">IFERROR(__xludf.DUMMYFUNCTION("GOOGLETRANSLATE(English!H272, ""en"", ""bg"")"),"образователна_помощ")</f>
        <v>образователна_помощ</v>
      </c>
    </row>
    <row r="273" spans="1:8" ht="13.2" x14ac:dyDescent="0.25">
      <c r="A273" s="1" t="str">
        <f ca="1">IFERROR(__xludf.DUMMYFUNCTION("GOOGLETRANSLATE(English!A273, ""en"", ""bg"")"),"conv_11695")</f>
        <v>conv_11695</v>
      </c>
      <c r="B273" s="1" t="str">
        <f ca="1">IFERROR(__xludf.DUMMYFUNCTION("GOOGLETRANSLATE(English!B273, ""en"", ""bg"")"),"физика")</f>
        <v>физика</v>
      </c>
      <c r="C273" s="1" t="str">
        <f ca="1">IFERROR(__xludf.DUMMYFUNCTION("GOOGLETRANSLATE(English!C273, ""en"", ""bg"")"),"средата")</f>
        <v>средата</v>
      </c>
      <c r="D273" s="1" t="str">
        <f ca="1">IFERROR(__xludf.DUMMYFUNCTION("GOOGLETRANSLATE(English!D273, ""en"", ""bg"")"),"видове енергия")</f>
        <v>видове енергия</v>
      </c>
      <c r="E273" s="1" t="str">
        <f ca="1">IFERROR(__xludf.DUMMYFUNCTION("GOOGLETRANSLATE(English!E273, ""en"", ""bg"")"),"Имам научен въпрос. Какво е потенциална енергия?")</f>
        <v>Имам научен въпрос. Какво е потенциална енергия?</v>
      </c>
      <c r="F273" s="1" t="str">
        <f ca="1">IFERROR(__xludf.DUMMYFUNCTION("GOOGLETRANSLATE(English!F273,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73" s="1" t="str">
        <f ca="1">IFERROR(__xludf.DUMMYFUNCTION("GOOGLETRANSLATE(English!G273, ""en"", ""bg"")"),"разговор")</f>
        <v>разговор</v>
      </c>
      <c r="H273" s="1" t="str">
        <f ca="1">IFERROR(__xludf.DUMMYFUNCTION("GOOGLETRANSLATE(English!H273, ""en"", ""bg"")"),"образователна_помощ")</f>
        <v>образователна_помощ</v>
      </c>
    </row>
    <row r="274" spans="1:8" ht="13.2" x14ac:dyDescent="0.25">
      <c r="A274" s="1" t="str">
        <f ca="1">IFERROR(__xludf.DUMMYFUNCTION("GOOGLETRANSLATE(English!A274, ""en"", ""bg"")"),"conv_10906")</f>
        <v>conv_10906</v>
      </c>
      <c r="B274" s="1" t="str">
        <f ca="1">IFERROR(__xludf.DUMMYFUNCTION("GOOGLETRANSLATE(English!B274, ""en"", ""bg"")"),"биология")</f>
        <v>биология</v>
      </c>
      <c r="C274" s="1" t="str">
        <f ca="1">IFERROR(__xludf.DUMMYFUNCTION("GOOGLETRANSLATE(English!C274, ""en"", ""bg"")"),"високо")</f>
        <v>високо</v>
      </c>
      <c r="D274" s="1" t="str">
        <f ca="1">IFERROR(__xludf.DUMMYFUNCTION("GOOGLETRANSLATE(English!D274, ""en"", ""bg"")"),"митоза и мейоза")</f>
        <v>митоза и мейоза</v>
      </c>
      <c r="E274" s="1" t="str">
        <f ca="1">IFERROR(__xludf.DUMMYFUNCTION("GOOGLETRANSLATE(English!E274, ""en"", ""bg"")"),"Имам научен въпрос. Защо митозата и мейозата са важни в биологията?")</f>
        <v>Имам научен въпрос. Защо митозата и мейозата са важни в биологията?</v>
      </c>
      <c r="F274" s="1" t="str">
        <f ca="1">IFERROR(__xludf.DUMMYFUNCTION("GOOGLETRANSLATE(English!F274,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274" s="1" t="str">
        <f ca="1">IFERROR(__xludf.DUMMYFUNCTION("GOOGLETRANSLATE(English!G274, ""en"", ""bg"")"),"разговор")</f>
        <v>разговор</v>
      </c>
      <c r="H274" s="1" t="str">
        <f ca="1">IFERROR(__xludf.DUMMYFUNCTION("GOOGLETRANSLATE(English!H274, ""en"", ""bg"")"),"образователна_помощ")</f>
        <v>образователна_помощ</v>
      </c>
    </row>
    <row r="275" spans="1:8" ht="13.2" x14ac:dyDescent="0.25">
      <c r="A275" s="1" t="str">
        <f ca="1">IFERROR(__xludf.DUMMYFUNCTION("GOOGLETRANSLATE(English!A275, ""en"", ""bg"")"),"conv_11531")</f>
        <v>conv_11531</v>
      </c>
      <c r="B275" s="1" t="str">
        <f ca="1">IFERROR(__xludf.DUMMYFUNCTION("GOOGLETRANSLATE(English!B275, ""en"", ""bg"")"),"биология")</f>
        <v>биология</v>
      </c>
      <c r="C275" s="1" t="str">
        <f ca="1">IFERROR(__xludf.DUMMYFUNCTION("GOOGLETRANSLATE(English!C275, ""en"", ""bg"")"),"средата")</f>
        <v>средата</v>
      </c>
      <c r="D275" s="1" t="str">
        <f ca="1">IFERROR(__xludf.DUMMYFUNCTION("GOOGLETRANSLATE(English!D275, ""en"", ""bg"")"),"фотосинтеза")</f>
        <v>фотосинтеза</v>
      </c>
      <c r="E275" s="1" t="str">
        <f ca="1">IFERROR(__xludf.DUMMYFUNCTION("GOOGLETRANSLATE(English!E275, ""en"", ""bg"")"),"Имам научен въпрос. Можете ли да ми разкажете за фотосинтезата?")</f>
        <v>Имам научен въпрос. Можете ли да ми разкажете за фотосинтезата?</v>
      </c>
      <c r="F275" s="1" t="str">
        <f ca="1">IFERROR(__xludf.DUMMYFUNCTION("GOOGLETRANSLATE(English!F275,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275" s="1" t="str">
        <f ca="1">IFERROR(__xludf.DUMMYFUNCTION("GOOGLETRANSLATE(English!G275, ""en"", ""bg"")"),"разговор")</f>
        <v>разговор</v>
      </c>
      <c r="H275" s="1" t="str">
        <f ca="1">IFERROR(__xludf.DUMMYFUNCTION("GOOGLETRANSLATE(English!H275, ""en"", ""bg"")"),"образователна_помощ")</f>
        <v>образователна_помощ</v>
      </c>
    </row>
    <row r="276" spans="1:8" ht="13.2" x14ac:dyDescent="0.25">
      <c r="A276" s="1" t="str">
        <f ca="1">IFERROR(__xludf.DUMMYFUNCTION("GOOGLETRANSLATE(English!A276, ""en"", ""bg"")"),"hw_01433")</f>
        <v>hw_01433</v>
      </c>
      <c r="B276" s="1" t="str">
        <f ca="1">IFERROR(__xludf.DUMMYFUNCTION("GOOGLETRANSLATE(English!B276, ""en"", ""bg"")"),"физика")</f>
        <v>физика</v>
      </c>
      <c r="C276" s="1" t="str">
        <f ca="1">IFERROR(__xludf.DUMMYFUNCTION("GOOGLETRANSLATE(English!C276, ""en"", ""bg"")"),"средата")</f>
        <v>средата</v>
      </c>
      <c r="D276" s="1" t="str">
        <f ca="1">IFERROR(__xludf.DUMMYFUNCTION("GOOGLETRANSLATE(English!D276, ""en"", ""bg"")"),"основи на електричеството")</f>
        <v>основи на електричеството</v>
      </c>
      <c r="E276" s="1" t="str">
        <f ca="1">IFERROR(__xludf.DUMMYFUNCTION("GOOGLETRANSLATE(English!E276, ""en"", ""bg"")"),"Заседнал съм с този проблем с основите на електричеството. Можете ли да помогнете?")</f>
        <v>Заседнал съм с този проблем с основите на електричеството. Можете ли да помогнете?</v>
      </c>
      <c r="F276" s="1" t="str">
        <f ca="1">IFERROR(__xludf.DUMMYFUNCTION("GOOGLETRANSLATE(English!F276,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276" s="1" t="str">
        <f ca="1">IFERROR(__xludf.DUMMYFUNCTION("GOOGLETRANSLATE(English!G276, ""en"", ""bg"")"),"помощ_за_домашно_изпълнение")</f>
        <v>помощ_за_домашно_изпълнение</v>
      </c>
      <c r="H276" s="1" t="str">
        <f ca="1">IFERROR(__xludf.DUMMYFUNCTION("GOOGLETRANSLATE(English!H276, ""en"", ""bg"")"),"помощ_за_домашно_задаване")</f>
        <v>помощ_за_домашно_задаване</v>
      </c>
    </row>
    <row r="277" spans="1:8" ht="13.2" x14ac:dyDescent="0.25">
      <c r="A277" s="1" t="str">
        <f ca="1">IFERROR(__xludf.DUMMYFUNCTION("GOOGLETRANSLATE(English!A277, ""en"", ""bg"")"),"conv_06618")</f>
        <v>conv_06618</v>
      </c>
      <c r="B277" s="1" t="str">
        <f ca="1">IFERROR(__xludf.DUMMYFUNCTION("GOOGLETRANSLATE(English!B277, ""en"", ""bg"")"),"биология")</f>
        <v>биология</v>
      </c>
      <c r="C277" s="1" t="str">
        <f ca="1">IFERROR(__xludf.DUMMYFUNCTION("GOOGLETRANSLATE(English!C277, ""en"", ""bg"")"),"високо")</f>
        <v>високо</v>
      </c>
      <c r="D277" s="1" t="str">
        <f ca="1">IFERROR(__xludf.DUMMYFUNCTION("GOOGLETRANSLATE(English!D277, ""en"", ""bg"")"),"митоза и мейоза")</f>
        <v>митоза и мейоза</v>
      </c>
      <c r="E277" s="1" t="str">
        <f ca="1">IFERROR(__xludf.DUMMYFUNCTION("GOOGLETRANSLATE(English!E277, ""en"", ""bg"")"),"Имам научен въпрос. Можете ли да ми разкажете за митозата и мейозата?")</f>
        <v>Имам научен въпрос. Можете ли да ми разкажете за митозата и мейозата?</v>
      </c>
      <c r="F277" s="1" t="str">
        <f ca="1">IFERROR(__xludf.DUMMYFUNCTION("GOOGLETRANSLATE(English!F277,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277" s="1" t="str">
        <f ca="1">IFERROR(__xludf.DUMMYFUNCTION("GOOGLETRANSLATE(English!G277, ""en"", ""bg"")"),"разговор")</f>
        <v>разговор</v>
      </c>
      <c r="H277" s="1" t="str">
        <f ca="1">IFERROR(__xludf.DUMMYFUNCTION("GOOGLETRANSLATE(English!H277, ""en"", ""bg"")"),"образователна_помощ")</f>
        <v>образователна_помощ</v>
      </c>
    </row>
    <row r="278" spans="1:8" ht="13.2" x14ac:dyDescent="0.25">
      <c r="A278" s="1" t="str">
        <f ca="1">IFERROR(__xludf.DUMMYFUNCTION("GOOGLETRANSLATE(English!A278, ""en"", ""bg"")"),"hw_04989")</f>
        <v>hw_04989</v>
      </c>
      <c r="B278" s="1" t="str">
        <f ca="1">IFERROR(__xludf.DUMMYFUNCTION("GOOGLETRANSLATE(English!B278, ""en"", ""bg"")"),"химия")</f>
        <v>химия</v>
      </c>
      <c r="C278" s="1" t="str">
        <f ca="1">IFERROR(__xludf.DUMMYFUNCTION("GOOGLETRANSLATE(English!C278, ""en"", ""bg"")"),"елементарен")</f>
        <v>елементарен</v>
      </c>
      <c r="D278" s="1" t="str">
        <f ca="1">IFERROR(__xludf.DUMMYFUNCTION("GOOGLETRANSLATE(English!D278, ""en"", ""bg"")"),"промени в материалите")</f>
        <v>промени в материалите</v>
      </c>
      <c r="E278" s="1" t="str">
        <f ca="1">IFERROR(__xludf.DUMMYFUNCTION("GOOGLETRANSLATE(English!E278,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278" s="1" t="str">
        <f ca="1">IFERROR(__xludf.DUMMYFUNCTION("GOOGLETRANSLATE(English!F278,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78" s="1" t="str">
        <f ca="1">IFERROR(__xludf.DUMMYFUNCTION("GOOGLETRANSLATE(English!G278, ""en"", ""bg"")"),"помощ_за_домашно_изпълнение")</f>
        <v>помощ_за_домашно_изпълнение</v>
      </c>
      <c r="H278" s="1" t="str">
        <f ca="1">IFERROR(__xludf.DUMMYFUNCTION("GOOGLETRANSLATE(English!H278, ""en"", ""bg"")"),"помощ_за_домашно_задаване")</f>
        <v>помощ_за_домашно_задаване</v>
      </c>
    </row>
    <row r="279" spans="1:8" ht="13.2" x14ac:dyDescent="0.25">
      <c r="A279" s="1" t="str">
        <f ca="1">IFERROR(__xludf.DUMMYFUNCTION("GOOGLETRANSLATE(English!A279, ""en"", ""bg"")"),"qa_13071")</f>
        <v>qa_13071</v>
      </c>
      <c r="B279" s="1" t="str">
        <f ca="1">IFERROR(__xludf.DUMMYFUNCTION("GOOGLETRANSLATE(English!B279, ""en"", ""bg"")"),"биология")</f>
        <v>биология</v>
      </c>
      <c r="C279" s="1" t="str">
        <f ca="1">IFERROR(__xludf.DUMMYFUNCTION("GOOGLETRANSLATE(English!C279, ""en"", ""bg"")"),"елементарен")</f>
        <v>елементарен</v>
      </c>
      <c r="D279" s="1" t="str">
        <f ca="1">IFERROR(__xludf.DUMMYFUNCTION("GOOGLETRANSLATE(English!D279, ""en"", ""bg"")"),"човешкото тяло")</f>
        <v>човешкото тяло</v>
      </c>
      <c r="E279" s="1" t="str">
        <f ca="1">IFERROR(__xludf.DUMMYFUNCTION("GOOGLETRANSLATE(English!E279, ""en"", ""bg"")"),"Как работи човешкото тяло?")</f>
        <v>Как работи човешкото тяло?</v>
      </c>
      <c r="F279" s="1" t="str">
        <f ca="1">IFERROR(__xludf.DUMMYFUNCTION("GOOGLETRANSLATE(English!F279,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279" s="1" t="str">
        <f ca="1">IFERROR(__xludf.DUMMYFUNCTION("GOOGLETRANSLATE(English!G279, ""en"", ""bg"")"),"direct_qa")</f>
        <v>direct_qa</v>
      </c>
      <c r="H279" s="1" t="str">
        <f ca="1">IFERROR(__xludf.DUMMYFUNCTION("GOOGLETRANSLATE(English!H279, ""en"", ""bg"")"),"заявка_за_знание")</f>
        <v>заявка_за_знание</v>
      </c>
    </row>
    <row r="280" spans="1:8" ht="13.2" x14ac:dyDescent="0.25">
      <c r="A280" s="1" t="str">
        <f ca="1">IFERROR(__xludf.DUMMYFUNCTION("GOOGLETRANSLATE(English!A280, ""en"", ""bg"")"),"hw_10143")</f>
        <v>hw_10143</v>
      </c>
      <c r="B280" s="1" t="str">
        <f ca="1">IFERROR(__xludf.DUMMYFUNCTION("GOOGLETRANSLATE(English!B280, ""en"", ""bg"")"),"химия")</f>
        <v>химия</v>
      </c>
      <c r="C280" s="1" t="str">
        <f ca="1">IFERROR(__xludf.DUMMYFUNCTION("GOOGLETRANSLATE(English!C280, ""en"", ""bg"")"),"елементарен")</f>
        <v>елементарен</v>
      </c>
      <c r="D280" s="1" t="str">
        <f ca="1">IFERROR(__xludf.DUMMYFUNCTION("GOOGLETRANSLATE(English!D280, ""en"", ""bg"")"),"твърди вещества, течности, газове")</f>
        <v>твърди вещества, течности, газове</v>
      </c>
      <c r="E280" s="1" t="str">
        <f ca="1">IFERROR(__xludf.DUMMYFUNCTION("GOOGLETRANSLATE(English!E280, ""en"", ""bg"")"),"Можете ли да ми помогнете с изчисленията за твърди вещества, течности и газове?")</f>
        <v>Можете ли да ми помогнете с изчисленията за твърди вещества, течности и газове?</v>
      </c>
      <c r="F280" s="1" t="str">
        <f ca="1">IFERROR(__xludf.DUMMYFUNCTION("GOOGLETRANSLATE(English!F280,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80" s="1" t="str">
        <f ca="1">IFERROR(__xludf.DUMMYFUNCTION("GOOGLETRANSLATE(English!G280, ""en"", ""bg"")"),"помощ_за_домашно_изпълнение")</f>
        <v>помощ_за_домашно_изпълнение</v>
      </c>
      <c r="H280" s="1" t="str">
        <f ca="1">IFERROR(__xludf.DUMMYFUNCTION("GOOGLETRANSLATE(English!H280, ""en"", ""bg"")"),"помощ_за_домашно_задаване")</f>
        <v>помощ_за_домашно_задаване</v>
      </c>
    </row>
    <row r="281" spans="1:8" ht="13.2" x14ac:dyDescent="0.25">
      <c r="A281" s="1" t="str">
        <f ca="1">IFERROR(__xludf.DUMMYFUNCTION("GOOGLETRANSLATE(English!A281, ""en"", ""bg"")"),"hw_03045")</f>
        <v>hw_03045</v>
      </c>
      <c r="B281" s="1" t="str">
        <f ca="1">IFERROR(__xludf.DUMMYFUNCTION("GOOGLETRANSLATE(English!B281, ""en"", ""bg"")"),"химия")</f>
        <v>химия</v>
      </c>
      <c r="C281" s="1" t="str">
        <f ca="1">IFERROR(__xludf.DUMMYFUNCTION("GOOGLETRANSLATE(English!C281, ""en"", ""bg"")"),"високо")</f>
        <v>високо</v>
      </c>
      <c r="D281" s="1" t="str">
        <f ca="1">IFERROR(__xludf.DUMMYFUNCTION("GOOGLETRANSLATE(English!D281, ""en"", ""bg"")"),"химическо свързване")</f>
        <v>химическо свързване</v>
      </c>
      <c r="E281" s="1" t="str">
        <f ca="1">IFERROR(__xludf.DUMMYFUNCTION("GOOGLETRANSLATE(English!E281, ""en"", ""bg"")"),"Не разбирам тази концепция за химическа връзка. Моля, обяснете!")</f>
        <v>Не разбирам тази концепция за химическа връзка. Моля, обяснете!</v>
      </c>
      <c r="F281" s="1" t="str">
        <f ca="1">IFERROR(__xludf.DUMMYFUNCTION("GOOGLETRANSLATE(English!F281,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281" s="1" t="str">
        <f ca="1">IFERROR(__xludf.DUMMYFUNCTION("GOOGLETRANSLATE(English!G281, ""en"", ""bg"")"),"помощ_за_домашно_изпълнение")</f>
        <v>помощ_за_домашно_изпълнение</v>
      </c>
      <c r="H281" s="1" t="str">
        <f ca="1">IFERROR(__xludf.DUMMYFUNCTION("GOOGLETRANSLATE(English!H281, ""en"", ""bg"")"),"помощ_за_домашно_задаване")</f>
        <v>помощ_за_домашно_задаване</v>
      </c>
    </row>
    <row r="282" spans="1:8" ht="13.2" x14ac:dyDescent="0.25">
      <c r="A282" s="1" t="str">
        <f ca="1">IFERROR(__xludf.DUMMYFUNCTION("GOOGLETRANSLATE(English!A282, ""en"", ""bg"")"),"conv_16126")</f>
        <v>conv_16126</v>
      </c>
      <c r="B282" s="1" t="str">
        <f ca="1">IFERROR(__xludf.DUMMYFUNCTION("GOOGLETRANSLATE(English!B282, ""en"", ""bg"")"),"физика")</f>
        <v>физика</v>
      </c>
      <c r="C282" s="1" t="str">
        <f ca="1">IFERROR(__xludf.DUMMYFUNCTION("GOOGLETRANSLATE(English!C282, ""en"", ""bg"")"),"високо")</f>
        <v>високо</v>
      </c>
      <c r="D282" s="1" t="str">
        <f ca="1">IFERROR(__xludf.DUMMYFUNCTION("GOOGLETRANSLATE(English!D282, ""en"", ""bg"")"),"електромагнетизъм")</f>
        <v>електромагнетизъм</v>
      </c>
      <c r="E282" s="1" t="str">
        <f ca="1">IFERROR(__xludf.DUMMYFUNCTION("GOOGLETRANSLATE(English!E282, ""en"", ""bg"")"),"Здравей, преподавателю! Какво трябва да знам за електромагнетизма?")</f>
        <v>Здравей, преподавателю! Какво трябва да знам за електромагнетизма?</v>
      </c>
      <c r="F282" s="1" t="str">
        <f ca="1">IFERROR(__xludf.DUMMYFUNCTION("GOOGLETRANSLATE(English!F282,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282" s="1" t="str">
        <f ca="1">IFERROR(__xludf.DUMMYFUNCTION("GOOGLETRANSLATE(English!G282, ""en"", ""bg"")"),"разговор")</f>
        <v>разговор</v>
      </c>
      <c r="H282" s="1" t="str">
        <f ca="1">IFERROR(__xludf.DUMMYFUNCTION("GOOGLETRANSLATE(English!H282, ""en"", ""bg"")"),"образователна_помощ")</f>
        <v>образователна_помощ</v>
      </c>
    </row>
    <row r="283" spans="1:8" ht="13.2" x14ac:dyDescent="0.25">
      <c r="A283" s="1" t="str">
        <f ca="1">IFERROR(__xludf.DUMMYFUNCTION("GOOGLETRANSLATE(English!A283, ""en"", ""bg"")"),"qa_05161")</f>
        <v>qa_05161</v>
      </c>
      <c r="B283" s="1" t="str">
        <f ca="1">IFERROR(__xludf.DUMMYFUNCTION("GOOGLETRANSLATE(English!B283, ""en"", ""bg"")"),"физика")</f>
        <v>физика</v>
      </c>
      <c r="C283" s="1" t="str">
        <f ca="1">IFERROR(__xludf.DUMMYFUNCTION("GOOGLETRANSLATE(English!C283, ""en"", ""bg"")"),"високо")</f>
        <v>високо</v>
      </c>
      <c r="D283" s="1" t="str">
        <f ca="1">IFERROR(__xludf.DUMMYFUNCTION("GOOGLETRANSLATE(English!D283, ""en"", ""bg"")"),"радиоактивност")</f>
        <v>радиоактивност</v>
      </c>
      <c r="E283" s="1" t="str">
        <f ca="1">IFERROR(__xludf.DUMMYFUNCTION("GOOGLETRANSLATE(English!E283, ""en"", ""bg"")"),"Можете ли да ми обясните какво е радиоактивност?")</f>
        <v>Можете ли да ми обясните какво е радиоактивност?</v>
      </c>
      <c r="F283" s="1" t="str">
        <f ca="1">IFERROR(__xludf.DUMMYFUNCTION("GOOGLETRANSLATE(English!F283,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283" s="1" t="str">
        <f ca="1">IFERROR(__xludf.DUMMYFUNCTION("GOOGLETRANSLATE(English!G283, ""en"", ""bg"")"),"direct_qa")</f>
        <v>direct_qa</v>
      </c>
      <c r="H283" s="1" t="str">
        <f ca="1">IFERROR(__xludf.DUMMYFUNCTION("GOOGLETRANSLATE(English!H283, ""en"", ""bg"")"),"заявка_за_знание")</f>
        <v>заявка_за_знание</v>
      </c>
    </row>
    <row r="284" spans="1:8" ht="13.2" x14ac:dyDescent="0.25">
      <c r="A284" s="1" t="str">
        <f ca="1">IFERROR(__xludf.DUMMYFUNCTION("GOOGLETRANSLATE(English!A284, ""en"", ""bg"")"),"hw_01904")</f>
        <v>hw_01904</v>
      </c>
      <c r="B284" s="1" t="str">
        <f ca="1">IFERROR(__xludf.DUMMYFUNCTION("GOOGLETRANSLATE(English!B284, ""en"", ""bg"")"),"биология")</f>
        <v>биология</v>
      </c>
      <c r="C284" s="1" t="str">
        <f ca="1">IFERROR(__xludf.DUMMYFUNCTION("GOOGLETRANSLATE(English!C284, ""en"", ""bg"")"),"средата")</f>
        <v>средата</v>
      </c>
      <c r="D284" s="1" t="str">
        <f ca="1">IFERROR(__xludf.DUMMYFUNCTION("GOOGLETRANSLATE(English!D284, ""en"", ""bg"")"),"основи на генетиката")</f>
        <v>основи на генетиката</v>
      </c>
      <c r="E284" s="1" t="str">
        <f ca="1">IFERROR(__xludf.DUMMYFUNCTION("GOOGLETRANSLATE(English!E284, ""en"", ""bg"")"),"Трябва да напиша доклад за основите на генетиката. Можете ли да ми помогнете да започна?")</f>
        <v>Трябва да напиша доклад за основите на генетиката. Можете ли да ми помогнете да започна?</v>
      </c>
      <c r="F284" s="1" t="str">
        <f ca="1">IFERROR(__xludf.DUMMYFUNCTION("GOOGLETRANSLATE(English!F284,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284" s="1" t="str">
        <f ca="1">IFERROR(__xludf.DUMMYFUNCTION("GOOGLETRANSLATE(English!G284, ""en"", ""bg"")"),"помощ_за_домашно_изпълнение")</f>
        <v>помощ_за_домашно_изпълнение</v>
      </c>
      <c r="H284" s="1" t="str">
        <f ca="1">IFERROR(__xludf.DUMMYFUNCTION("GOOGLETRANSLATE(English!H284, ""en"", ""bg"")"),"помощ_за_домашно_задаване")</f>
        <v>помощ_за_домашно_задаване</v>
      </c>
    </row>
    <row r="285" spans="1:8" ht="13.2" x14ac:dyDescent="0.25">
      <c r="A285" s="1" t="str">
        <f ca="1">IFERROR(__xludf.DUMMYFUNCTION("GOOGLETRANSLATE(English!A285, ""en"", ""bg"")"),"qa_07953")</f>
        <v>qa_07953</v>
      </c>
      <c r="B285" s="1" t="str">
        <f ca="1">IFERROR(__xludf.DUMMYFUNCTION("GOOGLETRANSLATE(English!B285, ""en"", ""bg"")"),"химия")</f>
        <v>химия</v>
      </c>
      <c r="C285" s="1" t="str">
        <f ca="1">IFERROR(__xludf.DUMMYFUNCTION("GOOGLETRANSLATE(English!C285, ""en"", ""bg"")"),"високо")</f>
        <v>високо</v>
      </c>
      <c r="D285" s="1" t="str">
        <f ca="1">IFERROR(__xludf.DUMMYFUNCTION("GOOGLETRANSLATE(English!D285, ""en"", ""bg"")"),"скорости на реакция")</f>
        <v>скорости на реакция</v>
      </c>
      <c r="E285" s="1" t="str">
        <f ca="1">IFERROR(__xludf.DUMMYFUNCTION("GOOGLETRANSLATE(English!E285, ""en"", ""bg"")"),"Как работят скоростите на реакциите в химията?")</f>
        <v>Как работят скоростите на реакциите в химията?</v>
      </c>
      <c r="F285" s="1" t="str">
        <f ca="1">IFERROR(__xludf.DUMMYFUNCTION("GOOGLETRANSLATE(English!F285,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285" s="1" t="str">
        <f ca="1">IFERROR(__xludf.DUMMYFUNCTION("GOOGLETRANSLATE(English!G285, ""en"", ""bg"")"),"direct_qa")</f>
        <v>direct_qa</v>
      </c>
      <c r="H285" s="1" t="str">
        <f ca="1">IFERROR(__xludf.DUMMYFUNCTION("GOOGLETRANSLATE(English!H285, ""en"", ""bg"")"),"заявка_за_знание")</f>
        <v>заявка_за_знание</v>
      </c>
    </row>
    <row r="286" spans="1:8" ht="13.2" x14ac:dyDescent="0.25">
      <c r="A286" s="1" t="str">
        <f ca="1">IFERROR(__xludf.DUMMYFUNCTION("GOOGLETRANSLATE(English!A286, ""en"", ""bg"")"),"qa_05269")</f>
        <v>qa_05269</v>
      </c>
      <c r="B286" s="1" t="str">
        <f ca="1">IFERROR(__xludf.DUMMYFUNCTION("GOOGLETRANSLATE(English!B286, ""en"", ""bg"")"),"физика")</f>
        <v>физика</v>
      </c>
      <c r="C286" s="1" t="str">
        <f ca="1">IFERROR(__xludf.DUMMYFUNCTION("GOOGLETRANSLATE(English!C286, ""en"", ""bg"")"),"високо")</f>
        <v>високо</v>
      </c>
      <c r="D286" s="1" t="str">
        <f ca="1">IFERROR(__xludf.DUMMYFUNCTION("GOOGLETRANSLATE(English!D286, ""en"", ""bg"")"),"атомна структура")</f>
        <v>атомна структура</v>
      </c>
      <c r="E286" s="1" t="str">
        <f ca="1">IFERROR(__xludf.DUMMYFUNCTION("GOOGLETRANSLATE(English!E286, ""en"", ""bg"")"),"Можете ли да ми обясните структурата на атома?")</f>
        <v>Можете ли да ми обясните структурата на атома?</v>
      </c>
      <c r="F286" s="1" t="str">
        <f ca="1">IFERROR(__xludf.DUMMYFUNCTION("GOOGLETRANSLATE(English!F286,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286" s="1" t="str">
        <f ca="1">IFERROR(__xludf.DUMMYFUNCTION("GOOGLETRANSLATE(English!G286, ""en"", ""bg"")"),"direct_qa")</f>
        <v>direct_qa</v>
      </c>
      <c r="H286" s="1" t="str">
        <f ca="1">IFERROR(__xludf.DUMMYFUNCTION("GOOGLETRANSLATE(English!H286, ""en"", ""bg"")"),"заявка_за_знание")</f>
        <v>заявка_за_знание</v>
      </c>
    </row>
    <row r="287" spans="1:8" ht="13.2" x14ac:dyDescent="0.25">
      <c r="A287" s="1" t="str">
        <f ca="1">IFERROR(__xludf.DUMMYFUNCTION("GOOGLETRANSLATE(English!A287, ""en"", ""bg"")"),"qa_13106")</f>
        <v>qa_13106</v>
      </c>
      <c r="B287" s="1" t="str">
        <f ca="1">IFERROR(__xludf.DUMMYFUNCTION("GOOGLETRANSLATE(English!B287, ""en"", ""bg"")"),"биология")</f>
        <v>биология</v>
      </c>
      <c r="C287" s="1" t="str">
        <f ca="1">IFERROR(__xludf.DUMMYFUNCTION("GOOGLETRANSLATE(English!C287, ""en"", ""bg"")"),"елементарен")</f>
        <v>елементарен</v>
      </c>
      <c r="D287" s="1" t="str">
        <f ca="1">IFERROR(__xludf.DUMMYFUNCTION("GOOGLETRANSLATE(English!D287, ""en"", ""bg"")"),"растения")</f>
        <v>растения</v>
      </c>
      <c r="E287" s="1" t="str">
        <f ca="1">IFERROR(__xludf.DUMMYFUNCTION("GOOGLETRANSLATE(English!E287, ""en"", ""bg"")"),"От какво се нуждаят растенията, за да растат?")</f>
        <v>От какво се нуждаят растенията, за да растат?</v>
      </c>
      <c r="F287" s="1" t="str">
        <f ca="1">IFERROR(__xludf.DUMMYFUNCTION("GOOGLETRANSLATE(English!F287,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287" s="1" t="str">
        <f ca="1">IFERROR(__xludf.DUMMYFUNCTION("GOOGLETRANSLATE(English!G287, ""en"", ""bg"")"),"direct_qa")</f>
        <v>direct_qa</v>
      </c>
      <c r="H287" s="1" t="str">
        <f ca="1">IFERROR(__xludf.DUMMYFUNCTION("GOOGLETRANSLATE(English!H287, ""en"", ""bg"")"),"заявка_за_знание")</f>
        <v>заявка_за_знание</v>
      </c>
    </row>
    <row r="288" spans="1:8" ht="13.2" x14ac:dyDescent="0.25">
      <c r="A288" s="1" t="str">
        <f ca="1">IFERROR(__xludf.DUMMYFUNCTION("GOOGLETRANSLATE(English!A288, ""en"", ""bg"")"),"hw_10757")</f>
        <v>hw_10757</v>
      </c>
      <c r="B288" s="1" t="str">
        <f ca="1">IFERROR(__xludf.DUMMYFUNCTION("GOOGLETRANSLATE(English!B288, ""en"", ""bg"")"),"физика")</f>
        <v>физика</v>
      </c>
      <c r="C288" s="1" t="str">
        <f ca="1">IFERROR(__xludf.DUMMYFUNCTION("GOOGLETRANSLATE(English!C288, ""en"", ""bg"")"),"елементарен")</f>
        <v>елементарен</v>
      </c>
      <c r="D288" s="1" t="str">
        <f ca="1">IFERROR(__xludf.DUMMYFUNCTION("GOOGLETRANSLATE(English!D288, ""en"", ""bg"")"),"звук")</f>
        <v>звук</v>
      </c>
      <c r="E288" s="1" t="str">
        <f ca="1">IFERROR(__xludf.DUMMYFUNCTION("GOOGLETRANSLATE(English!E288, ""en"", ""bg"")"),"Трябва да разбирам звука за изпита си.")</f>
        <v>Трябва да разбирам звука за изпита си.</v>
      </c>
      <c r="F288" s="1" t="str">
        <f ca="1">IFERROR(__xludf.DUMMYFUNCTION("GOOGLETRANSLATE(English!F288,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288" s="1" t="str">
        <f ca="1">IFERROR(__xludf.DUMMYFUNCTION("GOOGLETRANSLATE(English!G288, ""en"", ""bg"")"),"помощ_за_домашно_изпълнение")</f>
        <v>помощ_за_домашно_изпълнение</v>
      </c>
      <c r="H288" s="1" t="str">
        <f ca="1">IFERROR(__xludf.DUMMYFUNCTION("GOOGLETRANSLATE(English!H288, ""en"", ""bg"")"),"помощ_за_домашно_задаване")</f>
        <v>помощ_за_домашно_задаване</v>
      </c>
    </row>
    <row r="289" spans="1:8" ht="13.2" x14ac:dyDescent="0.25">
      <c r="A289" s="1" t="str">
        <f ca="1">IFERROR(__xludf.DUMMYFUNCTION("GOOGLETRANSLATE(English!A289, ""en"", ""bg"")"),"conv_09706")</f>
        <v>conv_09706</v>
      </c>
      <c r="B289" s="1" t="str">
        <f ca="1">IFERROR(__xludf.DUMMYFUNCTION("GOOGLETRANSLATE(English!B289, ""en"", ""bg"")"),"химия")</f>
        <v>химия</v>
      </c>
      <c r="C289" s="1" t="str">
        <f ca="1">IFERROR(__xludf.DUMMYFUNCTION("GOOGLETRANSLATE(English!C289, ""en"", ""bg"")"),"средата")</f>
        <v>средата</v>
      </c>
      <c r="D289" s="1" t="str">
        <f ca="1">IFERROR(__xludf.DUMMYFUNCTION("GOOGLETRANSLATE(English!D289, ""en"", ""bg"")"),"атоми и молекули")</f>
        <v>атоми и молекули</v>
      </c>
      <c r="E289" s="1" t="str">
        <f ca="1">IFERROR(__xludf.DUMMYFUNCTION("GOOGLETRANSLATE(English!E289, ""en"", ""bg"")"),"Можете ли да ми помогнете? Какво е атом?")</f>
        <v>Можете ли да ми помогнете? Какво е атом?</v>
      </c>
      <c r="F289" s="1" t="str">
        <f ca="1">IFERROR(__xludf.DUMMYFUNCTION("GOOGLETRANSLATE(English!F289,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289" s="1" t="str">
        <f ca="1">IFERROR(__xludf.DUMMYFUNCTION("GOOGLETRANSLATE(English!G289, ""en"", ""bg"")"),"разговор")</f>
        <v>разговор</v>
      </c>
      <c r="H289" s="1" t="str">
        <f ca="1">IFERROR(__xludf.DUMMYFUNCTION("GOOGLETRANSLATE(English!H289, ""en"", ""bg"")"),"образователна_помощ")</f>
        <v>образователна_помощ</v>
      </c>
    </row>
    <row r="290" spans="1:8" ht="13.2" x14ac:dyDescent="0.25">
      <c r="A290" s="1" t="str">
        <f ca="1">IFERROR(__xludf.DUMMYFUNCTION("GOOGLETRANSLATE(English!A290, ""en"", ""bg"")"),"qa_02659")</f>
        <v>qa_02659</v>
      </c>
      <c r="B290" s="1" t="str">
        <f ca="1">IFERROR(__xludf.DUMMYFUNCTION("GOOGLETRANSLATE(English!B290, ""en"", ""bg"")"),"химия")</f>
        <v>химия</v>
      </c>
      <c r="C290" s="1" t="str">
        <f ca="1">IFERROR(__xludf.DUMMYFUNCTION("GOOGLETRANSLATE(English!C290, ""en"", ""bg"")"),"високо")</f>
        <v>високо</v>
      </c>
      <c r="D290" s="1" t="str">
        <f ca="1">IFERROR(__xludf.DUMMYFUNCTION("GOOGLETRANSLATE(English!D290, ""en"", ""bg"")"),"химическо свързване")</f>
        <v>химическо свързване</v>
      </c>
      <c r="E290" s="1" t="str">
        <f ca="1">IFERROR(__xludf.DUMMYFUNCTION("GOOGLETRANSLATE(English!E290, ""en"", ""bg"")"),"Можете ли да ми помогнете да разбера какво представлява химичната връзка?")</f>
        <v>Можете ли да ми помогнете да разбера какво представлява химичната връзка?</v>
      </c>
      <c r="F290" s="1" t="str">
        <f ca="1">IFERROR(__xludf.DUMMYFUNCTION("GOOGLETRANSLATE(English!F290,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290" s="1" t="str">
        <f ca="1">IFERROR(__xludf.DUMMYFUNCTION("GOOGLETRANSLATE(English!G290, ""en"", ""bg"")"),"direct_qa")</f>
        <v>direct_qa</v>
      </c>
      <c r="H290" s="1" t="str">
        <f ca="1">IFERROR(__xludf.DUMMYFUNCTION("GOOGLETRANSLATE(English!H290, ""en"", ""bg"")"),"заявка_за_знание")</f>
        <v>заявка_за_знание</v>
      </c>
    </row>
    <row r="291" spans="1:8" ht="13.2" x14ac:dyDescent="0.25">
      <c r="A291" s="1" t="str">
        <f ca="1">IFERROR(__xludf.DUMMYFUNCTION("GOOGLETRANSLATE(English!A291, ""en"", ""bg"")"),"qa_13067")</f>
        <v>qa_13067</v>
      </c>
      <c r="B291" s="1" t="str">
        <f ca="1">IFERROR(__xludf.DUMMYFUNCTION("GOOGLETRANSLATE(English!B291, ""en"", ""bg"")"),"физика")</f>
        <v>физика</v>
      </c>
      <c r="C291" s="1" t="str">
        <f ca="1">IFERROR(__xludf.DUMMYFUNCTION("GOOGLETRANSLATE(English!C291, ""en"", ""bg"")"),"високо")</f>
        <v>високо</v>
      </c>
      <c r="D291" s="1" t="str">
        <f ca="1">IFERROR(__xludf.DUMMYFUNCTION("GOOGLETRANSLATE(English!D291, ""en"", ""bg"")"),"радиоактивност")</f>
        <v>радиоактивност</v>
      </c>
      <c r="E291" s="1" t="str">
        <f ca="1">IFERROR(__xludf.DUMMYFUNCTION("GOOGLETRANSLATE(English!E291, ""en"", ""bg"")"),"Какво трябва да знам за радиоактивността?")</f>
        <v>Какво трябва да знам за радиоактивността?</v>
      </c>
      <c r="F291" s="1" t="str">
        <f ca="1">IFERROR(__xludf.DUMMYFUNCTION("GOOGLETRANSLATE(English!F291,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291" s="1" t="str">
        <f ca="1">IFERROR(__xludf.DUMMYFUNCTION("GOOGLETRANSLATE(English!G291, ""en"", ""bg"")"),"direct_qa")</f>
        <v>direct_qa</v>
      </c>
      <c r="H291" s="1" t="str">
        <f ca="1">IFERROR(__xludf.DUMMYFUNCTION("GOOGLETRANSLATE(English!H291, ""en"", ""bg"")"),"заявка_за_знание")</f>
        <v>заявка_за_знание</v>
      </c>
    </row>
    <row r="292" spans="1:8" ht="13.2" x14ac:dyDescent="0.25">
      <c r="A292" s="1" t="str">
        <f ca="1">IFERROR(__xludf.DUMMYFUNCTION("GOOGLETRANSLATE(English!A292, ""en"", ""bg"")"),"conv_11347")</f>
        <v>conv_11347</v>
      </c>
      <c r="B292" s="1" t="str">
        <f ca="1">IFERROR(__xludf.DUMMYFUNCTION("GOOGLETRANSLATE(English!B292, ""en"", ""bg"")"),"химия")</f>
        <v>химия</v>
      </c>
      <c r="C292" s="1" t="str">
        <f ca="1">IFERROR(__xludf.DUMMYFUNCTION("GOOGLETRANSLATE(English!C292, ""en"", ""bg"")"),"средата")</f>
        <v>средата</v>
      </c>
      <c r="D292" s="1" t="str">
        <f ca="1">IFERROR(__xludf.DUMMYFUNCTION("GOOGLETRANSLATE(English!D292, ""en"", ""bg"")"),"химични промени")</f>
        <v>химични промени</v>
      </c>
      <c r="E292" s="1" t="str">
        <f ca="1">IFERROR(__xludf.DUMMYFUNCTION("GOOGLETRANSLATE(English!E292, ""en"", ""bg"")"),"Имам научен въпрос. Защо е важно да се изучават химичните промени?")</f>
        <v>Имам научен въпрос. Защо е важно да се изучават химичните промени?</v>
      </c>
      <c r="F292" s="1" t="str">
        <f ca="1">IFERROR(__xludf.DUMMYFUNCTION("GOOGLETRANSLATE(English!F292,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292" s="1" t="str">
        <f ca="1">IFERROR(__xludf.DUMMYFUNCTION("GOOGLETRANSLATE(English!G292, ""en"", ""bg"")"),"разговор")</f>
        <v>разговор</v>
      </c>
      <c r="H292" s="1" t="str">
        <f ca="1">IFERROR(__xludf.DUMMYFUNCTION("GOOGLETRANSLATE(English!H292, ""en"", ""bg"")"),"образователна_помощ")</f>
        <v>образователна_помощ</v>
      </c>
    </row>
    <row r="293" spans="1:8" ht="13.2" x14ac:dyDescent="0.25">
      <c r="A293" s="1" t="str">
        <f ca="1">IFERROR(__xludf.DUMMYFUNCTION("GOOGLETRANSLATE(English!A293, ""en"", ""bg"")"),"conv_10797")</f>
        <v>conv_10797</v>
      </c>
      <c r="B293" s="1" t="str">
        <f ca="1">IFERROR(__xludf.DUMMYFUNCTION("GOOGLETRANSLATE(English!B293, ""en"", ""bg"")"),"физика")</f>
        <v>физика</v>
      </c>
      <c r="C293" s="1" t="str">
        <f ca="1">IFERROR(__xludf.DUMMYFUNCTION("GOOGLETRANSLATE(English!C293, ""en"", ""bg"")"),"високо")</f>
        <v>високо</v>
      </c>
      <c r="D293" s="1" t="str">
        <f ca="1">IFERROR(__xludf.DUMMYFUNCTION("GOOGLETRANSLATE(English!D293, ""en"", ""bg"")"),"оптика")</f>
        <v>оптика</v>
      </c>
      <c r="E293" s="1" t="str">
        <f ca="1">IFERROR(__xludf.DUMMYFUNCTION("GOOGLETRANSLATE(English!E293, ""en"", ""bg"")"),"Можете ли да ми помогнете? Как работи оптиката във физиката?")</f>
        <v>Можете ли да ми помогнете? Как работи оптиката във физиката?</v>
      </c>
      <c r="F293" s="1" t="str">
        <f ca="1">IFERROR(__xludf.DUMMYFUNCTION("GOOGLETRANSLATE(English!F293,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293" s="1" t="str">
        <f ca="1">IFERROR(__xludf.DUMMYFUNCTION("GOOGLETRANSLATE(English!G293, ""en"", ""bg"")"),"разговор")</f>
        <v>разговор</v>
      </c>
      <c r="H293" s="1" t="str">
        <f ca="1">IFERROR(__xludf.DUMMYFUNCTION("GOOGLETRANSLATE(English!H293, ""en"", ""bg"")"),"образователна_помощ")</f>
        <v>образователна_помощ</v>
      </c>
    </row>
    <row r="294" spans="1:8" ht="13.2" x14ac:dyDescent="0.25">
      <c r="A294" s="1" t="str">
        <f ca="1">IFERROR(__xludf.DUMMYFUNCTION("GOOGLETRANSLATE(English!A294, ""en"", ""bg"")"),"conv_19071")</f>
        <v>conv_19071</v>
      </c>
      <c r="B294" s="1" t="str">
        <f ca="1">IFERROR(__xludf.DUMMYFUNCTION("GOOGLETRANSLATE(English!B294, ""en"", ""bg"")"),"физика")</f>
        <v>физика</v>
      </c>
      <c r="C294" s="1" t="str">
        <f ca="1">IFERROR(__xludf.DUMMYFUNCTION("GOOGLETRANSLATE(English!C294, ""en"", ""bg"")"),"елементарен")</f>
        <v>елементарен</v>
      </c>
      <c r="D294" s="1" t="str">
        <f ca="1">IFERROR(__xludf.DUMMYFUNCTION("GOOGLETRANSLATE(English!D294, ""en"", ""bg"")"),"бутане и дърпане")</f>
        <v>бутане и дърпане</v>
      </c>
      <c r="E294" s="1" t="str">
        <f ca="1">IFERROR(__xludf.DUMMYFUNCTION("GOOGLETRANSLATE(English!E294, ""en"", ""bg"")"),"Можете ли да ми обясните това? Как работят бутането и дърпането във физиката?")</f>
        <v>Можете ли да ми обясните това? Как работят бутането и дърпането във физиката?</v>
      </c>
      <c r="F294" s="1" t="str">
        <f ca="1">IFERROR(__xludf.DUMMYFUNCTION("GOOGLETRANSLATE(English!F294,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294" s="1" t="str">
        <f ca="1">IFERROR(__xludf.DUMMYFUNCTION("GOOGLETRANSLATE(English!G294, ""en"", ""bg"")"),"разговор")</f>
        <v>разговор</v>
      </c>
      <c r="H294" s="1" t="str">
        <f ca="1">IFERROR(__xludf.DUMMYFUNCTION("GOOGLETRANSLATE(English!H294, ""en"", ""bg"")"),"образователна_помощ")</f>
        <v>образователна_помощ</v>
      </c>
    </row>
    <row r="295" spans="1:8" ht="13.2" x14ac:dyDescent="0.25">
      <c r="A295" s="1" t="str">
        <f ca="1">IFERROR(__xludf.DUMMYFUNCTION("GOOGLETRANSLATE(English!A295, ""en"", ""bg"")"),"qa_06831")</f>
        <v>qa_06831</v>
      </c>
      <c r="B295" s="1" t="str">
        <f ca="1">IFERROR(__xludf.DUMMYFUNCTION("GOOGLETRANSLATE(English!B295, ""en"", ""bg"")"),"физика")</f>
        <v>физика</v>
      </c>
      <c r="C295" s="1" t="str">
        <f ca="1">IFERROR(__xludf.DUMMYFUNCTION("GOOGLETRANSLATE(English!C295, ""en"", ""bg"")"),"високо")</f>
        <v>високо</v>
      </c>
      <c r="D295" s="1" t="str">
        <f ca="1">IFERROR(__xludf.DUMMYFUNCTION("GOOGLETRANSLATE(English!D295, ""en"", ""bg"")"),"термодинамика")</f>
        <v>термодинамика</v>
      </c>
      <c r="E295" s="1" t="str">
        <f ca="1">IFERROR(__xludf.DUMMYFUNCTION("GOOGLETRANSLATE(English!E295, ""en"", ""bg"")"),"Можете ли да ми обясните термодинамиката?")</f>
        <v>Можете ли да ми обясните термодинамиката?</v>
      </c>
      <c r="F295" s="1" t="str">
        <f ca="1">IFERROR(__xludf.DUMMYFUNCTION("GOOGLETRANSLATE(English!F295,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295" s="1" t="str">
        <f ca="1">IFERROR(__xludf.DUMMYFUNCTION("GOOGLETRANSLATE(English!G295, ""en"", ""bg"")"),"direct_qa")</f>
        <v>direct_qa</v>
      </c>
      <c r="H295" s="1" t="str">
        <f ca="1">IFERROR(__xludf.DUMMYFUNCTION("GOOGLETRANSLATE(English!H295, ""en"", ""bg"")"),"заявка_за_знание")</f>
        <v>заявка_за_знание</v>
      </c>
    </row>
    <row r="296" spans="1:8" ht="13.2" x14ac:dyDescent="0.25">
      <c r="A296" s="1" t="str">
        <f ca="1">IFERROR(__xludf.DUMMYFUNCTION("GOOGLETRANSLATE(English!A296, ""en"", ""bg"")"),"conv_18200")</f>
        <v>conv_18200</v>
      </c>
      <c r="B296" s="1" t="str">
        <f ca="1">IFERROR(__xludf.DUMMYFUNCTION("GOOGLETRANSLATE(English!B296, ""en"", ""bg"")"),"биология")</f>
        <v>биология</v>
      </c>
      <c r="C296" s="1" t="str">
        <f ca="1">IFERROR(__xludf.DUMMYFUNCTION("GOOGLETRANSLATE(English!C296, ""en"", ""bg"")"),"средата")</f>
        <v>средата</v>
      </c>
      <c r="D296" s="1" t="str">
        <f ca="1">IFERROR(__xludf.DUMMYFUNCTION("GOOGLETRANSLATE(English!D296, ""en"", ""bg"")"),"класификация")</f>
        <v>класификация</v>
      </c>
      <c r="E296" s="1" t="str">
        <f ca="1">IFERROR(__xludf.DUMMYFUNCTION("GOOGLETRANSLATE(English!E296, ""en"", ""bg"")"),"Имам научен въпрос. Защо класификацията е важна в биологията?")</f>
        <v>Имам научен въпрос. Защо класификацията е важна в биологията?</v>
      </c>
      <c r="F296" s="1" t="str">
        <f ca="1">IFERROR(__xludf.DUMMYFUNCTION("GOOGLETRANSLATE(English!F296,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296" s="1" t="str">
        <f ca="1">IFERROR(__xludf.DUMMYFUNCTION("GOOGLETRANSLATE(English!G296, ""en"", ""bg"")"),"разговор")</f>
        <v>разговор</v>
      </c>
      <c r="H296" s="1" t="str">
        <f ca="1">IFERROR(__xludf.DUMMYFUNCTION("GOOGLETRANSLATE(English!H296, ""en"", ""bg"")"),"образователна_помощ")</f>
        <v>образователна_помощ</v>
      </c>
    </row>
    <row r="297" spans="1:8" ht="13.2" x14ac:dyDescent="0.25">
      <c r="A297" s="1" t="str">
        <f ca="1">IFERROR(__xludf.DUMMYFUNCTION("GOOGLETRANSLATE(English!A297, ""en"", ""bg"")"),"qa_03762")</f>
        <v>qa_03762</v>
      </c>
      <c r="B297" s="1" t="str">
        <f ca="1">IFERROR(__xludf.DUMMYFUNCTION("GOOGLETRANSLATE(English!B297, ""en"", ""bg"")"),"химия")</f>
        <v>химия</v>
      </c>
      <c r="C297" s="1" t="str">
        <f ca="1">IFERROR(__xludf.DUMMYFUNCTION("GOOGLETRANSLATE(English!C297, ""en"", ""bg"")"),"средата")</f>
        <v>средата</v>
      </c>
      <c r="D297" s="1" t="str">
        <f ca="1">IFERROR(__xludf.DUMMYFUNCTION("GOOGLETRANSLATE(English!D297, ""en"", ""bg"")"),"химични реакции")</f>
        <v>химични реакции</v>
      </c>
      <c r="E297" s="1" t="str">
        <f ca="1">IFERROR(__xludf.DUMMYFUNCTION("GOOGLETRANSLATE(English!E297, ""en"", ""bg"")"),"Как да разберете дали е възникнала химическа реакция?")</f>
        <v>Как да разберете дали е възникнала химическа реакция?</v>
      </c>
      <c r="F297" s="1" t="str">
        <f ca="1">IFERROR(__xludf.DUMMYFUNCTION("GOOGLETRANSLATE(English!F297,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297" s="1" t="str">
        <f ca="1">IFERROR(__xludf.DUMMYFUNCTION("GOOGLETRANSLATE(English!G297, ""en"", ""bg"")"),"direct_qa")</f>
        <v>direct_qa</v>
      </c>
      <c r="H297" s="1" t="str">
        <f ca="1">IFERROR(__xludf.DUMMYFUNCTION("GOOGLETRANSLATE(English!H297, ""en"", ""bg"")"),"заявка_за_знание")</f>
        <v>заявка_за_знание</v>
      </c>
    </row>
    <row r="298" spans="1:8" ht="13.2" x14ac:dyDescent="0.25">
      <c r="A298" s="1" t="str">
        <f ca="1">IFERROR(__xludf.DUMMYFUNCTION("GOOGLETRANSLATE(English!A298, ""en"", ""bg"")"),"qa_00790")</f>
        <v>qa_00790</v>
      </c>
      <c r="B298" s="1" t="str">
        <f ca="1">IFERROR(__xludf.DUMMYFUNCTION("GOOGLETRANSLATE(English!B298, ""en"", ""bg"")"),"физика")</f>
        <v>физика</v>
      </c>
      <c r="C298" s="1" t="str">
        <f ca="1">IFERROR(__xludf.DUMMYFUNCTION("GOOGLETRANSLATE(English!C298, ""en"", ""bg"")"),"елементарен")</f>
        <v>елементарен</v>
      </c>
      <c r="D298" s="1" t="str">
        <f ca="1">IFERROR(__xludf.DUMMYFUNCTION("GOOGLETRANSLATE(English!D298, ""en"", ""bg"")"),"магнити")</f>
        <v>магнити</v>
      </c>
      <c r="E298" s="1" t="str">
        <f ca="1">IFERROR(__xludf.DUMMYFUNCTION("GOOGLETRANSLATE(English!E298, ""en"", ""bg"")"),"Защо някои неща се залепват за магнити?")</f>
        <v>Защо някои неща се залепват за магнити?</v>
      </c>
      <c r="F298" s="1" t="str">
        <f ca="1">IFERROR(__xludf.DUMMYFUNCTION("GOOGLETRANSLATE(English!F298,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298" s="1" t="str">
        <f ca="1">IFERROR(__xludf.DUMMYFUNCTION("GOOGLETRANSLATE(English!G298, ""en"", ""bg"")"),"direct_qa")</f>
        <v>direct_qa</v>
      </c>
      <c r="H298" s="1" t="str">
        <f ca="1">IFERROR(__xludf.DUMMYFUNCTION("GOOGLETRANSLATE(English!H298, ""en"", ""bg"")"),"заявка_за_знание")</f>
        <v>заявка_за_знание</v>
      </c>
    </row>
    <row r="299" spans="1:8" ht="13.2" x14ac:dyDescent="0.25">
      <c r="A299" s="1" t="str">
        <f ca="1">IFERROR(__xludf.DUMMYFUNCTION("GOOGLETRANSLATE(English!A299, ""en"", ""bg"")"),"qa_06379")</f>
        <v>qa_06379</v>
      </c>
      <c r="B299" s="1" t="str">
        <f ca="1">IFERROR(__xludf.DUMMYFUNCTION("GOOGLETRANSLATE(English!B299, ""en"", ""bg"")"),"химия")</f>
        <v>химия</v>
      </c>
      <c r="C299" s="1" t="str">
        <f ca="1">IFERROR(__xludf.DUMMYFUNCTION("GOOGLETRANSLATE(English!C299, ""en"", ""bg"")"),"средата")</f>
        <v>средата</v>
      </c>
      <c r="D299" s="1" t="str">
        <f ca="1">IFERROR(__xludf.DUMMYFUNCTION("GOOGLETRANSLATE(English!D299, ""en"", ""bg"")"),"основи на периодичната таблица")</f>
        <v>основи на периодичната таблица</v>
      </c>
      <c r="E299" s="1" t="str">
        <f ca="1">IFERROR(__xludf.DUMMYFUNCTION("GOOGLETRANSLATE(English!E299,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299" s="1" t="str">
        <f ca="1">IFERROR(__xludf.DUMMYFUNCTION("GOOGLETRANSLATE(English!F299,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299" s="1" t="str">
        <f ca="1">IFERROR(__xludf.DUMMYFUNCTION("GOOGLETRANSLATE(English!G299, ""en"", ""bg"")"),"direct_qa")</f>
        <v>direct_qa</v>
      </c>
      <c r="H299" s="1" t="str">
        <f ca="1">IFERROR(__xludf.DUMMYFUNCTION("GOOGLETRANSLATE(English!H299, ""en"", ""bg"")"),"заявка_за_знание")</f>
        <v>заявка_за_знание</v>
      </c>
    </row>
    <row r="300" spans="1:8" ht="13.2" x14ac:dyDescent="0.25">
      <c r="A300" s="1" t="str">
        <f ca="1">IFERROR(__xludf.DUMMYFUNCTION("GOOGLETRANSLATE(English!A300, ""en"", ""bg"")"),"conv_07364")</f>
        <v>conv_07364</v>
      </c>
      <c r="B300" s="1" t="str">
        <f ca="1">IFERROR(__xludf.DUMMYFUNCTION("GOOGLETRANSLATE(English!B300, ""en"", ""bg"")"),"физика")</f>
        <v>физика</v>
      </c>
      <c r="C300" s="1" t="str">
        <f ca="1">IFERROR(__xludf.DUMMYFUNCTION("GOOGLETRANSLATE(English!C300, ""en"", ""bg"")"),"средата")</f>
        <v>средата</v>
      </c>
      <c r="D300" s="1" t="str">
        <f ca="1">IFERROR(__xludf.DUMMYFUNCTION("GOOGLETRANSLATE(English!D300, ""en"", ""bg"")"),"видове енергия")</f>
        <v>видове енергия</v>
      </c>
      <c r="E300" s="1" t="str">
        <f ca="1">IFERROR(__xludf.DUMMYFUNCTION("GOOGLETRANSLATE(English!E300, ""en"", ""bg"")"),"Можете ли да ми помогнете? Какво е кинетична енергия?")</f>
        <v>Можете ли да ми помогнете? Какво е кинетична енергия?</v>
      </c>
      <c r="F300" s="1" t="str">
        <f ca="1">IFERROR(__xludf.DUMMYFUNCTION("GOOGLETRANSLATE(English!F300,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300" s="1" t="str">
        <f ca="1">IFERROR(__xludf.DUMMYFUNCTION("GOOGLETRANSLATE(English!G300, ""en"", ""bg"")"),"разговор")</f>
        <v>разговор</v>
      </c>
      <c r="H300" s="1" t="str">
        <f ca="1">IFERROR(__xludf.DUMMYFUNCTION("GOOGLETRANSLATE(English!H300, ""en"", ""bg"")"),"образователна_помощ")</f>
        <v>образователна_помощ</v>
      </c>
    </row>
    <row r="301" spans="1:8" ht="13.2" x14ac:dyDescent="0.25">
      <c r="A301" s="1" t="str">
        <f ca="1">IFERROR(__xludf.DUMMYFUNCTION("GOOGLETRANSLATE(English!A301, ""en"", ""bg"")"),"conv_09481")</f>
        <v>conv_09481</v>
      </c>
      <c r="B301" s="1" t="str">
        <f ca="1">IFERROR(__xludf.DUMMYFUNCTION("GOOGLETRANSLATE(English!B301, ""en"", ""bg"")"),"физика")</f>
        <v>физика</v>
      </c>
      <c r="C301" s="1" t="str">
        <f ca="1">IFERROR(__xludf.DUMMYFUNCTION("GOOGLETRANSLATE(English!C301, ""en"", ""bg"")"),"високо")</f>
        <v>високо</v>
      </c>
      <c r="D301" s="1" t="str">
        <f ca="1">IFERROR(__xludf.DUMMYFUNCTION("GOOGLETRANSLATE(English!D301, ""en"", ""bg"")"),"електромагнетизъм")</f>
        <v>електромагнетизъм</v>
      </c>
      <c r="E301" s="1" t="str">
        <f ca="1">IFERROR(__xludf.DUMMYFUNCTION("GOOGLETRANSLATE(English!E301, ""en"", ""bg"")"),"Можете ли да ми помогнете? Защо електромагнетизмът е важен?")</f>
        <v>Можете ли да ми помогнете? Защо електромагнетизмът е важен?</v>
      </c>
      <c r="F301" s="1" t="str">
        <f ca="1">IFERROR(__xludf.DUMMYFUNCTION("GOOGLETRANSLATE(English!F301,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301" s="1" t="str">
        <f ca="1">IFERROR(__xludf.DUMMYFUNCTION("GOOGLETRANSLATE(English!G301, ""en"", ""bg"")"),"разговор")</f>
        <v>разговор</v>
      </c>
      <c r="H301" s="1" t="str">
        <f ca="1">IFERROR(__xludf.DUMMYFUNCTION("GOOGLETRANSLATE(English!H301, ""en"", ""bg"")"),"образователна_помощ")</f>
        <v>образователна_помощ</v>
      </c>
    </row>
    <row r="302" spans="1:8" ht="13.2" x14ac:dyDescent="0.25">
      <c r="A302" s="1" t="str">
        <f ca="1">IFERROR(__xludf.DUMMYFUNCTION("GOOGLETRANSLATE(English!A302, ""en"", ""bg"")"),"hw_03894")</f>
        <v>hw_03894</v>
      </c>
      <c r="B302" s="1" t="str">
        <f ca="1">IFERROR(__xludf.DUMMYFUNCTION("GOOGLETRANSLATE(English!B302, ""en"", ""bg"")"),"физика")</f>
        <v>физика</v>
      </c>
      <c r="C302" s="1" t="str">
        <f ca="1">IFERROR(__xludf.DUMMYFUNCTION("GOOGLETRANSLATE(English!C302, ""en"", ""bg"")"),"елементарен")</f>
        <v>елементарен</v>
      </c>
      <c r="D302" s="1" t="str">
        <f ca="1">IFERROR(__xludf.DUMMYFUNCTION("GOOGLETRANSLATE(English!D302, ""en"", ""bg"")"),"бутане и дърпане")</f>
        <v>бутане и дърпане</v>
      </c>
      <c r="E302" s="1" t="str">
        <f ca="1">IFERROR(__xludf.DUMMYFUNCTION("GOOGLETRANSLATE(English!E302, ""en"", ""bg"")"),"Домашното ми по физика е за бутане и дърпане. Объркващо е!")</f>
        <v>Домашното ми по физика е за бутане и дърпане. Объркващо е!</v>
      </c>
      <c r="F302" s="1" t="str">
        <f ca="1">IFERROR(__xludf.DUMMYFUNCTION("GOOGLETRANSLATE(English!F302,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302" s="1" t="str">
        <f ca="1">IFERROR(__xludf.DUMMYFUNCTION("GOOGLETRANSLATE(English!G302, ""en"", ""bg"")"),"помощ_за_домашно_изпълнение")</f>
        <v>помощ_за_домашно_изпълнение</v>
      </c>
      <c r="H302" s="1" t="str">
        <f ca="1">IFERROR(__xludf.DUMMYFUNCTION("GOOGLETRANSLATE(English!H302, ""en"", ""bg"")"),"помощ_за_домашно_задаване")</f>
        <v>помощ_за_домашно_задаване</v>
      </c>
    </row>
    <row r="303" spans="1:8" ht="13.2" x14ac:dyDescent="0.25">
      <c r="A303" s="1" t="str">
        <f ca="1">IFERROR(__xludf.DUMMYFUNCTION("GOOGLETRANSLATE(English!A303, ""en"", ""bg"")"),"conv_12155")</f>
        <v>conv_12155</v>
      </c>
      <c r="B303" s="1" t="str">
        <f ca="1">IFERROR(__xludf.DUMMYFUNCTION("GOOGLETRANSLATE(English!B303, ""en"", ""bg"")"),"биология")</f>
        <v>биология</v>
      </c>
      <c r="C303" s="1" t="str">
        <f ca="1">IFERROR(__xludf.DUMMYFUNCTION("GOOGLETRANSLATE(English!C303, ""en"", ""bg"")"),"средата")</f>
        <v>средата</v>
      </c>
      <c r="D303" s="1" t="str">
        <f ca="1">IFERROR(__xludf.DUMMYFUNCTION("GOOGLETRANSLATE(English!D303, ""en"", ""bg"")"),"размножаване")</f>
        <v>размножаване</v>
      </c>
      <c r="E303" s="1" t="str">
        <f ca="1">IFERROR(__xludf.DUMMYFUNCTION("GOOGLETRANSLATE(English!E303, ""en"", ""bg"")"),"Имам научен въпрос. Какво е важно да знаем за размножаването?")</f>
        <v>Имам научен въпрос. Какво е важно да знаем за размножаването?</v>
      </c>
      <c r="F303" s="1" t="str">
        <f ca="1">IFERROR(__xludf.DUMMYFUNCTION("GOOGLETRANSLATE(English!F303,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303" s="1" t="str">
        <f ca="1">IFERROR(__xludf.DUMMYFUNCTION("GOOGLETRANSLATE(English!G303, ""en"", ""bg"")"),"разговор")</f>
        <v>разговор</v>
      </c>
      <c r="H303" s="1" t="str">
        <f ca="1">IFERROR(__xludf.DUMMYFUNCTION("GOOGLETRANSLATE(English!H303, ""en"", ""bg"")"),"образователна_помощ")</f>
        <v>образователна_помощ</v>
      </c>
    </row>
    <row r="304" spans="1:8" ht="13.2" x14ac:dyDescent="0.25">
      <c r="A304" s="1" t="str">
        <f ca="1">IFERROR(__xludf.DUMMYFUNCTION("GOOGLETRANSLATE(English!A304, ""en"", ""bg"")"),"conv_10677")</f>
        <v>conv_10677</v>
      </c>
      <c r="B304" s="1" t="str">
        <f ca="1">IFERROR(__xludf.DUMMYFUNCTION("GOOGLETRANSLATE(English!B304, ""en"", ""bg"")"),"химия")</f>
        <v>химия</v>
      </c>
      <c r="C304" s="1" t="str">
        <f ca="1">IFERROR(__xludf.DUMMYFUNCTION("GOOGLETRANSLATE(English!C304, ""en"", ""bg"")"),"средата")</f>
        <v>средата</v>
      </c>
      <c r="D304" s="1" t="str">
        <f ca="1">IFERROR(__xludf.DUMMYFUNCTION("GOOGLETRANSLATE(English!D304, ""en"", ""bg"")"),"химични промени")</f>
        <v>химични промени</v>
      </c>
      <c r="E304" s="1" t="str">
        <f ca="1">IFERROR(__xludf.DUMMYFUNCTION("GOOGLETRANSLATE(English!E304, ""en"", ""bg"")"),"Помогнете ми да се подготвя за теста. Какво представляват химичните промени?")</f>
        <v>Помогнете ми да се подготвя за теста. Какво представляват химичните промени?</v>
      </c>
      <c r="F304" s="1" t="str">
        <f ca="1">IFERROR(__xludf.DUMMYFUNCTION("GOOGLETRANSLATE(English!F304,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304" s="1" t="str">
        <f ca="1">IFERROR(__xludf.DUMMYFUNCTION("GOOGLETRANSLATE(English!G304, ""en"", ""bg"")"),"разговор")</f>
        <v>разговор</v>
      </c>
      <c r="H304" s="1" t="str">
        <f ca="1">IFERROR(__xludf.DUMMYFUNCTION("GOOGLETRANSLATE(English!H304, ""en"", ""bg"")"),"образователна_помощ")</f>
        <v>образователна_помощ</v>
      </c>
    </row>
    <row r="305" spans="1:8" ht="13.2" x14ac:dyDescent="0.25">
      <c r="A305" s="1" t="str">
        <f ca="1">IFERROR(__xludf.DUMMYFUNCTION("GOOGLETRANSLATE(English!A305, ""en"", ""bg"")"),"conv_11946")</f>
        <v>conv_11946</v>
      </c>
      <c r="B305" s="1" t="str">
        <f ca="1">IFERROR(__xludf.DUMMYFUNCTION("GOOGLETRANSLATE(English!B305, ""en"", ""bg"")"),"химия")</f>
        <v>химия</v>
      </c>
      <c r="C305" s="1" t="str">
        <f ca="1">IFERROR(__xludf.DUMMYFUNCTION("GOOGLETRANSLATE(English!C305, ""en"", ""bg"")"),"елементарен")</f>
        <v>елементарен</v>
      </c>
      <c r="D305" s="1" t="str">
        <f ca="1">IFERROR(__xludf.DUMMYFUNCTION("GOOGLETRANSLATE(English!D305, ""en"", ""bg"")"),"смесване на материали")</f>
        <v>смесване на материали</v>
      </c>
      <c r="E305" s="1" t="str">
        <f ca="1">IFERROR(__xludf.DUMMYFUNCTION("GOOGLETRANSLATE(English!E305, ""en"", ""bg"")"),"Здравей, учителю! Как можеш да отделиш солта от водата?")</f>
        <v>Здравей, учителю! Как можеш да отделиш солта от водата?</v>
      </c>
      <c r="F305" s="1" t="str">
        <f ca="1">IFERROR(__xludf.DUMMYFUNCTION("GOOGLETRANSLATE(English!F305,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305" s="1" t="str">
        <f ca="1">IFERROR(__xludf.DUMMYFUNCTION("GOOGLETRANSLATE(English!G305, ""en"", ""bg"")"),"разговор")</f>
        <v>разговор</v>
      </c>
      <c r="H305" s="1" t="str">
        <f ca="1">IFERROR(__xludf.DUMMYFUNCTION("GOOGLETRANSLATE(English!H305, ""en"", ""bg"")"),"образователна_помощ")</f>
        <v>образователна_помощ</v>
      </c>
    </row>
    <row r="306" spans="1:8" ht="13.2" x14ac:dyDescent="0.25">
      <c r="A306" s="1" t="str">
        <f ca="1">IFERROR(__xludf.DUMMYFUNCTION("GOOGLETRANSLATE(English!A306, ""en"", ""bg"")"),"hw_11579")</f>
        <v>hw_11579</v>
      </c>
      <c r="B306" s="1" t="str">
        <f ca="1">IFERROR(__xludf.DUMMYFUNCTION("GOOGLETRANSLATE(English!B306, ""en"", ""bg"")"),"химия")</f>
        <v>химия</v>
      </c>
      <c r="C306" s="1" t="str">
        <f ca="1">IFERROR(__xludf.DUMMYFUNCTION("GOOGLETRANSLATE(English!C306, ""en"", ""bg"")"),"елементарен")</f>
        <v>елементарен</v>
      </c>
      <c r="D306" s="1" t="str">
        <f ca="1">IFERROR(__xludf.DUMMYFUNCTION("GOOGLETRANSLATE(English!D306, ""en"", ""bg"")"),"ежедневни химикали")</f>
        <v>ежедневни химикали</v>
      </c>
      <c r="E306" s="1" t="str">
        <f ca="1">IFERROR(__xludf.DUMMYFUNCTION("GOOGLETRANSLATE(English!E306, ""en"", ""bg"")"),"Можете ли да ми помогнете с ежедневните изчисления на химикали?")</f>
        <v>Можете ли да ми помогнете с ежедневните изчисления на химикали?</v>
      </c>
      <c r="F306" s="1" t="str">
        <f ca="1">IFERROR(__xludf.DUMMYFUNCTION("GOOGLETRANSLATE(English!F306,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306" s="1" t="str">
        <f ca="1">IFERROR(__xludf.DUMMYFUNCTION("GOOGLETRANSLATE(English!G306, ""en"", ""bg"")"),"помощ_за_домашно_изпълнение")</f>
        <v>помощ_за_домашно_изпълнение</v>
      </c>
      <c r="H306" s="1" t="str">
        <f ca="1">IFERROR(__xludf.DUMMYFUNCTION("GOOGLETRANSLATE(English!H306, ""en"", ""bg"")"),"помощ_за_домашно_задаване")</f>
        <v>помощ_за_домашно_задаване</v>
      </c>
    </row>
    <row r="307" spans="1:8" ht="13.2" x14ac:dyDescent="0.25">
      <c r="A307" s="1" t="str">
        <f ca="1">IFERROR(__xludf.DUMMYFUNCTION("GOOGLETRANSLATE(English!A307, ""en"", ""bg"")"),"qa_03896")</f>
        <v>qa_03896</v>
      </c>
      <c r="B307" s="1" t="str">
        <f ca="1">IFERROR(__xludf.DUMMYFUNCTION("GOOGLETRANSLATE(English!B307, ""en"", ""bg"")"),"биология")</f>
        <v>биология</v>
      </c>
      <c r="C307" s="1" t="str">
        <f ca="1">IFERROR(__xludf.DUMMYFUNCTION("GOOGLETRANSLATE(English!C307, ""en"", ""bg"")"),"елементарен")</f>
        <v>елементарен</v>
      </c>
      <c r="D307" s="1" t="str">
        <f ca="1">IFERROR(__xludf.DUMMYFUNCTION("GOOGLETRANSLATE(English!D307, ""en"", ""bg"")"),"домашни любимци срещу диви животни")</f>
        <v>домашни любимци срещу диви животни</v>
      </c>
      <c r="E307" s="1" t="str">
        <f ca="1">IFERROR(__xludf.DUMMYFUNCTION("GOOGLETRANSLATE(English!E307, ""en"", ""bg"")"),"Какво е важно да знаем за домашните любимци спрямо дивите животни?")</f>
        <v>Какво е важно да знаем за домашните любимци спрямо дивите животни?</v>
      </c>
      <c r="F307" s="1" t="str">
        <f ca="1">IFERROR(__xludf.DUMMYFUNCTION("GOOGLETRANSLATE(English!F307,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307" s="1" t="str">
        <f ca="1">IFERROR(__xludf.DUMMYFUNCTION("GOOGLETRANSLATE(English!G307, ""en"", ""bg"")"),"direct_qa")</f>
        <v>direct_qa</v>
      </c>
      <c r="H307" s="1" t="str">
        <f ca="1">IFERROR(__xludf.DUMMYFUNCTION("GOOGLETRANSLATE(English!H307, ""en"", ""bg"")"),"заявка_за_знание")</f>
        <v>заявка_за_знание</v>
      </c>
    </row>
    <row r="308" spans="1:8" ht="13.2" x14ac:dyDescent="0.25">
      <c r="A308" s="1" t="str">
        <f ca="1">IFERROR(__xludf.DUMMYFUNCTION("GOOGLETRANSLATE(English!A308, ""en"", ""bg"")"),"hw_04752")</f>
        <v>hw_04752</v>
      </c>
      <c r="B308" s="1" t="str">
        <f ca="1">IFERROR(__xludf.DUMMYFUNCTION("GOOGLETRANSLATE(English!B308, ""en"", ""bg"")"),"химия")</f>
        <v>химия</v>
      </c>
      <c r="C308" s="1" t="str">
        <f ca="1">IFERROR(__xludf.DUMMYFUNCTION("GOOGLETRANSLATE(English!C308, ""en"", ""bg"")"),"елементарен")</f>
        <v>елементарен</v>
      </c>
      <c r="D308" s="1" t="str">
        <f ca="1">IFERROR(__xludf.DUMMYFUNCTION("GOOGLETRANSLATE(English!D308, ""en"", ""bg"")"),"промени в материалите")</f>
        <v>промени в материалите</v>
      </c>
      <c r="E308" s="1" t="str">
        <f ca="1">IFERROR(__xludf.DUMMYFUNCTION("GOOGLETRANSLATE(English!E308,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308" s="1" t="str">
        <f ca="1">IFERROR(__xludf.DUMMYFUNCTION("GOOGLETRANSLATE(English!F308,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308" s="1" t="str">
        <f ca="1">IFERROR(__xludf.DUMMYFUNCTION("GOOGLETRANSLATE(English!G308, ""en"", ""bg"")"),"помощ_за_домашно_изпълнение")</f>
        <v>помощ_за_домашно_изпълнение</v>
      </c>
      <c r="H308" s="1" t="str">
        <f ca="1">IFERROR(__xludf.DUMMYFUNCTION("GOOGLETRANSLATE(English!H308, ""en"", ""bg"")"),"помощ_за_домашно_задаване")</f>
        <v>помощ_за_домашно_задаване</v>
      </c>
    </row>
    <row r="309" spans="1:8" ht="13.2" x14ac:dyDescent="0.25">
      <c r="A309" s="1" t="str">
        <f ca="1">IFERROR(__xludf.DUMMYFUNCTION("GOOGLETRANSLATE(English!A309, ""en"", ""bg"")"),"conv_16120")</f>
        <v>conv_16120</v>
      </c>
      <c r="B309" s="1" t="str">
        <f ca="1">IFERROR(__xludf.DUMMYFUNCTION("GOOGLETRANSLATE(English!B309, ""en"", ""bg"")"),"биология")</f>
        <v>биология</v>
      </c>
      <c r="C309" s="1" t="str">
        <f ca="1">IFERROR(__xludf.DUMMYFUNCTION("GOOGLETRANSLATE(English!C309, ""en"", ""bg"")"),"средата")</f>
        <v>средата</v>
      </c>
      <c r="D309" s="1" t="str">
        <f ca="1">IFERROR(__xludf.DUMMYFUNCTION("GOOGLETRANSLATE(English!D309, ""en"", ""bg"")"),"клетки")</f>
        <v>клетки</v>
      </c>
      <c r="E309" s="1" t="str">
        <f ca="1">IFERROR(__xludf.DUMMYFUNCTION("GOOGLETRANSLATE(English!E309, ""en"", ""bg"")"),"Помогни ми да уча за теста си. Какво прави ядрото?")</f>
        <v>Помогни ми да уча за теста си. Какво прави ядрото?</v>
      </c>
      <c r="F309" s="1" t="str">
        <f ca="1">IFERROR(__xludf.DUMMYFUNCTION("GOOGLETRANSLATE(English!F309, ""en"", ""bg"")"),"Ядрото е като мозъка на клетката - то контролира какво прави клетката и съдържа ДНК.")</f>
        <v>Ядрото е като мозъка на клетката - то контролира какво прави клетката и съдържа ДНК.</v>
      </c>
      <c r="G309" s="1" t="str">
        <f ca="1">IFERROR(__xludf.DUMMYFUNCTION("GOOGLETRANSLATE(English!G309, ""en"", ""bg"")"),"разговор")</f>
        <v>разговор</v>
      </c>
      <c r="H309" s="1" t="str">
        <f ca="1">IFERROR(__xludf.DUMMYFUNCTION("GOOGLETRANSLATE(English!H309, ""en"", ""bg"")"),"образователна_помощ")</f>
        <v>образователна_помощ</v>
      </c>
    </row>
    <row r="310" spans="1:8" ht="13.2" x14ac:dyDescent="0.25">
      <c r="A310" s="1" t="str">
        <f ca="1">IFERROR(__xludf.DUMMYFUNCTION("GOOGLETRANSLATE(English!A310, ""en"", ""bg"")"),"qa_03268")</f>
        <v>qa_03268</v>
      </c>
      <c r="B310" s="1" t="str">
        <f ca="1">IFERROR(__xludf.DUMMYFUNCTION("GOOGLETRANSLATE(English!B310, ""en"", ""bg"")"),"биология")</f>
        <v>биология</v>
      </c>
      <c r="C310" s="1" t="str">
        <f ca="1">IFERROR(__xludf.DUMMYFUNCTION("GOOGLETRANSLATE(English!C310, ""en"", ""bg"")"),"елементарен")</f>
        <v>елементарен</v>
      </c>
      <c r="D310" s="1" t="str">
        <f ca="1">IFERROR(__xludf.DUMMYFUNCTION("GOOGLETRANSLATE(English!D310, ""en"", ""bg"")"),"сетива")</f>
        <v>сетива</v>
      </c>
      <c r="E310" s="1" t="str">
        <f ca="1">IFERROR(__xludf.DUMMYFUNCTION("GOOGLETRANSLATE(English!E310, ""en"", ""bg"")"),"Как работят сетивата?")</f>
        <v>Как работят сетивата?</v>
      </c>
      <c r="F310" s="1" t="str">
        <f ca="1">IFERROR(__xludf.DUMMYFUNCTION("GOOGLETRANSLATE(English!F310,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310" s="1" t="str">
        <f ca="1">IFERROR(__xludf.DUMMYFUNCTION("GOOGLETRANSLATE(English!G310, ""en"", ""bg"")"),"direct_qa")</f>
        <v>direct_qa</v>
      </c>
      <c r="H310" s="1" t="str">
        <f ca="1">IFERROR(__xludf.DUMMYFUNCTION("GOOGLETRANSLATE(English!H310, ""en"", ""bg"")"),"заявка_за_знание")</f>
        <v>заявка_за_знание</v>
      </c>
    </row>
    <row r="311" spans="1:8" ht="13.2" x14ac:dyDescent="0.25">
      <c r="A311" s="1" t="str">
        <f ca="1">IFERROR(__xludf.DUMMYFUNCTION("GOOGLETRANSLATE(English!A311, ""en"", ""bg"")"),"conv_12350")</f>
        <v>conv_12350</v>
      </c>
      <c r="B311" s="1" t="str">
        <f ca="1">IFERROR(__xludf.DUMMYFUNCTION("GOOGLETRANSLATE(English!B311, ""en"", ""bg"")"),"физика")</f>
        <v>физика</v>
      </c>
      <c r="C311" s="1" t="str">
        <f ca="1">IFERROR(__xludf.DUMMYFUNCTION("GOOGLETRANSLATE(English!C311, ""en"", ""bg"")"),"високо")</f>
        <v>високо</v>
      </c>
      <c r="D311" s="1" t="str">
        <f ca="1">IFERROR(__xludf.DUMMYFUNCTION("GOOGLETRANSLATE(English!D311, ""en"", ""bg"")"),"термодинамика")</f>
        <v>термодинамика</v>
      </c>
      <c r="E311" s="1" t="str">
        <f ca="1">IFERROR(__xludf.DUMMYFUNCTION("GOOGLETRANSLATE(English!E311, ""en"", ""bg"")"),"Имам нужда от помощ с домашното си. Защо термодинамиката е важна?")</f>
        <v>Имам нужда от помощ с домашното си. Защо термодинамиката е важна?</v>
      </c>
      <c r="F311" s="1" t="str">
        <f ca="1">IFERROR(__xludf.DUMMYFUNCTION("GOOGLETRANSLATE(English!F311,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311" s="1" t="str">
        <f ca="1">IFERROR(__xludf.DUMMYFUNCTION("GOOGLETRANSLATE(English!G311, ""en"", ""bg"")"),"разговор")</f>
        <v>разговор</v>
      </c>
      <c r="H311" s="1" t="str">
        <f ca="1">IFERROR(__xludf.DUMMYFUNCTION("GOOGLETRANSLATE(English!H311, ""en"", ""bg"")"),"образователна_помощ")</f>
        <v>образователна_помощ</v>
      </c>
    </row>
    <row r="312" spans="1:8" ht="13.2" x14ac:dyDescent="0.25">
      <c r="A312" s="1" t="str">
        <f ca="1">IFERROR(__xludf.DUMMYFUNCTION("GOOGLETRANSLATE(English!A312, ""en"", ""bg"")"),"hw_00807")</f>
        <v>hw_00807</v>
      </c>
      <c r="B312" s="1" t="str">
        <f ca="1">IFERROR(__xludf.DUMMYFUNCTION("GOOGLETRANSLATE(English!B312, ""en"", ""bg"")"),"химия")</f>
        <v>химия</v>
      </c>
      <c r="C312" s="1" t="str">
        <f ca="1">IFERROR(__xludf.DUMMYFUNCTION("GOOGLETRANSLATE(English!C312, ""en"", ""bg"")"),"високо")</f>
        <v>високо</v>
      </c>
      <c r="D312" s="1" t="str">
        <f ca="1">IFERROR(__xludf.DUMMYFUNCTION("GOOGLETRANSLATE(English!D312, ""en"", ""bg"")"),"скорости на реакция")</f>
        <v>скорости на реакция</v>
      </c>
      <c r="E312" s="1" t="str">
        <f ca="1">IFERROR(__xludf.DUMMYFUNCTION("GOOGLETRANSLATE(English!E312, ""en"", ""bg"")"),"Докладът ми по химия е за скоростите на реакциите. Помогнете ми да разбера.")</f>
        <v>Докладът ми по химия е за скоростите на реакциите. Помогнете ми да разбера.</v>
      </c>
      <c r="F312" s="1" t="str">
        <f ca="1">IFERROR(__xludf.DUMMYFUNCTION("GOOGLETRANSLATE(English!F312,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312" s="1" t="str">
        <f ca="1">IFERROR(__xludf.DUMMYFUNCTION("GOOGLETRANSLATE(English!G312, ""en"", ""bg"")"),"помощ_за_домашно_изпълнение")</f>
        <v>помощ_за_домашно_изпълнение</v>
      </c>
      <c r="H312" s="1" t="str">
        <f ca="1">IFERROR(__xludf.DUMMYFUNCTION("GOOGLETRANSLATE(English!H312, ""en"", ""bg"")"),"помощ_за_домашно_задаване")</f>
        <v>помощ_за_домашно_задаване</v>
      </c>
    </row>
    <row r="313" spans="1:8" ht="13.2" x14ac:dyDescent="0.25">
      <c r="A313" s="1" t="str">
        <f ca="1">IFERROR(__xludf.DUMMYFUNCTION("GOOGLETRANSLATE(English!A313, ""en"", ""bg"")"),"qa_08318")</f>
        <v>qa_08318</v>
      </c>
      <c r="B313" s="1" t="str">
        <f ca="1">IFERROR(__xludf.DUMMYFUNCTION("GOOGLETRANSLATE(English!B313, ""en"", ""bg"")"),"химия")</f>
        <v>химия</v>
      </c>
      <c r="C313" s="1" t="str">
        <f ca="1">IFERROR(__xludf.DUMMYFUNCTION("GOOGLETRANSLATE(English!C313, ""en"", ""bg"")"),"елементарен")</f>
        <v>елементарен</v>
      </c>
      <c r="D313" s="1" t="str">
        <f ca="1">IFERROR(__xludf.DUMMYFUNCTION("GOOGLETRANSLATE(English!D313, ""en"", ""bg"")"),"промени в материалите")</f>
        <v>промени в материалите</v>
      </c>
      <c r="E313" s="1" t="str">
        <f ca="1">IFERROR(__xludf.DUMMYFUNCTION("GOOGLETRANSLATE(English!E313, ""en"", ""bg"")"),"Защо е важно да се изучават промените в материалите?")</f>
        <v>Защо е важно да се изучават промените в материалите?</v>
      </c>
      <c r="F313" s="1" t="str">
        <f ca="1">IFERROR(__xludf.DUMMYFUNCTION("GOOGLETRANSLATE(English!F313,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313" s="1" t="str">
        <f ca="1">IFERROR(__xludf.DUMMYFUNCTION("GOOGLETRANSLATE(English!G313, ""en"", ""bg"")"),"direct_qa")</f>
        <v>direct_qa</v>
      </c>
      <c r="H313" s="1" t="str">
        <f ca="1">IFERROR(__xludf.DUMMYFUNCTION("GOOGLETRANSLATE(English!H313, ""en"", ""bg"")"),"заявка_за_знание")</f>
        <v>заявка_за_знание</v>
      </c>
    </row>
    <row r="314" spans="1:8" ht="13.2" x14ac:dyDescent="0.25">
      <c r="A314" s="1" t="str">
        <f ca="1">IFERROR(__xludf.DUMMYFUNCTION("GOOGLETRANSLATE(English!A314, ""en"", ""bg"")"),"conv_15961")</f>
        <v>conv_15961</v>
      </c>
      <c r="B314" s="1" t="str">
        <f ca="1">IFERROR(__xludf.DUMMYFUNCTION("GOOGLETRANSLATE(English!B314, ""en"", ""bg"")"),"химия")</f>
        <v>химия</v>
      </c>
      <c r="C314" s="1" t="str">
        <f ca="1">IFERROR(__xludf.DUMMYFUNCTION("GOOGLETRANSLATE(English!C314, ""en"", ""bg"")"),"елементарен")</f>
        <v>елементарен</v>
      </c>
      <c r="D314" s="1" t="str">
        <f ca="1">IFERROR(__xludf.DUMMYFUNCTION("GOOGLETRANSLATE(English!D314, ""en"", ""bg"")"),"промени в материалите")</f>
        <v>промени в материалите</v>
      </c>
      <c r="E314" s="1" t="str">
        <f ca="1">IFERROR(__xludf.DUMMYFUNCTION("GOOGLETRANSLATE(English!E314, ""en"", ""bg"")"),"Помогнете ми да уча за теста. Можете ли да ми помогнете да разбера промените в материалите?")</f>
        <v>Помогнете ми да уча за теста. Можете ли да ми помогнете да разбера промените в материалите?</v>
      </c>
      <c r="F314" s="1" t="str">
        <f ca="1">IFERROR(__xludf.DUMMYFUNCTION("GOOGLETRANSLATE(English!F314,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314" s="1" t="str">
        <f ca="1">IFERROR(__xludf.DUMMYFUNCTION("GOOGLETRANSLATE(English!G314, ""en"", ""bg"")"),"разговор")</f>
        <v>разговор</v>
      </c>
      <c r="H314" s="1" t="str">
        <f ca="1">IFERROR(__xludf.DUMMYFUNCTION("GOOGLETRANSLATE(English!H314, ""en"", ""bg"")"),"образователна_помощ")</f>
        <v>образователна_помощ</v>
      </c>
    </row>
    <row r="315" spans="1:8" ht="13.2" x14ac:dyDescent="0.25">
      <c r="A315" s="1" t="str">
        <f ca="1">IFERROR(__xludf.DUMMYFUNCTION("GOOGLETRANSLATE(English!A315, ""en"", ""bg"")"),"conv_00948")</f>
        <v>conv_00948</v>
      </c>
      <c r="B315" s="1" t="str">
        <f ca="1">IFERROR(__xludf.DUMMYFUNCTION("GOOGLETRANSLATE(English!B315, ""en"", ""bg"")"),"физика")</f>
        <v>физика</v>
      </c>
      <c r="C315" s="1" t="str">
        <f ca="1">IFERROR(__xludf.DUMMYFUNCTION("GOOGLETRANSLATE(English!C315, ""en"", ""bg"")"),"елементарен")</f>
        <v>елементарен</v>
      </c>
      <c r="D315" s="1" t="str">
        <f ca="1">IFERROR(__xludf.DUMMYFUNCTION("GOOGLETRANSLATE(English!D315, ""en"", ""bg"")"),"прости машини")</f>
        <v>прости машини</v>
      </c>
      <c r="E315" s="1" t="str">
        <f ca="1">IFERROR(__xludf.DUMMYFUNCTION("GOOGLETRANSLATE(English!E315, ""en"", ""bg"")"),"Имам нужда от помощ с домашното. Какво трябва да знам за простите машини?")</f>
        <v>Имам нужда от помощ с домашното. Какво трябва да знам за простите машини?</v>
      </c>
      <c r="F315" s="1" t="str">
        <f ca="1">IFERROR(__xludf.DUMMYFUNCTION("GOOGLETRANSLATE(English!F315,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315" s="1" t="str">
        <f ca="1">IFERROR(__xludf.DUMMYFUNCTION("GOOGLETRANSLATE(English!G315, ""en"", ""bg"")"),"разговор")</f>
        <v>разговор</v>
      </c>
      <c r="H315" s="1" t="str">
        <f ca="1">IFERROR(__xludf.DUMMYFUNCTION("GOOGLETRANSLATE(English!H315, ""en"", ""bg"")"),"образователна_помощ")</f>
        <v>образователна_помощ</v>
      </c>
    </row>
    <row r="316" spans="1:8" ht="13.2" x14ac:dyDescent="0.25">
      <c r="A316" s="1" t="str">
        <f ca="1">IFERROR(__xludf.DUMMYFUNCTION("GOOGLETRANSLATE(English!A316, ""en"", ""bg"")"),"conv_02712")</f>
        <v>conv_02712</v>
      </c>
      <c r="B316" s="1" t="str">
        <f ca="1">IFERROR(__xludf.DUMMYFUNCTION("GOOGLETRANSLATE(English!B316, ""en"", ""bg"")"),"биология")</f>
        <v>биология</v>
      </c>
      <c r="C316" s="1" t="str">
        <f ca="1">IFERROR(__xludf.DUMMYFUNCTION("GOOGLETRANSLATE(English!C316, ""en"", ""bg"")"),"средата")</f>
        <v>средата</v>
      </c>
      <c r="D316" s="1" t="str">
        <f ca="1">IFERROR(__xludf.DUMMYFUNCTION("GOOGLETRANSLATE(English!D316, ""en"", ""bg"")"),"дишане")</f>
        <v>дишане</v>
      </c>
      <c r="E316" s="1" t="str">
        <f ca="1">IFERROR(__xludf.DUMMYFUNCTION("GOOGLETRANSLATE(English!E316, ""en"", ""bg"")"),"Помогнете ми да уча за теста. Какво е важно да знаем за дишането?")</f>
        <v>Помогнете ми да уча за теста. Какво е важно да знаем за дишането?</v>
      </c>
      <c r="F316" s="1" t="str">
        <f ca="1">IFERROR(__xludf.DUMMYFUNCTION("GOOGLETRANSLATE(English!F316,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316" s="1" t="str">
        <f ca="1">IFERROR(__xludf.DUMMYFUNCTION("GOOGLETRANSLATE(English!G316, ""en"", ""bg"")"),"разговор")</f>
        <v>разговор</v>
      </c>
      <c r="H316" s="1" t="str">
        <f ca="1">IFERROR(__xludf.DUMMYFUNCTION("GOOGLETRANSLATE(English!H316, ""en"", ""bg"")"),"образователна_помощ")</f>
        <v>образователна_помощ</v>
      </c>
    </row>
    <row r="317" spans="1:8" ht="13.2" x14ac:dyDescent="0.25">
      <c r="A317" s="1" t="str">
        <f ca="1">IFERROR(__xludf.DUMMYFUNCTION("GOOGLETRANSLATE(English!A317, ""en"", ""bg"")"),"hw_14798")</f>
        <v>hw_14798</v>
      </c>
      <c r="B317" s="1" t="str">
        <f ca="1">IFERROR(__xludf.DUMMYFUNCTION("GOOGLETRANSLATE(English!B317, ""en"", ""bg"")"),"биология")</f>
        <v>биология</v>
      </c>
      <c r="C317" s="1" t="str">
        <f ca="1">IFERROR(__xludf.DUMMYFUNCTION("GOOGLETRANSLATE(English!C317, ""en"", ""bg"")"),"елементарен")</f>
        <v>елементарен</v>
      </c>
      <c r="D317" s="1" t="str">
        <f ca="1">IFERROR(__xludf.DUMMYFUNCTION("GOOGLETRANSLATE(English!D317, ""en"", ""bg"")"),"жизнени цикли")</f>
        <v>жизнени цикли</v>
      </c>
      <c r="E317" s="1" t="str">
        <f ca="1">IFERROR(__xludf.DUMMYFUNCTION("GOOGLETRANSLATE(English!E317, ""en"", ""bg"")"),"Можете ли да обясните жизнените цикли за моя научен проект?")</f>
        <v>Можете ли да обясните жизнените цикли за моя научен проект?</v>
      </c>
      <c r="F317" s="1" t="str">
        <f ca="1">IFERROR(__xludf.DUMMYFUNCTION("GOOGLETRANSLATE(English!F317,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317" s="1" t="str">
        <f ca="1">IFERROR(__xludf.DUMMYFUNCTION("GOOGLETRANSLATE(English!G317, ""en"", ""bg"")"),"помощ_за_домашно_изпълнение")</f>
        <v>помощ_за_домашно_изпълнение</v>
      </c>
      <c r="H317" s="1" t="str">
        <f ca="1">IFERROR(__xludf.DUMMYFUNCTION("GOOGLETRANSLATE(English!H317, ""en"", ""bg"")"),"помощ_за_домашно_задаване")</f>
        <v>помощ_за_домашно_задаване</v>
      </c>
    </row>
    <row r="318" spans="1:8" ht="13.2" x14ac:dyDescent="0.25">
      <c r="A318" s="1" t="str">
        <f ca="1">IFERROR(__xludf.DUMMYFUNCTION("GOOGLETRANSLATE(English!A318, ""en"", ""bg"")"),"hw_00831")</f>
        <v>hw_00831</v>
      </c>
      <c r="B318" s="1" t="str">
        <f ca="1">IFERROR(__xludf.DUMMYFUNCTION("GOOGLETRANSLATE(English!B318, ""en"", ""bg"")"),"физика")</f>
        <v>физика</v>
      </c>
      <c r="C318" s="1" t="str">
        <f ca="1">IFERROR(__xludf.DUMMYFUNCTION("GOOGLETRANSLATE(English!C318, ""en"", ""bg"")"),"средата")</f>
        <v>средата</v>
      </c>
      <c r="D318" s="1" t="str">
        <f ca="1">IFERROR(__xludf.DUMMYFUNCTION("GOOGLETRANSLATE(English!D318, ""en"", ""bg"")"),"състояния на материята")</f>
        <v>състояния на материята</v>
      </c>
      <c r="E318" s="1" t="str">
        <f ca="1">IFERROR(__xludf.DUMMYFUNCTION("GOOGLETRANSLATE(English!E318, ""en"", ""bg"")"),"Трябва да разбера състоянията на материята за изпита си.")</f>
        <v>Трябва да разбера състоянията на материята за изпита си.</v>
      </c>
      <c r="F318" s="1" t="str">
        <f ca="1">IFERROR(__xludf.DUMMYFUNCTION("GOOGLETRANSLATE(English!F318,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18" s="1" t="str">
        <f ca="1">IFERROR(__xludf.DUMMYFUNCTION("GOOGLETRANSLATE(English!G318, ""en"", ""bg"")"),"помощ_за_домашно_изпълнение")</f>
        <v>помощ_за_домашно_изпълнение</v>
      </c>
      <c r="H318" s="1" t="str">
        <f ca="1">IFERROR(__xludf.DUMMYFUNCTION("GOOGLETRANSLATE(English!H318, ""en"", ""bg"")"),"помощ_за_домашно_задаване")</f>
        <v>помощ_за_домашно_задаване</v>
      </c>
    </row>
    <row r="319" spans="1:8" ht="13.2" x14ac:dyDescent="0.25">
      <c r="A319" s="1" t="str">
        <f ca="1">IFERROR(__xludf.DUMMYFUNCTION("GOOGLETRANSLATE(English!A319, ""en"", ""bg"")"),"qa_06433")</f>
        <v>qa_06433</v>
      </c>
      <c r="B319" s="1" t="str">
        <f ca="1">IFERROR(__xludf.DUMMYFUNCTION("GOOGLETRANSLATE(English!B319, ""en"", ""bg"")"),"биология")</f>
        <v>биология</v>
      </c>
      <c r="C319" s="1" t="str">
        <f ca="1">IFERROR(__xludf.DUMMYFUNCTION("GOOGLETRANSLATE(English!C319, ""en"", ""bg"")"),"елементарен")</f>
        <v>елементарен</v>
      </c>
      <c r="D319" s="1" t="str">
        <f ca="1">IFERROR(__xludf.DUMMYFUNCTION("GOOGLETRANSLATE(English!D319, ""en"", ""bg"")"),"човешкото тяло")</f>
        <v>човешкото тяло</v>
      </c>
      <c r="E319" s="1" t="str">
        <f ca="1">IFERROR(__xludf.DUMMYFUNCTION("GOOGLETRANSLATE(English!E319, ""en"", ""bg"")"),"Как работи човешкото тяло?")</f>
        <v>Как работи човешкото тяло?</v>
      </c>
      <c r="F319" s="1" t="str">
        <f ca="1">IFERROR(__xludf.DUMMYFUNCTION("GOOGLETRANSLATE(English!F319,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319" s="1" t="str">
        <f ca="1">IFERROR(__xludf.DUMMYFUNCTION("GOOGLETRANSLATE(English!G319, ""en"", ""bg"")"),"direct_qa")</f>
        <v>direct_qa</v>
      </c>
      <c r="H319" s="1" t="str">
        <f ca="1">IFERROR(__xludf.DUMMYFUNCTION("GOOGLETRANSLATE(English!H319, ""en"", ""bg"")"),"заявка_за_знание")</f>
        <v>заявка_за_знание</v>
      </c>
    </row>
    <row r="320" spans="1:8" ht="13.2" x14ac:dyDescent="0.25">
      <c r="A320" s="1" t="str">
        <f ca="1">IFERROR(__xludf.DUMMYFUNCTION("GOOGLETRANSLATE(English!A320, ""en"", ""bg"")"),"hw_00253")</f>
        <v>hw_00253</v>
      </c>
      <c r="B320" s="1" t="str">
        <f ca="1">IFERROR(__xludf.DUMMYFUNCTION("GOOGLETRANSLATE(English!B320, ""en"", ""bg"")"),"физика")</f>
        <v>физика</v>
      </c>
      <c r="C320" s="1" t="str">
        <f ca="1">IFERROR(__xludf.DUMMYFUNCTION("GOOGLETRANSLATE(English!C320, ""en"", ""bg"")"),"високо")</f>
        <v>високо</v>
      </c>
      <c r="D320" s="1" t="str">
        <f ca="1">IFERROR(__xludf.DUMMYFUNCTION("GOOGLETRANSLATE(English!D320, ""en"", ""bg"")"),"атомна структура")</f>
        <v>атомна структура</v>
      </c>
      <c r="E320" s="1" t="str">
        <f ca="1">IFERROR(__xludf.DUMMYFUNCTION("GOOGLETRANSLATE(English!E320,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320" s="1" t="str">
        <f ca="1">IFERROR(__xludf.DUMMYFUNCTION("GOOGLETRANSLATE(English!F320,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320" s="1" t="str">
        <f ca="1">IFERROR(__xludf.DUMMYFUNCTION("GOOGLETRANSLATE(English!G320, ""en"", ""bg"")"),"помощ_за_домашно_изпълнение")</f>
        <v>помощ_за_домашно_изпълнение</v>
      </c>
      <c r="H320" s="1" t="str">
        <f ca="1">IFERROR(__xludf.DUMMYFUNCTION("GOOGLETRANSLATE(English!H320, ""en"", ""bg"")"),"помощ_за_домашно_задаване")</f>
        <v>помощ_за_домашно_задаване</v>
      </c>
    </row>
    <row r="321" spans="1:8" ht="13.2" x14ac:dyDescent="0.25">
      <c r="A321" s="1" t="str">
        <f ca="1">IFERROR(__xludf.DUMMYFUNCTION("GOOGLETRANSLATE(English!A321, ""en"", ""bg"")"),"qa_03112")</f>
        <v>qa_03112</v>
      </c>
      <c r="B321" s="1" t="str">
        <f ca="1">IFERROR(__xludf.DUMMYFUNCTION("GOOGLETRANSLATE(English!B321, ""en"", ""bg"")"),"биология")</f>
        <v>биология</v>
      </c>
      <c r="C321" s="1" t="str">
        <f ca="1">IFERROR(__xludf.DUMMYFUNCTION("GOOGLETRANSLATE(English!C321, ""en"", ""bg"")"),"високо")</f>
        <v>високо</v>
      </c>
      <c r="D321" s="1" t="str">
        <f ca="1">IFERROR(__xludf.DUMMYFUNCTION("GOOGLETRANSLATE(English!D321, ""en"", ""bg"")"),"клетъчно дишане")</f>
        <v>клетъчно дишане</v>
      </c>
      <c r="E321" s="1" t="str">
        <f ca="1">IFERROR(__xludf.DUMMYFUNCTION("GOOGLETRANSLATE(English!E321, ""en"", ""bg"")"),"Как работи клетъчното дишане?")</f>
        <v>Как работи клетъчното дишане?</v>
      </c>
      <c r="F321" s="1" t="str">
        <f ca="1">IFERROR(__xludf.DUMMYFUNCTION("GOOGLETRANSLATE(English!F321,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321" s="1" t="str">
        <f ca="1">IFERROR(__xludf.DUMMYFUNCTION("GOOGLETRANSLATE(English!G321, ""en"", ""bg"")"),"direct_qa")</f>
        <v>direct_qa</v>
      </c>
      <c r="H321" s="1" t="str">
        <f ca="1">IFERROR(__xludf.DUMMYFUNCTION("GOOGLETRANSLATE(English!H321, ""en"", ""bg"")"),"заявка_за_знание")</f>
        <v>заявка_за_знание</v>
      </c>
    </row>
    <row r="322" spans="1:8" ht="13.2" x14ac:dyDescent="0.25">
      <c r="A322" s="1" t="str">
        <f ca="1">IFERROR(__xludf.DUMMYFUNCTION("GOOGLETRANSLATE(English!A322, ""en"", ""bg"")"),"conv_17617")</f>
        <v>conv_17617</v>
      </c>
      <c r="B322" s="1" t="str">
        <f ca="1">IFERROR(__xludf.DUMMYFUNCTION("GOOGLETRANSLATE(English!B322, ""en"", ""bg"")"),"биология")</f>
        <v>биология</v>
      </c>
      <c r="C322" s="1" t="str">
        <f ca="1">IFERROR(__xludf.DUMMYFUNCTION("GOOGLETRANSLATE(English!C322, ""en"", ""bg"")"),"средата")</f>
        <v>средата</v>
      </c>
      <c r="D322" s="1" t="str">
        <f ca="1">IFERROR(__xludf.DUMMYFUNCTION("GOOGLETRANSLATE(English!D322, ""en"", ""bg"")"),"размножаване")</f>
        <v>размножаване</v>
      </c>
      <c r="E322" s="1" t="str">
        <f ca="1">IFERROR(__xludf.DUMMYFUNCTION("GOOGLETRANSLATE(English!E322, ""en"", ""bg"")"),"Помогнете ми да уча за теста си. Защо размножаването е важно в биологията?")</f>
        <v>Помогнете ми да уча за теста си. Защо размножаването е важно в биологията?</v>
      </c>
      <c r="F322" s="1" t="str">
        <f ca="1">IFERROR(__xludf.DUMMYFUNCTION("GOOGLETRANSLATE(English!F322,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322" s="1" t="str">
        <f ca="1">IFERROR(__xludf.DUMMYFUNCTION("GOOGLETRANSLATE(English!G322, ""en"", ""bg"")"),"разговор")</f>
        <v>разговор</v>
      </c>
      <c r="H322" s="1" t="str">
        <f ca="1">IFERROR(__xludf.DUMMYFUNCTION("GOOGLETRANSLATE(English!H322, ""en"", ""bg"")"),"образователна_помощ")</f>
        <v>образователна_помощ</v>
      </c>
    </row>
    <row r="323" spans="1:8" ht="13.2" x14ac:dyDescent="0.25">
      <c r="A323" s="1" t="str">
        <f ca="1">IFERROR(__xludf.DUMMYFUNCTION("GOOGLETRANSLATE(English!A323, ""en"", ""bg"")"),"qa_03124")</f>
        <v>qa_03124</v>
      </c>
      <c r="B323" s="1" t="str">
        <f ca="1">IFERROR(__xludf.DUMMYFUNCTION("GOOGLETRANSLATE(English!B323, ""en"", ""bg"")"),"химия")</f>
        <v>химия</v>
      </c>
      <c r="C323" s="1" t="str">
        <f ca="1">IFERROR(__xludf.DUMMYFUNCTION("GOOGLETRANSLATE(English!C323, ""en"", ""bg"")"),"елементарен")</f>
        <v>елементарен</v>
      </c>
      <c r="D323" s="1" t="str">
        <f ca="1">IFERROR(__xludf.DUMMYFUNCTION("GOOGLETRANSLATE(English!D323, ""en"", ""bg"")"),"разтваряне")</f>
        <v>разтваряне</v>
      </c>
      <c r="E323" s="1" t="str">
        <f ca="1">IFERROR(__xludf.DUMMYFUNCTION("GOOGLETRANSLATE(English!E323, ""en"", ""bg"")"),"Защо е важно да се научим да разтваряме?")</f>
        <v>Защо е важно да се научим да разтваряме?</v>
      </c>
      <c r="F323" s="1" t="str">
        <f ca="1">IFERROR(__xludf.DUMMYFUNCTION("GOOGLETRANSLATE(English!F323,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323" s="1" t="str">
        <f ca="1">IFERROR(__xludf.DUMMYFUNCTION("GOOGLETRANSLATE(English!G323, ""en"", ""bg"")"),"direct_qa")</f>
        <v>direct_qa</v>
      </c>
      <c r="H323" s="1" t="str">
        <f ca="1">IFERROR(__xludf.DUMMYFUNCTION("GOOGLETRANSLATE(English!H323, ""en"", ""bg"")"),"заявка_за_знание")</f>
        <v>заявка_за_знание</v>
      </c>
    </row>
    <row r="324" spans="1:8" ht="13.2" x14ac:dyDescent="0.25">
      <c r="A324" s="1" t="str">
        <f ca="1">IFERROR(__xludf.DUMMYFUNCTION("GOOGLETRANSLATE(English!A324, ""en"", ""bg"")"),"hw_07834")</f>
        <v>hw_07834</v>
      </c>
      <c r="B324" s="1" t="str">
        <f ca="1">IFERROR(__xludf.DUMMYFUNCTION("GOOGLETRANSLATE(English!B324, ""en"", ""bg"")"),"физика")</f>
        <v>физика</v>
      </c>
      <c r="C324" s="1" t="str">
        <f ca="1">IFERROR(__xludf.DUMMYFUNCTION("GOOGLETRANSLATE(English!C324, ""en"", ""bg"")"),"средата")</f>
        <v>средата</v>
      </c>
      <c r="D324" s="1" t="str">
        <f ca="1">IFERROR(__xludf.DUMMYFUNCTION("GOOGLETRANSLATE(English!D324, ""en"", ""bg"")"),"видове енергия")</f>
        <v>видове енергия</v>
      </c>
      <c r="E324" s="1" t="str">
        <f ca="1">IFERROR(__xludf.DUMMYFUNCTION("GOOGLETRANSLATE(English!E324, ""en"", ""bg"")"),"Заседнал съм с този проблем с видовете енергия. Можете ли да помогнете?")</f>
        <v>Заседнал съм с този проблем с видовете енергия. Можете ли да помогнете?</v>
      </c>
      <c r="F324" s="1" t="str">
        <f ca="1">IFERROR(__xludf.DUMMYFUNCTION("GOOGLETRANSLATE(English!F324,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324" s="1" t="str">
        <f ca="1">IFERROR(__xludf.DUMMYFUNCTION("GOOGLETRANSLATE(English!G324, ""en"", ""bg"")"),"помощ_за_домашно_изпълнение")</f>
        <v>помощ_за_домашно_изпълнение</v>
      </c>
      <c r="H324" s="1" t="str">
        <f ca="1">IFERROR(__xludf.DUMMYFUNCTION("GOOGLETRANSLATE(English!H324, ""en"", ""bg"")"),"помощ_за_домашно_задаване")</f>
        <v>помощ_за_домашно_задаване</v>
      </c>
    </row>
    <row r="325" spans="1:8" ht="13.2" x14ac:dyDescent="0.25">
      <c r="A325" s="1" t="str">
        <f ca="1">IFERROR(__xludf.DUMMYFUNCTION("GOOGLETRANSLATE(English!A325, ""en"", ""bg"")"),"hw_03925")</f>
        <v>hw_03925</v>
      </c>
      <c r="B325" s="1" t="str">
        <f ca="1">IFERROR(__xludf.DUMMYFUNCTION("GOOGLETRANSLATE(English!B325, ""en"", ""bg"")"),"физика")</f>
        <v>физика</v>
      </c>
      <c r="C325" s="1" t="str">
        <f ca="1">IFERROR(__xludf.DUMMYFUNCTION("GOOGLETRANSLATE(English!C325, ""en"", ""bg"")"),"елементарен")</f>
        <v>елементарен</v>
      </c>
      <c r="D325" s="1" t="str">
        <f ca="1">IFERROR(__xludf.DUMMYFUNCTION("GOOGLETRANSLATE(English!D325, ""en"", ""bg"")"),"горещо и студено")</f>
        <v>горещо и студено</v>
      </c>
      <c r="E325" s="1" t="str">
        <f ca="1">IFERROR(__xludf.DUMMYFUNCTION("GOOGLETRANSLATE(English!E325, ""en"", ""bg"")"),"Трябва да разбера какво е топло и студено за изпита си.")</f>
        <v>Трябва да разбера какво е топло и студено за изпита си.</v>
      </c>
      <c r="F325" s="1" t="str">
        <f ca="1">IFERROR(__xludf.DUMMYFUNCTION("GOOGLETRANSLATE(English!F325,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25" s="1" t="str">
        <f ca="1">IFERROR(__xludf.DUMMYFUNCTION("GOOGLETRANSLATE(English!G325, ""en"", ""bg"")"),"помощ_за_домашно_изпълнение")</f>
        <v>помощ_за_домашно_изпълнение</v>
      </c>
      <c r="H325" s="1" t="str">
        <f ca="1">IFERROR(__xludf.DUMMYFUNCTION("GOOGLETRANSLATE(English!H325, ""en"", ""bg"")"),"помощ_за_домашно_задаване")</f>
        <v>помощ_за_домашно_задаване</v>
      </c>
    </row>
    <row r="326" spans="1:8" ht="13.2" x14ac:dyDescent="0.25">
      <c r="A326" s="1" t="str">
        <f ca="1">IFERROR(__xludf.DUMMYFUNCTION("GOOGLETRANSLATE(English!A326, ""en"", ""bg"")"),"hw_05900")</f>
        <v>hw_05900</v>
      </c>
      <c r="B326" s="1" t="str">
        <f ca="1">IFERROR(__xludf.DUMMYFUNCTION("GOOGLETRANSLATE(English!B326, ""en"", ""bg"")"),"химия")</f>
        <v>химия</v>
      </c>
      <c r="C326" s="1" t="str">
        <f ca="1">IFERROR(__xludf.DUMMYFUNCTION("GOOGLETRANSLATE(English!C326, ""en"", ""bg"")"),"високо")</f>
        <v>високо</v>
      </c>
      <c r="D326" s="1" t="str">
        <f ca="1">IFERROR(__xludf.DUMMYFUNCTION("GOOGLETRANSLATE(English!D326, ""en"", ""bg"")"),"електрохимия")</f>
        <v>електрохимия</v>
      </c>
      <c r="E326" s="1" t="str">
        <f ca="1">IFERROR(__xludf.DUMMYFUNCTION("GOOGLETRANSLATE(English!E326,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326" s="1" t="str">
        <f ca="1">IFERROR(__xludf.DUMMYFUNCTION("GOOGLETRANSLATE(English!F326,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26" s="1" t="str">
        <f ca="1">IFERROR(__xludf.DUMMYFUNCTION("GOOGLETRANSLATE(English!G326, ""en"", ""bg"")"),"помощ_за_домашно_изпълнение")</f>
        <v>помощ_за_домашно_изпълнение</v>
      </c>
      <c r="H326" s="1" t="str">
        <f ca="1">IFERROR(__xludf.DUMMYFUNCTION("GOOGLETRANSLATE(English!H326, ""en"", ""bg"")"),"помощ_за_домашно_задаване")</f>
        <v>помощ_за_домашно_задаване</v>
      </c>
    </row>
    <row r="327" spans="1:8" ht="13.2" x14ac:dyDescent="0.25">
      <c r="A327" s="1" t="str">
        <f ca="1">IFERROR(__xludf.DUMMYFUNCTION("GOOGLETRANSLATE(English!A327, ""en"", ""bg"")"),"qa_11869")</f>
        <v>qa_11869</v>
      </c>
      <c r="B327" s="1" t="str">
        <f ca="1">IFERROR(__xludf.DUMMYFUNCTION("GOOGLETRANSLATE(English!B327, ""en"", ""bg"")"),"химия")</f>
        <v>химия</v>
      </c>
      <c r="C327" s="1" t="str">
        <f ca="1">IFERROR(__xludf.DUMMYFUNCTION("GOOGLETRANSLATE(English!C327, ""en"", ""bg"")"),"високо")</f>
        <v>високо</v>
      </c>
      <c r="D327" s="1" t="str">
        <f ca="1">IFERROR(__xludf.DUMMYFUNCTION("GOOGLETRANSLATE(English!D327, ""en"", ""bg"")"),"химическо свързване")</f>
        <v>химическо свързване</v>
      </c>
      <c r="E327" s="1" t="str">
        <f ca="1">IFERROR(__xludf.DUMMYFUNCTION("GOOGLETRANSLATE(English!E327, ""en"", ""bg"")"),"Какво представлява химическото свързване?")</f>
        <v>Какво представлява химическото свързване?</v>
      </c>
      <c r="F327" s="1" t="str">
        <f ca="1">IFERROR(__xludf.DUMMYFUNCTION("GOOGLETRANSLATE(English!F327,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327" s="1" t="str">
        <f ca="1">IFERROR(__xludf.DUMMYFUNCTION("GOOGLETRANSLATE(English!G327, ""en"", ""bg"")"),"direct_qa")</f>
        <v>direct_qa</v>
      </c>
      <c r="H327" s="1" t="str">
        <f ca="1">IFERROR(__xludf.DUMMYFUNCTION("GOOGLETRANSLATE(English!H327, ""en"", ""bg"")"),"заявка_за_знание")</f>
        <v>заявка_за_знание</v>
      </c>
    </row>
    <row r="328" spans="1:8" ht="13.2" x14ac:dyDescent="0.25">
      <c r="A328" s="1" t="str">
        <f ca="1">IFERROR(__xludf.DUMMYFUNCTION("GOOGLETRANSLATE(English!A328, ""en"", ""bg"")"),"conv_09663")</f>
        <v>conv_09663</v>
      </c>
      <c r="B328" s="1" t="str">
        <f ca="1">IFERROR(__xludf.DUMMYFUNCTION("GOOGLETRANSLATE(English!B328, ""en"", ""bg"")"),"биология")</f>
        <v>биология</v>
      </c>
      <c r="C328" s="1" t="str">
        <f ca="1">IFERROR(__xludf.DUMMYFUNCTION("GOOGLETRANSLATE(English!C328, ""en"", ""bg"")"),"средата")</f>
        <v>средата</v>
      </c>
      <c r="D328" s="1" t="str">
        <f ca="1">IFERROR(__xludf.DUMMYFUNCTION("GOOGLETRANSLATE(English!D328, ""en"", ""bg"")"),"фотосинтеза")</f>
        <v>фотосинтеза</v>
      </c>
      <c r="E328" s="1" t="str">
        <f ca="1">IFERROR(__xludf.DUMMYFUNCTION("GOOGLETRANSLATE(English!E328, ""en"", ""bg"")"),"Помогнете ми да уча за теста си. Защо фотосинтезата е важна в биологията?")</f>
        <v>Помогнете ми да уча за теста си. Защо фотосинтезата е важна в биологията?</v>
      </c>
      <c r="F328" s="1" t="str">
        <f ca="1">IFERROR(__xludf.DUMMYFUNCTION("GOOGLETRANSLATE(English!F328,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328" s="1" t="str">
        <f ca="1">IFERROR(__xludf.DUMMYFUNCTION("GOOGLETRANSLATE(English!G328, ""en"", ""bg"")"),"разговор")</f>
        <v>разговор</v>
      </c>
      <c r="H328" s="1" t="str">
        <f ca="1">IFERROR(__xludf.DUMMYFUNCTION("GOOGLETRANSLATE(English!H328, ""en"", ""bg"")"),"образователна_помощ")</f>
        <v>образователна_помощ</v>
      </c>
    </row>
    <row r="329" spans="1:8" ht="13.2" x14ac:dyDescent="0.25">
      <c r="A329" s="1" t="str">
        <f ca="1">IFERROR(__xludf.DUMMYFUNCTION("GOOGLETRANSLATE(English!A329, ""en"", ""bg"")"),"hw_14020")</f>
        <v>hw_14020</v>
      </c>
      <c r="B329" s="1" t="str">
        <f ca="1">IFERROR(__xludf.DUMMYFUNCTION("GOOGLETRANSLATE(English!B329, ""en"", ""bg"")"),"биология")</f>
        <v>биология</v>
      </c>
      <c r="C329" s="1" t="str">
        <f ca="1">IFERROR(__xludf.DUMMYFUNCTION("GOOGLETRANSLATE(English!C329, ""en"", ""bg"")"),"средата")</f>
        <v>средата</v>
      </c>
      <c r="D329" s="1" t="str">
        <f ca="1">IFERROR(__xludf.DUMMYFUNCTION("GOOGLETRANSLATE(English!D329, ""en"", ""bg"")"),"фотосинтеза")</f>
        <v>фотосинтеза</v>
      </c>
      <c r="E329" s="1" t="str">
        <f ca="1">IFERROR(__xludf.DUMMYFUNCTION("GOOGLETRANSLATE(English!E329, ""en"", ""bg"")"),"Можете ли да обясните фотосинтезата за моя научен проект?")</f>
        <v>Можете ли да обясните фотосинтезата за моя научен проект?</v>
      </c>
      <c r="F329" s="1" t="str">
        <f ca="1">IFERROR(__xludf.DUMMYFUNCTION("GOOGLETRANSLATE(English!F329,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329" s="1" t="str">
        <f ca="1">IFERROR(__xludf.DUMMYFUNCTION("GOOGLETRANSLATE(English!G329, ""en"", ""bg"")"),"помощ_за_домашно_изпълнение")</f>
        <v>помощ_за_домашно_изпълнение</v>
      </c>
      <c r="H329" s="1" t="str">
        <f ca="1">IFERROR(__xludf.DUMMYFUNCTION("GOOGLETRANSLATE(English!H329, ""en"", ""bg"")"),"помощ_за_домашно_задаване")</f>
        <v>помощ_за_домашно_задаване</v>
      </c>
    </row>
    <row r="330" spans="1:8" ht="13.2" x14ac:dyDescent="0.25">
      <c r="A330" s="1" t="str">
        <f ca="1">IFERROR(__xludf.DUMMYFUNCTION("GOOGLETRANSLATE(English!A330, ""en"", ""bg"")"),"conv_17899")</f>
        <v>conv_17899</v>
      </c>
      <c r="B330" s="1" t="str">
        <f ca="1">IFERROR(__xludf.DUMMYFUNCTION("GOOGLETRANSLATE(English!B330, ""en"", ""bg"")"),"физика")</f>
        <v>физика</v>
      </c>
      <c r="C330" s="1" t="str">
        <f ca="1">IFERROR(__xludf.DUMMYFUNCTION("GOOGLETRANSLATE(English!C330, ""en"", ""bg"")"),"средата")</f>
        <v>средата</v>
      </c>
      <c r="D330" s="1" t="str">
        <f ca="1">IFERROR(__xludf.DUMMYFUNCTION("GOOGLETRANSLATE(English!D330, ""en"", ""bg"")"),"плътност")</f>
        <v>плътност</v>
      </c>
      <c r="E330" s="1" t="str">
        <f ca="1">IFERROR(__xludf.DUMMYFUNCTION("GOOGLETRANSLATE(English!E330, ""en"", ""bg"")"),"Здравей, преподавателю! Как работи плътността във физиката?")</f>
        <v>Здравей, преподавателю! Как работи плътността във физиката?</v>
      </c>
      <c r="F330" s="1" t="str">
        <f ca="1">IFERROR(__xludf.DUMMYFUNCTION("GOOGLETRANSLATE(English!F330,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330" s="1" t="str">
        <f ca="1">IFERROR(__xludf.DUMMYFUNCTION("GOOGLETRANSLATE(English!G330, ""en"", ""bg"")"),"разговор")</f>
        <v>разговор</v>
      </c>
      <c r="H330" s="1" t="str">
        <f ca="1">IFERROR(__xludf.DUMMYFUNCTION("GOOGLETRANSLATE(English!H330, ""en"", ""bg"")"),"образователна_помощ")</f>
        <v>образователна_помощ</v>
      </c>
    </row>
    <row r="331" spans="1:8" ht="13.2" x14ac:dyDescent="0.25">
      <c r="A331" s="1" t="str">
        <f ca="1">IFERROR(__xludf.DUMMYFUNCTION("GOOGLETRANSLATE(English!A331, ""en"", ""bg"")"),"qa_14104")</f>
        <v>qa_14104</v>
      </c>
      <c r="B331" s="1" t="str">
        <f ca="1">IFERROR(__xludf.DUMMYFUNCTION("GOOGLETRANSLATE(English!B331, ""en"", ""bg"")"),"биология")</f>
        <v>биология</v>
      </c>
      <c r="C331" s="1" t="str">
        <f ca="1">IFERROR(__xludf.DUMMYFUNCTION("GOOGLETRANSLATE(English!C331, ""en"", ""bg"")"),"високо")</f>
        <v>високо</v>
      </c>
      <c r="D331" s="1" t="str">
        <f ca="1">IFERROR(__xludf.DUMMYFUNCTION("GOOGLETRANSLATE(English!D331, ""en"", ""bg"")"),"синтез на протеини")</f>
        <v>синтез на протеини</v>
      </c>
      <c r="E331" s="1" t="str">
        <f ca="1">IFERROR(__xludf.DUMMYFUNCTION("GOOGLETRANSLATE(English!E331, ""en"", ""bg"")"),"Как работи синтезът на протеини?")</f>
        <v>Как работи синтезът на протеини?</v>
      </c>
      <c r="F331" s="1" t="str">
        <f ca="1">IFERROR(__xludf.DUMMYFUNCTION("GOOGLETRANSLATE(English!F331,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331" s="1" t="str">
        <f ca="1">IFERROR(__xludf.DUMMYFUNCTION("GOOGLETRANSLATE(English!G331, ""en"", ""bg"")"),"direct_qa")</f>
        <v>direct_qa</v>
      </c>
      <c r="H331" s="1" t="str">
        <f ca="1">IFERROR(__xludf.DUMMYFUNCTION("GOOGLETRANSLATE(English!H331, ""en"", ""bg"")"),"заявка_за_знание")</f>
        <v>заявка_за_знание</v>
      </c>
    </row>
    <row r="332" spans="1:8" ht="13.2" x14ac:dyDescent="0.25">
      <c r="A332" s="1" t="str">
        <f ca="1">IFERROR(__xludf.DUMMYFUNCTION("GOOGLETRANSLATE(English!A332, ""en"", ""bg"")"),"qa_09014")</f>
        <v>qa_09014</v>
      </c>
      <c r="B332" s="1" t="str">
        <f ca="1">IFERROR(__xludf.DUMMYFUNCTION("GOOGLETRANSLATE(English!B332, ""en"", ""bg"")"),"физика")</f>
        <v>физика</v>
      </c>
      <c r="C332" s="1" t="str">
        <f ca="1">IFERROR(__xludf.DUMMYFUNCTION("GOOGLETRANSLATE(English!C332, ""en"", ""bg"")"),"високо")</f>
        <v>високо</v>
      </c>
      <c r="D332" s="1" t="str">
        <f ca="1">IFERROR(__xludf.DUMMYFUNCTION("GOOGLETRANSLATE(English!D332, ""en"", ""bg"")"),"радиоактивност")</f>
        <v>радиоактивност</v>
      </c>
      <c r="E332" s="1" t="str">
        <f ca="1">IFERROR(__xludf.DUMMYFUNCTION("GOOGLETRANSLATE(English!E332, ""en"", ""bg"")"),"Защо радиоактивността е важна?")</f>
        <v>Защо радиоактивността е важна?</v>
      </c>
      <c r="F332" s="1" t="str">
        <f ca="1">IFERROR(__xludf.DUMMYFUNCTION("GOOGLETRANSLATE(English!F332,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332" s="1" t="str">
        <f ca="1">IFERROR(__xludf.DUMMYFUNCTION("GOOGLETRANSLATE(English!G332, ""en"", ""bg"")"),"direct_qa")</f>
        <v>direct_qa</v>
      </c>
      <c r="H332" s="1" t="str">
        <f ca="1">IFERROR(__xludf.DUMMYFUNCTION("GOOGLETRANSLATE(English!H332, ""en"", ""bg"")"),"заявка_за_знание")</f>
        <v>заявка_за_знание</v>
      </c>
    </row>
    <row r="333" spans="1:8" ht="13.2" x14ac:dyDescent="0.25">
      <c r="A333" s="1" t="str">
        <f ca="1">IFERROR(__xludf.DUMMYFUNCTION("GOOGLETRANSLATE(English!A333, ""en"", ""bg"")"),"qa_06837")</f>
        <v>qa_06837</v>
      </c>
      <c r="B333" s="1" t="str">
        <f ca="1">IFERROR(__xludf.DUMMYFUNCTION("GOOGLETRANSLATE(English!B333, ""en"", ""bg"")"),"химия")</f>
        <v>химия</v>
      </c>
      <c r="C333" s="1" t="str">
        <f ca="1">IFERROR(__xludf.DUMMYFUNCTION("GOOGLETRANSLATE(English!C333, ""en"", ""bg"")"),"елементарен")</f>
        <v>елементарен</v>
      </c>
      <c r="D333" s="1" t="str">
        <f ca="1">IFERROR(__xludf.DUMMYFUNCTION("GOOGLETRANSLATE(English!D333, ""en"", ""bg"")"),"твърди вещества, течности, газове")</f>
        <v>твърди вещества, течности, газове</v>
      </c>
      <c r="E333" s="1" t="str">
        <f ca="1">IFERROR(__xludf.DUMMYFUNCTION("GOOGLETRANSLATE(English!E333, ""en"", ""bg"")"),"Защо ледът плава по водата?")</f>
        <v>Защо ледът плава по водата?</v>
      </c>
      <c r="F333" s="1" t="str">
        <f ca="1">IFERROR(__xludf.DUMMYFUNCTION("GOOGLETRANSLATE(English!F333,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333" s="1" t="str">
        <f ca="1">IFERROR(__xludf.DUMMYFUNCTION("GOOGLETRANSLATE(English!G333, ""en"", ""bg"")"),"direct_qa")</f>
        <v>direct_qa</v>
      </c>
      <c r="H333" s="1" t="str">
        <f ca="1">IFERROR(__xludf.DUMMYFUNCTION("GOOGLETRANSLATE(English!H333, ""en"", ""bg"")"),"заявка_за_знание")</f>
        <v>заявка_за_знание</v>
      </c>
    </row>
    <row r="334" spans="1:8" ht="13.2" x14ac:dyDescent="0.25">
      <c r="A334" s="1" t="str">
        <f ca="1">IFERROR(__xludf.DUMMYFUNCTION("GOOGLETRANSLATE(English!A334, ""en"", ""bg"")"),"qa_14145")</f>
        <v>qa_14145</v>
      </c>
      <c r="B334" s="1" t="str">
        <f ca="1">IFERROR(__xludf.DUMMYFUNCTION("GOOGLETRANSLATE(English!B334, ""en"", ""bg"")"),"физика")</f>
        <v>физика</v>
      </c>
      <c r="C334" s="1" t="str">
        <f ca="1">IFERROR(__xludf.DUMMYFUNCTION("GOOGLETRANSLATE(English!C334, ""en"", ""bg"")"),"елементарен")</f>
        <v>елементарен</v>
      </c>
      <c r="D334" s="1" t="str">
        <f ca="1">IFERROR(__xludf.DUMMYFUNCTION("GOOGLETRANSLATE(English!D334, ""en"", ""bg"")"),"прости машини")</f>
        <v>прости машини</v>
      </c>
      <c r="E334" s="1" t="str">
        <f ca="1">IFERROR(__xludf.DUMMYFUNCTION("GOOGLETRANSLATE(English!E334, ""en"", ""bg"")"),"Какво трябва да знам за простите машини?")</f>
        <v>Какво трябва да знам за простите машини?</v>
      </c>
      <c r="F334" s="1" t="str">
        <f ca="1">IFERROR(__xludf.DUMMYFUNCTION("GOOGLETRANSLATE(English!F334,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334" s="1" t="str">
        <f ca="1">IFERROR(__xludf.DUMMYFUNCTION("GOOGLETRANSLATE(English!G334, ""en"", ""bg"")"),"direct_qa")</f>
        <v>direct_qa</v>
      </c>
      <c r="H334" s="1" t="str">
        <f ca="1">IFERROR(__xludf.DUMMYFUNCTION("GOOGLETRANSLATE(English!H334, ""en"", ""bg"")"),"заявка_за_знание")</f>
        <v>заявка_за_знание</v>
      </c>
    </row>
    <row r="335" spans="1:8" ht="13.2" x14ac:dyDescent="0.25">
      <c r="A335" s="1" t="str">
        <f ca="1">IFERROR(__xludf.DUMMYFUNCTION("GOOGLETRANSLATE(English!A335, ""en"", ""bg"")"),"qa_04372")</f>
        <v>qa_04372</v>
      </c>
      <c r="B335" s="1" t="str">
        <f ca="1">IFERROR(__xludf.DUMMYFUNCTION("GOOGLETRANSLATE(English!B335, ""en"", ""bg"")"),"физика")</f>
        <v>физика</v>
      </c>
      <c r="C335" s="1" t="str">
        <f ca="1">IFERROR(__xludf.DUMMYFUNCTION("GOOGLETRANSLATE(English!C335, ""en"", ""bg"")"),"елементарен")</f>
        <v>елементарен</v>
      </c>
      <c r="D335" s="1" t="str">
        <f ca="1">IFERROR(__xludf.DUMMYFUNCTION("GOOGLETRANSLATE(English!D335, ""en"", ""bg"")"),"светлина и сянка")</f>
        <v>светлина и сянка</v>
      </c>
      <c r="E335" s="1" t="str">
        <f ca="1">IFERROR(__xludf.DUMMYFUNCTION("GOOGLETRANSLATE(English!E335, ""en"", ""bg"")"),"Как се правят сенките?")</f>
        <v>Как се правят сенките?</v>
      </c>
      <c r="F335" s="1" t="str">
        <f ca="1">IFERROR(__xludf.DUMMYFUNCTION("GOOGLETRANSLATE(English!F335,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335" s="1" t="str">
        <f ca="1">IFERROR(__xludf.DUMMYFUNCTION("GOOGLETRANSLATE(English!G335, ""en"", ""bg"")"),"direct_qa")</f>
        <v>direct_qa</v>
      </c>
      <c r="H335" s="1" t="str">
        <f ca="1">IFERROR(__xludf.DUMMYFUNCTION("GOOGLETRANSLATE(English!H335, ""en"", ""bg"")"),"заявка_за_знание")</f>
        <v>заявка_за_знание</v>
      </c>
    </row>
    <row r="336" spans="1:8" ht="13.2" x14ac:dyDescent="0.25">
      <c r="A336" s="1" t="str">
        <f ca="1">IFERROR(__xludf.DUMMYFUNCTION("GOOGLETRANSLATE(English!A336, ""en"", ""bg"")"),"conv_09596")</f>
        <v>conv_09596</v>
      </c>
      <c r="B336" s="1" t="str">
        <f ca="1">IFERROR(__xludf.DUMMYFUNCTION("GOOGLETRANSLATE(English!B336, ""en"", ""bg"")"),"биология")</f>
        <v>биология</v>
      </c>
      <c r="C336" s="1" t="str">
        <f ca="1">IFERROR(__xludf.DUMMYFUNCTION("GOOGLETRANSLATE(English!C336, ""en"", ""bg"")"),"елементарен")</f>
        <v>елементарен</v>
      </c>
      <c r="D336" s="1" t="str">
        <f ca="1">IFERROR(__xludf.DUMMYFUNCTION("GOOGLETRANSLATE(English!D336, ""en"", ""bg"")"),"животни")</f>
        <v>животни</v>
      </c>
      <c r="E336" s="1" t="str">
        <f ca="1">IFERROR(__xludf.DUMMYFUNCTION("GOOGLETRANSLATE(English!E336, ""en"", ""bg"")"),"Можете ли да ми помогнете? Защо птиците мигрират?")</f>
        <v>Можете ли да ми помогнете? Защо птиците мигрират?</v>
      </c>
      <c r="F336" s="1" t="str">
        <f ca="1">IFERROR(__xludf.DUMMYFUNCTION("GOOGLETRANSLATE(English!F336, ""en"", ""bg"")"),"Птиците мигрират, за да намерят храна, по-добро време и безопасни места за раждане на малките си.")</f>
        <v>Птиците мигрират, за да намерят храна, по-добро време и безопасни места за раждане на малките си.</v>
      </c>
      <c r="G336" s="1" t="str">
        <f ca="1">IFERROR(__xludf.DUMMYFUNCTION("GOOGLETRANSLATE(English!G336, ""en"", ""bg"")"),"разговор")</f>
        <v>разговор</v>
      </c>
      <c r="H336" s="1" t="str">
        <f ca="1">IFERROR(__xludf.DUMMYFUNCTION("GOOGLETRANSLATE(English!H336, ""en"", ""bg"")"),"образователна_помощ")</f>
        <v>образователна_помощ</v>
      </c>
    </row>
    <row r="337" spans="1:8" ht="13.2" x14ac:dyDescent="0.25">
      <c r="A337" s="1" t="str">
        <f ca="1">IFERROR(__xludf.DUMMYFUNCTION("GOOGLETRANSLATE(English!A337, ""en"", ""bg"")"),"hw_12641")</f>
        <v>hw_12641</v>
      </c>
      <c r="B337" s="1" t="str">
        <f ca="1">IFERROR(__xludf.DUMMYFUNCTION("GOOGLETRANSLATE(English!B337, ""en"", ""bg"")"),"физика")</f>
        <v>физика</v>
      </c>
      <c r="C337" s="1" t="str">
        <f ca="1">IFERROR(__xludf.DUMMYFUNCTION("GOOGLETRANSLATE(English!C337, ""en"", ""bg"")"),"елементарен")</f>
        <v>елементарен</v>
      </c>
      <c r="D337" s="1" t="str">
        <f ca="1">IFERROR(__xludf.DUMMYFUNCTION("GOOGLETRANSLATE(English!D337, ""en"", ""bg"")"),"звук")</f>
        <v>звук</v>
      </c>
      <c r="E337" s="1" t="str">
        <f ca="1">IFERROR(__xludf.DUMMYFUNCTION("GOOGLETRANSLATE(English!E337,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337" s="1" t="str">
        <f ca="1">IFERROR(__xludf.DUMMYFUNCTION("GOOGLETRANSLATE(English!F337,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337" s="1" t="str">
        <f ca="1">IFERROR(__xludf.DUMMYFUNCTION("GOOGLETRANSLATE(English!G337, ""en"", ""bg"")"),"помощ_за_домашно_изпълнение")</f>
        <v>помощ_за_домашно_изпълнение</v>
      </c>
      <c r="H337" s="1" t="str">
        <f ca="1">IFERROR(__xludf.DUMMYFUNCTION("GOOGLETRANSLATE(English!H337, ""en"", ""bg"")"),"помощ_за_домашно_задаване")</f>
        <v>помощ_за_домашно_задаване</v>
      </c>
    </row>
    <row r="338" spans="1:8" ht="13.2" x14ac:dyDescent="0.25">
      <c r="A338" s="1" t="str">
        <f ca="1">IFERROR(__xludf.DUMMYFUNCTION("GOOGLETRANSLATE(English!A338, ""en"", ""bg"")"),"qa_10597")</f>
        <v>qa_10597</v>
      </c>
      <c r="B338" s="1" t="str">
        <f ca="1">IFERROR(__xludf.DUMMYFUNCTION("GOOGLETRANSLATE(English!B338, ""en"", ""bg"")"),"биология")</f>
        <v>биология</v>
      </c>
      <c r="C338" s="1" t="str">
        <f ca="1">IFERROR(__xludf.DUMMYFUNCTION("GOOGLETRANSLATE(English!C338, ""en"", ""bg"")"),"високо")</f>
        <v>високо</v>
      </c>
      <c r="D338" s="1" t="str">
        <f ca="1">IFERROR(__xludf.DUMMYFUNCTION("GOOGLETRANSLATE(English!D338, ""en"", ""bg"")"),"клетъчно дишане")</f>
        <v>клетъчно дишане</v>
      </c>
      <c r="E338" s="1" t="str">
        <f ca="1">IFERROR(__xludf.DUMMYFUNCTION("GOOGLETRANSLATE(English!E338, ""en"", ""bg"")"),"Можете ли да ми разкажете за клетъчното дишане?")</f>
        <v>Можете ли да ми разкажете за клетъчното дишане?</v>
      </c>
      <c r="F338" s="1" t="str">
        <f ca="1">IFERROR(__xludf.DUMMYFUNCTION("GOOGLETRANSLATE(English!F338,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338" s="1" t="str">
        <f ca="1">IFERROR(__xludf.DUMMYFUNCTION("GOOGLETRANSLATE(English!G338, ""en"", ""bg"")"),"direct_qa")</f>
        <v>direct_qa</v>
      </c>
      <c r="H338" s="1" t="str">
        <f ca="1">IFERROR(__xludf.DUMMYFUNCTION("GOOGLETRANSLATE(English!H338, ""en"", ""bg"")"),"заявка_за_знание")</f>
        <v>заявка_за_знание</v>
      </c>
    </row>
    <row r="339" spans="1:8" ht="13.2" x14ac:dyDescent="0.25">
      <c r="A339" s="1" t="str">
        <f ca="1">IFERROR(__xludf.DUMMYFUNCTION("GOOGLETRANSLATE(English!A339, ""en"", ""bg"")"),"conv_13966")</f>
        <v>conv_13966</v>
      </c>
      <c r="B339" s="1" t="str">
        <f ca="1">IFERROR(__xludf.DUMMYFUNCTION("GOOGLETRANSLATE(English!B339, ""en"", ""bg"")"),"физика")</f>
        <v>физика</v>
      </c>
      <c r="C339" s="1" t="str">
        <f ca="1">IFERROR(__xludf.DUMMYFUNCTION("GOOGLETRANSLATE(English!C339, ""en"", ""bg"")"),"средата")</f>
        <v>средата</v>
      </c>
      <c r="D339" s="1" t="str">
        <f ca="1">IFERROR(__xludf.DUMMYFUNCTION("GOOGLETRANSLATE(English!D339, ""en"", ""bg"")"),"прости схеми")</f>
        <v>прости схеми</v>
      </c>
      <c r="E339" s="1" t="str">
        <f ca="1">IFERROR(__xludf.DUMMYFUNCTION("GOOGLETRANSLATE(English!E339, ""en"", ""bg"")"),"Здравей, преподавателю! Какво трябва да знам за простите електрически вериги?")</f>
        <v>Здравей, преподавателю! Какво трябва да знам за простите електрически вериги?</v>
      </c>
      <c r="F339" s="1" t="str">
        <f ca="1">IFERROR(__xludf.DUMMYFUNCTION("GOOGLETRANSLATE(English!F339,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339" s="1" t="str">
        <f ca="1">IFERROR(__xludf.DUMMYFUNCTION("GOOGLETRANSLATE(English!G339, ""en"", ""bg"")"),"разговор")</f>
        <v>разговор</v>
      </c>
      <c r="H339" s="1" t="str">
        <f ca="1">IFERROR(__xludf.DUMMYFUNCTION("GOOGLETRANSLATE(English!H339, ""en"", ""bg"")"),"образователна_помощ")</f>
        <v>образователна_помощ</v>
      </c>
    </row>
    <row r="340" spans="1:8" ht="13.2" x14ac:dyDescent="0.25">
      <c r="A340" s="1" t="str">
        <f ca="1">IFERROR(__xludf.DUMMYFUNCTION("GOOGLETRANSLATE(English!A340, ""en"", ""bg"")"),"hw_10100")</f>
        <v>hw_10100</v>
      </c>
      <c r="B340" s="1" t="str">
        <f ca="1">IFERROR(__xludf.DUMMYFUNCTION("GOOGLETRANSLATE(English!B340, ""en"", ""bg"")"),"биология")</f>
        <v>биология</v>
      </c>
      <c r="C340" s="1" t="str">
        <f ca="1">IFERROR(__xludf.DUMMYFUNCTION("GOOGLETRANSLATE(English!C340, ""en"", ""bg"")"),"елементарен")</f>
        <v>елементарен</v>
      </c>
      <c r="D340" s="1" t="str">
        <f ca="1">IFERROR(__xludf.DUMMYFUNCTION("GOOGLETRANSLATE(English!D340, ""en"", ""bg"")"),"основни нужди")</f>
        <v>основни нужди</v>
      </c>
      <c r="E340" s="1" t="str">
        <f ca="1">IFERROR(__xludf.DUMMYFUNCTION("GOOGLETRANSLATE(English!E340, ""en"", ""bg"")"),"Домашното ми пита за основни нужди. Не го разбирам.")</f>
        <v>Домашното ми пита за основни нужди. Не го разбирам.</v>
      </c>
      <c r="F340" s="1" t="str">
        <f ca="1">IFERROR(__xludf.DUMMYFUNCTION("GOOGLETRANSLATE(English!F340,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340" s="1" t="str">
        <f ca="1">IFERROR(__xludf.DUMMYFUNCTION("GOOGLETRANSLATE(English!G340, ""en"", ""bg"")"),"помощ_за_домашно_изпълнение")</f>
        <v>помощ_за_домашно_изпълнение</v>
      </c>
      <c r="H340" s="1" t="str">
        <f ca="1">IFERROR(__xludf.DUMMYFUNCTION("GOOGLETRANSLATE(English!H340, ""en"", ""bg"")"),"помощ_за_домашно_задаване")</f>
        <v>помощ_за_домашно_задаване</v>
      </c>
    </row>
    <row r="341" spans="1:8" ht="13.2" x14ac:dyDescent="0.25">
      <c r="A341" s="1" t="str">
        <f ca="1">IFERROR(__xludf.DUMMYFUNCTION("GOOGLETRANSLATE(English!A341, ""en"", ""bg"")"),"conv_03996")</f>
        <v>conv_03996</v>
      </c>
      <c r="B341" s="1" t="str">
        <f ca="1">IFERROR(__xludf.DUMMYFUNCTION("GOOGLETRANSLATE(English!B341, ""en"", ""bg"")"),"биология")</f>
        <v>биология</v>
      </c>
      <c r="C341" s="1" t="str">
        <f ca="1">IFERROR(__xludf.DUMMYFUNCTION("GOOGLETRANSLATE(English!C341, ""en"", ""bg"")"),"средата")</f>
        <v>средата</v>
      </c>
      <c r="D341" s="1" t="str">
        <f ca="1">IFERROR(__xludf.DUMMYFUNCTION("GOOGLETRANSLATE(English!D341, ""en"", ""bg"")"),"дишане")</f>
        <v>дишане</v>
      </c>
      <c r="E341" s="1" t="str">
        <f ca="1">IFERROR(__xludf.DUMMYFUNCTION("GOOGLETRANSLATE(English!E341, ""en"", ""bg"")"),"Имам нужда от помощ с домашното. Можете ли да ми разкажете за дишането?")</f>
        <v>Имам нужда от помощ с домашното. Можете ли да ми разкажете за дишането?</v>
      </c>
      <c r="F341" s="1" t="str">
        <f ca="1">IFERROR(__xludf.DUMMYFUNCTION("GOOGLETRANSLATE(English!F341,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341" s="1" t="str">
        <f ca="1">IFERROR(__xludf.DUMMYFUNCTION("GOOGLETRANSLATE(English!G341, ""en"", ""bg"")"),"разговор")</f>
        <v>разговор</v>
      </c>
      <c r="H341" s="1" t="str">
        <f ca="1">IFERROR(__xludf.DUMMYFUNCTION("GOOGLETRANSLATE(English!H341, ""en"", ""bg"")"),"образователна_помощ")</f>
        <v>образователна_помощ</v>
      </c>
    </row>
    <row r="342" spans="1:8" ht="13.2" x14ac:dyDescent="0.25">
      <c r="A342" s="1" t="str">
        <f ca="1">IFERROR(__xludf.DUMMYFUNCTION("GOOGLETRANSLATE(English!A342, ""en"", ""bg"")"),"conv_15100")</f>
        <v>conv_15100</v>
      </c>
      <c r="B342" s="1" t="str">
        <f ca="1">IFERROR(__xludf.DUMMYFUNCTION("GOOGLETRANSLATE(English!B342, ""en"", ""bg"")"),"физика")</f>
        <v>физика</v>
      </c>
      <c r="C342" s="1" t="str">
        <f ca="1">IFERROR(__xludf.DUMMYFUNCTION("GOOGLETRANSLATE(English!C342, ""en"", ""bg"")"),"елементарен")</f>
        <v>елементарен</v>
      </c>
      <c r="D342" s="1" t="str">
        <f ca="1">IFERROR(__xludf.DUMMYFUNCTION("GOOGLETRANSLATE(English!D342, ""en"", ""bg"")"),"прости машини")</f>
        <v>прости машини</v>
      </c>
      <c r="E342" s="1" t="str">
        <f ca="1">IFERROR(__xludf.DUMMYFUNCTION("GOOGLETRANSLATE(English!E342, ""en"", ""bg"")"),"Помогнете ми да уча за теста си. Защо простите машини са важни?")</f>
        <v>Помогнете ми да уча за теста си. Защо простите машини са важни?</v>
      </c>
      <c r="F342" s="1" t="str">
        <f ca="1">IFERROR(__xludf.DUMMYFUNCTION("GOOGLETRANSLATE(English!F342,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342" s="1" t="str">
        <f ca="1">IFERROR(__xludf.DUMMYFUNCTION("GOOGLETRANSLATE(English!G342, ""en"", ""bg"")"),"разговор")</f>
        <v>разговор</v>
      </c>
      <c r="H342" s="1" t="str">
        <f ca="1">IFERROR(__xludf.DUMMYFUNCTION("GOOGLETRANSLATE(English!H342, ""en"", ""bg"")"),"образователна_помощ")</f>
        <v>образователна_помощ</v>
      </c>
    </row>
    <row r="343" spans="1:8" ht="13.2" x14ac:dyDescent="0.25">
      <c r="A343" s="1" t="str">
        <f ca="1">IFERROR(__xludf.DUMMYFUNCTION("GOOGLETRANSLATE(English!A343, ""en"", ""bg"")"),"hw_02321")</f>
        <v>hw_02321</v>
      </c>
      <c r="B343" s="1" t="str">
        <f ca="1">IFERROR(__xludf.DUMMYFUNCTION("GOOGLETRANSLATE(English!B343, ""en"", ""bg"")"),"физика")</f>
        <v>физика</v>
      </c>
      <c r="C343" s="1" t="str">
        <f ca="1">IFERROR(__xludf.DUMMYFUNCTION("GOOGLETRANSLATE(English!C343, ""en"", ""bg"")"),"елементарен")</f>
        <v>елементарен</v>
      </c>
      <c r="D343" s="1" t="str">
        <f ca="1">IFERROR(__xludf.DUMMYFUNCTION("GOOGLETRANSLATE(English!D343, ""en"", ""bg"")"),"звук")</f>
        <v>звук</v>
      </c>
      <c r="E343" s="1" t="str">
        <f ca="1">IFERROR(__xludf.DUMMYFUNCTION("GOOGLETRANSLATE(English!E343,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343" s="1" t="str">
        <f ca="1">IFERROR(__xludf.DUMMYFUNCTION("GOOGLETRANSLATE(English!F343,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343" s="1" t="str">
        <f ca="1">IFERROR(__xludf.DUMMYFUNCTION("GOOGLETRANSLATE(English!G343, ""en"", ""bg"")"),"помощ_за_домашно_изпълнение")</f>
        <v>помощ_за_домашно_изпълнение</v>
      </c>
      <c r="H343" s="1" t="str">
        <f ca="1">IFERROR(__xludf.DUMMYFUNCTION("GOOGLETRANSLATE(English!H343, ""en"", ""bg"")"),"помощ_за_домашно_задаване")</f>
        <v>помощ_за_домашно_задаване</v>
      </c>
    </row>
    <row r="344" spans="1:8" ht="13.2" x14ac:dyDescent="0.25">
      <c r="A344" s="1" t="str">
        <f ca="1">IFERROR(__xludf.DUMMYFUNCTION("GOOGLETRANSLATE(English!A344, ""en"", ""bg"")"),"hw_10358")</f>
        <v>hw_10358</v>
      </c>
      <c r="B344" s="1" t="str">
        <f ca="1">IFERROR(__xludf.DUMMYFUNCTION("GOOGLETRANSLATE(English!B344, ""en"", ""bg"")"),"химия")</f>
        <v>химия</v>
      </c>
      <c r="C344" s="1" t="str">
        <f ca="1">IFERROR(__xludf.DUMMYFUNCTION("GOOGLETRANSLATE(English!C344, ""en"", ""bg"")"),"елементарен")</f>
        <v>елементарен</v>
      </c>
      <c r="D344" s="1" t="str">
        <f ca="1">IFERROR(__xludf.DUMMYFUNCTION("GOOGLETRANSLATE(English!D344, ""en"", ""bg"")"),"твърди вещества, течности, газове")</f>
        <v>твърди вещества, течности, газове</v>
      </c>
      <c r="E344" s="1" t="str">
        <f ca="1">IFERROR(__xludf.DUMMYFUNCTION("GOOGLETRANSLATE(English!E344, ""en"", ""bg"")"),"Моят доклад по химия е за твърди вещества, течности, газове. Помогнете ми да разбера.")</f>
        <v>Моят доклад по химия е за твърди вещества, течности, газове. Помогнете ми да разбера.</v>
      </c>
      <c r="F344" s="1" t="str">
        <f ca="1">IFERROR(__xludf.DUMMYFUNCTION("GOOGLETRANSLATE(English!F344,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344" s="1" t="str">
        <f ca="1">IFERROR(__xludf.DUMMYFUNCTION("GOOGLETRANSLATE(English!G344, ""en"", ""bg"")"),"помощ_за_домашно_изпълнение")</f>
        <v>помощ_за_домашно_изпълнение</v>
      </c>
      <c r="H344" s="1" t="str">
        <f ca="1">IFERROR(__xludf.DUMMYFUNCTION("GOOGLETRANSLATE(English!H344, ""en"", ""bg"")"),"помощ_за_домашно_задаване")</f>
        <v>помощ_за_домашно_задаване</v>
      </c>
    </row>
    <row r="345" spans="1:8" ht="13.2" x14ac:dyDescent="0.25">
      <c r="A345" s="1" t="str">
        <f ca="1">IFERROR(__xludf.DUMMYFUNCTION("GOOGLETRANSLATE(English!A345, ""en"", ""bg"")"),"hw_02547")</f>
        <v>hw_02547</v>
      </c>
      <c r="B345" s="1" t="str">
        <f ca="1">IFERROR(__xludf.DUMMYFUNCTION("GOOGLETRANSLATE(English!B345, ""en"", ""bg"")"),"физика")</f>
        <v>физика</v>
      </c>
      <c r="C345" s="1" t="str">
        <f ca="1">IFERROR(__xludf.DUMMYFUNCTION("GOOGLETRANSLATE(English!C345, ""en"", ""bg"")"),"елементарен")</f>
        <v>елементарен</v>
      </c>
      <c r="D345" s="1" t="str">
        <f ca="1">IFERROR(__xludf.DUMMYFUNCTION("GOOGLETRANSLATE(English!D345, ""en"", ""bg"")"),"горещо и студено")</f>
        <v>горещо и студено</v>
      </c>
      <c r="E345" s="1" t="str">
        <f ca="1">IFERROR(__xludf.DUMMYFUNCTION("GOOGLETRANSLATE(English!E345, ""en"", ""bg"")"),"Домашното ми по физика е за горещо и студено. Объркващо е!")</f>
        <v>Домашното ми по физика е за горещо и студено. Объркващо е!</v>
      </c>
      <c r="F345" s="1" t="str">
        <f ca="1">IFERROR(__xludf.DUMMYFUNCTION("GOOGLETRANSLATE(English!F345,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45" s="1" t="str">
        <f ca="1">IFERROR(__xludf.DUMMYFUNCTION("GOOGLETRANSLATE(English!G345, ""en"", ""bg"")"),"помощ_за_домашно_изпълнение")</f>
        <v>помощ_за_домашно_изпълнение</v>
      </c>
      <c r="H345" s="1" t="str">
        <f ca="1">IFERROR(__xludf.DUMMYFUNCTION("GOOGLETRANSLATE(English!H345, ""en"", ""bg"")"),"помощ_за_домашно_задаване")</f>
        <v>помощ_за_домашно_задаване</v>
      </c>
    </row>
    <row r="346" spans="1:8" ht="13.2" x14ac:dyDescent="0.25">
      <c r="A346" s="1" t="str">
        <f ca="1">IFERROR(__xludf.DUMMYFUNCTION("GOOGLETRANSLATE(English!A346, ""en"", ""bg"")"),"conv_19685")</f>
        <v>conv_19685</v>
      </c>
      <c r="B346" s="1" t="str">
        <f ca="1">IFERROR(__xludf.DUMMYFUNCTION("GOOGLETRANSLATE(English!B346, ""en"", ""bg"")"),"химия")</f>
        <v>химия</v>
      </c>
      <c r="C346" s="1" t="str">
        <f ca="1">IFERROR(__xludf.DUMMYFUNCTION("GOOGLETRANSLATE(English!C346, ""en"", ""bg"")"),"елементарен")</f>
        <v>елементарен</v>
      </c>
      <c r="D346" s="1" t="str">
        <f ca="1">IFERROR(__xludf.DUMMYFUNCTION("GOOGLETRANSLATE(English!D346, ""en"", ""bg"")"),"ежедневни химикали")</f>
        <v>ежедневни химикали</v>
      </c>
      <c r="E346" s="1" t="str">
        <f ca="1">IFERROR(__xludf.DUMMYFUNCTION("GOOGLETRANSLATE(English!E346, ""en"", ""bg"")"),"Можете ли да ми помогнете? Можете ли да ми помогнете да разбера ежедневните химикали?")</f>
        <v>Можете ли да ми помогнете? Можете ли да ми помогнете да разбера ежедневните химикали?</v>
      </c>
      <c r="F346" s="1" t="str">
        <f ca="1">IFERROR(__xludf.DUMMYFUNCTION("GOOGLETRANSLATE(English!F346,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346" s="1" t="str">
        <f ca="1">IFERROR(__xludf.DUMMYFUNCTION("GOOGLETRANSLATE(English!G346, ""en"", ""bg"")"),"разговор")</f>
        <v>разговор</v>
      </c>
      <c r="H346" s="1" t="str">
        <f ca="1">IFERROR(__xludf.DUMMYFUNCTION("GOOGLETRANSLATE(English!H346, ""en"", ""bg"")"),"образователна_помощ")</f>
        <v>образователна_помощ</v>
      </c>
    </row>
    <row r="347" spans="1:8" ht="13.2" x14ac:dyDescent="0.25">
      <c r="A347" s="1" t="str">
        <f ca="1">IFERROR(__xludf.DUMMYFUNCTION("GOOGLETRANSLATE(English!A347, ""en"", ""bg"")"),"conv_08096")</f>
        <v>conv_08096</v>
      </c>
      <c r="B347" s="1" t="str">
        <f ca="1">IFERROR(__xludf.DUMMYFUNCTION("GOOGLETRANSLATE(English!B347, ""en"", ""bg"")"),"физика")</f>
        <v>физика</v>
      </c>
      <c r="C347" s="1" t="str">
        <f ca="1">IFERROR(__xludf.DUMMYFUNCTION("GOOGLETRANSLATE(English!C347, ""en"", ""bg"")"),"елементарен")</f>
        <v>елементарен</v>
      </c>
      <c r="D347" s="1" t="str">
        <f ca="1">IFERROR(__xludf.DUMMYFUNCTION("GOOGLETRANSLATE(English!D347, ""en"", ""bg"")"),"бутане и дърпане")</f>
        <v>бутане и дърпане</v>
      </c>
      <c r="E347" s="1" t="str">
        <f ca="1">IFERROR(__xludf.DUMMYFUNCTION("GOOGLETRANSLATE(English!E347, ""en"", ""bg"")"),"Можете ли да ми помогнете? Какво трябва да знам за бутането и дърпането?")</f>
        <v>Можете ли да ми помогнете? Какво трябва да знам за бутането и дърпането?</v>
      </c>
      <c r="F347" s="1" t="str">
        <f ca="1">IFERROR(__xludf.DUMMYFUNCTION("GOOGLETRANSLATE(English!F347,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347" s="1" t="str">
        <f ca="1">IFERROR(__xludf.DUMMYFUNCTION("GOOGLETRANSLATE(English!G347, ""en"", ""bg"")"),"разговор")</f>
        <v>разговор</v>
      </c>
      <c r="H347" s="1" t="str">
        <f ca="1">IFERROR(__xludf.DUMMYFUNCTION("GOOGLETRANSLATE(English!H347, ""en"", ""bg"")"),"образователна_помощ")</f>
        <v>образователна_помощ</v>
      </c>
    </row>
    <row r="348" spans="1:8" ht="13.2" x14ac:dyDescent="0.25">
      <c r="A348" s="1" t="str">
        <f ca="1">IFERROR(__xludf.DUMMYFUNCTION("GOOGLETRANSLATE(English!A348, ""en"", ""bg"")"),"conv_17684")</f>
        <v>conv_17684</v>
      </c>
      <c r="B348" s="1" t="str">
        <f ca="1">IFERROR(__xludf.DUMMYFUNCTION("GOOGLETRANSLATE(English!B348, ""en"", ""bg"")"),"химия")</f>
        <v>химия</v>
      </c>
      <c r="C348" s="1" t="str">
        <f ca="1">IFERROR(__xludf.DUMMYFUNCTION("GOOGLETRANSLATE(English!C348, ""en"", ""bg"")"),"високо")</f>
        <v>високо</v>
      </c>
      <c r="D348" s="1" t="str">
        <f ca="1">IFERROR(__xludf.DUMMYFUNCTION("GOOGLETRANSLATE(English!D348, ""en"", ""bg"")"),"органична химия")</f>
        <v>органична химия</v>
      </c>
      <c r="E348" s="1" t="str">
        <f ca="1">IFERROR(__xludf.DUMMYFUNCTION("GOOGLETRANSLATE(English!E348, ""en"", ""bg"")"),"Здравей, преподавателю! Защо е важно да се учи органична химия?")</f>
        <v>Здравей, преподавателю! Защо е важно да се учи органична химия?</v>
      </c>
      <c r="F348" s="1" t="str">
        <f ca="1">IFERROR(__xludf.DUMMYFUNCTION("GOOGLETRANSLATE(English!F348,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348" s="1" t="str">
        <f ca="1">IFERROR(__xludf.DUMMYFUNCTION("GOOGLETRANSLATE(English!G348, ""en"", ""bg"")"),"разговор")</f>
        <v>разговор</v>
      </c>
      <c r="H348" s="1" t="str">
        <f ca="1">IFERROR(__xludf.DUMMYFUNCTION("GOOGLETRANSLATE(English!H348, ""en"", ""bg"")"),"образователна_помощ")</f>
        <v>образователна_помощ</v>
      </c>
    </row>
    <row r="349" spans="1:8" ht="13.2" x14ac:dyDescent="0.25">
      <c r="A349" s="1" t="str">
        <f ca="1">IFERROR(__xludf.DUMMYFUNCTION("GOOGLETRANSLATE(English!A349, ""en"", ""bg"")"),"hw_08592")</f>
        <v>hw_08592</v>
      </c>
      <c r="B349" s="1" t="str">
        <f ca="1">IFERROR(__xludf.DUMMYFUNCTION("GOOGLETRANSLATE(English!B349, ""en"", ""bg"")"),"химия")</f>
        <v>химия</v>
      </c>
      <c r="C349" s="1" t="str">
        <f ca="1">IFERROR(__xludf.DUMMYFUNCTION("GOOGLETRANSLATE(English!C349, ""en"", ""bg"")"),"високо")</f>
        <v>високо</v>
      </c>
      <c r="D349" s="1" t="str">
        <f ca="1">IFERROR(__xludf.DUMMYFUNCTION("GOOGLETRANSLATE(English!D349, ""en"", ""bg"")"),"органична химия")</f>
        <v>органична химия</v>
      </c>
      <c r="E349" s="1" t="str">
        <f ca="1">IFERROR(__xludf.DUMMYFUNCTION("GOOGLETRANSLATE(English!E349, ""en"", ""bg"")"),"Имам затруднения с органичната химия в домашното си.")</f>
        <v>Имам затруднения с органичната химия в домашното си.</v>
      </c>
      <c r="F349" s="1" t="str">
        <f ca="1">IFERROR(__xludf.DUMMYFUNCTION("GOOGLETRANSLATE(English!F349,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49" s="1" t="str">
        <f ca="1">IFERROR(__xludf.DUMMYFUNCTION("GOOGLETRANSLATE(English!G349, ""en"", ""bg"")"),"помощ_за_домашно_изпълнение")</f>
        <v>помощ_за_домашно_изпълнение</v>
      </c>
      <c r="H349" s="1" t="str">
        <f ca="1">IFERROR(__xludf.DUMMYFUNCTION("GOOGLETRANSLATE(English!H349, ""en"", ""bg"")"),"помощ_за_домашно_задаване")</f>
        <v>помощ_за_домашно_задаване</v>
      </c>
    </row>
    <row r="350" spans="1:8" ht="13.2" x14ac:dyDescent="0.25">
      <c r="A350" s="1" t="str">
        <f ca="1">IFERROR(__xludf.DUMMYFUNCTION("GOOGLETRANSLATE(English!A350, ""en"", ""bg"")"),"qa_02055")</f>
        <v>qa_02055</v>
      </c>
      <c r="B350" s="1" t="str">
        <f ca="1">IFERROR(__xludf.DUMMYFUNCTION("GOOGLETRANSLATE(English!B350, ""en"", ""bg"")"),"химия")</f>
        <v>химия</v>
      </c>
      <c r="C350" s="1" t="str">
        <f ca="1">IFERROR(__xludf.DUMMYFUNCTION("GOOGLETRANSLATE(English!C350, ""en"", ""bg"")"),"елементарен")</f>
        <v>елементарен</v>
      </c>
      <c r="D350" s="1" t="str">
        <f ca="1">IFERROR(__xludf.DUMMYFUNCTION("GOOGLETRANSLATE(English!D350, ""en"", ""bg"")"),"промени в материалите")</f>
        <v>промени в материалите</v>
      </c>
      <c r="E350" s="1" t="str">
        <f ca="1">IFERROR(__xludf.DUMMYFUNCTION("GOOGLETRANSLATE(English!E350, ""en"", ""bg"")"),"Можете ли да ми помогнете да разбера промените в материалите?")</f>
        <v>Можете ли да ми помогнете да разбера промените в материалите?</v>
      </c>
      <c r="F350" s="1" t="str">
        <f ca="1">IFERROR(__xludf.DUMMYFUNCTION("GOOGLETRANSLATE(English!F350,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350" s="1" t="str">
        <f ca="1">IFERROR(__xludf.DUMMYFUNCTION("GOOGLETRANSLATE(English!G350, ""en"", ""bg"")"),"direct_qa")</f>
        <v>direct_qa</v>
      </c>
      <c r="H350" s="1" t="str">
        <f ca="1">IFERROR(__xludf.DUMMYFUNCTION("GOOGLETRANSLATE(English!H350, ""en"", ""bg"")"),"заявка_за_знание")</f>
        <v>заявка_за_знание</v>
      </c>
    </row>
    <row r="351" spans="1:8" ht="13.2" x14ac:dyDescent="0.25">
      <c r="A351" s="1" t="str">
        <f ca="1">IFERROR(__xludf.DUMMYFUNCTION("GOOGLETRANSLATE(English!A351, ""en"", ""bg"")"),"hw_04423")</f>
        <v>hw_04423</v>
      </c>
      <c r="B351" s="1" t="str">
        <f ca="1">IFERROR(__xludf.DUMMYFUNCTION("GOOGLETRANSLATE(English!B351, ""en"", ""bg"")"),"биология")</f>
        <v>биология</v>
      </c>
      <c r="C351" s="1" t="str">
        <f ca="1">IFERROR(__xludf.DUMMYFUNCTION("GOOGLETRANSLATE(English!C351, ""en"", ""bg"")"),"елементарен")</f>
        <v>елементарен</v>
      </c>
      <c r="D351" s="1" t="str">
        <f ca="1">IFERROR(__xludf.DUMMYFUNCTION("GOOGLETRANSLATE(English!D351, ""en"", ""bg"")"),"растения")</f>
        <v>растения</v>
      </c>
      <c r="E351" s="1" t="str">
        <f ca="1">IFERROR(__xludf.DUMMYFUNCTION("GOOGLETRANSLATE(English!E351, ""en"", ""bg"")"),"Трябва да напиша доклад за растенията. Можете ли да ми помогнете да започна?")</f>
        <v>Трябва да напиша доклад за растенията. Можете ли да ми помогнете да започна?</v>
      </c>
      <c r="F351" s="1" t="str">
        <f ca="1">IFERROR(__xludf.DUMMYFUNCTION("GOOGLETRANSLATE(English!F351,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351" s="1" t="str">
        <f ca="1">IFERROR(__xludf.DUMMYFUNCTION("GOOGLETRANSLATE(English!G351, ""en"", ""bg"")"),"помощ_за_домашно_изпълнение")</f>
        <v>помощ_за_домашно_изпълнение</v>
      </c>
      <c r="H351" s="1" t="str">
        <f ca="1">IFERROR(__xludf.DUMMYFUNCTION("GOOGLETRANSLATE(English!H351, ""en"", ""bg"")"),"помощ_за_домашно_задаване")</f>
        <v>помощ_за_домашно_задаване</v>
      </c>
    </row>
    <row r="352" spans="1:8" ht="13.2" x14ac:dyDescent="0.25">
      <c r="A352" s="1" t="str">
        <f ca="1">IFERROR(__xludf.DUMMYFUNCTION("GOOGLETRANSLATE(English!A352, ""en"", ""bg"")"),"conv_17115")</f>
        <v>conv_17115</v>
      </c>
      <c r="B352" s="1" t="str">
        <f ca="1">IFERROR(__xludf.DUMMYFUNCTION("GOOGLETRANSLATE(English!B352, ""en"", ""bg"")"),"химия")</f>
        <v>химия</v>
      </c>
      <c r="C352" s="1" t="str">
        <f ca="1">IFERROR(__xludf.DUMMYFUNCTION("GOOGLETRANSLATE(English!C352, ""en"", ""bg"")"),"средата")</f>
        <v>средата</v>
      </c>
      <c r="D352" s="1" t="str">
        <f ca="1">IFERROR(__xludf.DUMMYFUNCTION("GOOGLETRANSLATE(English!D352, ""en"", ""bg"")"),"атоми и молекули")</f>
        <v>атоми и молекули</v>
      </c>
      <c r="E352" s="1" t="str">
        <f ca="1">IFERROR(__xludf.DUMMYFUNCTION("GOOGLETRANSLATE(English!E352, ""en"", ""bg"")"),"Не разбирам тази тема. Коя е най-малката част от един елемент?")</f>
        <v>Не разбирам тази тема. Коя е най-малката част от един елемент?</v>
      </c>
      <c r="F352" s="1" t="str">
        <f ca="1">IFERROR(__xludf.DUMMYFUNCTION("GOOGLETRANSLATE(English!F352,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352" s="1" t="str">
        <f ca="1">IFERROR(__xludf.DUMMYFUNCTION("GOOGLETRANSLATE(English!G352, ""en"", ""bg"")"),"разговор")</f>
        <v>разговор</v>
      </c>
      <c r="H352" s="1" t="str">
        <f ca="1">IFERROR(__xludf.DUMMYFUNCTION("GOOGLETRANSLATE(English!H352, ""en"", ""bg"")"),"образователна_помощ")</f>
        <v>образователна_помощ</v>
      </c>
    </row>
    <row r="353" spans="1:8" ht="13.2" x14ac:dyDescent="0.25">
      <c r="A353" s="1" t="str">
        <f ca="1">IFERROR(__xludf.DUMMYFUNCTION("GOOGLETRANSLATE(English!A353, ""en"", ""bg"")"),"conv_19868")</f>
        <v>conv_19868</v>
      </c>
      <c r="B353" s="1" t="str">
        <f ca="1">IFERROR(__xludf.DUMMYFUNCTION("GOOGLETRANSLATE(English!B353, ""en"", ""bg"")"),"биология")</f>
        <v>биология</v>
      </c>
      <c r="C353" s="1" t="str">
        <f ca="1">IFERROR(__xludf.DUMMYFUNCTION("GOOGLETRANSLATE(English!C353, ""en"", ""bg"")"),"високо")</f>
        <v>високо</v>
      </c>
      <c r="D353" s="1" t="str">
        <f ca="1">IFERROR(__xludf.DUMMYFUNCTION("GOOGLETRANSLATE(English!D353, ""en"", ""bg"")"),"синтез на протеини")</f>
        <v>синтез на протеини</v>
      </c>
      <c r="E353" s="1" t="str">
        <f ca="1">IFERROR(__xludf.DUMMYFUNCTION("GOOGLETRANSLATE(English!E353, ""en"", ""bg"")"),"Имам научен въпрос. Можете ли да ми разкажете за синтеза на протеини?")</f>
        <v>Имам научен въпрос. Можете ли да ми разкажете за синтеза на протеини?</v>
      </c>
      <c r="F353" s="1" t="str">
        <f ca="1">IFERROR(__xludf.DUMMYFUNCTION("GOOGLETRANSLATE(English!F353,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53" s="1" t="str">
        <f ca="1">IFERROR(__xludf.DUMMYFUNCTION("GOOGLETRANSLATE(English!G353, ""en"", ""bg"")"),"разговор")</f>
        <v>разговор</v>
      </c>
      <c r="H353" s="1" t="str">
        <f ca="1">IFERROR(__xludf.DUMMYFUNCTION("GOOGLETRANSLATE(English!H353, ""en"", ""bg"")"),"образователна_помощ")</f>
        <v>образователна_помощ</v>
      </c>
    </row>
    <row r="354" spans="1:8" ht="13.2" x14ac:dyDescent="0.25">
      <c r="A354" s="1" t="str">
        <f ca="1">IFERROR(__xludf.DUMMYFUNCTION("GOOGLETRANSLATE(English!A354, ""en"", ""bg"")"),"hw_03617")</f>
        <v>hw_03617</v>
      </c>
      <c r="B354" s="1" t="str">
        <f ca="1">IFERROR(__xludf.DUMMYFUNCTION("GOOGLETRANSLATE(English!B354, ""en"", ""bg"")"),"химия")</f>
        <v>химия</v>
      </c>
      <c r="C354" s="1" t="str">
        <f ca="1">IFERROR(__xludf.DUMMYFUNCTION("GOOGLETRANSLATE(English!C354, ""en"", ""bg"")"),"високо")</f>
        <v>високо</v>
      </c>
      <c r="D354" s="1" t="str">
        <f ca="1">IFERROR(__xludf.DUMMYFUNCTION("GOOGLETRANSLATE(English!D354, ""en"", ""bg"")"),"скорости на реакция")</f>
        <v>скорости на реакция</v>
      </c>
      <c r="E354" s="1" t="str">
        <f ca="1">IFERROR(__xludf.DUMMYFUNCTION("GOOGLETRANSLATE(English!E354,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354" s="1" t="str">
        <f ca="1">IFERROR(__xludf.DUMMYFUNCTION("GOOGLETRANSLATE(English!F354,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354" s="1" t="str">
        <f ca="1">IFERROR(__xludf.DUMMYFUNCTION("GOOGLETRANSLATE(English!G354, ""en"", ""bg"")"),"помощ_за_домашно_изпълнение")</f>
        <v>помощ_за_домашно_изпълнение</v>
      </c>
      <c r="H354" s="1" t="str">
        <f ca="1">IFERROR(__xludf.DUMMYFUNCTION("GOOGLETRANSLATE(English!H354, ""en"", ""bg"")"),"помощ_за_домашно_задаване")</f>
        <v>помощ_за_домашно_задаване</v>
      </c>
    </row>
    <row r="355" spans="1:8" ht="13.2" x14ac:dyDescent="0.25">
      <c r="A355" s="1" t="str">
        <f ca="1">IFERROR(__xludf.DUMMYFUNCTION("GOOGLETRANSLATE(English!A355, ""en"", ""bg"")"),"hw_10616")</f>
        <v>hw_10616</v>
      </c>
      <c r="B355" s="1" t="str">
        <f ca="1">IFERROR(__xludf.DUMMYFUNCTION("GOOGLETRANSLATE(English!B355, ""en"", ""bg"")"),"физика")</f>
        <v>физика</v>
      </c>
      <c r="C355" s="1" t="str">
        <f ca="1">IFERROR(__xludf.DUMMYFUNCTION("GOOGLETRANSLATE(English!C355, ""en"", ""bg"")"),"елементарен")</f>
        <v>елементарен</v>
      </c>
      <c r="D355" s="1" t="str">
        <f ca="1">IFERROR(__xludf.DUMMYFUNCTION("GOOGLETRANSLATE(English!D355, ""en"", ""bg"")"),"плаващ и потъващ")</f>
        <v>плаващ и потъващ</v>
      </c>
      <c r="E355" s="1" t="str">
        <f ca="1">IFERROR(__xludf.DUMMYFUNCTION("GOOGLETRANSLATE(English!E355,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355" s="1" t="str">
        <f ca="1">IFERROR(__xludf.DUMMYFUNCTION("GOOGLETRANSLATE(English!F355,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55" s="1" t="str">
        <f ca="1">IFERROR(__xludf.DUMMYFUNCTION("GOOGLETRANSLATE(English!G355, ""en"", ""bg"")"),"помощ_за_домашно_изпълнение")</f>
        <v>помощ_за_домашно_изпълнение</v>
      </c>
      <c r="H355" s="1" t="str">
        <f ca="1">IFERROR(__xludf.DUMMYFUNCTION("GOOGLETRANSLATE(English!H355, ""en"", ""bg"")"),"помощ_за_домашно_задаване")</f>
        <v>помощ_за_домашно_задаване</v>
      </c>
    </row>
    <row r="356" spans="1:8" ht="13.2" x14ac:dyDescent="0.25">
      <c r="A356" s="1" t="str">
        <f ca="1">IFERROR(__xludf.DUMMYFUNCTION("GOOGLETRANSLATE(English!A356, ""en"", ""bg"")"),"hw_02673")</f>
        <v>hw_02673</v>
      </c>
      <c r="B356" s="1" t="str">
        <f ca="1">IFERROR(__xludf.DUMMYFUNCTION("GOOGLETRANSLATE(English!B356, ""en"", ""bg"")"),"физика")</f>
        <v>физика</v>
      </c>
      <c r="C356" s="1" t="str">
        <f ca="1">IFERROR(__xludf.DUMMYFUNCTION("GOOGLETRANSLATE(English!C356, ""en"", ""bg"")"),"средата")</f>
        <v>средата</v>
      </c>
      <c r="D356" s="1" t="str">
        <f ca="1">IFERROR(__xludf.DUMMYFUNCTION("GOOGLETRANSLATE(English!D356, ""en"", ""bg"")"),"вълни")</f>
        <v>вълни</v>
      </c>
      <c r="E356" s="1" t="str">
        <f ca="1">IFERROR(__xludf.DUMMYFUNCTION("GOOGLETRANSLATE(English!E356, ""en"", ""bg"")"),"Можеш ли да решиш тази задача за вълните с мен?")</f>
        <v>Можеш ли да решиш тази задача за вълните с мен?</v>
      </c>
      <c r="F356" s="1" t="str">
        <f ca="1">IFERROR(__xludf.DUMMYFUNCTION("GOOGLETRANSLATE(English!F356,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356" s="1" t="str">
        <f ca="1">IFERROR(__xludf.DUMMYFUNCTION("GOOGLETRANSLATE(English!G356, ""en"", ""bg"")"),"помощ_за_домашно_изпълнение")</f>
        <v>помощ_за_домашно_изпълнение</v>
      </c>
      <c r="H356" s="1" t="str">
        <f ca="1">IFERROR(__xludf.DUMMYFUNCTION("GOOGLETRANSLATE(English!H356, ""en"", ""bg"")"),"помощ_за_домашно_задаване")</f>
        <v>помощ_за_домашно_задаване</v>
      </c>
    </row>
    <row r="357" spans="1:8" ht="13.2" x14ac:dyDescent="0.25">
      <c r="A357" s="1" t="str">
        <f ca="1">IFERROR(__xludf.DUMMYFUNCTION("GOOGLETRANSLATE(English!A357, ""en"", ""bg"")"),"conv_03775")</f>
        <v>conv_03775</v>
      </c>
      <c r="B357" s="1" t="str">
        <f ca="1">IFERROR(__xludf.DUMMYFUNCTION("GOOGLETRANSLATE(English!B357, ""en"", ""bg"")"),"химия")</f>
        <v>химия</v>
      </c>
      <c r="C357" s="1" t="str">
        <f ca="1">IFERROR(__xludf.DUMMYFUNCTION("GOOGLETRANSLATE(English!C357, ""en"", ""bg"")"),"високо")</f>
        <v>високо</v>
      </c>
      <c r="D357" s="1" t="str">
        <f ca="1">IFERROR(__xludf.DUMMYFUNCTION("GOOGLETRANSLATE(English!D357, ""en"", ""bg"")"),"равновесие")</f>
        <v>равновесие</v>
      </c>
      <c r="E357" s="1" t="str">
        <f ca="1">IFERROR(__xludf.DUMMYFUNCTION("GOOGLETRANSLATE(English!E357, ""en"", ""bg"")"),"Помогнете ми да уча за теста си. Как работи равновесието в химията?")</f>
        <v>Помогнете ми да уча за теста си. Как работи равновесието в химията?</v>
      </c>
      <c r="F357" s="1" t="str">
        <f ca="1">IFERROR(__xludf.DUMMYFUNCTION("GOOGLETRANSLATE(English!F357,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357" s="1" t="str">
        <f ca="1">IFERROR(__xludf.DUMMYFUNCTION("GOOGLETRANSLATE(English!G357, ""en"", ""bg"")"),"разговор")</f>
        <v>разговор</v>
      </c>
      <c r="H357" s="1" t="str">
        <f ca="1">IFERROR(__xludf.DUMMYFUNCTION("GOOGLETRANSLATE(English!H357, ""en"", ""bg"")"),"образователна_помощ")</f>
        <v>образователна_помощ</v>
      </c>
    </row>
    <row r="358" spans="1:8" ht="13.2" x14ac:dyDescent="0.25">
      <c r="A358" s="1" t="str">
        <f ca="1">IFERROR(__xludf.DUMMYFUNCTION("GOOGLETRANSLATE(English!A358, ""en"", ""bg"")"),"hw_02978")</f>
        <v>hw_02978</v>
      </c>
      <c r="B358" s="1" t="str">
        <f ca="1">IFERROR(__xludf.DUMMYFUNCTION("GOOGLETRANSLATE(English!B358, ""en"", ""bg"")"),"физика")</f>
        <v>физика</v>
      </c>
      <c r="C358" s="1" t="str">
        <f ca="1">IFERROR(__xludf.DUMMYFUNCTION("GOOGLETRANSLATE(English!C358, ""en"", ""bg"")"),"средата")</f>
        <v>средата</v>
      </c>
      <c r="D358" s="1" t="str">
        <f ca="1">IFERROR(__xludf.DUMMYFUNCTION("GOOGLETRANSLATE(English!D358, ""en"", ""bg"")"),"състояния на материята")</f>
        <v>състояния на материята</v>
      </c>
      <c r="E358" s="1" t="str">
        <f ca="1">IFERROR(__xludf.DUMMYFUNCTION("GOOGLETRANSLATE(English!E358, ""en"", ""bg"")"),"Трябва да разбера състоянията на материята за изпита си.")</f>
        <v>Трябва да разбера състоянията на материята за изпита си.</v>
      </c>
      <c r="F358" s="1" t="str">
        <f ca="1">IFERROR(__xludf.DUMMYFUNCTION("GOOGLETRANSLATE(English!F358,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58" s="1" t="str">
        <f ca="1">IFERROR(__xludf.DUMMYFUNCTION("GOOGLETRANSLATE(English!G358, ""en"", ""bg"")"),"помощ_за_домашно_изпълнение")</f>
        <v>помощ_за_домашно_изпълнение</v>
      </c>
      <c r="H358" s="1" t="str">
        <f ca="1">IFERROR(__xludf.DUMMYFUNCTION("GOOGLETRANSLATE(English!H358, ""en"", ""bg"")"),"помощ_за_домашно_задаване")</f>
        <v>помощ_за_домашно_задаване</v>
      </c>
    </row>
    <row r="359" spans="1:8" ht="13.2" x14ac:dyDescent="0.25">
      <c r="A359" s="1" t="str">
        <f ca="1">IFERROR(__xludf.DUMMYFUNCTION("GOOGLETRANSLATE(English!A359, ""en"", ""bg"")"),"qa_10834")</f>
        <v>qa_10834</v>
      </c>
      <c r="B359" s="1" t="str">
        <f ca="1">IFERROR(__xludf.DUMMYFUNCTION("GOOGLETRANSLATE(English!B359, ""en"", ""bg"")"),"химия")</f>
        <v>химия</v>
      </c>
      <c r="C359" s="1" t="str">
        <f ca="1">IFERROR(__xludf.DUMMYFUNCTION("GOOGLETRANSLATE(English!C359, ""en"", ""bg"")"),"средата")</f>
        <v>средата</v>
      </c>
      <c r="D359" s="1" t="str">
        <f ca="1">IFERROR(__xludf.DUMMYFUNCTION("GOOGLETRANSLATE(English!D359, ""en"", ""bg"")"),"киселини и основи")</f>
        <v>киселини и основи</v>
      </c>
      <c r="E359" s="1" t="str">
        <f ca="1">IFERROR(__xludf.DUMMYFUNCTION("GOOGLETRANSLATE(English!E359, ""en"", ""bg"")"),"Как действат киселините и основите в химията?")</f>
        <v>Как действат киселините и основите в химията?</v>
      </c>
      <c r="F359" s="1" t="str">
        <f ca="1">IFERROR(__xludf.DUMMYFUNCTION("GOOGLETRANSLATE(English!F359,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359" s="1" t="str">
        <f ca="1">IFERROR(__xludf.DUMMYFUNCTION("GOOGLETRANSLATE(English!G359, ""en"", ""bg"")"),"direct_qa")</f>
        <v>direct_qa</v>
      </c>
      <c r="H359" s="1" t="str">
        <f ca="1">IFERROR(__xludf.DUMMYFUNCTION("GOOGLETRANSLATE(English!H359, ""en"", ""bg"")"),"заявка_за_знание")</f>
        <v>заявка_за_знание</v>
      </c>
    </row>
    <row r="360" spans="1:8" ht="13.2" x14ac:dyDescent="0.25">
      <c r="A360" s="1" t="str">
        <f ca="1">IFERROR(__xludf.DUMMYFUNCTION("GOOGLETRANSLATE(English!A360, ""en"", ""bg"")"),"hw_12130")</f>
        <v>hw_12130</v>
      </c>
      <c r="B360" s="1" t="str">
        <f ca="1">IFERROR(__xludf.DUMMYFUNCTION("GOOGLETRANSLATE(English!B360, ""en"", ""bg"")"),"химия")</f>
        <v>химия</v>
      </c>
      <c r="C360" s="1" t="str">
        <f ca="1">IFERROR(__xludf.DUMMYFUNCTION("GOOGLETRANSLATE(English!C360, ""en"", ""bg"")"),"високо")</f>
        <v>високо</v>
      </c>
      <c r="D360" s="1" t="str">
        <f ca="1">IFERROR(__xludf.DUMMYFUNCTION("GOOGLETRANSLATE(English!D360, ""en"", ""bg"")"),"равновесие")</f>
        <v>равновесие</v>
      </c>
      <c r="E360" s="1" t="str">
        <f ca="1">IFERROR(__xludf.DUMMYFUNCTION("GOOGLETRANSLATE(English!E360, ""en"", ""bg"")"),"Трудно ми е да пазя равновесието си в домашните.")</f>
        <v>Трудно ми е да пазя равновесието си в домашните.</v>
      </c>
      <c r="F360" s="1" t="str">
        <f ca="1">IFERROR(__xludf.DUMMYFUNCTION("GOOGLETRANSLATE(English!F360,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60" s="1" t="str">
        <f ca="1">IFERROR(__xludf.DUMMYFUNCTION("GOOGLETRANSLATE(English!G360, ""en"", ""bg"")"),"помощ_за_домашно_изпълнение")</f>
        <v>помощ_за_домашно_изпълнение</v>
      </c>
      <c r="H360" s="1" t="str">
        <f ca="1">IFERROR(__xludf.DUMMYFUNCTION("GOOGLETRANSLATE(English!H360, ""en"", ""bg"")"),"помощ_за_домашно_задаване")</f>
        <v>помощ_за_домашно_задаване</v>
      </c>
    </row>
    <row r="361" spans="1:8" ht="13.2" x14ac:dyDescent="0.25">
      <c r="A361" s="1" t="str">
        <f ca="1">IFERROR(__xludf.DUMMYFUNCTION("GOOGLETRANSLATE(English!A361, ""en"", ""bg"")"),"qa_04173")</f>
        <v>qa_04173</v>
      </c>
      <c r="B361" s="1" t="str">
        <f ca="1">IFERROR(__xludf.DUMMYFUNCTION("GOOGLETRANSLATE(English!B361, ""en"", ""bg"")"),"химия")</f>
        <v>химия</v>
      </c>
      <c r="C361" s="1" t="str">
        <f ca="1">IFERROR(__xludf.DUMMYFUNCTION("GOOGLETRANSLATE(English!C361, ""en"", ""bg"")"),"елементарен")</f>
        <v>елементарен</v>
      </c>
      <c r="D361" s="1" t="str">
        <f ca="1">IFERROR(__xludf.DUMMYFUNCTION("GOOGLETRANSLATE(English!D361, ""en"", ""bg"")"),"безопасност")</f>
        <v>безопасност</v>
      </c>
      <c r="E361" s="1" t="str">
        <f ca="1">IFERROR(__xludf.DUMMYFUNCTION("GOOGLETRANSLATE(English!E361, ""en"", ""bg"")"),"Какво е безопасността?")</f>
        <v>Какво е безопасността?</v>
      </c>
      <c r="F361" s="1" t="str">
        <f ca="1">IFERROR(__xludf.DUMMYFUNCTION("GOOGLETRANSLATE(English!F361,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361" s="1" t="str">
        <f ca="1">IFERROR(__xludf.DUMMYFUNCTION("GOOGLETRANSLATE(English!G361, ""en"", ""bg"")"),"direct_qa")</f>
        <v>direct_qa</v>
      </c>
      <c r="H361" s="1" t="str">
        <f ca="1">IFERROR(__xludf.DUMMYFUNCTION("GOOGLETRANSLATE(English!H361, ""en"", ""bg"")"),"заявка_за_знание")</f>
        <v>заявка_за_знание</v>
      </c>
    </row>
    <row r="362" spans="1:8" ht="13.2" x14ac:dyDescent="0.25">
      <c r="A362" s="1" t="str">
        <f ca="1">IFERROR(__xludf.DUMMYFUNCTION("GOOGLETRANSLATE(English!A362, ""en"", ""bg"")"),"qa_11301")</f>
        <v>qa_11301</v>
      </c>
      <c r="B362" s="1" t="str">
        <f ca="1">IFERROR(__xludf.DUMMYFUNCTION("GOOGLETRANSLATE(English!B362, ""en"", ""bg"")"),"физика")</f>
        <v>физика</v>
      </c>
      <c r="C362" s="1" t="str">
        <f ca="1">IFERROR(__xludf.DUMMYFUNCTION("GOOGLETRANSLATE(English!C362, ""en"", ""bg"")"),"елементарен")</f>
        <v>елементарен</v>
      </c>
      <c r="D362" s="1" t="str">
        <f ca="1">IFERROR(__xludf.DUMMYFUNCTION("GOOGLETRANSLATE(English!D362, ""en"", ""bg"")"),"светлина и сянка")</f>
        <v>светлина и сянка</v>
      </c>
      <c r="E362" s="1" t="str">
        <f ca="1">IFERROR(__xludf.DUMMYFUNCTION("GOOGLETRANSLATE(English!E362, ""en"", ""bg"")"),"Как се правят сенките?")</f>
        <v>Как се правят сенките?</v>
      </c>
      <c r="F362" s="1" t="str">
        <f ca="1">IFERROR(__xludf.DUMMYFUNCTION("GOOGLETRANSLATE(English!F362,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362" s="1" t="str">
        <f ca="1">IFERROR(__xludf.DUMMYFUNCTION("GOOGLETRANSLATE(English!G362, ""en"", ""bg"")"),"direct_qa")</f>
        <v>direct_qa</v>
      </c>
      <c r="H362" s="1" t="str">
        <f ca="1">IFERROR(__xludf.DUMMYFUNCTION("GOOGLETRANSLATE(English!H362, ""en"", ""bg"")"),"заявка_за_знание")</f>
        <v>заявка_за_знание</v>
      </c>
    </row>
    <row r="363" spans="1:8" ht="13.2" x14ac:dyDescent="0.25">
      <c r="A363" s="1" t="str">
        <f ca="1">IFERROR(__xludf.DUMMYFUNCTION("GOOGLETRANSLATE(English!A363, ""en"", ""bg"")"),"conv_18219")</f>
        <v>conv_18219</v>
      </c>
      <c r="B363" s="1" t="str">
        <f ca="1">IFERROR(__xludf.DUMMYFUNCTION("GOOGLETRANSLATE(English!B363, ""en"", ""bg"")"),"биология")</f>
        <v>биология</v>
      </c>
      <c r="C363" s="1" t="str">
        <f ca="1">IFERROR(__xludf.DUMMYFUNCTION("GOOGLETRANSLATE(English!C363, ""en"", ""bg"")"),"елементарен")</f>
        <v>елементарен</v>
      </c>
      <c r="D363" s="1" t="str">
        <f ca="1">IFERROR(__xludf.DUMMYFUNCTION("GOOGLETRANSLATE(English!D363, ""en"", ""bg"")"),"растения")</f>
        <v>растения</v>
      </c>
      <c r="E363" s="1" t="str">
        <f ca="1">IFERROR(__xludf.DUMMYFUNCTION("GOOGLETRANSLATE(English!E363, ""en"", ""bg"")"),"Можете ли да ми обясните това? От какво се нуждаят растенията, за да растат?")</f>
        <v>Можете ли да ми обясните това? От какво се нуждаят растенията, за да растат?</v>
      </c>
      <c r="F363" s="1" t="str">
        <f ca="1">IFERROR(__xludf.DUMMYFUNCTION("GOOGLETRANSLATE(English!F363,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363" s="1" t="str">
        <f ca="1">IFERROR(__xludf.DUMMYFUNCTION("GOOGLETRANSLATE(English!G363, ""en"", ""bg"")"),"разговор")</f>
        <v>разговор</v>
      </c>
      <c r="H363" s="1" t="str">
        <f ca="1">IFERROR(__xludf.DUMMYFUNCTION("GOOGLETRANSLATE(English!H363, ""en"", ""bg"")"),"образователна_помощ")</f>
        <v>образователна_помощ</v>
      </c>
    </row>
    <row r="364" spans="1:8" ht="13.2" x14ac:dyDescent="0.25">
      <c r="A364" s="1" t="str">
        <f ca="1">IFERROR(__xludf.DUMMYFUNCTION("GOOGLETRANSLATE(English!A364, ""en"", ""bg"")"),"conv_16045")</f>
        <v>conv_16045</v>
      </c>
      <c r="B364" s="1" t="str">
        <f ca="1">IFERROR(__xludf.DUMMYFUNCTION("GOOGLETRANSLATE(English!B364, ""en"", ""bg"")"),"химия")</f>
        <v>химия</v>
      </c>
      <c r="C364" s="1" t="str">
        <f ca="1">IFERROR(__xludf.DUMMYFUNCTION("GOOGLETRANSLATE(English!C364, ""en"", ""bg"")"),"високо")</f>
        <v>високо</v>
      </c>
      <c r="D364" s="1" t="str">
        <f ca="1">IFERROR(__xludf.DUMMYFUNCTION("GOOGLETRANSLATE(English!D364, ""en"", ""bg"")"),"равновесие")</f>
        <v>равновесие</v>
      </c>
      <c r="E364" s="1" t="str">
        <f ca="1">IFERROR(__xludf.DUMMYFUNCTION("GOOGLETRANSLATE(English!E364, ""en"", ""bg"")"),"Здравей, преподавателю! Какво е равновесие?")</f>
        <v>Здравей, преподавателю! Какво е равновесие?</v>
      </c>
      <c r="F364" s="1" t="str">
        <f ca="1">IFERROR(__xludf.DUMMYFUNCTION("GOOGLETRANSLATE(English!F364,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364" s="1" t="str">
        <f ca="1">IFERROR(__xludf.DUMMYFUNCTION("GOOGLETRANSLATE(English!G364, ""en"", ""bg"")"),"разговор")</f>
        <v>разговор</v>
      </c>
      <c r="H364" s="1" t="str">
        <f ca="1">IFERROR(__xludf.DUMMYFUNCTION("GOOGLETRANSLATE(English!H364, ""en"", ""bg"")"),"образователна_помощ")</f>
        <v>образователна_помощ</v>
      </c>
    </row>
    <row r="365" spans="1:8" ht="13.2" x14ac:dyDescent="0.25">
      <c r="A365" s="1" t="str">
        <f ca="1">IFERROR(__xludf.DUMMYFUNCTION("GOOGLETRANSLATE(English!A365, ""en"", ""bg"")"),"conv_13879")</f>
        <v>conv_13879</v>
      </c>
      <c r="B365" s="1" t="str">
        <f ca="1">IFERROR(__xludf.DUMMYFUNCTION("GOOGLETRANSLATE(English!B365, ""en"", ""bg"")"),"биология")</f>
        <v>биология</v>
      </c>
      <c r="C365" s="1" t="str">
        <f ca="1">IFERROR(__xludf.DUMMYFUNCTION("GOOGLETRANSLATE(English!C365, ""en"", ""bg"")"),"елементарен")</f>
        <v>елементарен</v>
      </c>
      <c r="D365" s="1" t="str">
        <f ca="1">IFERROR(__xludf.DUMMYFUNCTION("GOOGLETRANSLATE(English!D365, ""en"", ""bg"")"),"жизнени цикли")</f>
        <v>жизнени цикли</v>
      </c>
      <c r="E365" s="1" t="str">
        <f ca="1">IFERROR(__xludf.DUMMYFUNCTION("GOOGLETRANSLATE(English!E365, ""en"", ""bg"")"),"Помогнете ми да уча за теста си. Как работят жизнените цикли?")</f>
        <v>Помогнете ми да уча за теста си. Как работят жизнените цикли?</v>
      </c>
      <c r="F365" s="1" t="str">
        <f ca="1">IFERROR(__xludf.DUMMYFUNCTION("GOOGLETRANSLATE(English!F365,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365" s="1" t="str">
        <f ca="1">IFERROR(__xludf.DUMMYFUNCTION("GOOGLETRANSLATE(English!G365, ""en"", ""bg"")"),"разговор")</f>
        <v>разговор</v>
      </c>
      <c r="H365" s="1" t="str">
        <f ca="1">IFERROR(__xludf.DUMMYFUNCTION("GOOGLETRANSLATE(English!H365, ""en"", ""bg"")"),"образователна_помощ")</f>
        <v>образователна_помощ</v>
      </c>
    </row>
    <row r="366" spans="1:8" ht="13.2" x14ac:dyDescent="0.25">
      <c r="A366" s="1" t="str">
        <f ca="1">IFERROR(__xludf.DUMMYFUNCTION("GOOGLETRANSLATE(English!A366, ""en"", ""bg"")"),"qa_04059")</f>
        <v>qa_04059</v>
      </c>
      <c r="B366" s="1" t="str">
        <f ca="1">IFERROR(__xludf.DUMMYFUNCTION("GOOGLETRANSLATE(English!B366, ""en"", ""bg"")"),"физика")</f>
        <v>физика</v>
      </c>
      <c r="C366" s="1" t="str">
        <f ca="1">IFERROR(__xludf.DUMMYFUNCTION("GOOGLETRANSLATE(English!C366, ""en"", ""bg"")"),"елементарен")</f>
        <v>елементарен</v>
      </c>
      <c r="D366" s="1" t="str">
        <f ca="1">IFERROR(__xludf.DUMMYFUNCTION("GOOGLETRANSLATE(English!D366, ""en"", ""bg"")"),"магнити")</f>
        <v>магнити</v>
      </c>
      <c r="E366" s="1" t="str">
        <f ca="1">IFERROR(__xludf.DUMMYFUNCTION("GOOGLETRANSLATE(English!E366, ""en"", ""bg"")"),"Какви са полюсите на магнита?")</f>
        <v>Какви са полюсите на магнита?</v>
      </c>
      <c r="F366" s="1" t="str">
        <f ca="1">IFERROR(__xludf.DUMMYFUNCTION("GOOGLETRANSLATE(English!F366,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366" s="1" t="str">
        <f ca="1">IFERROR(__xludf.DUMMYFUNCTION("GOOGLETRANSLATE(English!G366, ""en"", ""bg"")"),"direct_qa")</f>
        <v>direct_qa</v>
      </c>
      <c r="H366" s="1" t="str">
        <f ca="1">IFERROR(__xludf.DUMMYFUNCTION("GOOGLETRANSLATE(English!H366, ""en"", ""bg"")"),"заявка_за_знание")</f>
        <v>заявка_за_знание</v>
      </c>
    </row>
    <row r="367" spans="1:8" ht="13.2" x14ac:dyDescent="0.25">
      <c r="A367" s="1" t="str">
        <f ca="1">IFERROR(__xludf.DUMMYFUNCTION("GOOGLETRANSLATE(English!A367, ""en"", ""bg"")"),"conv_12534")</f>
        <v>conv_12534</v>
      </c>
      <c r="B367" s="1" t="str">
        <f ca="1">IFERROR(__xludf.DUMMYFUNCTION("GOOGLETRANSLATE(English!B367, ""en"", ""bg"")"),"физика")</f>
        <v>физика</v>
      </c>
      <c r="C367" s="1" t="str">
        <f ca="1">IFERROR(__xludf.DUMMYFUNCTION("GOOGLETRANSLATE(English!C367, ""en"", ""bg"")"),"средата")</f>
        <v>средата</v>
      </c>
      <c r="D367" s="1" t="str">
        <f ca="1">IFERROR(__xludf.DUMMYFUNCTION("GOOGLETRANSLATE(English!D367, ""en"", ""bg"")"),"видове енергия")</f>
        <v>видове енергия</v>
      </c>
      <c r="E367" s="1" t="str">
        <f ca="1">IFERROR(__xludf.DUMMYFUNCTION("GOOGLETRANSLATE(English!E367, ""en"", ""bg"")"),"Не разбирам тази тема. Какво е потенциална енергия?")</f>
        <v>Не разбирам тази тема. Какво е потенциална енергия?</v>
      </c>
      <c r="F367" s="1" t="str">
        <f ca="1">IFERROR(__xludf.DUMMYFUNCTION("GOOGLETRANSLATE(English!F367,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367" s="1" t="str">
        <f ca="1">IFERROR(__xludf.DUMMYFUNCTION("GOOGLETRANSLATE(English!G367, ""en"", ""bg"")"),"разговор")</f>
        <v>разговор</v>
      </c>
      <c r="H367" s="1" t="str">
        <f ca="1">IFERROR(__xludf.DUMMYFUNCTION("GOOGLETRANSLATE(English!H367, ""en"", ""bg"")"),"образователна_помощ")</f>
        <v>образователна_помощ</v>
      </c>
    </row>
    <row r="368" spans="1:8" ht="13.2" x14ac:dyDescent="0.25">
      <c r="A368" s="1" t="str">
        <f ca="1">IFERROR(__xludf.DUMMYFUNCTION("GOOGLETRANSLATE(English!A368, ""en"", ""bg"")"),"qa_11692")</f>
        <v>qa_11692</v>
      </c>
      <c r="B368" s="1" t="str">
        <f ca="1">IFERROR(__xludf.DUMMYFUNCTION("GOOGLETRANSLATE(English!B368, ""en"", ""bg"")"),"химия")</f>
        <v>химия</v>
      </c>
      <c r="C368" s="1" t="str">
        <f ca="1">IFERROR(__xludf.DUMMYFUNCTION("GOOGLETRANSLATE(English!C368, ""en"", ""bg"")"),"високо")</f>
        <v>високо</v>
      </c>
      <c r="D368" s="1" t="str">
        <f ca="1">IFERROR(__xludf.DUMMYFUNCTION("GOOGLETRANSLATE(English!D368, ""en"", ""bg"")"),"равновесие")</f>
        <v>равновесие</v>
      </c>
      <c r="E368" s="1" t="str">
        <f ca="1">IFERROR(__xludf.DUMMYFUNCTION("GOOGLETRANSLATE(English!E368, ""en"", ""bg"")"),"Защо е важно да се учи равновесие?")</f>
        <v>Защо е важно да се учи равновесие?</v>
      </c>
      <c r="F368" s="1" t="str">
        <f ca="1">IFERROR(__xludf.DUMMYFUNCTION("GOOGLETRANSLATE(English!F368,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368" s="1" t="str">
        <f ca="1">IFERROR(__xludf.DUMMYFUNCTION("GOOGLETRANSLATE(English!G368, ""en"", ""bg"")"),"direct_qa")</f>
        <v>direct_qa</v>
      </c>
      <c r="H368" s="1" t="str">
        <f ca="1">IFERROR(__xludf.DUMMYFUNCTION("GOOGLETRANSLATE(English!H368, ""en"", ""bg"")"),"заявка_за_знание")</f>
        <v>заявка_за_знание</v>
      </c>
    </row>
    <row r="369" spans="1:8" ht="13.2" x14ac:dyDescent="0.25">
      <c r="A369" s="1" t="str">
        <f ca="1">IFERROR(__xludf.DUMMYFUNCTION("GOOGLETRANSLATE(English!A369, ""en"", ""bg"")"),"qa_11497")</f>
        <v>qa_11497</v>
      </c>
      <c r="B369" s="1" t="str">
        <f ca="1">IFERROR(__xludf.DUMMYFUNCTION("GOOGLETRANSLATE(English!B369, ""en"", ""bg"")"),"биология")</f>
        <v>биология</v>
      </c>
      <c r="C369" s="1" t="str">
        <f ca="1">IFERROR(__xludf.DUMMYFUNCTION("GOOGLETRANSLATE(English!C369, ""en"", ""bg"")"),"средата")</f>
        <v>средата</v>
      </c>
      <c r="D369" s="1" t="str">
        <f ca="1">IFERROR(__xludf.DUMMYFUNCTION("GOOGLETRANSLATE(English!D369, ""en"", ""bg"")"),"класификация")</f>
        <v>класификация</v>
      </c>
      <c r="E369" s="1" t="str">
        <f ca="1">IFERROR(__xludf.DUMMYFUNCTION("GOOGLETRANSLATE(English!E369, ""en"", ""bg"")"),"Можете ли да ми кажете за класификацията?")</f>
        <v>Можете ли да ми кажете за класификацията?</v>
      </c>
      <c r="F369" s="1" t="str">
        <f ca="1">IFERROR(__xludf.DUMMYFUNCTION("GOOGLETRANSLATE(English!F369,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369" s="1" t="str">
        <f ca="1">IFERROR(__xludf.DUMMYFUNCTION("GOOGLETRANSLATE(English!G369, ""en"", ""bg"")"),"direct_qa")</f>
        <v>direct_qa</v>
      </c>
      <c r="H369" s="1" t="str">
        <f ca="1">IFERROR(__xludf.DUMMYFUNCTION("GOOGLETRANSLATE(English!H369, ""en"", ""bg"")"),"заявка_за_знание")</f>
        <v>заявка_за_знание</v>
      </c>
    </row>
    <row r="370" spans="1:8" ht="13.2" x14ac:dyDescent="0.25">
      <c r="A370" s="1" t="str">
        <f ca="1">IFERROR(__xludf.DUMMYFUNCTION("GOOGLETRANSLATE(English!A370, ""en"", ""bg"")"),"qa_04419")</f>
        <v>qa_04419</v>
      </c>
      <c r="B370" s="1" t="str">
        <f ca="1">IFERROR(__xludf.DUMMYFUNCTION("GOOGLETRANSLATE(English!B370, ""en"", ""bg"")"),"биология")</f>
        <v>биология</v>
      </c>
      <c r="C370" s="1" t="str">
        <f ca="1">IFERROR(__xludf.DUMMYFUNCTION("GOOGLETRANSLATE(English!C370, ""en"", ""bg"")"),"елементарен")</f>
        <v>елементарен</v>
      </c>
      <c r="D370" s="1" t="str">
        <f ca="1">IFERROR(__xludf.DUMMYFUNCTION("GOOGLETRANSLATE(English!D370, ""en"", ""bg"")"),"домашни любимци срещу диви животни")</f>
        <v>домашни любимци срещу диви животни</v>
      </c>
      <c r="E370" s="1" t="str">
        <f ca="1">IFERROR(__xludf.DUMMYFUNCTION("GOOGLETRANSLATE(English!E370, ""en"", ""bg"")"),"Как се различават домашните любимци от дивите животни?")</f>
        <v>Как се различават домашните любимци от дивите животни?</v>
      </c>
      <c r="F370" s="1" t="str">
        <f ca="1">IFERROR(__xludf.DUMMYFUNCTION("GOOGLETRANSLATE(English!F370,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370" s="1" t="str">
        <f ca="1">IFERROR(__xludf.DUMMYFUNCTION("GOOGLETRANSLATE(English!G370, ""en"", ""bg"")"),"direct_qa")</f>
        <v>direct_qa</v>
      </c>
      <c r="H370" s="1" t="str">
        <f ca="1">IFERROR(__xludf.DUMMYFUNCTION("GOOGLETRANSLATE(English!H370, ""en"", ""bg"")"),"заявка_за_знание")</f>
        <v>заявка_за_знание</v>
      </c>
    </row>
    <row r="371" spans="1:8" ht="13.2" x14ac:dyDescent="0.25">
      <c r="A371" s="1" t="str">
        <f ca="1">IFERROR(__xludf.DUMMYFUNCTION("GOOGLETRANSLATE(English!A371, ""en"", ""bg"")"),"hw_02287")</f>
        <v>hw_02287</v>
      </c>
      <c r="B371" s="1" t="str">
        <f ca="1">IFERROR(__xludf.DUMMYFUNCTION("GOOGLETRANSLATE(English!B371, ""en"", ""bg"")"),"физика")</f>
        <v>физика</v>
      </c>
      <c r="C371" s="1" t="str">
        <f ca="1">IFERROR(__xludf.DUMMYFUNCTION("GOOGLETRANSLATE(English!C371, ""en"", ""bg"")"),"средата")</f>
        <v>средата</v>
      </c>
      <c r="D371" s="1" t="str">
        <f ca="1">IFERROR(__xludf.DUMMYFUNCTION("GOOGLETRANSLATE(English!D371, ""en"", ""bg"")"),"видове енергия")</f>
        <v>видове енергия</v>
      </c>
      <c r="E371" s="1" t="str">
        <f ca="1">IFERROR(__xludf.DUMMYFUNCTION("GOOGLETRANSLATE(English!E371, ""en"", ""bg"")"),"Домашното ми по физика е за видовете енергия. Объркващо е!")</f>
        <v>Домашното ми по физика е за видовете енергия. Объркващо е!</v>
      </c>
      <c r="F371" s="1" t="str">
        <f ca="1">IFERROR(__xludf.DUMMYFUNCTION("GOOGLETRANSLATE(English!F371,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371" s="1" t="str">
        <f ca="1">IFERROR(__xludf.DUMMYFUNCTION("GOOGLETRANSLATE(English!G371, ""en"", ""bg"")"),"помощ_за_домашно_изпълнение")</f>
        <v>помощ_за_домашно_изпълнение</v>
      </c>
      <c r="H371" s="1" t="str">
        <f ca="1">IFERROR(__xludf.DUMMYFUNCTION("GOOGLETRANSLATE(English!H371, ""en"", ""bg"")"),"помощ_за_домашно_задаване")</f>
        <v>помощ_за_домашно_задаване</v>
      </c>
    </row>
    <row r="372" spans="1:8" ht="13.2" x14ac:dyDescent="0.25">
      <c r="A372" s="1" t="str">
        <f ca="1">IFERROR(__xludf.DUMMYFUNCTION("GOOGLETRANSLATE(English!A372, ""en"", ""bg"")"),"conv_00732")</f>
        <v>conv_00732</v>
      </c>
      <c r="B372" s="1" t="str">
        <f ca="1">IFERROR(__xludf.DUMMYFUNCTION("GOOGLETRANSLATE(English!B372, ""en"", ""bg"")"),"биология")</f>
        <v>биология</v>
      </c>
      <c r="C372" s="1" t="str">
        <f ca="1">IFERROR(__xludf.DUMMYFUNCTION("GOOGLETRANSLATE(English!C372, ""en"", ""bg"")"),"средата")</f>
        <v>средата</v>
      </c>
      <c r="D372" s="1" t="str">
        <f ca="1">IFERROR(__xludf.DUMMYFUNCTION("GOOGLETRANSLATE(English!D372, ""en"", ""bg"")"),"размножаване")</f>
        <v>размножаване</v>
      </c>
      <c r="E372" s="1" t="str">
        <f ca="1">IFERROR(__xludf.DUMMYFUNCTION("GOOGLETRANSLATE(English!E372, ""en"", ""bg"")"),"Помогнете ми да уча за теста си. Как работи размножаването?")</f>
        <v>Помогнете ми да уча за теста си. Как работи размножаването?</v>
      </c>
      <c r="F372" s="1" t="str">
        <f ca="1">IFERROR(__xludf.DUMMYFUNCTION("GOOGLETRANSLATE(English!F372,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372" s="1" t="str">
        <f ca="1">IFERROR(__xludf.DUMMYFUNCTION("GOOGLETRANSLATE(English!G372, ""en"", ""bg"")"),"разговор")</f>
        <v>разговор</v>
      </c>
      <c r="H372" s="1" t="str">
        <f ca="1">IFERROR(__xludf.DUMMYFUNCTION("GOOGLETRANSLATE(English!H372, ""en"", ""bg"")"),"образователна_помощ")</f>
        <v>образователна_помощ</v>
      </c>
    </row>
    <row r="373" spans="1:8" ht="13.2" x14ac:dyDescent="0.25">
      <c r="A373" s="1" t="str">
        <f ca="1">IFERROR(__xludf.DUMMYFUNCTION("GOOGLETRANSLATE(English!A373, ""en"", ""bg"")"),"conv_14194")</f>
        <v>conv_14194</v>
      </c>
      <c r="B373" s="1" t="str">
        <f ca="1">IFERROR(__xludf.DUMMYFUNCTION("GOOGLETRANSLATE(English!B373, ""en"", ""bg"")"),"физика")</f>
        <v>физика</v>
      </c>
      <c r="C373" s="1" t="str">
        <f ca="1">IFERROR(__xludf.DUMMYFUNCTION("GOOGLETRANSLATE(English!C373, ""en"", ""bg"")"),"средата")</f>
        <v>средата</v>
      </c>
      <c r="D373" s="1" t="str">
        <f ca="1">IFERROR(__xludf.DUMMYFUNCTION("GOOGLETRANSLATE(English!D373, ""en"", ""bg"")"),"сили и движение")</f>
        <v>сили и движение</v>
      </c>
      <c r="E373" s="1" t="str">
        <f ca="1">IFERROR(__xludf.DUMMYFUNCTION("GOOGLETRANSLATE(English!E373, ""en"", ""bg"")"),"Помогнете ми да уча за теста. Как триенето влияе на движението?")</f>
        <v>Помогнете ми да уча за теста. Как триенето влияе на движението?</v>
      </c>
      <c r="F373" s="1" t="str">
        <f ca="1">IFERROR(__xludf.DUMMYFUNCTION("GOOGLETRANSLATE(English!F373,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373" s="1" t="str">
        <f ca="1">IFERROR(__xludf.DUMMYFUNCTION("GOOGLETRANSLATE(English!G373, ""en"", ""bg"")"),"разговор")</f>
        <v>разговор</v>
      </c>
      <c r="H373" s="1" t="str">
        <f ca="1">IFERROR(__xludf.DUMMYFUNCTION("GOOGLETRANSLATE(English!H373, ""en"", ""bg"")"),"образователна_помощ")</f>
        <v>образователна_помощ</v>
      </c>
    </row>
    <row r="374" spans="1:8" ht="13.2" x14ac:dyDescent="0.25">
      <c r="A374" s="1" t="str">
        <f ca="1">IFERROR(__xludf.DUMMYFUNCTION("GOOGLETRANSLATE(English!A374, ""en"", ""bg"")"),"conv_16869")</f>
        <v>conv_16869</v>
      </c>
      <c r="B374" s="1" t="str">
        <f ca="1">IFERROR(__xludf.DUMMYFUNCTION("GOOGLETRANSLATE(English!B374, ""en"", ""bg"")"),"физика")</f>
        <v>физика</v>
      </c>
      <c r="C374" s="1" t="str">
        <f ca="1">IFERROR(__xludf.DUMMYFUNCTION("GOOGLETRANSLATE(English!C374, ""en"", ""bg"")"),"елементарен")</f>
        <v>елементарен</v>
      </c>
      <c r="D374" s="1" t="str">
        <f ca="1">IFERROR(__xludf.DUMMYFUNCTION("GOOGLETRANSLATE(English!D374, ""en"", ""bg"")"),"магнити")</f>
        <v>магнити</v>
      </c>
      <c r="E374" s="1" t="str">
        <f ca="1">IFERROR(__xludf.DUMMYFUNCTION("GOOGLETRANSLATE(English!E374, ""en"", ""bg"")"),"Имам научен въпрос. Защо някои неща се залепват за магнити?")</f>
        <v>Имам научен въпрос. Защо някои неща се залепват за магнити?</v>
      </c>
      <c r="F374" s="1" t="str">
        <f ca="1">IFERROR(__xludf.DUMMYFUNCTION("GOOGLETRANSLATE(English!F374,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374" s="1" t="str">
        <f ca="1">IFERROR(__xludf.DUMMYFUNCTION("GOOGLETRANSLATE(English!G374, ""en"", ""bg"")"),"разговор")</f>
        <v>разговор</v>
      </c>
      <c r="H374" s="1" t="str">
        <f ca="1">IFERROR(__xludf.DUMMYFUNCTION("GOOGLETRANSLATE(English!H374, ""en"", ""bg"")"),"образователна_помощ")</f>
        <v>образователна_помощ</v>
      </c>
    </row>
    <row r="375" spans="1:8" ht="13.2" x14ac:dyDescent="0.25">
      <c r="A375" s="1" t="str">
        <f ca="1">IFERROR(__xludf.DUMMYFUNCTION("GOOGLETRANSLATE(English!A375, ""en"", ""bg"")"),"qa_06656")</f>
        <v>qa_06656</v>
      </c>
      <c r="B375" s="1" t="str">
        <f ca="1">IFERROR(__xludf.DUMMYFUNCTION("GOOGLETRANSLATE(English!B375, ""en"", ""bg"")"),"физика")</f>
        <v>физика</v>
      </c>
      <c r="C375" s="1" t="str">
        <f ca="1">IFERROR(__xludf.DUMMYFUNCTION("GOOGLETRANSLATE(English!C375, ""en"", ""bg"")"),"средата")</f>
        <v>средата</v>
      </c>
      <c r="D375" s="1" t="str">
        <f ca="1">IFERROR(__xludf.DUMMYFUNCTION("GOOGLETRANSLATE(English!D375, ""en"", ""bg"")"),"основи на електричеството")</f>
        <v>основи на електричеството</v>
      </c>
      <c r="E375" s="1" t="str">
        <f ca="1">IFERROR(__xludf.DUMMYFUNCTION("GOOGLETRANSLATE(English!E375, ""en"", ""bg"")"),"Как работят основите на електричеството във физиката?")</f>
        <v>Как работят основите на електричеството във физиката?</v>
      </c>
      <c r="F375" s="1" t="str">
        <f ca="1">IFERROR(__xludf.DUMMYFUNCTION("GOOGLETRANSLATE(English!F375,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375" s="1" t="str">
        <f ca="1">IFERROR(__xludf.DUMMYFUNCTION("GOOGLETRANSLATE(English!G375, ""en"", ""bg"")"),"direct_qa")</f>
        <v>direct_qa</v>
      </c>
      <c r="H375" s="1" t="str">
        <f ca="1">IFERROR(__xludf.DUMMYFUNCTION("GOOGLETRANSLATE(English!H375, ""en"", ""bg"")"),"заявка_за_знание")</f>
        <v>заявка_за_знание</v>
      </c>
    </row>
    <row r="376" spans="1:8" ht="13.2" x14ac:dyDescent="0.25">
      <c r="A376" s="1" t="str">
        <f ca="1">IFERROR(__xludf.DUMMYFUNCTION("GOOGLETRANSLATE(English!A376, ""en"", ""bg"")"),"hw_01644")</f>
        <v>hw_01644</v>
      </c>
      <c r="B376" s="1" t="str">
        <f ca="1">IFERROR(__xludf.DUMMYFUNCTION("GOOGLETRANSLATE(English!B376, ""en"", ""bg"")"),"биология")</f>
        <v>биология</v>
      </c>
      <c r="C376" s="1" t="str">
        <f ca="1">IFERROR(__xludf.DUMMYFUNCTION("GOOGLETRANSLATE(English!C376, ""en"", ""bg"")"),"високо")</f>
        <v>високо</v>
      </c>
      <c r="D376" s="1" t="str">
        <f ca="1">IFERROR(__xludf.DUMMYFUNCTION("GOOGLETRANSLATE(English!D376, ""en"", ""bg"")"),"модели на наследяване")</f>
        <v>модели на наследяване</v>
      </c>
      <c r="E376" s="1" t="str">
        <f ca="1">IFERROR(__xludf.DUMMYFUNCTION("GOOGLETRANSLATE(English!E376, ""en"", ""bg"")"),"Трябва да напиша доклад за моделите на наследяване. Можете ли да ми помогнете да започна?")</f>
        <v>Трябва да напиша доклад за моделите на наследяване. Можете ли да ми помогнете да започна?</v>
      </c>
      <c r="F376" s="1" t="str">
        <f ca="1">IFERROR(__xludf.DUMMYFUNCTION("GOOGLETRANSLATE(English!F376,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76" s="1" t="str">
        <f ca="1">IFERROR(__xludf.DUMMYFUNCTION("GOOGLETRANSLATE(English!G376, ""en"", ""bg"")"),"помощ_за_домашно_изпълнение")</f>
        <v>помощ_за_домашно_изпълнение</v>
      </c>
      <c r="H376" s="1" t="str">
        <f ca="1">IFERROR(__xludf.DUMMYFUNCTION("GOOGLETRANSLATE(English!H376, ""en"", ""bg"")"),"помощ_за_домашно_задаване")</f>
        <v>помощ_за_домашно_задаване</v>
      </c>
    </row>
    <row r="377" spans="1:8" ht="13.2" x14ac:dyDescent="0.25">
      <c r="A377" s="1" t="str">
        <f ca="1">IFERROR(__xludf.DUMMYFUNCTION("GOOGLETRANSLATE(English!A377, ""en"", ""bg"")"),"qa_07388")</f>
        <v>qa_07388</v>
      </c>
      <c r="B377" s="1" t="str">
        <f ca="1">IFERROR(__xludf.DUMMYFUNCTION("GOOGLETRANSLATE(English!B377, ""en"", ""bg"")"),"биология")</f>
        <v>биология</v>
      </c>
      <c r="C377" s="1" t="str">
        <f ca="1">IFERROR(__xludf.DUMMYFUNCTION("GOOGLETRANSLATE(English!C377, ""en"", ""bg"")"),"високо")</f>
        <v>високо</v>
      </c>
      <c r="D377" s="1" t="str">
        <f ca="1">IFERROR(__xludf.DUMMYFUNCTION("GOOGLETRANSLATE(English!D377, ""en"", ""bg"")"),"синтез на протеини")</f>
        <v>синтез на протеини</v>
      </c>
      <c r="E377" s="1" t="str">
        <f ca="1">IFERROR(__xludf.DUMMYFUNCTION("GOOGLETRANSLATE(English!E377, ""en"", ""bg"")"),"Можете ли да ми разкажете за синтеза на протеини?")</f>
        <v>Можете ли да ми разкажете за синтеза на протеини?</v>
      </c>
      <c r="F377" s="1" t="str">
        <f ca="1">IFERROR(__xludf.DUMMYFUNCTION("GOOGLETRANSLATE(English!F377,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77" s="1" t="str">
        <f ca="1">IFERROR(__xludf.DUMMYFUNCTION("GOOGLETRANSLATE(English!G377, ""en"", ""bg"")"),"direct_qa")</f>
        <v>direct_qa</v>
      </c>
      <c r="H377" s="1" t="str">
        <f ca="1">IFERROR(__xludf.DUMMYFUNCTION("GOOGLETRANSLATE(English!H377, ""en"", ""bg"")"),"заявка_за_знание")</f>
        <v>заявка_за_знание</v>
      </c>
    </row>
    <row r="378" spans="1:8" ht="13.2" x14ac:dyDescent="0.25">
      <c r="A378" s="1" t="str">
        <f ca="1">IFERROR(__xludf.DUMMYFUNCTION("GOOGLETRANSLATE(English!A378, ""en"", ""bg"")"),"hw_06302")</f>
        <v>hw_06302</v>
      </c>
      <c r="B378" s="1" t="str">
        <f ca="1">IFERROR(__xludf.DUMMYFUNCTION("GOOGLETRANSLATE(English!B378, ""en"", ""bg"")"),"химия")</f>
        <v>химия</v>
      </c>
      <c r="C378" s="1" t="str">
        <f ca="1">IFERROR(__xludf.DUMMYFUNCTION("GOOGLETRANSLATE(English!C378, ""en"", ""bg"")"),"високо")</f>
        <v>високо</v>
      </c>
      <c r="D378" s="1" t="str">
        <f ca="1">IFERROR(__xludf.DUMMYFUNCTION("GOOGLETRANSLATE(English!D378, ""en"", ""bg"")"),"химическо свързване")</f>
        <v>химическо свързване</v>
      </c>
      <c r="E378" s="1" t="str">
        <f ca="1">IFERROR(__xludf.DUMMYFUNCTION("GOOGLETRANSLATE(English!E378, ""en"", ""bg"")"),"Можете ли да ми помогнете с изчисленията за химични връзки?")</f>
        <v>Можете ли да ми помогнете с изчисленията за химични връзки?</v>
      </c>
      <c r="F378" s="1" t="str">
        <f ca="1">IFERROR(__xludf.DUMMYFUNCTION("GOOGLETRANSLATE(English!F378,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78" s="1" t="str">
        <f ca="1">IFERROR(__xludf.DUMMYFUNCTION("GOOGLETRANSLATE(English!G378, ""en"", ""bg"")"),"помощ_за_домашно_изпълнение")</f>
        <v>помощ_за_домашно_изпълнение</v>
      </c>
      <c r="H378" s="1" t="str">
        <f ca="1">IFERROR(__xludf.DUMMYFUNCTION("GOOGLETRANSLATE(English!H378, ""en"", ""bg"")"),"помощ_за_домашно_задаване")</f>
        <v>помощ_за_домашно_задаване</v>
      </c>
    </row>
    <row r="379" spans="1:8" ht="13.2" x14ac:dyDescent="0.25">
      <c r="A379" s="1" t="str">
        <f ca="1">IFERROR(__xludf.DUMMYFUNCTION("GOOGLETRANSLATE(English!A379, ""en"", ""bg"")"),"conv_06466")</f>
        <v>conv_06466</v>
      </c>
      <c r="B379" s="1" t="str">
        <f ca="1">IFERROR(__xludf.DUMMYFUNCTION("GOOGLETRANSLATE(English!B379, ""en"", ""bg"")"),"биология")</f>
        <v>биология</v>
      </c>
      <c r="C379" s="1" t="str">
        <f ca="1">IFERROR(__xludf.DUMMYFUNCTION("GOOGLETRANSLATE(English!C379, ""en"", ""bg"")"),"елементарен")</f>
        <v>елементарен</v>
      </c>
      <c r="D379" s="1" t="str">
        <f ca="1">IFERROR(__xludf.DUMMYFUNCTION("GOOGLETRANSLATE(English!D379, ""en"", ""bg"")"),"животни")</f>
        <v>животни</v>
      </c>
      <c r="E379" s="1" t="str">
        <f ca="1">IFERROR(__xludf.DUMMYFUNCTION("GOOGLETRANSLATE(English!E379, ""en"", ""bg"")"),"Имам нужда от помощ с домашното си. Защо някои животни живеят на групи?")</f>
        <v>Имам нужда от помощ с домашното си. Защо някои животни живеят на групи?</v>
      </c>
      <c r="F379" s="1" t="str">
        <f ca="1">IFERROR(__xludf.DUMMYFUNCTION("GOOGLETRANSLATE(English!F379, ""en"", ""bg"")"),"Животните живеят на групи за защита, за да намират храна по-лесно и за да отглеждат малките си заедно.")</f>
        <v>Животните живеят на групи за защита, за да намират храна по-лесно и за да отглеждат малките си заедно.</v>
      </c>
      <c r="G379" s="1" t="str">
        <f ca="1">IFERROR(__xludf.DUMMYFUNCTION("GOOGLETRANSLATE(English!G379, ""en"", ""bg"")"),"разговор")</f>
        <v>разговор</v>
      </c>
      <c r="H379" s="1" t="str">
        <f ca="1">IFERROR(__xludf.DUMMYFUNCTION("GOOGLETRANSLATE(English!H379, ""en"", ""bg"")"),"образователна_помощ")</f>
        <v>образователна_помощ</v>
      </c>
    </row>
    <row r="380" spans="1:8" ht="13.2" x14ac:dyDescent="0.25">
      <c r="A380" s="1" t="str">
        <f ca="1">IFERROR(__xludf.DUMMYFUNCTION("GOOGLETRANSLATE(English!A380, ""en"", ""bg"")"),"hw_07296")</f>
        <v>hw_07296</v>
      </c>
      <c r="B380" s="1" t="str">
        <f ca="1">IFERROR(__xludf.DUMMYFUNCTION("GOOGLETRANSLATE(English!B380, ""en"", ""bg"")"),"биология")</f>
        <v>биология</v>
      </c>
      <c r="C380" s="1" t="str">
        <f ca="1">IFERROR(__xludf.DUMMYFUNCTION("GOOGLETRANSLATE(English!C380, ""en"", ""bg"")"),"елементарен")</f>
        <v>елементарен</v>
      </c>
      <c r="D380" s="1" t="str">
        <f ca="1">IFERROR(__xludf.DUMMYFUNCTION("GOOGLETRANSLATE(English!D380, ""en"", ""bg"")"),"растения")</f>
        <v>растения</v>
      </c>
      <c r="E380" s="1" t="str">
        <f ca="1">IFERROR(__xludf.DUMMYFUNCTION("GOOGLETRANSLATE(English!E380, ""en"", ""bg"")"),"Домашното ми пита за растенията. Не го разбирам.")</f>
        <v>Домашното ми пита за растенията. Не го разбирам.</v>
      </c>
      <c r="F380" s="1" t="str">
        <f ca="1">IFERROR(__xludf.DUMMYFUNCTION("GOOGLETRANSLATE(English!F380,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380" s="1" t="str">
        <f ca="1">IFERROR(__xludf.DUMMYFUNCTION("GOOGLETRANSLATE(English!G380, ""en"", ""bg"")"),"помощ_за_домашно_изпълнение")</f>
        <v>помощ_за_домашно_изпълнение</v>
      </c>
      <c r="H380" s="1" t="str">
        <f ca="1">IFERROR(__xludf.DUMMYFUNCTION("GOOGLETRANSLATE(English!H380, ""en"", ""bg"")"),"помощ_за_домашно_задаване")</f>
        <v>помощ_за_домашно_задаване</v>
      </c>
    </row>
    <row r="381" spans="1:8" ht="13.2" x14ac:dyDescent="0.25">
      <c r="A381" s="1" t="str">
        <f ca="1">IFERROR(__xludf.DUMMYFUNCTION("GOOGLETRANSLATE(English!A381, ""en"", ""bg"")"),"conv_02976")</f>
        <v>conv_02976</v>
      </c>
      <c r="B381" s="1" t="str">
        <f ca="1">IFERROR(__xludf.DUMMYFUNCTION("GOOGLETRANSLATE(English!B381, ""en"", ""bg"")"),"биология")</f>
        <v>биология</v>
      </c>
      <c r="C381" s="1" t="str">
        <f ca="1">IFERROR(__xludf.DUMMYFUNCTION("GOOGLETRANSLATE(English!C381, ""en"", ""bg"")"),"високо")</f>
        <v>високо</v>
      </c>
      <c r="D381" s="1" t="str">
        <f ca="1">IFERROR(__xludf.DUMMYFUNCTION("GOOGLETRANSLATE(English!D381, ""en"", ""bg"")"),"молекулярна биология")</f>
        <v>молекулярна биология</v>
      </c>
      <c r="E381" s="1" t="str">
        <f ca="1">IFERROR(__xludf.DUMMYFUNCTION("GOOGLETRANSLATE(English!E381, ""en"", ""bg"")"),"Здравей, преподавателю! Защо молекулярната биология е важна в биологията?")</f>
        <v>Здравей, преподавателю! Защо молекулярната биология е важна в биологията?</v>
      </c>
      <c r="F381" s="1" t="str">
        <f ca="1">IFERROR(__xludf.DUMMYFUNCTION("GOOGLETRANSLATE(English!F381,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381" s="1" t="str">
        <f ca="1">IFERROR(__xludf.DUMMYFUNCTION("GOOGLETRANSLATE(English!G381, ""en"", ""bg"")"),"разговор")</f>
        <v>разговор</v>
      </c>
      <c r="H381" s="1" t="str">
        <f ca="1">IFERROR(__xludf.DUMMYFUNCTION("GOOGLETRANSLATE(English!H381, ""en"", ""bg"")"),"образователна_помощ")</f>
        <v>образователна_помощ</v>
      </c>
    </row>
    <row r="382" spans="1:8" ht="13.2" x14ac:dyDescent="0.25">
      <c r="A382" s="1" t="str">
        <f ca="1">IFERROR(__xludf.DUMMYFUNCTION("GOOGLETRANSLATE(English!A382, ""en"", ""bg"")"),"conv_14812")</f>
        <v>conv_14812</v>
      </c>
      <c r="B382" s="1" t="str">
        <f ca="1">IFERROR(__xludf.DUMMYFUNCTION("GOOGLETRANSLATE(English!B382, ""en"", ""bg"")"),"физика")</f>
        <v>физика</v>
      </c>
      <c r="C382" s="1" t="str">
        <f ca="1">IFERROR(__xludf.DUMMYFUNCTION("GOOGLETRANSLATE(English!C382, ""en"", ""bg"")"),"елементарен")</f>
        <v>елементарен</v>
      </c>
      <c r="D382" s="1" t="str">
        <f ca="1">IFERROR(__xludf.DUMMYFUNCTION("GOOGLETRANSLATE(English!D382, ""en"", ""bg"")"),"бутане и дърпане")</f>
        <v>бутане и дърпане</v>
      </c>
      <c r="E382" s="1" t="str">
        <f ca="1">IFERROR(__xludf.DUMMYFUNCTION("GOOGLETRANSLATE(English!E382, ""en"", ""bg"")"),"Имам нужда от помощ с домашното. Защо бутането и дърпането са важни?")</f>
        <v>Имам нужда от помощ с домашното. Защо бутането и дърпането са важни?</v>
      </c>
      <c r="F382" s="1" t="str">
        <f ca="1">IFERROR(__xludf.DUMMYFUNCTION("GOOGLETRANSLATE(English!F382,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382" s="1" t="str">
        <f ca="1">IFERROR(__xludf.DUMMYFUNCTION("GOOGLETRANSLATE(English!G382, ""en"", ""bg"")"),"разговор")</f>
        <v>разговор</v>
      </c>
      <c r="H382" s="1" t="str">
        <f ca="1">IFERROR(__xludf.DUMMYFUNCTION("GOOGLETRANSLATE(English!H382, ""en"", ""bg"")"),"образователна_помощ")</f>
        <v>образователна_помощ</v>
      </c>
    </row>
    <row r="383" spans="1:8" ht="13.2" x14ac:dyDescent="0.25">
      <c r="A383" s="1" t="str">
        <f ca="1">IFERROR(__xludf.DUMMYFUNCTION("GOOGLETRANSLATE(English!A383, ""en"", ""bg"")"),"qa_00077")</f>
        <v>qa_00077</v>
      </c>
      <c r="B383" s="1" t="str">
        <f ca="1">IFERROR(__xludf.DUMMYFUNCTION("GOOGLETRANSLATE(English!B383, ""en"", ""bg"")"),"химия")</f>
        <v>химия</v>
      </c>
      <c r="C383" s="1" t="str">
        <f ca="1">IFERROR(__xludf.DUMMYFUNCTION("GOOGLETRANSLATE(English!C383, ""en"", ""bg"")"),"средата")</f>
        <v>средата</v>
      </c>
      <c r="D383" s="1" t="str">
        <f ca="1">IFERROR(__xludf.DUMMYFUNCTION("GOOGLETRANSLATE(English!D383, ""en"", ""bg"")"),"киселини и основи")</f>
        <v>киселини и основи</v>
      </c>
      <c r="E383" s="1" t="str">
        <f ca="1">IFERROR(__xludf.DUMMYFUNCTION("GOOGLETRANSLATE(English!E383, ""en"", ""bg"")"),"Как действат киселините и основите в химията?")</f>
        <v>Как действат киселините и основите в химията?</v>
      </c>
      <c r="F383" s="1" t="str">
        <f ca="1">IFERROR(__xludf.DUMMYFUNCTION("GOOGLETRANSLATE(English!F383,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383" s="1" t="str">
        <f ca="1">IFERROR(__xludf.DUMMYFUNCTION("GOOGLETRANSLATE(English!G383, ""en"", ""bg"")"),"direct_qa")</f>
        <v>direct_qa</v>
      </c>
      <c r="H383" s="1" t="str">
        <f ca="1">IFERROR(__xludf.DUMMYFUNCTION("GOOGLETRANSLATE(English!H383, ""en"", ""bg"")"),"заявка_за_знание")</f>
        <v>заявка_за_знание</v>
      </c>
    </row>
    <row r="384" spans="1:8" ht="13.2" x14ac:dyDescent="0.25">
      <c r="A384" s="1" t="str">
        <f ca="1">IFERROR(__xludf.DUMMYFUNCTION("GOOGLETRANSLATE(English!A384, ""en"", ""bg"")"),"conv_17116")</f>
        <v>conv_17116</v>
      </c>
      <c r="B384" s="1" t="str">
        <f ca="1">IFERROR(__xludf.DUMMYFUNCTION("GOOGLETRANSLATE(English!B384, ""en"", ""bg"")"),"физика")</f>
        <v>физика</v>
      </c>
      <c r="C384" s="1" t="str">
        <f ca="1">IFERROR(__xludf.DUMMYFUNCTION("GOOGLETRANSLATE(English!C384, ""en"", ""bg"")"),"средата")</f>
        <v>средата</v>
      </c>
      <c r="D384" s="1" t="str">
        <f ca="1">IFERROR(__xludf.DUMMYFUNCTION("GOOGLETRANSLATE(English!D384, ""en"", ""bg"")"),"видове енергия")</f>
        <v>видове енергия</v>
      </c>
      <c r="E384" s="1" t="str">
        <f ca="1">IFERROR(__xludf.DUMMYFUNCTION("GOOGLETRANSLATE(English!E384, ""en"", ""bg"")"),"Помогнете ми да уча за теста си. Какви са различните видове енергия?")</f>
        <v>Помогнете ми да уча за теста си. Какви са различните видове енергия?</v>
      </c>
      <c r="F384" s="1" t="str">
        <f ca="1">IFERROR(__xludf.DUMMYFUNCTION("GOOGLETRANSLATE(English!F384,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384" s="1" t="str">
        <f ca="1">IFERROR(__xludf.DUMMYFUNCTION("GOOGLETRANSLATE(English!G384, ""en"", ""bg"")"),"разговор")</f>
        <v>разговор</v>
      </c>
      <c r="H384" s="1" t="str">
        <f ca="1">IFERROR(__xludf.DUMMYFUNCTION("GOOGLETRANSLATE(English!H384, ""en"", ""bg"")"),"образователна_помощ")</f>
        <v>образователна_помощ</v>
      </c>
    </row>
    <row r="385" spans="1:8" ht="13.2" x14ac:dyDescent="0.25">
      <c r="A385" s="1" t="str">
        <f ca="1">IFERROR(__xludf.DUMMYFUNCTION("GOOGLETRANSLATE(English!A385, ""en"", ""bg"")"),"hw_14267")</f>
        <v>hw_14267</v>
      </c>
      <c r="B385" s="1" t="str">
        <f ca="1">IFERROR(__xludf.DUMMYFUNCTION("GOOGLETRANSLATE(English!B385, ""en"", ""bg"")"),"химия")</f>
        <v>химия</v>
      </c>
      <c r="C385" s="1" t="str">
        <f ca="1">IFERROR(__xludf.DUMMYFUNCTION("GOOGLETRANSLATE(English!C385, ""en"", ""bg"")"),"елементарен")</f>
        <v>елементарен</v>
      </c>
      <c r="D385" s="1" t="str">
        <f ca="1">IFERROR(__xludf.DUMMYFUNCTION("GOOGLETRANSLATE(English!D385, ""en"", ""bg"")"),"ежедневни химикали")</f>
        <v>ежедневни химикали</v>
      </c>
      <c r="E385" s="1" t="str">
        <f ca="1">IFERROR(__xludf.DUMMYFUNCTION("GOOGLETRANSLATE(English!E385, ""en"", ""bg"")"),"Моят доклад по химия е за ежедневни химикали. Помогнете ми да разбера.")</f>
        <v>Моят доклад по химия е за ежедневни химикали. Помогнете ми да разбера.</v>
      </c>
      <c r="F385" s="1" t="str">
        <f ca="1">IFERROR(__xludf.DUMMYFUNCTION("GOOGLETRANSLATE(English!F385,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385" s="1" t="str">
        <f ca="1">IFERROR(__xludf.DUMMYFUNCTION("GOOGLETRANSLATE(English!G385, ""en"", ""bg"")"),"помощ_за_домашно_изпълнение")</f>
        <v>помощ_за_домашно_изпълнение</v>
      </c>
      <c r="H385" s="1" t="str">
        <f ca="1">IFERROR(__xludf.DUMMYFUNCTION("GOOGLETRANSLATE(English!H385, ""en"", ""bg"")"),"помощ_за_домашно_задаване")</f>
        <v>помощ_за_домашно_задаване</v>
      </c>
    </row>
    <row r="386" spans="1:8" ht="13.2" x14ac:dyDescent="0.25">
      <c r="A386" s="1" t="str">
        <f ca="1">IFERROR(__xludf.DUMMYFUNCTION("GOOGLETRANSLATE(English!A386, ""en"", ""bg"")"),"conv_08708")</f>
        <v>conv_08708</v>
      </c>
      <c r="B386" s="1" t="str">
        <f ca="1">IFERROR(__xludf.DUMMYFUNCTION("GOOGLETRANSLATE(English!B386, ""en"", ""bg"")"),"химия")</f>
        <v>химия</v>
      </c>
      <c r="C386" s="1" t="str">
        <f ca="1">IFERROR(__xludf.DUMMYFUNCTION("GOOGLETRANSLATE(English!C386, ""en"", ""bg"")"),"високо")</f>
        <v>високо</v>
      </c>
      <c r="D386" s="1" t="str">
        <f ca="1">IFERROR(__xludf.DUMMYFUNCTION("GOOGLETRANSLATE(English!D386, ""en"", ""bg"")"),"стехиометрия")</f>
        <v>стехиометрия</v>
      </c>
      <c r="E386" s="1" t="str">
        <f ca="1">IFERROR(__xludf.DUMMYFUNCTION("GOOGLETRANSLATE(English!E386, ""en"", ""bg"")"),"Помогнете ми да уча за теста. Какво е стехиометрия?")</f>
        <v>Помогнете ми да уча за теста. Какво е стехиометрия?</v>
      </c>
      <c r="F386" s="1" t="str">
        <f ca="1">IFERROR(__xludf.DUMMYFUNCTION("GOOGLETRANSLATE(English!F386,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386" s="1" t="str">
        <f ca="1">IFERROR(__xludf.DUMMYFUNCTION("GOOGLETRANSLATE(English!G386, ""en"", ""bg"")"),"разговор")</f>
        <v>разговор</v>
      </c>
      <c r="H386" s="1" t="str">
        <f ca="1">IFERROR(__xludf.DUMMYFUNCTION("GOOGLETRANSLATE(English!H386, ""en"", ""bg"")"),"образователна_помощ")</f>
        <v>образователна_помощ</v>
      </c>
    </row>
    <row r="387" spans="1:8" ht="13.2" x14ac:dyDescent="0.25">
      <c r="A387" s="1" t="str">
        <f ca="1">IFERROR(__xludf.DUMMYFUNCTION("GOOGLETRANSLATE(English!A387, ""en"", ""bg"")"),"qa_09620")</f>
        <v>qa_09620</v>
      </c>
      <c r="B387" s="1" t="str">
        <f ca="1">IFERROR(__xludf.DUMMYFUNCTION("GOOGLETRANSLATE(English!B387, ""en"", ""bg"")"),"физика")</f>
        <v>физика</v>
      </c>
      <c r="C387" s="1" t="str">
        <f ca="1">IFERROR(__xludf.DUMMYFUNCTION("GOOGLETRANSLATE(English!C387, ""en"", ""bg"")"),"елементарен")</f>
        <v>елементарен</v>
      </c>
      <c r="D387" s="1" t="str">
        <f ca="1">IFERROR(__xludf.DUMMYFUNCTION("GOOGLETRANSLATE(English!D387, ""en"", ""bg"")"),"магнити")</f>
        <v>магнити</v>
      </c>
      <c r="E387" s="1" t="str">
        <f ca="1">IFERROR(__xludf.DUMMYFUNCTION("GOOGLETRANSLATE(English!E387, ""en"", ""bg"")"),"Как работят магнитите?")</f>
        <v>Как работят магнитите?</v>
      </c>
      <c r="F387" s="1" t="str">
        <f ca="1">IFERROR(__xludf.DUMMYFUNCTION("GOOGLETRANSLATE(English!F387,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387" s="1" t="str">
        <f ca="1">IFERROR(__xludf.DUMMYFUNCTION("GOOGLETRANSLATE(English!G387, ""en"", ""bg"")"),"direct_qa")</f>
        <v>direct_qa</v>
      </c>
      <c r="H387" s="1" t="str">
        <f ca="1">IFERROR(__xludf.DUMMYFUNCTION("GOOGLETRANSLATE(English!H387, ""en"", ""bg"")"),"заявка_за_знание")</f>
        <v>заявка_за_знание</v>
      </c>
    </row>
    <row r="388" spans="1:8" ht="13.2" x14ac:dyDescent="0.25">
      <c r="A388" s="1" t="str">
        <f ca="1">IFERROR(__xludf.DUMMYFUNCTION("GOOGLETRANSLATE(English!A388, ""en"", ""bg"")"),"qa_07568")</f>
        <v>qa_07568</v>
      </c>
      <c r="B388" s="1" t="str">
        <f ca="1">IFERROR(__xludf.DUMMYFUNCTION("GOOGLETRANSLATE(English!B388, ""en"", ""bg"")"),"биология")</f>
        <v>биология</v>
      </c>
      <c r="C388" s="1" t="str">
        <f ca="1">IFERROR(__xludf.DUMMYFUNCTION("GOOGLETRANSLATE(English!C388, ""en"", ""bg"")"),"средата")</f>
        <v>средата</v>
      </c>
      <c r="D388" s="1" t="str">
        <f ca="1">IFERROR(__xludf.DUMMYFUNCTION("GOOGLETRANSLATE(English!D388, ""en"", ""bg"")"),"фотосинтеза")</f>
        <v>фотосинтеза</v>
      </c>
      <c r="E388" s="1" t="str">
        <f ca="1">IFERROR(__xludf.DUMMYFUNCTION("GOOGLETRANSLATE(English!E388, ""en"", ""bg"")"),"Защо фотосинтезата е важна в биологията?")</f>
        <v>Защо фотосинтезата е важна в биологията?</v>
      </c>
      <c r="F388" s="1" t="str">
        <f ca="1">IFERROR(__xludf.DUMMYFUNCTION("GOOGLETRANSLATE(English!F388,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388" s="1" t="str">
        <f ca="1">IFERROR(__xludf.DUMMYFUNCTION("GOOGLETRANSLATE(English!G388, ""en"", ""bg"")"),"direct_qa")</f>
        <v>direct_qa</v>
      </c>
      <c r="H388" s="1" t="str">
        <f ca="1">IFERROR(__xludf.DUMMYFUNCTION("GOOGLETRANSLATE(English!H388, ""en"", ""bg"")"),"заявка_за_знание")</f>
        <v>заявка_за_знание</v>
      </c>
    </row>
    <row r="389" spans="1:8" ht="13.2" x14ac:dyDescent="0.25">
      <c r="A389" s="1" t="str">
        <f ca="1">IFERROR(__xludf.DUMMYFUNCTION("GOOGLETRANSLATE(English!A389, ""en"", ""bg"")"),"conv_11795")</f>
        <v>conv_11795</v>
      </c>
      <c r="B389" s="1" t="str">
        <f ca="1">IFERROR(__xludf.DUMMYFUNCTION("GOOGLETRANSLATE(English!B389, ""en"", ""bg"")"),"химия")</f>
        <v>химия</v>
      </c>
      <c r="C389" s="1" t="str">
        <f ca="1">IFERROR(__xludf.DUMMYFUNCTION("GOOGLETRANSLATE(English!C389, ""en"", ""bg"")"),"средата")</f>
        <v>средата</v>
      </c>
      <c r="D389" s="1" t="str">
        <f ca="1">IFERROR(__xludf.DUMMYFUNCTION("GOOGLETRANSLATE(English!D389, ""en"", ""bg"")"),"атоми и молекули")</f>
        <v>атоми и молекули</v>
      </c>
      <c r="E389" s="1" t="str">
        <f ca="1">IFERROR(__xludf.DUMMYFUNCTION("GOOGLETRANSLATE(English!E389, ""en"", ""bg"")"),"Имам научен въпрос. Защо атомите се свързват?")</f>
        <v>Имам научен въпрос. Защо атомите се свързват?</v>
      </c>
      <c r="F389" s="1" t="str">
        <f ca="1">IFERROR(__xludf.DUMMYFUNCTION("GOOGLETRANSLATE(English!F389,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389" s="1" t="str">
        <f ca="1">IFERROR(__xludf.DUMMYFUNCTION("GOOGLETRANSLATE(English!G389, ""en"", ""bg"")"),"разговор")</f>
        <v>разговор</v>
      </c>
      <c r="H389" s="1" t="str">
        <f ca="1">IFERROR(__xludf.DUMMYFUNCTION("GOOGLETRANSLATE(English!H389, ""en"", ""bg"")"),"образователна_помощ")</f>
        <v>образователна_помощ</v>
      </c>
    </row>
    <row r="390" spans="1:8" ht="13.2" x14ac:dyDescent="0.25">
      <c r="A390" s="1" t="str">
        <f ca="1">IFERROR(__xludf.DUMMYFUNCTION("GOOGLETRANSLATE(English!A390, ""en"", ""bg"")"),"qa_07378")</f>
        <v>qa_07378</v>
      </c>
      <c r="B390" s="1" t="str">
        <f ca="1">IFERROR(__xludf.DUMMYFUNCTION("GOOGLETRANSLATE(English!B390, ""en"", ""bg"")"),"химия")</f>
        <v>химия</v>
      </c>
      <c r="C390" s="1" t="str">
        <f ca="1">IFERROR(__xludf.DUMMYFUNCTION("GOOGLETRANSLATE(English!C390, ""en"", ""bg"")"),"елементарен")</f>
        <v>елементарен</v>
      </c>
      <c r="D390" s="1" t="str">
        <f ca="1">IFERROR(__xludf.DUMMYFUNCTION("GOOGLETRANSLATE(English!D390, ""en"", ""bg"")"),"ежедневни химикали")</f>
        <v>ежедневни химикали</v>
      </c>
      <c r="E390" s="1" t="str">
        <f ca="1">IFERROR(__xludf.DUMMYFUNCTION("GOOGLETRANSLATE(English!E390, ""en"", ""bg"")"),"Можете ли да ми помогнете да разбера ежедневните химикали?")</f>
        <v>Можете ли да ми помогнете да разбера ежедневните химикали?</v>
      </c>
      <c r="F390" s="1" t="str">
        <f ca="1">IFERROR(__xludf.DUMMYFUNCTION("GOOGLETRANSLATE(English!F390,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390" s="1" t="str">
        <f ca="1">IFERROR(__xludf.DUMMYFUNCTION("GOOGLETRANSLATE(English!G390, ""en"", ""bg"")"),"direct_qa")</f>
        <v>direct_qa</v>
      </c>
      <c r="H390" s="1" t="str">
        <f ca="1">IFERROR(__xludf.DUMMYFUNCTION("GOOGLETRANSLATE(English!H390, ""en"", ""bg"")"),"заявка_за_знание")</f>
        <v>заявка_за_знание</v>
      </c>
    </row>
    <row r="391" spans="1:8" ht="13.2" x14ac:dyDescent="0.25">
      <c r="A391" s="1" t="str">
        <f ca="1">IFERROR(__xludf.DUMMYFUNCTION("GOOGLETRANSLATE(English!A391, ""en"", ""bg"")"),"conv_05648")</f>
        <v>conv_05648</v>
      </c>
      <c r="B391" s="1" t="str">
        <f ca="1">IFERROR(__xludf.DUMMYFUNCTION("GOOGLETRANSLATE(English!B391, ""en"", ""bg"")"),"физика")</f>
        <v>физика</v>
      </c>
      <c r="C391" s="1" t="str">
        <f ca="1">IFERROR(__xludf.DUMMYFUNCTION("GOOGLETRANSLATE(English!C391, ""en"", ""bg"")"),"средата")</f>
        <v>средата</v>
      </c>
      <c r="D391" s="1" t="str">
        <f ca="1">IFERROR(__xludf.DUMMYFUNCTION("GOOGLETRANSLATE(English!D391, ""en"", ""bg"")"),"състояния на материята")</f>
        <v>състояния на материята</v>
      </c>
      <c r="E391" s="1" t="str">
        <f ca="1">IFERROR(__xludf.DUMMYFUNCTION("GOOGLETRANSLATE(English!E391, ""en"", ""bg"")"),"Здравей, преподавателю! Какво трябва да знам за състоянията на материята?")</f>
        <v>Здравей, преподавателю! Какво трябва да знам за състоянията на материята?</v>
      </c>
      <c r="F391" s="1" t="str">
        <f ca="1">IFERROR(__xludf.DUMMYFUNCTION("GOOGLETRANSLATE(English!F391,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391" s="1" t="str">
        <f ca="1">IFERROR(__xludf.DUMMYFUNCTION("GOOGLETRANSLATE(English!G391, ""en"", ""bg"")"),"разговор")</f>
        <v>разговор</v>
      </c>
      <c r="H391" s="1" t="str">
        <f ca="1">IFERROR(__xludf.DUMMYFUNCTION("GOOGLETRANSLATE(English!H391, ""en"", ""bg"")"),"образователна_помощ")</f>
        <v>образователна_помощ</v>
      </c>
    </row>
    <row r="392" spans="1:8" ht="13.2" x14ac:dyDescent="0.25">
      <c r="A392" s="1" t="str">
        <f ca="1">IFERROR(__xludf.DUMMYFUNCTION("GOOGLETRANSLATE(English!A392, ""en"", ""bg"")"),"qa_10045")</f>
        <v>qa_10045</v>
      </c>
      <c r="B392" s="1" t="str">
        <f ca="1">IFERROR(__xludf.DUMMYFUNCTION("GOOGLETRANSLATE(English!B392, ""en"", ""bg"")"),"химия")</f>
        <v>химия</v>
      </c>
      <c r="C392" s="1" t="str">
        <f ca="1">IFERROR(__xludf.DUMMYFUNCTION("GOOGLETRANSLATE(English!C392, ""en"", ""bg"")"),"високо")</f>
        <v>високо</v>
      </c>
      <c r="D392" s="1" t="str">
        <f ca="1">IFERROR(__xludf.DUMMYFUNCTION("GOOGLETRANSLATE(English!D392, ""en"", ""bg"")"),"равновесие")</f>
        <v>равновесие</v>
      </c>
      <c r="E392" s="1" t="str">
        <f ca="1">IFERROR(__xludf.DUMMYFUNCTION("GOOGLETRANSLATE(English!E392, ""en"", ""bg"")"),"Как работи равновесието в химията?")</f>
        <v>Как работи равновесието в химията?</v>
      </c>
      <c r="F392" s="1" t="str">
        <f ca="1">IFERROR(__xludf.DUMMYFUNCTION("GOOGLETRANSLATE(English!F392,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392" s="1" t="str">
        <f ca="1">IFERROR(__xludf.DUMMYFUNCTION("GOOGLETRANSLATE(English!G392, ""en"", ""bg"")"),"direct_qa")</f>
        <v>direct_qa</v>
      </c>
      <c r="H392" s="1" t="str">
        <f ca="1">IFERROR(__xludf.DUMMYFUNCTION("GOOGLETRANSLATE(English!H392, ""en"", ""bg"")"),"заявка_за_знание")</f>
        <v>заявка_за_знание</v>
      </c>
    </row>
    <row r="393" spans="1:8" ht="13.2" x14ac:dyDescent="0.25">
      <c r="A393" s="1" t="str">
        <f ca="1">IFERROR(__xludf.DUMMYFUNCTION("GOOGLETRANSLATE(English!A393, ""en"", ""bg"")"),"qa_11258")</f>
        <v>qa_11258</v>
      </c>
      <c r="B393" s="1" t="str">
        <f ca="1">IFERROR(__xludf.DUMMYFUNCTION("GOOGLETRANSLATE(English!B393, ""en"", ""bg"")"),"химия")</f>
        <v>химия</v>
      </c>
      <c r="C393" s="1" t="str">
        <f ca="1">IFERROR(__xludf.DUMMYFUNCTION("GOOGLETRANSLATE(English!C393, ""en"", ""bg"")"),"елементарен")</f>
        <v>елементарен</v>
      </c>
      <c r="D393" s="1" t="str">
        <f ca="1">IFERROR(__xludf.DUMMYFUNCTION("GOOGLETRANSLATE(English!D393, ""en"", ""bg"")"),"безопасност")</f>
        <v>безопасност</v>
      </c>
      <c r="E393" s="1" t="str">
        <f ca="1">IFERROR(__xludf.DUMMYFUNCTION("GOOGLETRANSLATE(English!E393, ""en"", ""bg"")"),"Можете ли да ми помогнете да разбера безопасността?")</f>
        <v>Можете ли да ми помогнете да разбера безопасността?</v>
      </c>
      <c r="F393" s="1" t="str">
        <f ca="1">IFERROR(__xludf.DUMMYFUNCTION("GOOGLETRANSLATE(English!F393,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393" s="1" t="str">
        <f ca="1">IFERROR(__xludf.DUMMYFUNCTION("GOOGLETRANSLATE(English!G393, ""en"", ""bg"")"),"direct_qa")</f>
        <v>direct_qa</v>
      </c>
      <c r="H393" s="1" t="str">
        <f ca="1">IFERROR(__xludf.DUMMYFUNCTION("GOOGLETRANSLATE(English!H393, ""en"", ""bg"")"),"заявка_за_знание")</f>
        <v>заявка_за_знание</v>
      </c>
    </row>
    <row r="394" spans="1:8" ht="13.2" x14ac:dyDescent="0.25">
      <c r="A394" s="1" t="str">
        <f ca="1">IFERROR(__xludf.DUMMYFUNCTION("GOOGLETRANSLATE(English!A394, ""en"", ""bg"")"),"conv_06633")</f>
        <v>conv_06633</v>
      </c>
      <c r="B394" s="1" t="str">
        <f ca="1">IFERROR(__xludf.DUMMYFUNCTION("GOOGLETRANSLATE(English!B394, ""en"", ""bg"")"),"химия")</f>
        <v>химия</v>
      </c>
      <c r="C394" s="1" t="str">
        <f ca="1">IFERROR(__xludf.DUMMYFUNCTION("GOOGLETRANSLATE(English!C394, ""en"", ""bg"")"),"елементарен")</f>
        <v>елементарен</v>
      </c>
      <c r="D394" s="1" t="str">
        <f ca="1">IFERROR(__xludf.DUMMYFUNCTION("GOOGLETRANSLATE(English!D394, ""en"", ""bg"")"),"ежедневни химикали")</f>
        <v>ежедневни химикали</v>
      </c>
      <c r="E394" s="1" t="str">
        <f ca="1">IFERROR(__xludf.DUMMYFUNCTION("GOOGLETRANSLATE(English!E394, ""en"", ""bg"")"),"Имам нужда от помощ с домашното. Защо е важно да се изучават ежедневните химикали?")</f>
        <v>Имам нужда от помощ с домашното. Защо е важно да се изучават ежедневните химикали?</v>
      </c>
      <c r="F394" s="1" t="str">
        <f ca="1">IFERROR(__xludf.DUMMYFUNCTION("GOOGLETRANSLATE(English!F394,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394" s="1" t="str">
        <f ca="1">IFERROR(__xludf.DUMMYFUNCTION("GOOGLETRANSLATE(English!G394, ""en"", ""bg"")"),"разговор")</f>
        <v>разговор</v>
      </c>
      <c r="H394" s="1" t="str">
        <f ca="1">IFERROR(__xludf.DUMMYFUNCTION("GOOGLETRANSLATE(English!H394, ""en"", ""bg"")"),"образователна_помощ")</f>
        <v>образователна_помощ</v>
      </c>
    </row>
    <row r="395" spans="1:8" ht="13.2" x14ac:dyDescent="0.25">
      <c r="A395" s="1" t="str">
        <f ca="1">IFERROR(__xludf.DUMMYFUNCTION("GOOGLETRANSLATE(English!A395, ""en"", ""bg"")"),"hw_10416")</f>
        <v>hw_10416</v>
      </c>
      <c r="B395" s="1" t="str">
        <f ca="1">IFERROR(__xludf.DUMMYFUNCTION("GOOGLETRANSLATE(English!B395, ""en"", ""bg"")"),"биология")</f>
        <v>биология</v>
      </c>
      <c r="C395" s="1" t="str">
        <f ca="1">IFERROR(__xludf.DUMMYFUNCTION("GOOGLETRANSLATE(English!C395, ""en"", ""bg"")"),"средата")</f>
        <v>средата</v>
      </c>
      <c r="D395" s="1" t="str">
        <f ca="1">IFERROR(__xludf.DUMMYFUNCTION("GOOGLETRANSLATE(English!D395, ""en"", ""bg"")"),"фотосинтеза")</f>
        <v>фотосинтеза</v>
      </c>
      <c r="E395" s="1" t="str">
        <f ca="1">IFERROR(__xludf.DUMMYFUNCTION("GOOGLETRANSLATE(English!E395, ""en"", ""bg"")"),"Можете ли да обясните фотосинтезата за моя научен проект?")</f>
        <v>Можете ли да обясните фотосинтезата за моя научен проект?</v>
      </c>
      <c r="F395" s="1" t="str">
        <f ca="1">IFERROR(__xludf.DUMMYFUNCTION("GOOGLETRANSLATE(English!F395,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395" s="1" t="str">
        <f ca="1">IFERROR(__xludf.DUMMYFUNCTION("GOOGLETRANSLATE(English!G395, ""en"", ""bg"")"),"помощ_за_домашно_изпълнение")</f>
        <v>помощ_за_домашно_изпълнение</v>
      </c>
      <c r="H395" s="1" t="str">
        <f ca="1">IFERROR(__xludf.DUMMYFUNCTION("GOOGLETRANSLATE(English!H395, ""en"", ""bg"")"),"помощ_за_домашно_задаване")</f>
        <v>помощ_за_домашно_задаване</v>
      </c>
    </row>
    <row r="396" spans="1:8" ht="13.2" x14ac:dyDescent="0.25">
      <c r="A396" s="1" t="str">
        <f ca="1">IFERROR(__xludf.DUMMYFUNCTION("GOOGLETRANSLATE(English!A396, ""en"", ""bg"")"),"conv_15280")</f>
        <v>conv_15280</v>
      </c>
      <c r="B396" s="1" t="str">
        <f ca="1">IFERROR(__xludf.DUMMYFUNCTION("GOOGLETRANSLATE(English!B396, ""en"", ""bg"")"),"физика")</f>
        <v>физика</v>
      </c>
      <c r="C396" s="1" t="str">
        <f ca="1">IFERROR(__xludf.DUMMYFUNCTION("GOOGLETRANSLATE(English!C396, ""en"", ""bg"")"),"средата")</f>
        <v>средата</v>
      </c>
      <c r="D396" s="1" t="str">
        <f ca="1">IFERROR(__xludf.DUMMYFUNCTION("GOOGLETRANSLATE(English!D396, ""en"", ""bg"")"),"видове енергия")</f>
        <v>видове енергия</v>
      </c>
      <c r="E396" s="1" t="str">
        <f ca="1">IFERROR(__xludf.DUMMYFUNCTION("GOOGLETRANSLATE(English!E396, ""en"", ""bg"")"),"Здравей, преподавателю! Какво е потенциална енергия?")</f>
        <v>Здравей, преподавателю! Какво е потенциална енергия?</v>
      </c>
      <c r="F396" s="1" t="str">
        <f ca="1">IFERROR(__xludf.DUMMYFUNCTION("GOOGLETRANSLATE(English!F396,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396" s="1" t="str">
        <f ca="1">IFERROR(__xludf.DUMMYFUNCTION("GOOGLETRANSLATE(English!G396, ""en"", ""bg"")"),"разговор")</f>
        <v>разговор</v>
      </c>
      <c r="H396" s="1" t="str">
        <f ca="1">IFERROR(__xludf.DUMMYFUNCTION("GOOGLETRANSLATE(English!H396, ""en"", ""bg"")"),"образователна_помощ")</f>
        <v>образователна_помощ</v>
      </c>
    </row>
    <row r="397" spans="1:8" ht="13.2" x14ac:dyDescent="0.25">
      <c r="A397" s="1" t="str">
        <f ca="1">IFERROR(__xludf.DUMMYFUNCTION("GOOGLETRANSLATE(English!A397, ""en"", ""bg"")"),"conv_15734")</f>
        <v>conv_15734</v>
      </c>
      <c r="B397" s="1" t="str">
        <f ca="1">IFERROR(__xludf.DUMMYFUNCTION("GOOGLETRANSLATE(English!B397, ""en"", ""bg"")"),"физика")</f>
        <v>физика</v>
      </c>
      <c r="C397" s="1" t="str">
        <f ca="1">IFERROR(__xludf.DUMMYFUNCTION("GOOGLETRANSLATE(English!C397, ""en"", ""bg"")"),"елементарен")</f>
        <v>елементарен</v>
      </c>
      <c r="D397" s="1" t="str">
        <f ca="1">IFERROR(__xludf.DUMMYFUNCTION("GOOGLETRANSLATE(English!D397, ""en"", ""bg"")"),"светлина и сянка")</f>
        <v>светлина и сянка</v>
      </c>
      <c r="E397" s="1" t="str">
        <f ca="1">IFERROR(__xludf.DUMMYFUNCTION("GOOGLETRANSLATE(English!E397, ""en"", ""bg"")"),"Имам нужда от помощ с домашното. Защо можем да виждаме цветове?")</f>
        <v>Имам нужда от помощ с домашното. Защо можем да виждаме цветове?</v>
      </c>
      <c r="F397" s="1" t="str">
        <f ca="1">IFERROR(__xludf.DUMMYFUNCTION("GOOGLETRANSLATE(English!F397,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397" s="1" t="str">
        <f ca="1">IFERROR(__xludf.DUMMYFUNCTION("GOOGLETRANSLATE(English!G397, ""en"", ""bg"")"),"разговор")</f>
        <v>разговор</v>
      </c>
      <c r="H397" s="1" t="str">
        <f ca="1">IFERROR(__xludf.DUMMYFUNCTION("GOOGLETRANSLATE(English!H397, ""en"", ""bg"")"),"образователна_помощ")</f>
        <v>образователна_помощ</v>
      </c>
    </row>
    <row r="398" spans="1:8" ht="13.2" x14ac:dyDescent="0.25">
      <c r="A398" s="1" t="str">
        <f ca="1">IFERROR(__xludf.DUMMYFUNCTION("GOOGLETRANSLATE(English!A398, ""en"", ""bg"")"),"qa_06661")</f>
        <v>qa_06661</v>
      </c>
      <c r="B398" s="1" t="str">
        <f ca="1">IFERROR(__xludf.DUMMYFUNCTION("GOOGLETRANSLATE(English!B398, ""en"", ""bg"")"),"биология")</f>
        <v>биология</v>
      </c>
      <c r="C398" s="1" t="str">
        <f ca="1">IFERROR(__xludf.DUMMYFUNCTION("GOOGLETRANSLATE(English!C398, ""en"", ""bg"")"),"средата")</f>
        <v>средата</v>
      </c>
      <c r="D398" s="1" t="str">
        <f ca="1">IFERROR(__xludf.DUMMYFUNCTION("GOOGLETRANSLATE(English!D398, ""en"", ""bg"")"),"дишане")</f>
        <v>дишане</v>
      </c>
      <c r="E398" s="1" t="str">
        <f ca="1">IFERROR(__xludf.DUMMYFUNCTION("GOOGLETRANSLATE(English!E398, ""en"", ""bg"")"),"Защо дишането е важно в биологията?")</f>
        <v>Защо дишането е важно в биологията?</v>
      </c>
      <c r="F398" s="1" t="str">
        <f ca="1">IFERROR(__xludf.DUMMYFUNCTION("GOOGLETRANSLATE(English!F398, ""en"", ""bg"")"),"Дишането е важно, защото ни помага да разберем живота и как живите същества оцеляват.")</f>
        <v>Дишането е важно, защото ни помага да разберем живота и как живите същества оцеляват.</v>
      </c>
      <c r="G398" s="1" t="str">
        <f ca="1">IFERROR(__xludf.DUMMYFUNCTION("GOOGLETRANSLATE(English!G398, ""en"", ""bg"")"),"direct_qa")</f>
        <v>direct_qa</v>
      </c>
      <c r="H398" s="1" t="str">
        <f ca="1">IFERROR(__xludf.DUMMYFUNCTION("GOOGLETRANSLATE(English!H398, ""en"", ""bg"")"),"заявка_за_знание")</f>
        <v>заявка_за_знание</v>
      </c>
    </row>
    <row r="399" spans="1:8" ht="13.2" x14ac:dyDescent="0.25">
      <c r="A399" s="1" t="str">
        <f ca="1">IFERROR(__xludf.DUMMYFUNCTION("GOOGLETRANSLATE(English!A399, ""en"", ""bg"")"),"hw_01398")</f>
        <v>hw_01398</v>
      </c>
      <c r="B399" s="1" t="str">
        <f ca="1">IFERROR(__xludf.DUMMYFUNCTION("GOOGLETRANSLATE(English!B399, ""en"", ""bg"")"),"биология")</f>
        <v>биология</v>
      </c>
      <c r="C399" s="1" t="str">
        <f ca="1">IFERROR(__xludf.DUMMYFUNCTION("GOOGLETRANSLATE(English!C399, ""en"", ""bg"")"),"елементарен")</f>
        <v>елементарен</v>
      </c>
      <c r="D399" s="1" t="str">
        <f ca="1">IFERROR(__xludf.DUMMYFUNCTION("GOOGLETRANSLATE(English!D399, ""en"", ""bg"")"),"човешкото тяло")</f>
        <v>човешкото тяло</v>
      </c>
      <c r="E399" s="1" t="str">
        <f ca="1">IFERROR(__xludf.DUMMYFUNCTION("GOOGLETRANSLATE(English!E399, ""en"", ""bg"")"),"Трябва да напиша доклад за човешкото тяло. Можете ли да ми помогнете да започна?")</f>
        <v>Трябва да напиша доклад за човешкото тяло. Можете ли да ми помогнете да започна?</v>
      </c>
      <c r="F399" s="1" t="str">
        <f ca="1">IFERROR(__xludf.DUMMYFUNCTION("GOOGLETRANSLATE(English!F399,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399" s="1" t="str">
        <f ca="1">IFERROR(__xludf.DUMMYFUNCTION("GOOGLETRANSLATE(English!G399, ""en"", ""bg"")"),"помощ_за_домашно_изпълнение")</f>
        <v>помощ_за_домашно_изпълнение</v>
      </c>
      <c r="H399" s="1" t="str">
        <f ca="1">IFERROR(__xludf.DUMMYFUNCTION("GOOGLETRANSLATE(English!H399, ""en"", ""bg"")"),"помощ_за_домашно_задаване")</f>
        <v>помощ_за_домашно_задаване</v>
      </c>
    </row>
    <row r="400" spans="1:8" ht="13.2" x14ac:dyDescent="0.25">
      <c r="A400" s="1" t="str">
        <f ca="1">IFERROR(__xludf.DUMMYFUNCTION("GOOGLETRANSLATE(English!A400, ""en"", ""bg"")"),"conv_17345")</f>
        <v>conv_17345</v>
      </c>
      <c r="B400" s="1" t="str">
        <f ca="1">IFERROR(__xludf.DUMMYFUNCTION("GOOGLETRANSLATE(English!B400, ""en"", ""bg"")"),"химия")</f>
        <v>химия</v>
      </c>
      <c r="C400" s="1" t="str">
        <f ca="1">IFERROR(__xludf.DUMMYFUNCTION("GOOGLETRANSLATE(English!C400, ""en"", ""bg"")"),"високо")</f>
        <v>високо</v>
      </c>
      <c r="D400" s="1" t="str">
        <f ca="1">IFERROR(__xludf.DUMMYFUNCTION("GOOGLETRANSLATE(English!D400, ""en"", ""bg"")"),"органична химия")</f>
        <v>органична химия</v>
      </c>
      <c r="E400" s="1" t="str">
        <f ca="1">IFERROR(__xludf.DUMMYFUNCTION("GOOGLETRANSLATE(English!E400, ""en"", ""bg"")"),"Помогнете ми да уча за теста. Защо е важно да се учи органична химия?")</f>
        <v>Помогнете ми да уча за теста. Защо е важно да се учи органична химия?</v>
      </c>
      <c r="F400" s="1" t="str">
        <f ca="1">IFERROR(__xludf.DUMMYFUNCTION("GOOGLETRANSLATE(English!F400,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400" s="1" t="str">
        <f ca="1">IFERROR(__xludf.DUMMYFUNCTION("GOOGLETRANSLATE(English!G400, ""en"", ""bg"")"),"разговор")</f>
        <v>разговор</v>
      </c>
      <c r="H400" s="1" t="str">
        <f ca="1">IFERROR(__xludf.DUMMYFUNCTION("GOOGLETRANSLATE(English!H400, ""en"", ""bg"")"),"образователна_помощ")</f>
        <v>образователна_помощ</v>
      </c>
    </row>
    <row r="401" spans="1:8" ht="13.2" x14ac:dyDescent="0.25">
      <c r="A401" s="1" t="str">
        <f ca="1">IFERROR(__xludf.DUMMYFUNCTION("GOOGLETRANSLATE(English!A401, ""en"", ""bg"")"),"hw_00795")</f>
        <v>hw_00795</v>
      </c>
      <c r="B401" s="1" t="str">
        <f ca="1">IFERROR(__xludf.DUMMYFUNCTION("GOOGLETRANSLATE(English!B401, ""en"", ""bg"")"),"химия")</f>
        <v>химия</v>
      </c>
      <c r="C401" s="1" t="str">
        <f ca="1">IFERROR(__xludf.DUMMYFUNCTION("GOOGLETRANSLATE(English!C401, ""en"", ""bg"")"),"елементарен")</f>
        <v>елементарен</v>
      </c>
      <c r="D401" s="1" t="str">
        <f ca="1">IFERROR(__xludf.DUMMYFUNCTION("GOOGLETRANSLATE(English!D401, ""en"", ""bg"")"),"смесване на материали")</f>
        <v>смесване на материали</v>
      </c>
      <c r="E401" s="1" t="str">
        <f ca="1">IFERROR(__xludf.DUMMYFUNCTION("GOOGLETRANSLATE(English!E401, ""en"", ""bg"")"),"Не разбирам тази концепция за смесване на материали. Моля, обяснете!")</f>
        <v>Не разбирам тази концепция за смесване на материали. Моля, обяснете!</v>
      </c>
      <c r="F401" s="1" t="str">
        <f ca="1">IFERROR(__xludf.DUMMYFUNCTION("GOOGLETRANSLATE(English!F401,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401" s="1" t="str">
        <f ca="1">IFERROR(__xludf.DUMMYFUNCTION("GOOGLETRANSLATE(English!G401, ""en"", ""bg"")"),"помощ_за_домашно_изпълнение")</f>
        <v>помощ_за_домашно_изпълнение</v>
      </c>
      <c r="H401" s="1" t="str">
        <f ca="1">IFERROR(__xludf.DUMMYFUNCTION("GOOGLETRANSLATE(English!H401, ""en"", ""bg"")"),"помощ_за_домашно_задаване")</f>
        <v>помощ_за_домашно_задаване</v>
      </c>
    </row>
    <row r="402" spans="1:8" ht="13.2" x14ac:dyDescent="0.25">
      <c r="A402" s="1" t="str">
        <f ca="1">IFERROR(__xludf.DUMMYFUNCTION("GOOGLETRANSLATE(English!A402, ""en"", ""bg"")"),"hw_11495")</f>
        <v>hw_11495</v>
      </c>
      <c r="B402" s="1" t="str">
        <f ca="1">IFERROR(__xludf.DUMMYFUNCTION("GOOGLETRANSLATE(English!B402, ""en"", ""bg"")"),"химия")</f>
        <v>химия</v>
      </c>
      <c r="C402" s="1" t="str">
        <f ca="1">IFERROR(__xludf.DUMMYFUNCTION("GOOGLETRANSLATE(English!C402, ""en"", ""bg"")"),"високо")</f>
        <v>високо</v>
      </c>
      <c r="D402" s="1" t="str">
        <f ca="1">IFERROR(__xludf.DUMMYFUNCTION("GOOGLETRANSLATE(English!D402, ""en"", ""bg"")"),"стехиометрия")</f>
        <v>стехиометрия</v>
      </c>
      <c r="E402" s="1" t="str">
        <f ca="1">IFERROR(__xludf.DUMMYFUNCTION("GOOGLETRANSLATE(English!E402, ""en"", ""bg"")"),"Затруднявам се със стехиометрията в домашното си.")</f>
        <v>Затруднявам се със стехиометрията в домашното си.</v>
      </c>
      <c r="F402" s="1" t="str">
        <f ca="1">IFERROR(__xludf.DUMMYFUNCTION("GOOGLETRANSLATE(English!F402,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402" s="1" t="str">
        <f ca="1">IFERROR(__xludf.DUMMYFUNCTION("GOOGLETRANSLATE(English!G402, ""en"", ""bg"")"),"помощ_за_домашно_изпълнение")</f>
        <v>помощ_за_домашно_изпълнение</v>
      </c>
      <c r="H402" s="1" t="str">
        <f ca="1">IFERROR(__xludf.DUMMYFUNCTION("GOOGLETRANSLATE(English!H402, ""en"", ""bg"")"),"помощ_за_домашно_задаване")</f>
        <v>помощ_за_домашно_задаване</v>
      </c>
    </row>
    <row r="403" spans="1:8" ht="13.2" x14ac:dyDescent="0.25">
      <c r="A403" s="1" t="str">
        <f ca="1">IFERROR(__xludf.DUMMYFUNCTION("GOOGLETRANSLATE(English!A403, ""en"", ""bg"")"),"conv_09946")</f>
        <v>conv_09946</v>
      </c>
      <c r="B403" s="1" t="str">
        <f ca="1">IFERROR(__xludf.DUMMYFUNCTION("GOOGLETRANSLATE(English!B403, ""en"", ""bg"")"),"физика")</f>
        <v>физика</v>
      </c>
      <c r="C403" s="1" t="str">
        <f ca="1">IFERROR(__xludf.DUMMYFUNCTION("GOOGLETRANSLATE(English!C403, ""en"", ""bg"")"),"средата")</f>
        <v>средата</v>
      </c>
      <c r="D403" s="1" t="str">
        <f ca="1">IFERROR(__xludf.DUMMYFUNCTION("GOOGLETRANSLATE(English!D403, ""en"", ""bg"")"),"състояния на материята")</f>
        <v>състояния на материята</v>
      </c>
      <c r="E403" s="1" t="str">
        <f ca="1">IFERROR(__xludf.DUMMYFUNCTION("GOOGLETRANSLATE(English!E403, ""en"", ""bg"")"),"Имам научен въпрос. Какво трябва да знам за състоянията на материята?")</f>
        <v>Имам научен въпрос. Какво трябва да знам за състоянията на материята?</v>
      </c>
      <c r="F403" s="1" t="str">
        <f ca="1">IFERROR(__xludf.DUMMYFUNCTION("GOOGLETRANSLATE(English!F403,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403" s="1" t="str">
        <f ca="1">IFERROR(__xludf.DUMMYFUNCTION("GOOGLETRANSLATE(English!G403, ""en"", ""bg"")"),"разговор")</f>
        <v>разговор</v>
      </c>
      <c r="H403" s="1" t="str">
        <f ca="1">IFERROR(__xludf.DUMMYFUNCTION("GOOGLETRANSLATE(English!H403, ""en"", ""bg"")"),"образователна_помощ")</f>
        <v>образователна_помощ</v>
      </c>
    </row>
    <row r="404" spans="1:8" ht="13.2" x14ac:dyDescent="0.25">
      <c r="A404" s="1" t="str">
        <f ca="1">IFERROR(__xludf.DUMMYFUNCTION("GOOGLETRANSLATE(English!A404, ""en"", ""bg"")"),"conv_10572")</f>
        <v>conv_10572</v>
      </c>
      <c r="B404" s="1" t="str">
        <f ca="1">IFERROR(__xludf.DUMMYFUNCTION("GOOGLETRANSLATE(English!B404, ""en"", ""bg"")"),"биология")</f>
        <v>биология</v>
      </c>
      <c r="C404" s="1" t="str">
        <f ca="1">IFERROR(__xludf.DUMMYFUNCTION("GOOGLETRANSLATE(English!C404, ""en"", ""bg"")"),"елементарен")</f>
        <v>елементарен</v>
      </c>
      <c r="D404" s="1" t="str">
        <f ca="1">IFERROR(__xludf.DUMMYFUNCTION("GOOGLETRANSLATE(English!D404, ""en"", ""bg"")"),"домашни любимци срещу диви животни")</f>
        <v>домашни любимци срещу диви животни</v>
      </c>
      <c r="E404" s="1" t="str">
        <f ca="1">IFERROR(__xludf.DUMMYFUNCTION("GOOGLETRANSLATE(English!E404, ""en"", ""bg"")"),"Помогнете ми да уча за теста си. Защо домашните любимци срещу дивите животни са важни в биологията?")</f>
        <v>Помогнете ми да уча за теста си. Защо домашните любимци срещу дивите животни са важни в биологията?</v>
      </c>
      <c r="F404" s="1" t="str">
        <f ca="1">IFERROR(__xludf.DUMMYFUNCTION("GOOGLETRANSLATE(English!F404,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404" s="1" t="str">
        <f ca="1">IFERROR(__xludf.DUMMYFUNCTION("GOOGLETRANSLATE(English!G404, ""en"", ""bg"")"),"разговор")</f>
        <v>разговор</v>
      </c>
      <c r="H404" s="1" t="str">
        <f ca="1">IFERROR(__xludf.DUMMYFUNCTION("GOOGLETRANSLATE(English!H404, ""en"", ""bg"")"),"образователна_помощ")</f>
        <v>образователна_помощ</v>
      </c>
    </row>
    <row r="405" spans="1:8" ht="13.2" x14ac:dyDescent="0.25">
      <c r="A405" s="1" t="str">
        <f ca="1">IFERROR(__xludf.DUMMYFUNCTION("GOOGLETRANSLATE(English!A405, ""en"", ""bg"")"),"hw_08862")</f>
        <v>hw_08862</v>
      </c>
      <c r="B405" s="1" t="str">
        <f ca="1">IFERROR(__xludf.DUMMYFUNCTION("GOOGLETRANSLATE(English!B405, ""en"", ""bg"")"),"биология")</f>
        <v>биология</v>
      </c>
      <c r="C405" s="1" t="str">
        <f ca="1">IFERROR(__xludf.DUMMYFUNCTION("GOOGLETRANSLATE(English!C405, ""en"", ""bg"")"),"средата")</f>
        <v>средата</v>
      </c>
      <c r="D405" s="1" t="str">
        <f ca="1">IFERROR(__xludf.DUMMYFUNCTION("GOOGLETRANSLATE(English!D405, ""en"", ""bg"")"),"класификация")</f>
        <v>класификация</v>
      </c>
      <c r="E405" s="1" t="str">
        <f ca="1">IFERROR(__xludf.DUMMYFUNCTION("GOOGLETRANSLATE(English!E405, ""en"", ""bg"")"),"Утре имам тест по класификация. Помогни ми да уча!")</f>
        <v>Утре имам тест по класификация. Помогни ми да уча!</v>
      </c>
      <c r="F405" s="1" t="str">
        <f ca="1">IFERROR(__xludf.DUMMYFUNCTION("GOOGLETRANSLATE(English!F405,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405" s="1" t="str">
        <f ca="1">IFERROR(__xludf.DUMMYFUNCTION("GOOGLETRANSLATE(English!G405, ""en"", ""bg"")"),"помощ_за_домашно_изпълнение")</f>
        <v>помощ_за_домашно_изпълнение</v>
      </c>
      <c r="H405" s="1" t="str">
        <f ca="1">IFERROR(__xludf.DUMMYFUNCTION("GOOGLETRANSLATE(English!H405, ""en"", ""bg"")"),"помощ_за_домашно_задаване")</f>
        <v>помощ_за_домашно_задаване</v>
      </c>
    </row>
    <row r="406" spans="1:8" ht="13.2" x14ac:dyDescent="0.25">
      <c r="A406" s="1" t="str">
        <f ca="1">IFERROR(__xludf.DUMMYFUNCTION("GOOGLETRANSLATE(English!A406, ""en"", ""bg"")"),"hw_12091")</f>
        <v>hw_12091</v>
      </c>
      <c r="B406" s="1" t="str">
        <f ca="1">IFERROR(__xludf.DUMMYFUNCTION("GOOGLETRANSLATE(English!B406, ""en"", ""bg"")"),"физика")</f>
        <v>физика</v>
      </c>
      <c r="C406" s="1" t="str">
        <f ca="1">IFERROR(__xludf.DUMMYFUNCTION("GOOGLETRANSLATE(English!C406, ""en"", ""bg"")"),"елементарен")</f>
        <v>елементарен</v>
      </c>
      <c r="D406" s="1" t="str">
        <f ca="1">IFERROR(__xludf.DUMMYFUNCTION("GOOGLETRANSLATE(English!D406, ""en"", ""bg"")"),"плаващ и потъващ")</f>
        <v>плаващ и потъващ</v>
      </c>
      <c r="E406" s="1" t="str">
        <f ca="1">IFERROR(__xludf.DUMMYFUNCTION("GOOGLETRANSLATE(English!E406, ""en"", ""bg"")"),"Трябва да разбера плаването и потъването за изпита си.")</f>
        <v>Трябва да разбера плаването и потъването за изпита си.</v>
      </c>
      <c r="F406" s="1" t="str">
        <f ca="1">IFERROR(__xludf.DUMMYFUNCTION("GOOGLETRANSLATE(English!F406,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406" s="1" t="str">
        <f ca="1">IFERROR(__xludf.DUMMYFUNCTION("GOOGLETRANSLATE(English!G406, ""en"", ""bg"")"),"помощ_за_домашно_изпълнение")</f>
        <v>помощ_за_домашно_изпълнение</v>
      </c>
      <c r="H406" s="1" t="str">
        <f ca="1">IFERROR(__xludf.DUMMYFUNCTION("GOOGLETRANSLATE(English!H406, ""en"", ""bg"")"),"помощ_за_домашно_задаване")</f>
        <v>помощ_за_домашно_задаване</v>
      </c>
    </row>
    <row r="407" spans="1:8" ht="13.2" x14ac:dyDescent="0.25">
      <c r="A407" s="1" t="str">
        <f ca="1">IFERROR(__xludf.DUMMYFUNCTION("GOOGLETRANSLATE(English!A407, ""en"", ""bg"")"),"hw_07636")</f>
        <v>hw_07636</v>
      </c>
      <c r="B407" s="1" t="str">
        <f ca="1">IFERROR(__xludf.DUMMYFUNCTION("GOOGLETRANSLATE(English!B407, ""en"", ""bg"")"),"химия")</f>
        <v>химия</v>
      </c>
      <c r="C407" s="1" t="str">
        <f ca="1">IFERROR(__xludf.DUMMYFUNCTION("GOOGLETRANSLATE(English!C407, ""en"", ""bg"")"),"средата")</f>
        <v>средата</v>
      </c>
      <c r="D407" s="1" t="str">
        <f ca="1">IFERROR(__xludf.DUMMYFUNCTION("GOOGLETRANSLATE(English!D407, ""en"", ""bg"")"),"химични промени")</f>
        <v>химични промени</v>
      </c>
      <c r="E407" s="1" t="str">
        <f ca="1">IFERROR(__xludf.DUMMYFUNCTION("GOOGLETRANSLATE(English!E407,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407" s="1" t="str">
        <f ca="1">IFERROR(__xludf.DUMMYFUNCTION("GOOGLETRANSLATE(English!F407,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07" s="1" t="str">
        <f ca="1">IFERROR(__xludf.DUMMYFUNCTION("GOOGLETRANSLATE(English!G407, ""en"", ""bg"")"),"помощ_за_домашно_изпълнение")</f>
        <v>помощ_за_домашно_изпълнение</v>
      </c>
      <c r="H407" s="1" t="str">
        <f ca="1">IFERROR(__xludf.DUMMYFUNCTION("GOOGLETRANSLATE(English!H407, ""en"", ""bg"")"),"помощ_за_домашно_задаване")</f>
        <v>помощ_за_домашно_задаване</v>
      </c>
    </row>
    <row r="408" spans="1:8" ht="13.2" x14ac:dyDescent="0.25">
      <c r="A408" s="1" t="str">
        <f ca="1">IFERROR(__xludf.DUMMYFUNCTION("GOOGLETRANSLATE(English!A408, ""en"", ""bg"")"),"conv_14284")</f>
        <v>conv_14284</v>
      </c>
      <c r="B408" s="1" t="str">
        <f ca="1">IFERROR(__xludf.DUMMYFUNCTION("GOOGLETRANSLATE(English!B408, ""en"", ""bg"")"),"биология")</f>
        <v>биология</v>
      </c>
      <c r="C408" s="1" t="str">
        <f ca="1">IFERROR(__xludf.DUMMYFUNCTION("GOOGLETRANSLATE(English!C408, ""en"", ""bg"")"),"високо")</f>
        <v>високо</v>
      </c>
      <c r="D408" s="1" t="str">
        <f ca="1">IFERROR(__xludf.DUMMYFUNCTION("GOOGLETRANSLATE(English!D408, ""en"", ""bg"")"),"молекулярна биология")</f>
        <v>молекулярна биология</v>
      </c>
      <c r="E408" s="1" t="str">
        <f ca="1">IFERROR(__xludf.DUMMYFUNCTION("GOOGLETRANSLATE(English!E408, ""en"", ""bg"")"),"Можете ли да ми помогнете? Можете ли да ми разкажете за молекулярната биология?")</f>
        <v>Можете ли да ми помогнете? Можете ли да ми разкажете за молекулярната биология?</v>
      </c>
      <c r="F408" s="1" t="str">
        <f ca="1">IFERROR(__xludf.DUMMYFUNCTION("GOOGLETRANSLATE(English!F408,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408" s="1" t="str">
        <f ca="1">IFERROR(__xludf.DUMMYFUNCTION("GOOGLETRANSLATE(English!G408, ""en"", ""bg"")"),"разговор")</f>
        <v>разговор</v>
      </c>
      <c r="H408" s="1" t="str">
        <f ca="1">IFERROR(__xludf.DUMMYFUNCTION("GOOGLETRANSLATE(English!H408, ""en"", ""bg"")"),"образователна_помощ")</f>
        <v>образователна_помощ</v>
      </c>
    </row>
    <row r="409" spans="1:8" ht="13.2" x14ac:dyDescent="0.25">
      <c r="A409" s="1" t="str">
        <f ca="1">IFERROR(__xludf.DUMMYFUNCTION("GOOGLETRANSLATE(English!A409, ""en"", ""bg"")"),"hw_02447")</f>
        <v>hw_02447</v>
      </c>
      <c r="B409" s="1" t="str">
        <f ca="1">IFERROR(__xludf.DUMMYFUNCTION("GOOGLETRANSLATE(English!B409, ""en"", ""bg"")"),"физика")</f>
        <v>физика</v>
      </c>
      <c r="C409" s="1" t="str">
        <f ca="1">IFERROR(__xludf.DUMMYFUNCTION("GOOGLETRANSLATE(English!C409, ""en"", ""bg"")"),"средата")</f>
        <v>средата</v>
      </c>
      <c r="D409" s="1" t="str">
        <f ca="1">IFERROR(__xludf.DUMMYFUNCTION("GOOGLETRANSLATE(English!D409, ""en"", ""bg"")"),"състояния на материята")</f>
        <v>състояния на материята</v>
      </c>
      <c r="E409" s="1" t="str">
        <f ca="1">IFERROR(__xludf.DUMMYFUNCTION("GOOGLETRANSLATE(English!E409,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409" s="1" t="str">
        <f ca="1">IFERROR(__xludf.DUMMYFUNCTION("GOOGLETRANSLATE(English!F409,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409" s="1" t="str">
        <f ca="1">IFERROR(__xludf.DUMMYFUNCTION("GOOGLETRANSLATE(English!G409, ""en"", ""bg"")"),"помощ_за_домашно_изпълнение")</f>
        <v>помощ_за_домашно_изпълнение</v>
      </c>
      <c r="H409" s="1" t="str">
        <f ca="1">IFERROR(__xludf.DUMMYFUNCTION("GOOGLETRANSLATE(English!H409, ""en"", ""bg"")"),"помощ_за_домашно_задаване")</f>
        <v>помощ_за_домашно_задаване</v>
      </c>
    </row>
    <row r="410" spans="1:8" ht="13.2" x14ac:dyDescent="0.25">
      <c r="A410" s="1" t="str">
        <f ca="1">IFERROR(__xludf.DUMMYFUNCTION("GOOGLETRANSLATE(English!A410, ""en"", ""bg"")"),"hw_05837")</f>
        <v>hw_05837</v>
      </c>
      <c r="B410" s="1" t="str">
        <f ca="1">IFERROR(__xludf.DUMMYFUNCTION("GOOGLETRANSLATE(English!B410, ""en"", ""bg"")"),"химия")</f>
        <v>химия</v>
      </c>
      <c r="C410" s="1" t="str">
        <f ca="1">IFERROR(__xludf.DUMMYFUNCTION("GOOGLETRANSLATE(English!C410, ""en"", ""bg"")"),"елементарен")</f>
        <v>елементарен</v>
      </c>
      <c r="D410" s="1" t="str">
        <f ca="1">IFERROR(__xludf.DUMMYFUNCTION("GOOGLETRANSLATE(English!D410, ""en"", ""bg"")"),"твърди вещества, течности, газове")</f>
        <v>твърди вещества, течности, газове</v>
      </c>
      <c r="E410" s="1" t="str">
        <f ca="1">IFERROR(__xludf.DUMMYFUNCTION("GOOGLETRANSLATE(English!E410, ""en"", ""bg"")"),"Не разбирам тази концепция за твърди вещества, течности и газове. Моля, обяснете!")</f>
        <v>Не разбирам тази концепция за твърди вещества, течности и газове. Моля, обяснете!</v>
      </c>
      <c r="F410" s="1" t="str">
        <f ca="1">IFERROR(__xludf.DUMMYFUNCTION("GOOGLETRANSLATE(English!F410,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410" s="1" t="str">
        <f ca="1">IFERROR(__xludf.DUMMYFUNCTION("GOOGLETRANSLATE(English!G410, ""en"", ""bg"")"),"помощ_за_домашно_изпълнение")</f>
        <v>помощ_за_домашно_изпълнение</v>
      </c>
      <c r="H410" s="1" t="str">
        <f ca="1">IFERROR(__xludf.DUMMYFUNCTION("GOOGLETRANSLATE(English!H410, ""en"", ""bg"")"),"помощ_за_домашно_задаване")</f>
        <v>помощ_за_домашно_задаване</v>
      </c>
    </row>
    <row r="411" spans="1:8" ht="13.2" x14ac:dyDescent="0.25">
      <c r="A411" s="1" t="str">
        <f ca="1">IFERROR(__xludf.DUMMYFUNCTION("GOOGLETRANSLATE(English!A411, ""en"", ""bg"")"),"conv_15130")</f>
        <v>conv_15130</v>
      </c>
      <c r="B411" s="1" t="str">
        <f ca="1">IFERROR(__xludf.DUMMYFUNCTION("GOOGLETRANSLATE(English!B411, ""en"", ""bg"")"),"химия")</f>
        <v>химия</v>
      </c>
      <c r="C411" s="1" t="str">
        <f ca="1">IFERROR(__xludf.DUMMYFUNCTION("GOOGLETRANSLATE(English!C411, ""en"", ""bg"")"),"елементарен")</f>
        <v>елементарен</v>
      </c>
      <c r="D411" s="1" t="str">
        <f ca="1">IFERROR(__xludf.DUMMYFUNCTION("GOOGLETRANSLATE(English!D411, ""en"", ""bg"")"),"твърди вещества, течности, газове")</f>
        <v>твърди вещества, течности, газове</v>
      </c>
      <c r="E411" s="1" t="str">
        <f ca="1">IFERROR(__xludf.DUMMYFUNCTION("GOOGLETRANSLATE(English!E411, ""en"", ""bg"")"),"Не разбирам тази тема. Как водата преминава от течност в газообразно състояние?")</f>
        <v>Не разбирам тази тема. Как водата преминава от течност в газообразно състояние?</v>
      </c>
      <c r="F411" s="1" t="str">
        <f ca="1">IFERROR(__xludf.DUMMYFUNCTION("GOOGLETRANSLATE(English!F411,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411" s="1" t="str">
        <f ca="1">IFERROR(__xludf.DUMMYFUNCTION("GOOGLETRANSLATE(English!G411, ""en"", ""bg"")"),"разговор")</f>
        <v>разговор</v>
      </c>
      <c r="H411" s="1" t="str">
        <f ca="1">IFERROR(__xludf.DUMMYFUNCTION("GOOGLETRANSLATE(English!H411, ""en"", ""bg"")"),"образователна_помощ")</f>
        <v>образователна_помощ</v>
      </c>
    </row>
    <row r="412" spans="1:8" ht="13.2" x14ac:dyDescent="0.25">
      <c r="A412" s="1" t="str">
        <f ca="1">IFERROR(__xludf.DUMMYFUNCTION("GOOGLETRANSLATE(English!A412, ""en"", ""bg"")"),"conv_17766")</f>
        <v>conv_17766</v>
      </c>
      <c r="B412" s="1" t="str">
        <f ca="1">IFERROR(__xludf.DUMMYFUNCTION("GOOGLETRANSLATE(English!B412, ""en"", ""bg"")"),"физика")</f>
        <v>физика</v>
      </c>
      <c r="C412" s="1" t="str">
        <f ca="1">IFERROR(__xludf.DUMMYFUNCTION("GOOGLETRANSLATE(English!C412, ""en"", ""bg"")"),"средата")</f>
        <v>средата</v>
      </c>
      <c r="D412" s="1" t="str">
        <f ca="1">IFERROR(__xludf.DUMMYFUNCTION("GOOGLETRANSLATE(English!D412, ""en"", ""bg"")"),"вълни")</f>
        <v>вълни</v>
      </c>
      <c r="E412" s="1" t="str">
        <f ca="1">IFERROR(__xludf.DUMMYFUNCTION("GOOGLETRANSLATE(English!E412, ""en"", ""bg"")"),"Имам научен въпрос. Как работят вълните във физиката?")</f>
        <v>Имам научен въпрос. Как работят вълните във физиката?</v>
      </c>
      <c r="F412" s="1" t="str">
        <f ca="1">IFERROR(__xludf.DUMMYFUNCTION("GOOGLETRANSLATE(English!F412,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412" s="1" t="str">
        <f ca="1">IFERROR(__xludf.DUMMYFUNCTION("GOOGLETRANSLATE(English!G412, ""en"", ""bg"")"),"разговор")</f>
        <v>разговор</v>
      </c>
      <c r="H412" s="1" t="str">
        <f ca="1">IFERROR(__xludf.DUMMYFUNCTION("GOOGLETRANSLATE(English!H412, ""en"", ""bg"")"),"образователна_помощ")</f>
        <v>образователна_помощ</v>
      </c>
    </row>
    <row r="413" spans="1:8" ht="13.2" x14ac:dyDescent="0.25">
      <c r="A413" s="1" t="str">
        <f ca="1">IFERROR(__xludf.DUMMYFUNCTION("GOOGLETRANSLATE(English!A413, ""en"", ""bg"")"),"conv_04225")</f>
        <v>conv_04225</v>
      </c>
      <c r="B413" s="1" t="str">
        <f ca="1">IFERROR(__xludf.DUMMYFUNCTION("GOOGLETRANSLATE(English!B413, ""en"", ""bg"")"),"химия")</f>
        <v>химия</v>
      </c>
      <c r="C413" s="1" t="str">
        <f ca="1">IFERROR(__xludf.DUMMYFUNCTION("GOOGLETRANSLATE(English!C413, ""en"", ""bg"")"),"високо")</f>
        <v>високо</v>
      </c>
      <c r="D413" s="1" t="str">
        <f ca="1">IFERROR(__xludf.DUMMYFUNCTION("GOOGLETRANSLATE(English!D413, ""en"", ""bg"")"),"равновесие")</f>
        <v>равновесие</v>
      </c>
      <c r="E413" s="1" t="str">
        <f ca="1">IFERROR(__xludf.DUMMYFUNCTION("GOOGLETRANSLATE(English!E413, ""en"", ""bg"")"),"Помогнете ми да уча за теста. Можете ли да ми помогнете да разбера какво е равновесие?")</f>
        <v>Помогнете ми да уча за теста. Можете ли да ми помогнете да разбера какво е равновесие?</v>
      </c>
      <c r="F413" s="1" t="str">
        <f ca="1">IFERROR(__xludf.DUMMYFUNCTION("GOOGLETRANSLATE(English!F413,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413" s="1" t="str">
        <f ca="1">IFERROR(__xludf.DUMMYFUNCTION("GOOGLETRANSLATE(English!G413, ""en"", ""bg"")"),"разговор")</f>
        <v>разговор</v>
      </c>
      <c r="H413" s="1" t="str">
        <f ca="1">IFERROR(__xludf.DUMMYFUNCTION("GOOGLETRANSLATE(English!H413, ""en"", ""bg"")"),"образователна_помощ")</f>
        <v>образователна_помощ</v>
      </c>
    </row>
    <row r="414" spans="1:8" ht="13.2" x14ac:dyDescent="0.25">
      <c r="A414" s="1" t="str">
        <f ca="1">IFERROR(__xludf.DUMMYFUNCTION("GOOGLETRANSLATE(English!A414, ""en"", ""bg"")"),"conv_15818")</f>
        <v>conv_15818</v>
      </c>
      <c r="B414" s="1" t="str">
        <f ca="1">IFERROR(__xludf.DUMMYFUNCTION("GOOGLETRANSLATE(English!B414, ""en"", ""bg"")"),"химия")</f>
        <v>химия</v>
      </c>
      <c r="C414" s="1" t="str">
        <f ca="1">IFERROR(__xludf.DUMMYFUNCTION("GOOGLETRANSLATE(English!C414, ""en"", ""bg"")"),"средата")</f>
        <v>средата</v>
      </c>
      <c r="D414" s="1" t="str">
        <f ca="1">IFERROR(__xludf.DUMMYFUNCTION("GOOGLETRANSLATE(English!D414, ""en"", ""bg"")"),"химични реакции")</f>
        <v>химични реакции</v>
      </c>
      <c r="E414" s="1" t="str">
        <f ca="1">IFERROR(__xludf.DUMMYFUNCTION("GOOGLETRANSLATE(English!E414, ""en"", ""bg"")"),"Имам научен въпрос. Какво е химична реакция?")</f>
        <v>Имам научен въпрос. Какво е химична реакция?</v>
      </c>
      <c r="F414" s="1" t="str">
        <f ca="1">IFERROR(__xludf.DUMMYFUNCTION("GOOGLETRANSLATE(English!F414,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414" s="1" t="str">
        <f ca="1">IFERROR(__xludf.DUMMYFUNCTION("GOOGLETRANSLATE(English!G414, ""en"", ""bg"")"),"разговор")</f>
        <v>разговор</v>
      </c>
      <c r="H414" s="1" t="str">
        <f ca="1">IFERROR(__xludf.DUMMYFUNCTION("GOOGLETRANSLATE(English!H414, ""en"", ""bg"")"),"образователна_помощ")</f>
        <v>образователна_помощ</v>
      </c>
    </row>
    <row r="415" spans="1:8" ht="13.2" x14ac:dyDescent="0.25">
      <c r="A415" s="1" t="str">
        <f ca="1">IFERROR(__xludf.DUMMYFUNCTION("GOOGLETRANSLATE(English!A415, ""en"", ""bg"")"),"qa_09257")</f>
        <v>qa_09257</v>
      </c>
      <c r="B415" s="1" t="str">
        <f ca="1">IFERROR(__xludf.DUMMYFUNCTION("GOOGLETRANSLATE(English!B415, ""en"", ""bg"")"),"биология")</f>
        <v>биология</v>
      </c>
      <c r="C415" s="1" t="str">
        <f ca="1">IFERROR(__xludf.DUMMYFUNCTION("GOOGLETRANSLATE(English!C415, ""en"", ""bg"")"),"елементарен")</f>
        <v>елементарен</v>
      </c>
      <c r="D415" s="1" t="str">
        <f ca="1">IFERROR(__xludf.DUMMYFUNCTION("GOOGLETRANSLATE(English!D415, ""en"", ""bg"")"),"домашни любимци срещу диви животни")</f>
        <v>домашни любимци срещу диви животни</v>
      </c>
      <c r="E415" s="1" t="str">
        <f ca="1">IFERROR(__xludf.DUMMYFUNCTION("GOOGLETRANSLATE(English!E415, ""en"", ""bg"")"),"Какво е важно да знаем за домашните любимци спрямо дивите животни?")</f>
        <v>Какво е важно да знаем за домашните любимци спрямо дивите животни?</v>
      </c>
      <c r="F415" s="1" t="str">
        <f ca="1">IFERROR(__xludf.DUMMYFUNCTION("GOOGLETRANSLATE(English!F415,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415" s="1" t="str">
        <f ca="1">IFERROR(__xludf.DUMMYFUNCTION("GOOGLETRANSLATE(English!G415, ""en"", ""bg"")"),"direct_qa")</f>
        <v>direct_qa</v>
      </c>
      <c r="H415" s="1" t="str">
        <f ca="1">IFERROR(__xludf.DUMMYFUNCTION("GOOGLETRANSLATE(English!H415, ""en"", ""bg"")"),"заявка_за_знание")</f>
        <v>заявка_за_знание</v>
      </c>
    </row>
    <row r="416" spans="1:8" ht="13.2" x14ac:dyDescent="0.25">
      <c r="A416" s="1" t="str">
        <f ca="1">IFERROR(__xludf.DUMMYFUNCTION("GOOGLETRANSLATE(English!A416, ""en"", ""bg"")"),"conv_16376")</f>
        <v>conv_16376</v>
      </c>
      <c r="B416" s="1" t="str">
        <f ca="1">IFERROR(__xludf.DUMMYFUNCTION("GOOGLETRANSLATE(English!B416, ""en"", ""bg"")"),"биология")</f>
        <v>биология</v>
      </c>
      <c r="C416" s="1" t="str">
        <f ca="1">IFERROR(__xludf.DUMMYFUNCTION("GOOGLETRANSLATE(English!C416, ""en"", ""bg"")"),"средата")</f>
        <v>средата</v>
      </c>
      <c r="D416" s="1" t="str">
        <f ca="1">IFERROR(__xludf.DUMMYFUNCTION("GOOGLETRANSLATE(English!D416, ""en"", ""bg"")"),"фотосинтеза")</f>
        <v>фотосинтеза</v>
      </c>
      <c r="E416" s="1" t="str">
        <f ca="1">IFERROR(__xludf.DUMMYFUNCTION("GOOGLETRANSLATE(English!E416, ""en"", ""bg"")"),"Не разбирам тази тема. Как работи фотосинтезата?")</f>
        <v>Не разбирам тази тема. Как работи фотосинтезата?</v>
      </c>
      <c r="F416" s="1" t="str">
        <f ca="1">IFERROR(__xludf.DUMMYFUNCTION("GOOGLETRANSLATE(English!F416,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416" s="1" t="str">
        <f ca="1">IFERROR(__xludf.DUMMYFUNCTION("GOOGLETRANSLATE(English!G416, ""en"", ""bg"")"),"разговор")</f>
        <v>разговор</v>
      </c>
      <c r="H416" s="1" t="str">
        <f ca="1">IFERROR(__xludf.DUMMYFUNCTION("GOOGLETRANSLATE(English!H416, ""en"", ""bg"")"),"образователна_помощ")</f>
        <v>образователна_помощ</v>
      </c>
    </row>
    <row r="417" spans="1:8" ht="13.2" x14ac:dyDescent="0.25">
      <c r="A417" s="1" t="str">
        <f ca="1">IFERROR(__xludf.DUMMYFUNCTION("GOOGLETRANSLATE(English!A417, ""en"", ""bg"")"),"qa_14947")</f>
        <v>qa_14947</v>
      </c>
      <c r="B417" s="1" t="str">
        <f ca="1">IFERROR(__xludf.DUMMYFUNCTION("GOOGLETRANSLATE(English!B417, ""en"", ""bg"")"),"физика")</f>
        <v>физика</v>
      </c>
      <c r="C417" s="1" t="str">
        <f ca="1">IFERROR(__xludf.DUMMYFUNCTION("GOOGLETRANSLATE(English!C417, ""en"", ""bg"")"),"елементарен")</f>
        <v>елементарен</v>
      </c>
      <c r="D417" s="1" t="str">
        <f ca="1">IFERROR(__xludf.DUMMYFUNCTION("GOOGLETRANSLATE(English!D417, ""en"", ""bg"")"),"прости машини")</f>
        <v>прости машини</v>
      </c>
      <c r="E417" s="1" t="str">
        <f ca="1">IFERROR(__xludf.DUMMYFUNCTION("GOOGLETRANSLATE(English!E417, ""en"", ""bg"")"),"Защо простите машини са важни?")</f>
        <v>Защо простите машини са важни?</v>
      </c>
      <c r="F417" s="1" t="str">
        <f ca="1">IFERROR(__xludf.DUMMYFUNCTION("GOOGLETRANSLATE(English!F417,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417" s="1" t="str">
        <f ca="1">IFERROR(__xludf.DUMMYFUNCTION("GOOGLETRANSLATE(English!G417, ""en"", ""bg"")"),"direct_qa")</f>
        <v>direct_qa</v>
      </c>
      <c r="H417" s="1" t="str">
        <f ca="1">IFERROR(__xludf.DUMMYFUNCTION("GOOGLETRANSLATE(English!H417, ""en"", ""bg"")"),"заявка_за_знание")</f>
        <v>заявка_за_знание</v>
      </c>
    </row>
    <row r="418" spans="1:8" ht="13.2" x14ac:dyDescent="0.25">
      <c r="A418" s="1" t="str">
        <f ca="1">IFERROR(__xludf.DUMMYFUNCTION("GOOGLETRANSLATE(English!A418, ""en"", ""bg"")"),"qa_08374")</f>
        <v>qa_08374</v>
      </c>
      <c r="B418" s="1" t="str">
        <f ca="1">IFERROR(__xludf.DUMMYFUNCTION("GOOGLETRANSLATE(English!B418, ""en"", ""bg"")"),"химия")</f>
        <v>химия</v>
      </c>
      <c r="C418" s="1" t="str">
        <f ca="1">IFERROR(__xludf.DUMMYFUNCTION("GOOGLETRANSLATE(English!C418, ""en"", ""bg"")"),"високо")</f>
        <v>високо</v>
      </c>
      <c r="D418" s="1" t="str">
        <f ca="1">IFERROR(__xludf.DUMMYFUNCTION("GOOGLETRANSLATE(English!D418, ""en"", ""bg"")"),"скорости на реакция")</f>
        <v>скорости на реакция</v>
      </c>
      <c r="E418" s="1" t="str">
        <f ca="1">IFERROR(__xludf.DUMMYFUNCTION("GOOGLETRANSLATE(English!E418,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418" s="1" t="str">
        <f ca="1">IFERROR(__xludf.DUMMYFUNCTION("GOOGLETRANSLATE(English!F418,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18" s="1" t="str">
        <f ca="1">IFERROR(__xludf.DUMMYFUNCTION("GOOGLETRANSLATE(English!G418, ""en"", ""bg"")"),"direct_qa")</f>
        <v>direct_qa</v>
      </c>
      <c r="H418" s="1" t="str">
        <f ca="1">IFERROR(__xludf.DUMMYFUNCTION("GOOGLETRANSLATE(English!H418, ""en"", ""bg"")"),"заявка_за_знание")</f>
        <v>заявка_за_знание</v>
      </c>
    </row>
    <row r="419" spans="1:8" ht="13.2" x14ac:dyDescent="0.25">
      <c r="A419" s="1" t="str">
        <f ca="1">IFERROR(__xludf.DUMMYFUNCTION("GOOGLETRANSLATE(English!A419, ""en"", ""bg"")"),"conv_05734")</f>
        <v>conv_05734</v>
      </c>
      <c r="B419" s="1" t="str">
        <f ca="1">IFERROR(__xludf.DUMMYFUNCTION("GOOGLETRANSLATE(English!B419, ""en"", ""bg"")"),"биология")</f>
        <v>биология</v>
      </c>
      <c r="C419" s="1" t="str">
        <f ca="1">IFERROR(__xludf.DUMMYFUNCTION("GOOGLETRANSLATE(English!C419, ""en"", ""bg"")"),"елементарен")</f>
        <v>елементарен</v>
      </c>
      <c r="D419" s="1" t="str">
        <f ca="1">IFERROR(__xludf.DUMMYFUNCTION("GOOGLETRANSLATE(English!D419, ""en"", ""bg"")"),"животни")</f>
        <v>животни</v>
      </c>
      <c r="E419" s="1" t="str">
        <f ca="1">IFERROR(__xludf.DUMMYFUNCTION("GOOGLETRANSLATE(English!E419, ""en"", ""bg"")"),"Помогнете ми да уча за теста си. Защо някои животни живеят на групи?")</f>
        <v>Помогнете ми да уча за теста си. Защо някои животни живеят на групи?</v>
      </c>
      <c r="F419" s="1" t="str">
        <f ca="1">IFERROR(__xludf.DUMMYFUNCTION("GOOGLETRANSLATE(English!F419, ""en"", ""bg"")"),"Животните живеят на групи за защита, за да намират храна по-лесно и за да отглеждат малките си заедно.")</f>
        <v>Животните живеят на групи за защита, за да намират храна по-лесно и за да отглеждат малките си заедно.</v>
      </c>
      <c r="G419" s="1" t="str">
        <f ca="1">IFERROR(__xludf.DUMMYFUNCTION("GOOGLETRANSLATE(English!G419, ""en"", ""bg"")"),"разговор")</f>
        <v>разговор</v>
      </c>
      <c r="H419" s="1" t="str">
        <f ca="1">IFERROR(__xludf.DUMMYFUNCTION("GOOGLETRANSLATE(English!H419, ""en"", ""bg"")"),"образователна_помощ")</f>
        <v>образователна_помощ</v>
      </c>
    </row>
    <row r="420" spans="1:8" ht="13.2" x14ac:dyDescent="0.25">
      <c r="A420" s="1" t="str">
        <f ca="1">IFERROR(__xludf.DUMMYFUNCTION("GOOGLETRANSLATE(English!A420, ""en"", ""bg"")"),"hw_02193")</f>
        <v>hw_02193</v>
      </c>
      <c r="B420" s="1" t="str">
        <f ca="1">IFERROR(__xludf.DUMMYFUNCTION("GOOGLETRANSLATE(English!B420, ""en"", ""bg"")"),"биология")</f>
        <v>биология</v>
      </c>
      <c r="C420" s="1" t="str">
        <f ca="1">IFERROR(__xludf.DUMMYFUNCTION("GOOGLETRANSLATE(English!C420, ""en"", ""bg"")"),"елементарен")</f>
        <v>елементарен</v>
      </c>
      <c r="D420" s="1" t="str">
        <f ca="1">IFERROR(__xludf.DUMMYFUNCTION("GOOGLETRANSLATE(English!D420, ""en"", ""bg"")"),"растения")</f>
        <v>растения</v>
      </c>
      <c r="E420" s="1" t="str">
        <f ca="1">IFERROR(__xludf.DUMMYFUNCTION("GOOGLETRANSLATE(English!E420, ""en"", ""bg"")"),"Утре имам тест по растения. Помогни ми да уча!")</f>
        <v>Утре имам тест по растения. Помогни ми да уча!</v>
      </c>
      <c r="F420" s="1" t="str">
        <f ca="1">IFERROR(__xludf.DUMMYFUNCTION("GOOGLETRANSLATE(English!F420,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20" s="1" t="str">
        <f ca="1">IFERROR(__xludf.DUMMYFUNCTION("GOOGLETRANSLATE(English!G420, ""en"", ""bg"")"),"помощ_за_домашно_изпълнение")</f>
        <v>помощ_за_домашно_изпълнение</v>
      </c>
      <c r="H420" s="1" t="str">
        <f ca="1">IFERROR(__xludf.DUMMYFUNCTION("GOOGLETRANSLATE(English!H420, ""en"", ""bg"")"),"помощ_за_домашно_задаване")</f>
        <v>помощ_за_домашно_задаване</v>
      </c>
    </row>
    <row r="421" spans="1:8" ht="13.2" x14ac:dyDescent="0.25">
      <c r="A421" s="1" t="str">
        <f ca="1">IFERROR(__xludf.DUMMYFUNCTION("GOOGLETRANSLATE(English!A421, ""en"", ""bg"")"),"hw_10297")</f>
        <v>hw_10297</v>
      </c>
      <c r="B421" s="1" t="str">
        <f ca="1">IFERROR(__xludf.DUMMYFUNCTION("GOOGLETRANSLATE(English!B421, ""en"", ""bg"")"),"биология")</f>
        <v>биология</v>
      </c>
      <c r="C421" s="1" t="str">
        <f ca="1">IFERROR(__xludf.DUMMYFUNCTION("GOOGLETRANSLATE(English!C421, ""en"", ""bg"")"),"елементарен")</f>
        <v>елементарен</v>
      </c>
      <c r="D421" s="1" t="str">
        <f ca="1">IFERROR(__xludf.DUMMYFUNCTION("GOOGLETRANSLATE(English!D421, ""en"", ""bg"")"),"човешкото тяло")</f>
        <v>човешкото тяло</v>
      </c>
      <c r="E421" s="1" t="str">
        <f ca="1">IFERROR(__xludf.DUMMYFUNCTION("GOOGLETRANSLATE(English!E421, ""en"", ""bg"")"),"Трябва да напиша доклад за човешкото тяло. Можете ли да ми помогнете да започна?")</f>
        <v>Трябва да напиша доклад за човешкото тяло. Можете ли да ми помогнете да започна?</v>
      </c>
      <c r="F421" s="1" t="str">
        <f ca="1">IFERROR(__xludf.DUMMYFUNCTION("GOOGLETRANSLATE(English!F421,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421" s="1" t="str">
        <f ca="1">IFERROR(__xludf.DUMMYFUNCTION("GOOGLETRANSLATE(English!G421, ""en"", ""bg"")"),"помощ_за_домашно_изпълнение")</f>
        <v>помощ_за_домашно_изпълнение</v>
      </c>
      <c r="H421" s="1" t="str">
        <f ca="1">IFERROR(__xludf.DUMMYFUNCTION("GOOGLETRANSLATE(English!H421, ""en"", ""bg"")"),"помощ_за_домашно_задаване")</f>
        <v>помощ_за_домашно_задаване</v>
      </c>
    </row>
    <row r="422" spans="1:8" ht="13.2" x14ac:dyDescent="0.25">
      <c r="A422" s="1" t="str">
        <f ca="1">IFERROR(__xludf.DUMMYFUNCTION("GOOGLETRANSLATE(English!A422, ""en"", ""bg"")"),"conv_13193")</f>
        <v>conv_13193</v>
      </c>
      <c r="B422" s="1" t="str">
        <f ca="1">IFERROR(__xludf.DUMMYFUNCTION("GOOGLETRANSLATE(English!B422, ""en"", ""bg"")"),"биология")</f>
        <v>биология</v>
      </c>
      <c r="C422" s="1" t="str">
        <f ca="1">IFERROR(__xludf.DUMMYFUNCTION("GOOGLETRANSLATE(English!C422, ""en"", ""bg"")"),"средата")</f>
        <v>средата</v>
      </c>
      <c r="D422" s="1" t="str">
        <f ca="1">IFERROR(__xludf.DUMMYFUNCTION("GOOGLETRANSLATE(English!D422, ""en"", ""bg"")"),"фотосинтеза")</f>
        <v>фотосинтеза</v>
      </c>
      <c r="E422" s="1" t="str">
        <f ca="1">IFERROR(__xludf.DUMMYFUNCTION("GOOGLETRANSLATE(English!E422, ""en"", ""bg"")"),"Можете ли да ми обясните това? Как работи фотосинтезата?")</f>
        <v>Можете ли да ми обясните това? Как работи фотосинтезата?</v>
      </c>
      <c r="F422" s="1" t="str">
        <f ca="1">IFERROR(__xludf.DUMMYFUNCTION("GOOGLETRANSLATE(English!F422,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422" s="1" t="str">
        <f ca="1">IFERROR(__xludf.DUMMYFUNCTION("GOOGLETRANSLATE(English!G422, ""en"", ""bg"")"),"разговор")</f>
        <v>разговор</v>
      </c>
      <c r="H422" s="1" t="str">
        <f ca="1">IFERROR(__xludf.DUMMYFUNCTION("GOOGLETRANSLATE(English!H422, ""en"", ""bg"")"),"образователна_помощ")</f>
        <v>образователна_помощ</v>
      </c>
    </row>
    <row r="423" spans="1:8" ht="13.2" x14ac:dyDescent="0.25">
      <c r="A423" s="1" t="str">
        <f ca="1">IFERROR(__xludf.DUMMYFUNCTION("GOOGLETRANSLATE(English!A423, ""en"", ""bg"")"),"conv_10014")</f>
        <v>conv_10014</v>
      </c>
      <c r="B423" s="1" t="str">
        <f ca="1">IFERROR(__xludf.DUMMYFUNCTION("GOOGLETRANSLATE(English!B423, ""en"", ""bg"")"),"химия")</f>
        <v>химия</v>
      </c>
      <c r="C423" s="1" t="str">
        <f ca="1">IFERROR(__xludf.DUMMYFUNCTION("GOOGLETRANSLATE(English!C423, ""en"", ""bg"")"),"елементарен")</f>
        <v>елементарен</v>
      </c>
      <c r="D423" s="1" t="str">
        <f ca="1">IFERROR(__xludf.DUMMYFUNCTION("GOOGLETRANSLATE(English!D423, ""en"", ""bg"")"),"смесване на материали")</f>
        <v>смесване на материали</v>
      </c>
      <c r="E423" s="1" t="str">
        <f ca="1">IFERROR(__xludf.DUMMYFUNCTION("GOOGLETRANSLATE(English!E423, ""en"", ""bg"")"),"Имам научен въпрос: Как може да се отдели солта от водата?")</f>
        <v>Имам научен въпрос: Как може да се отдели солта от водата?</v>
      </c>
      <c r="F423" s="1" t="str">
        <f ca="1">IFERROR(__xludf.DUMMYFUNCTION("GOOGLETRANSLATE(English!F423,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423" s="1" t="str">
        <f ca="1">IFERROR(__xludf.DUMMYFUNCTION("GOOGLETRANSLATE(English!G423, ""en"", ""bg"")"),"разговор")</f>
        <v>разговор</v>
      </c>
      <c r="H423" s="1" t="str">
        <f ca="1">IFERROR(__xludf.DUMMYFUNCTION("GOOGLETRANSLATE(English!H423, ""en"", ""bg"")"),"образователна_помощ")</f>
        <v>образователна_помощ</v>
      </c>
    </row>
    <row r="424" spans="1:8" ht="13.2" x14ac:dyDescent="0.25">
      <c r="A424" s="1" t="str">
        <f ca="1">IFERROR(__xludf.DUMMYFUNCTION("GOOGLETRANSLATE(English!A424, ""en"", ""bg"")"),"conv_10195")</f>
        <v>conv_10195</v>
      </c>
      <c r="B424" s="1" t="str">
        <f ca="1">IFERROR(__xludf.DUMMYFUNCTION("GOOGLETRANSLATE(English!B424, ""en"", ""bg"")"),"химия")</f>
        <v>химия</v>
      </c>
      <c r="C424" s="1" t="str">
        <f ca="1">IFERROR(__xludf.DUMMYFUNCTION("GOOGLETRANSLATE(English!C424, ""en"", ""bg"")"),"елементарен")</f>
        <v>елементарен</v>
      </c>
      <c r="D424" s="1" t="str">
        <f ca="1">IFERROR(__xludf.DUMMYFUNCTION("GOOGLETRANSLATE(English!D424, ""en"", ""bg"")"),"смесване на материали")</f>
        <v>смесване на материали</v>
      </c>
      <c r="E424" s="1" t="str">
        <f ca="1">IFERROR(__xludf.DUMMYFUNCTION("GOOGLETRANSLATE(English!E424, ""en"", ""bg"")"),"Здравей, преподавателю! Какво се случва, когато смесиш масло и вода?")</f>
        <v>Здравей, преподавателю! Какво се случва, когато смесиш масло и вода?</v>
      </c>
      <c r="F424" s="1" t="str">
        <f ca="1">IFERROR(__xludf.DUMMYFUNCTION("GOOGLETRANSLATE(English!F424,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424" s="1" t="str">
        <f ca="1">IFERROR(__xludf.DUMMYFUNCTION("GOOGLETRANSLATE(English!G424, ""en"", ""bg"")"),"разговор")</f>
        <v>разговор</v>
      </c>
      <c r="H424" s="1" t="str">
        <f ca="1">IFERROR(__xludf.DUMMYFUNCTION("GOOGLETRANSLATE(English!H424, ""en"", ""bg"")"),"образователна_помощ")</f>
        <v>образователна_помощ</v>
      </c>
    </row>
    <row r="425" spans="1:8" ht="13.2" x14ac:dyDescent="0.25">
      <c r="A425" s="1" t="str">
        <f ca="1">IFERROR(__xludf.DUMMYFUNCTION("GOOGLETRANSLATE(English!A425, ""en"", ""bg"")"),"qa_00272")</f>
        <v>qa_00272</v>
      </c>
      <c r="B425" s="1" t="str">
        <f ca="1">IFERROR(__xludf.DUMMYFUNCTION("GOOGLETRANSLATE(English!B425, ""en"", ""bg"")"),"физика")</f>
        <v>физика</v>
      </c>
      <c r="C425" s="1" t="str">
        <f ca="1">IFERROR(__xludf.DUMMYFUNCTION("GOOGLETRANSLATE(English!C425, ""en"", ""bg"")"),"елементарен")</f>
        <v>елементарен</v>
      </c>
      <c r="D425" s="1" t="str">
        <f ca="1">IFERROR(__xludf.DUMMYFUNCTION("GOOGLETRANSLATE(English!D425, ""en"", ""bg"")"),"звук")</f>
        <v>звук</v>
      </c>
      <c r="E425" s="1" t="str">
        <f ca="1">IFERROR(__xludf.DUMMYFUNCTION("GOOGLETRANSLATE(English!E425, ""en"", ""bg"")"),"Защо звукът е важен?")</f>
        <v>Защо звукът е важен?</v>
      </c>
      <c r="F425" s="1" t="str">
        <f ca="1">IFERROR(__xludf.DUMMYFUNCTION("GOOGLETRANSLATE(English!F425,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425" s="1" t="str">
        <f ca="1">IFERROR(__xludf.DUMMYFUNCTION("GOOGLETRANSLATE(English!G425, ""en"", ""bg"")"),"direct_qa")</f>
        <v>direct_qa</v>
      </c>
      <c r="H425" s="1" t="str">
        <f ca="1">IFERROR(__xludf.DUMMYFUNCTION("GOOGLETRANSLATE(English!H425, ""en"", ""bg"")"),"заявка_за_знание")</f>
        <v>заявка_за_знание</v>
      </c>
    </row>
    <row r="426" spans="1:8" ht="13.2" x14ac:dyDescent="0.25">
      <c r="A426" s="1" t="str">
        <f ca="1">IFERROR(__xludf.DUMMYFUNCTION("GOOGLETRANSLATE(English!A426, ""en"", ""bg"")"),"qa_06854")</f>
        <v>qa_06854</v>
      </c>
      <c r="B426" s="1" t="str">
        <f ca="1">IFERROR(__xludf.DUMMYFUNCTION("GOOGLETRANSLATE(English!B426, ""en"", ""bg"")"),"химия")</f>
        <v>химия</v>
      </c>
      <c r="C426" s="1" t="str">
        <f ca="1">IFERROR(__xludf.DUMMYFUNCTION("GOOGLETRANSLATE(English!C426, ""en"", ""bg"")"),"средата")</f>
        <v>средата</v>
      </c>
      <c r="D426" s="1" t="str">
        <f ca="1">IFERROR(__xludf.DUMMYFUNCTION("GOOGLETRANSLATE(English!D426, ""en"", ""bg"")"),"химични промени")</f>
        <v>химични промени</v>
      </c>
      <c r="E426" s="1" t="str">
        <f ca="1">IFERROR(__xludf.DUMMYFUNCTION("GOOGLETRANSLATE(English!E426, ""en"", ""bg"")"),"Какво представляват химичните промени?")</f>
        <v>Какво представляват химичните промени?</v>
      </c>
      <c r="F426" s="1" t="str">
        <f ca="1">IFERROR(__xludf.DUMMYFUNCTION("GOOGLETRANSLATE(English!F426,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426" s="1" t="str">
        <f ca="1">IFERROR(__xludf.DUMMYFUNCTION("GOOGLETRANSLATE(English!G426, ""en"", ""bg"")"),"direct_qa")</f>
        <v>direct_qa</v>
      </c>
      <c r="H426" s="1" t="str">
        <f ca="1">IFERROR(__xludf.DUMMYFUNCTION("GOOGLETRANSLATE(English!H426, ""en"", ""bg"")"),"заявка_за_знание")</f>
        <v>заявка_за_знание</v>
      </c>
    </row>
    <row r="427" spans="1:8" ht="13.2" x14ac:dyDescent="0.25">
      <c r="A427" s="1" t="str">
        <f ca="1">IFERROR(__xludf.DUMMYFUNCTION("GOOGLETRANSLATE(English!A427, ""en"", ""bg"")"),"qa_10833")</f>
        <v>qa_10833</v>
      </c>
      <c r="B427" s="1" t="str">
        <f ca="1">IFERROR(__xludf.DUMMYFUNCTION("GOOGLETRANSLATE(English!B427, ""en"", ""bg"")"),"химия")</f>
        <v>химия</v>
      </c>
      <c r="C427" s="1" t="str">
        <f ca="1">IFERROR(__xludf.DUMMYFUNCTION("GOOGLETRANSLATE(English!C427, ""en"", ""bg"")"),"елементарен")</f>
        <v>елементарен</v>
      </c>
      <c r="D427" s="1" t="str">
        <f ca="1">IFERROR(__xludf.DUMMYFUNCTION("GOOGLETRANSLATE(English!D427, ""en"", ""bg"")"),"промени в материалите")</f>
        <v>промени в материалите</v>
      </c>
      <c r="E427" s="1" t="str">
        <f ca="1">IFERROR(__xludf.DUMMYFUNCTION("GOOGLETRANSLATE(English!E427, ""en"", ""bg"")"),"Можете ли да ми помогнете да разбера промените в материалите?")</f>
        <v>Можете ли да ми помогнете да разбера промените в материалите?</v>
      </c>
      <c r="F427" s="1" t="str">
        <f ca="1">IFERROR(__xludf.DUMMYFUNCTION("GOOGLETRANSLATE(English!F427,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427" s="1" t="str">
        <f ca="1">IFERROR(__xludf.DUMMYFUNCTION("GOOGLETRANSLATE(English!G427, ""en"", ""bg"")"),"direct_qa")</f>
        <v>direct_qa</v>
      </c>
      <c r="H427" s="1" t="str">
        <f ca="1">IFERROR(__xludf.DUMMYFUNCTION("GOOGLETRANSLATE(English!H427, ""en"", ""bg"")"),"заявка_за_знание")</f>
        <v>заявка_за_знание</v>
      </c>
    </row>
    <row r="428" spans="1:8" ht="13.2" x14ac:dyDescent="0.25">
      <c r="A428" s="1" t="str">
        <f ca="1">IFERROR(__xludf.DUMMYFUNCTION("GOOGLETRANSLATE(English!A428, ""en"", ""bg"")"),"conv_04647")</f>
        <v>conv_04647</v>
      </c>
      <c r="B428" s="1" t="str">
        <f ca="1">IFERROR(__xludf.DUMMYFUNCTION("GOOGLETRANSLATE(English!B428, ""en"", ""bg"")"),"физика")</f>
        <v>физика</v>
      </c>
      <c r="C428" s="1" t="str">
        <f ca="1">IFERROR(__xludf.DUMMYFUNCTION("GOOGLETRANSLATE(English!C428, ""en"", ""bg"")"),"средата")</f>
        <v>средата</v>
      </c>
      <c r="D428" s="1" t="str">
        <f ca="1">IFERROR(__xludf.DUMMYFUNCTION("GOOGLETRANSLATE(English!D428, ""en"", ""bg"")"),"плътност")</f>
        <v>плътност</v>
      </c>
      <c r="E428" s="1" t="str">
        <f ca="1">IFERROR(__xludf.DUMMYFUNCTION("GOOGLETRANSLATE(English!E428, ""en"", ""bg"")"),"Имам нужда от помощ с домашното. Как работи плътността във физиката?")</f>
        <v>Имам нужда от помощ с домашното. Как работи плътността във физиката?</v>
      </c>
      <c r="F428" s="1" t="str">
        <f ca="1">IFERROR(__xludf.DUMMYFUNCTION("GOOGLETRANSLATE(English!F428,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428" s="1" t="str">
        <f ca="1">IFERROR(__xludf.DUMMYFUNCTION("GOOGLETRANSLATE(English!G428, ""en"", ""bg"")"),"разговор")</f>
        <v>разговор</v>
      </c>
      <c r="H428" s="1" t="str">
        <f ca="1">IFERROR(__xludf.DUMMYFUNCTION("GOOGLETRANSLATE(English!H428, ""en"", ""bg"")"),"образователна_помощ")</f>
        <v>образователна_помощ</v>
      </c>
    </row>
    <row r="429" spans="1:8" ht="13.2" x14ac:dyDescent="0.25">
      <c r="A429" s="1" t="str">
        <f ca="1">IFERROR(__xludf.DUMMYFUNCTION("GOOGLETRANSLATE(English!A429, ""en"", ""bg"")"),"conv_07642")</f>
        <v>conv_07642</v>
      </c>
      <c r="B429" s="1" t="str">
        <f ca="1">IFERROR(__xludf.DUMMYFUNCTION("GOOGLETRANSLATE(English!B429, ""en"", ""bg"")"),"физика")</f>
        <v>физика</v>
      </c>
      <c r="C429" s="1" t="str">
        <f ca="1">IFERROR(__xludf.DUMMYFUNCTION("GOOGLETRANSLATE(English!C429, ""en"", ""bg"")"),"елементарен")</f>
        <v>елементарен</v>
      </c>
      <c r="D429" s="1" t="str">
        <f ca="1">IFERROR(__xludf.DUMMYFUNCTION("GOOGLETRANSLATE(English!D429, ""en"", ""bg"")"),"бутане и дърпане")</f>
        <v>бутане и дърпане</v>
      </c>
      <c r="E429" s="1" t="str">
        <f ca="1">IFERROR(__xludf.DUMMYFUNCTION("GOOGLETRANSLATE(English!E429, ""en"", ""bg"")"),"Можете ли да ми помогнете? Защо е важно да се бута и дърпа?")</f>
        <v>Можете ли да ми помогнете? Защо е важно да се бута и дърпа?</v>
      </c>
      <c r="F429" s="1" t="str">
        <f ca="1">IFERROR(__xludf.DUMMYFUNCTION("GOOGLETRANSLATE(English!F429,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429" s="1" t="str">
        <f ca="1">IFERROR(__xludf.DUMMYFUNCTION("GOOGLETRANSLATE(English!G429, ""en"", ""bg"")"),"разговор")</f>
        <v>разговор</v>
      </c>
      <c r="H429" s="1" t="str">
        <f ca="1">IFERROR(__xludf.DUMMYFUNCTION("GOOGLETRANSLATE(English!H429, ""en"", ""bg"")"),"образователна_помощ")</f>
        <v>образователна_помощ</v>
      </c>
    </row>
    <row r="430" spans="1:8" ht="13.2" x14ac:dyDescent="0.25">
      <c r="A430" s="1" t="str">
        <f ca="1">IFERROR(__xludf.DUMMYFUNCTION("GOOGLETRANSLATE(English!A430, ""en"", ""bg"")"),"hw_07921")</f>
        <v>hw_07921</v>
      </c>
      <c r="B430" s="1" t="str">
        <f ca="1">IFERROR(__xludf.DUMMYFUNCTION("GOOGLETRANSLATE(English!B430, ""en"", ""bg"")"),"физика")</f>
        <v>физика</v>
      </c>
      <c r="C430" s="1" t="str">
        <f ca="1">IFERROR(__xludf.DUMMYFUNCTION("GOOGLETRANSLATE(English!C430, ""en"", ""bg"")"),"елементарен")</f>
        <v>елементарен</v>
      </c>
      <c r="D430" s="1" t="str">
        <f ca="1">IFERROR(__xludf.DUMMYFUNCTION("GOOGLETRANSLATE(English!D430, ""en"", ""bg"")"),"светлина и сянка")</f>
        <v>светлина и сянка</v>
      </c>
      <c r="E430" s="1" t="str">
        <f ca="1">IFERROR(__xludf.DUMMYFUNCTION("GOOGLETRANSLATE(English!E430, ""en"", ""bg"")"),"Домашното ми по физика е за светлина и сянка. Объркващо е!")</f>
        <v>Домашното ми по физика е за светлина и сянка. Объркващо е!</v>
      </c>
      <c r="F430" s="1" t="str">
        <f ca="1">IFERROR(__xludf.DUMMYFUNCTION("GOOGLETRANSLATE(English!F430,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430" s="1" t="str">
        <f ca="1">IFERROR(__xludf.DUMMYFUNCTION("GOOGLETRANSLATE(English!G430, ""en"", ""bg"")"),"помощ_за_домашно_изпълнение")</f>
        <v>помощ_за_домашно_изпълнение</v>
      </c>
      <c r="H430" s="1" t="str">
        <f ca="1">IFERROR(__xludf.DUMMYFUNCTION("GOOGLETRANSLATE(English!H430, ""en"", ""bg"")"),"помощ_за_домашно_задаване")</f>
        <v>помощ_за_домашно_задаване</v>
      </c>
    </row>
    <row r="431" spans="1:8" ht="13.2" x14ac:dyDescent="0.25">
      <c r="A431" s="1" t="str">
        <f ca="1">IFERROR(__xludf.DUMMYFUNCTION("GOOGLETRANSLATE(English!A431, ""en"", ""bg"")"),"qa_05809")</f>
        <v>qa_05809</v>
      </c>
      <c r="B431" s="1" t="str">
        <f ca="1">IFERROR(__xludf.DUMMYFUNCTION("GOOGLETRANSLATE(English!B431, ""en"", ""bg"")"),"физика")</f>
        <v>физика</v>
      </c>
      <c r="C431" s="1" t="str">
        <f ca="1">IFERROR(__xludf.DUMMYFUNCTION("GOOGLETRANSLATE(English!C431, ""en"", ""bg"")"),"елементарен")</f>
        <v>елементарен</v>
      </c>
      <c r="D431" s="1" t="str">
        <f ca="1">IFERROR(__xludf.DUMMYFUNCTION("GOOGLETRANSLATE(English!D431, ""en"", ""bg"")"),"звук")</f>
        <v>звук</v>
      </c>
      <c r="E431" s="1" t="str">
        <f ca="1">IFERROR(__xludf.DUMMYFUNCTION("GOOGLETRANSLATE(English!E431, ""en"", ""bg"")"),"Как работи звукът във физиката?")</f>
        <v>Как работи звукът във физиката?</v>
      </c>
      <c r="F431" s="1" t="str">
        <f ca="1">IFERROR(__xludf.DUMMYFUNCTION("GOOGLETRANSLATE(English!F431,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431" s="1" t="str">
        <f ca="1">IFERROR(__xludf.DUMMYFUNCTION("GOOGLETRANSLATE(English!G431, ""en"", ""bg"")"),"direct_qa")</f>
        <v>direct_qa</v>
      </c>
      <c r="H431" s="1" t="str">
        <f ca="1">IFERROR(__xludf.DUMMYFUNCTION("GOOGLETRANSLATE(English!H431, ""en"", ""bg"")"),"заявка_за_знание")</f>
        <v>заявка_за_знание</v>
      </c>
    </row>
    <row r="432" spans="1:8" ht="13.2" x14ac:dyDescent="0.25">
      <c r="A432" s="1" t="str">
        <f ca="1">IFERROR(__xludf.DUMMYFUNCTION("GOOGLETRANSLATE(English!A432, ""en"", ""bg"")"),"hw_06055")</f>
        <v>hw_06055</v>
      </c>
      <c r="B432" s="1" t="str">
        <f ca="1">IFERROR(__xludf.DUMMYFUNCTION("GOOGLETRANSLATE(English!B432, ""en"", ""bg"")"),"биология")</f>
        <v>биология</v>
      </c>
      <c r="C432" s="1" t="str">
        <f ca="1">IFERROR(__xludf.DUMMYFUNCTION("GOOGLETRANSLATE(English!C432, ""en"", ""bg"")"),"елементарен")</f>
        <v>елементарен</v>
      </c>
      <c r="D432" s="1" t="str">
        <f ca="1">IFERROR(__xludf.DUMMYFUNCTION("GOOGLETRANSLATE(English!D432, ""en"", ""bg"")"),"местообитания")</f>
        <v>местообитания</v>
      </c>
      <c r="E432" s="1" t="str">
        <f ca="1">IFERROR(__xludf.DUMMYFUNCTION("GOOGLETRANSLATE(English!E432, ""en"", ""bg"")"),"Трябва да напиша доклад за местообитанията. Можете ли да ми помогнете да започна?")</f>
        <v>Трябва да напиша доклад за местообитанията. Можете ли да ми помогнете да започна?</v>
      </c>
      <c r="F432" s="1" t="str">
        <f ca="1">IFERROR(__xludf.DUMMYFUNCTION("GOOGLETRANSLATE(English!F432,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432" s="1" t="str">
        <f ca="1">IFERROR(__xludf.DUMMYFUNCTION("GOOGLETRANSLATE(English!G432, ""en"", ""bg"")"),"помощ_за_домашно_изпълнение")</f>
        <v>помощ_за_домашно_изпълнение</v>
      </c>
      <c r="H432" s="1" t="str">
        <f ca="1">IFERROR(__xludf.DUMMYFUNCTION("GOOGLETRANSLATE(English!H432, ""en"", ""bg"")"),"помощ_за_домашно_задаване")</f>
        <v>помощ_за_домашно_задаване</v>
      </c>
    </row>
    <row r="433" spans="1:8" ht="13.2" x14ac:dyDescent="0.25">
      <c r="A433" s="1" t="str">
        <f ca="1">IFERROR(__xludf.DUMMYFUNCTION("GOOGLETRANSLATE(English!A433, ""en"", ""bg"")"),"qa_00891")</f>
        <v>qa_00891</v>
      </c>
      <c r="B433" s="1" t="str">
        <f ca="1">IFERROR(__xludf.DUMMYFUNCTION("GOOGLETRANSLATE(English!B433, ""en"", ""bg"")"),"химия")</f>
        <v>химия</v>
      </c>
      <c r="C433" s="1" t="str">
        <f ca="1">IFERROR(__xludf.DUMMYFUNCTION("GOOGLETRANSLATE(English!C433, ""en"", ""bg"")"),"средата")</f>
        <v>средата</v>
      </c>
      <c r="D433" s="1" t="str">
        <f ca="1">IFERROR(__xludf.DUMMYFUNCTION("GOOGLETRANSLATE(English!D433, ""en"", ""bg"")"),"атоми и молекули")</f>
        <v>атоми и молекули</v>
      </c>
      <c r="E433" s="1" t="str">
        <f ca="1">IFERROR(__xludf.DUMMYFUNCTION("GOOGLETRANSLATE(English!E433, ""en"", ""bg"")"),"Какво е атом?")</f>
        <v>Какво е атом?</v>
      </c>
      <c r="F433" s="1" t="str">
        <f ca="1">IFERROR(__xludf.DUMMYFUNCTION("GOOGLETRANSLATE(English!F433,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433" s="1" t="str">
        <f ca="1">IFERROR(__xludf.DUMMYFUNCTION("GOOGLETRANSLATE(English!G433, ""en"", ""bg"")"),"direct_qa")</f>
        <v>direct_qa</v>
      </c>
      <c r="H433" s="1" t="str">
        <f ca="1">IFERROR(__xludf.DUMMYFUNCTION("GOOGLETRANSLATE(English!H433, ""en"", ""bg"")"),"заявка_за_знание")</f>
        <v>заявка_за_знание</v>
      </c>
    </row>
    <row r="434" spans="1:8" ht="13.2" x14ac:dyDescent="0.25">
      <c r="A434" s="1" t="str">
        <f ca="1">IFERROR(__xludf.DUMMYFUNCTION("GOOGLETRANSLATE(English!A434, ""en"", ""bg"")"),"hw_11652")</f>
        <v>hw_11652</v>
      </c>
      <c r="B434" s="1" t="str">
        <f ca="1">IFERROR(__xludf.DUMMYFUNCTION("GOOGLETRANSLATE(English!B434, ""en"", ""bg"")"),"физика")</f>
        <v>физика</v>
      </c>
      <c r="C434" s="1" t="str">
        <f ca="1">IFERROR(__xludf.DUMMYFUNCTION("GOOGLETRANSLATE(English!C434, ""en"", ""bg"")"),"средата")</f>
        <v>средата</v>
      </c>
      <c r="D434" s="1" t="str">
        <f ca="1">IFERROR(__xludf.DUMMYFUNCTION("GOOGLETRANSLATE(English!D434, ""en"", ""bg"")"),"вълни")</f>
        <v>вълни</v>
      </c>
      <c r="E434" s="1" t="str">
        <f ca="1">IFERROR(__xludf.DUMMYFUNCTION("GOOGLETRANSLATE(English!E434, ""en"", ""bg"")"),"Заседнал съм с този проблем с вълните. Можете ли да помогнете?")</f>
        <v>Заседнал съм с този проблем с вълните. Можете ли да помогнете?</v>
      </c>
      <c r="F434" s="1" t="str">
        <f ca="1">IFERROR(__xludf.DUMMYFUNCTION("GOOGLETRANSLATE(English!F434,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434" s="1" t="str">
        <f ca="1">IFERROR(__xludf.DUMMYFUNCTION("GOOGLETRANSLATE(English!G434, ""en"", ""bg"")"),"помощ_за_домашно_изпълнение")</f>
        <v>помощ_за_домашно_изпълнение</v>
      </c>
      <c r="H434" s="1" t="str">
        <f ca="1">IFERROR(__xludf.DUMMYFUNCTION("GOOGLETRANSLATE(English!H434, ""en"", ""bg"")"),"помощ_за_домашно_задаване")</f>
        <v>помощ_за_домашно_задаване</v>
      </c>
    </row>
    <row r="435" spans="1:8" ht="13.2" x14ac:dyDescent="0.25">
      <c r="A435" s="1" t="str">
        <f ca="1">IFERROR(__xludf.DUMMYFUNCTION("GOOGLETRANSLATE(English!A435, ""en"", ""bg"")"),"hw_01335")</f>
        <v>hw_01335</v>
      </c>
      <c r="B435" s="1" t="str">
        <f ca="1">IFERROR(__xludf.DUMMYFUNCTION("GOOGLETRANSLATE(English!B435, ""en"", ""bg"")"),"физика")</f>
        <v>физика</v>
      </c>
      <c r="C435" s="1" t="str">
        <f ca="1">IFERROR(__xludf.DUMMYFUNCTION("GOOGLETRANSLATE(English!C435, ""en"", ""bg"")"),"средата")</f>
        <v>средата</v>
      </c>
      <c r="D435" s="1" t="str">
        <f ca="1">IFERROR(__xludf.DUMMYFUNCTION("GOOGLETRANSLATE(English!D435, ""en"", ""bg"")"),"видове енергия")</f>
        <v>видове енергия</v>
      </c>
      <c r="E435" s="1" t="str">
        <f ca="1">IFERROR(__xludf.DUMMYFUNCTION("GOOGLETRANSLATE(English!E435, ""en"", ""bg"")"),"Трябва да разбера видовете енергия за изпита си.")</f>
        <v>Трябва да разбера видовете енергия за изпита си.</v>
      </c>
      <c r="F435" s="1" t="str">
        <f ca="1">IFERROR(__xludf.DUMMYFUNCTION("GOOGLETRANSLATE(English!F435,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435" s="1" t="str">
        <f ca="1">IFERROR(__xludf.DUMMYFUNCTION("GOOGLETRANSLATE(English!G435, ""en"", ""bg"")"),"помощ_за_домашно_изпълнение")</f>
        <v>помощ_за_домашно_изпълнение</v>
      </c>
      <c r="H435" s="1" t="str">
        <f ca="1">IFERROR(__xludf.DUMMYFUNCTION("GOOGLETRANSLATE(English!H435, ""en"", ""bg"")"),"помощ_за_домашно_задаване")</f>
        <v>помощ_за_домашно_задаване</v>
      </c>
    </row>
    <row r="436" spans="1:8" ht="13.2" x14ac:dyDescent="0.25">
      <c r="A436" s="1" t="str">
        <f ca="1">IFERROR(__xludf.DUMMYFUNCTION("GOOGLETRANSLATE(English!A436, ""en"", ""bg"")"),"conv_17715")</f>
        <v>conv_17715</v>
      </c>
      <c r="B436" s="1" t="str">
        <f ca="1">IFERROR(__xludf.DUMMYFUNCTION("GOOGLETRANSLATE(English!B436, ""en"", ""bg"")"),"биология")</f>
        <v>биология</v>
      </c>
      <c r="C436" s="1" t="str">
        <f ca="1">IFERROR(__xludf.DUMMYFUNCTION("GOOGLETRANSLATE(English!C436, ""en"", ""bg"")"),"високо")</f>
        <v>високо</v>
      </c>
      <c r="D436" s="1" t="str">
        <f ca="1">IFERROR(__xludf.DUMMYFUNCTION("GOOGLETRANSLATE(English!D436, ""en"", ""bg"")"),"синтез на протеини")</f>
        <v>синтез на протеини</v>
      </c>
      <c r="E436" s="1" t="str">
        <f ca="1">IFERROR(__xludf.DUMMYFUNCTION("GOOGLETRANSLATE(English!E436, ""en"", ""bg"")"),"Можете ли да ми помогнете? Какво е важно да знаем за синтеза на протеини?")</f>
        <v>Можете ли да ми помогнете? Какво е важно да знаем за синтеза на протеини?</v>
      </c>
      <c r="F436" s="1" t="str">
        <f ca="1">IFERROR(__xludf.DUMMYFUNCTION("GOOGLETRANSLATE(English!F436,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436" s="1" t="str">
        <f ca="1">IFERROR(__xludf.DUMMYFUNCTION("GOOGLETRANSLATE(English!G436, ""en"", ""bg"")"),"разговор")</f>
        <v>разговор</v>
      </c>
      <c r="H436" s="1" t="str">
        <f ca="1">IFERROR(__xludf.DUMMYFUNCTION("GOOGLETRANSLATE(English!H436, ""en"", ""bg"")"),"образователна_помощ")</f>
        <v>образователна_помощ</v>
      </c>
    </row>
    <row r="437" spans="1:8" ht="13.2" x14ac:dyDescent="0.25">
      <c r="A437" s="1" t="str">
        <f ca="1">IFERROR(__xludf.DUMMYFUNCTION("GOOGLETRANSLATE(English!A437, ""en"", ""bg"")"),"hw_09669")</f>
        <v>hw_09669</v>
      </c>
      <c r="B437" s="1" t="str">
        <f ca="1">IFERROR(__xludf.DUMMYFUNCTION("GOOGLETRANSLATE(English!B437, ""en"", ""bg"")"),"биология")</f>
        <v>биология</v>
      </c>
      <c r="C437" s="1" t="str">
        <f ca="1">IFERROR(__xludf.DUMMYFUNCTION("GOOGLETRANSLATE(English!C437, ""en"", ""bg"")"),"средата")</f>
        <v>средата</v>
      </c>
      <c r="D437" s="1" t="str">
        <f ca="1">IFERROR(__xludf.DUMMYFUNCTION("GOOGLETRANSLATE(English!D437, ""en"", ""bg"")"),"класификация")</f>
        <v>класификация</v>
      </c>
      <c r="E437" s="1" t="str">
        <f ca="1">IFERROR(__xludf.DUMMYFUNCTION("GOOGLETRANSLATE(English!E437, ""en"", ""bg"")"),"Трябва да напиша доклад за класификацията. Можете ли да ми помогнете да започна?")</f>
        <v>Трябва да напиша доклад за класификацията. Можете ли да ми помогнете да започна?</v>
      </c>
      <c r="F437" s="1" t="str">
        <f ca="1">IFERROR(__xludf.DUMMYFUNCTION("GOOGLETRANSLATE(English!F437,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437" s="1" t="str">
        <f ca="1">IFERROR(__xludf.DUMMYFUNCTION("GOOGLETRANSLATE(English!G437, ""en"", ""bg"")"),"помощ_за_домашно_изпълнение")</f>
        <v>помощ_за_домашно_изпълнение</v>
      </c>
      <c r="H437" s="1" t="str">
        <f ca="1">IFERROR(__xludf.DUMMYFUNCTION("GOOGLETRANSLATE(English!H437, ""en"", ""bg"")"),"помощ_за_домашно_задаване")</f>
        <v>помощ_за_домашно_задаване</v>
      </c>
    </row>
    <row r="438" spans="1:8" ht="13.2" x14ac:dyDescent="0.25">
      <c r="A438" s="1" t="str">
        <f ca="1">IFERROR(__xludf.DUMMYFUNCTION("GOOGLETRANSLATE(English!A438, ""en"", ""bg"")"),"conv_12301")</f>
        <v>conv_12301</v>
      </c>
      <c r="B438" s="1" t="str">
        <f ca="1">IFERROR(__xludf.DUMMYFUNCTION("GOOGLETRANSLATE(English!B438, ""en"", ""bg"")"),"физика")</f>
        <v>физика</v>
      </c>
      <c r="C438" s="1" t="str">
        <f ca="1">IFERROR(__xludf.DUMMYFUNCTION("GOOGLETRANSLATE(English!C438, ""en"", ""bg"")"),"елементарен")</f>
        <v>елементарен</v>
      </c>
      <c r="D438" s="1" t="str">
        <f ca="1">IFERROR(__xludf.DUMMYFUNCTION("GOOGLETRANSLATE(English!D438, ""en"", ""bg"")"),"светлина и сянка")</f>
        <v>светлина и сянка</v>
      </c>
      <c r="E438" s="1" t="str">
        <f ca="1">IFERROR(__xludf.DUMMYFUNCTION("GOOGLETRANSLATE(English!E438, ""en"", ""bg"")"),"Можете ли да ми помогнете? Как се правят сенките?")</f>
        <v>Можете ли да ми помогнете? Как се правят сенките?</v>
      </c>
      <c r="F438" s="1" t="str">
        <f ca="1">IFERROR(__xludf.DUMMYFUNCTION("GOOGLETRANSLATE(English!F438,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438" s="1" t="str">
        <f ca="1">IFERROR(__xludf.DUMMYFUNCTION("GOOGLETRANSLATE(English!G438, ""en"", ""bg"")"),"разговор")</f>
        <v>разговор</v>
      </c>
      <c r="H438" s="1" t="str">
        <f ca="1">IFERROR(__xludf.DUMMYFUNCTION("GOOGLETRANSLATE(English!H438, ""en"", ""bg"")"),"образователна_помощ")</f>
        <v>образователна_помощ</v>
      </c>
    </row>
    <row r="439" spans="1:8" ht="13.2" x14ac:dyDescent="0.25">
      <c r="A439" s="1" t="str">
        <f ca="1">IFERROR(__xludf.DUMMYFUNCTION("GOOGLETRANSLATE(English!A439, ""en"", ""bg"")"),"conv_16616")</f>
        <v>conv_16616</v>
      </c>
      <c r="B439" s="1" t="str">
        <f ca="1">IFERROR(__xludf.DUMMYFUNCTION("GOOGLETRANSLATE(English!B439, ""en"", ""bg"")"),"биология")</f>
        <v>биология</v>
      </c>
      <c r="C439" s="1" t="str">
        <f ca="1">IFERROR(__xludf.DUMMYFUNCTION("GOOGLETRANSLATE(English!C439, ""en"", ""bg"")"),"елементарен")</f>
        <v>елементарен</v>
      </c>
      <c r="D439" s="1" t="str">
        <f ca="1">IFERROR(__xludf.DUMMYFUNCTION("GOOGLETRANSLATE(English!D439, ""en"", ""bg"")"),"жизнени цикли")</f>
        <v>жизнени цикли</v>
      </c>
      <c r="E439" s="1" t="str">
        <f ca="1">IFERROR(__xludf.DUMMYFUNCTION("GOOGLETRANSLATE(English!E439, ""en"", ""bg"")"),"Имам нужда от помощ с домашното си. Как работят жизнените цикли?")</f>
        <v>Имам нужда от помощ с домашното си. Как работят жизнените цикли?</v>
      </c>
      <c r="F439" s="1" t="str">
        <f ca="1">IFERROR(__xludf.DUMMYFUNCTION("GOOGLETRANSLATE(English!F439,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439" s="1" t="str">
        <f ca="1">IFERROR(__xludf.DUMMYFUNCTION("GOOGLETRANSLATE(English!G439, ""en"", ""bg"")"),"разговор")</f>
        <v>разговор</v>
      </c>
      <c r="H439" s="1" t="str">
        <f ca="1">IFERROR(__xludf.DUMMYFUNCTION("GOOGLETRANSLATE(English!H439, ""en"", ""bg"")"),"образователна_помощ")</f>
        <v>образователна_помощ</v>
      </c>
    </row>
    <row r="440" spans="1:8" ht="13.2" x14ac:dyDescent="0.25">
      <c r="A440" s="1" t="str">
        <f ca="1">IFERROR(__xludf.DUMMYFUNCTION("GOOGLETRANSLATE(English!A440, ""en"", ""bg"")"),"qa_01872")</f>
        <v>qa_01872</v>
      </c>
      <c r="B440" s="1" t="str">
        <f ca="1">IFERROR(__xludf.DUMMYFUNCTION("GOOGLETRANSLATE(English!B440, ""en"", ""bg"")"),"физика")</f>
        <v>физика</v>
      </c>
      <c r="C440" s="1" t="str">
        <f ca="1">IFERROR(__xludf.DUMMYFUNCTION("GOOGLETRANSLATE(English!C440, ""en"", ""bg"")"),"елементарен")</f>
        <v>елементарен</v>
      </c>
      <c r="D440" s="1" t="str">
        <f ca="1">IFERROR(__xludf.DUMMYFUNCTION("GOOGLETRANSLATE(English!D440, ""en"", ""bg"")"),"бутане и дърпане")</f>
        <v>бутане и дърпане</v>
      </c>
      <c r="E440" s="1" t="str">
        <f ca="1">IFERROR(__xludf.DUMMYFUNCTION("GOOGLETRANSLATE(English!E440, ""en"", ""bg"")"),"Какво трябва да знам за бутането и дърпането?")</f>
        <v>Какво трябва да знам за бутането и дърпането?</v>
      </c>
      <c r="F440" s="1" t="str">
        <f ca="1">IFERROR(__xludf.DUMMYFUNCTION("GOOGLETRANSLATE(English!F440,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440" s="1" t="str">
        <f ca="1">IFERROR(__xludf.DUMMYFUNCTION("GOOGLETRANSLATE(English!G440, ""en"", ""bg"")"),"direct_qa")</f>
        <v>direct_qa</v>
      </c>
      <c r="H440" s="1" t="str">
        <f ca="1">IFERROR(__xludf.DUMMYFUNCTION("GOOGLETRANSLATE(English!H440, ""en"", ""bg"")"),"заявка_за_знание")</f>
        <v>заявка_за_знание</v>
      </c>
    </row>
    <row r="441" spans="1:8" ht="13.2" x14ac:dyDescent="0.25">
      <c r="A441" s="1" t="str">
        <f ca="1">IFERROR(__xludf.DUMMYFUNCTION("GOOGLETRANSLATE(English!A441, ""en"", ""bg"")"),"hw_09851")</f>
        <v>hw_09851</v>
      </c>
      <c r="B441" s="1" t="str">
        <f ca="1">IFERROR(__xludf.DUMMYFUNCTION("GOOGLETRANSLATE(English!B441, ""en"", ""bg"")"),"химия")</f>
        <v>химия</v>
      </c>
      <c r="C441" s="1" t="str">
        <f ca="1">IFERROR(__xludf.DUMMYFUNCTION("GOOGLETRANSLATE(English!C441, ""en"", ""bg"")"),"средата")</f>
        <v>средата</v>
      </c>
      <c r="D441" s="1" t="str">
        <f ca="1">IFERROR(__xludf.DUMMYFUNCTION("GOOGLETRANSLATE(English!D441, ""en"", ""bg"")"),"химични промени")</f>
        <v>химични промени</v>
      </c>
      <c r="E441" s="1" t="str">
        <f ca="1">IFERROR(__xludf.DUMMYFUNCTION("GOOGLETRANSLATE(English!E441, ""en"", ""bg"")"),"Имам проблеми с химичните промени в домашното си.")</f>
        <v>Имам проблеми с химичните промени в домашното си.</v>
      </c>
      <c r="F441" s="1" t="str">
        <f ca="1">IFERROR(__xludf.DUMMYFUNCTION("GOOGLETRANSLATE(English!F441,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41" s="1" t="str">
        <f ca="1">IFERROR(__xludf.DUMMYFUNCTION("GOOGLETRANSLATE(English!G441, ""en"", ""bg"")"),"помощ_за_домашно_изпълнение")</f>
        <v>помощ_за_домашно_изпълнение</v>
      </c>
      <c r="H441" s="1" t="str">
        <f ca="1">IFERROR(__xludf.DUMMYFUNCTION("GOOGLETRANSLATE(English!H441, ""en"", ""bg"")"),"помощ_за_домашно_задаване")</f>
        <v>помощ_за_домашно_задаване</v>
      </c>
    </row>
    <row r="442" spans="1:8" ht="13.2" x14ac:dyDescent="0.25">
      <c r="A442" s="1" t="str">
        <f ca="1">IFERROR(__xludf.DUMMYFUNCTION("GOOGLETRANSLATE(English!A442, ""en"", ""bg"")"),"qa_04529")</f>
        <v>qa_04529</v>
      </c>
      <c r="B442" s="1" t="str">
        <f ca="1">IFERROR(__xludf.DUMMYFUNCTION("GOOGLETRANSLATE(English!B442, ""en"", ""bg"")"),"химия")</f>
        <v>химия</v>
      </c>
      <c r="C442" s="1" t="str">
        <f ca="1">IFERROR(__xludf.DUMMYFUNCTION("GOOGLETRANSLATE(English!C442, ""en"", ""bg"")"),"високо")</f>
        <v>високо</v>
      </c>
      <c r="D442" s="1" t="str">
        <f ca="1">IFERROR(__xludf.DUMMYFUNCTION("GOOGLETRANSLATE(English!D442, ""en"", ""bg"")"),"равновесие")</f>
        <v>равновесие</v>
      </c>
      <c r="E442" s="1" t="str">
        <f ca="1">IFERROR(__xludf.DUMMYFUNCTION("GOOGLETRANSLATE(English!E442, ""en"", ""bg"")"),"Как работи равновесието в химията?")</f>
        <v>Как работи равновесието в химията?</v>
      </c>
      <c r="F442" s="1" t="str">
        <f ca="1">IFERROR(__xludf.DUMMYFUNCTION("GOOGLETRANSLATE(English!F442,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442" s="1" t="str">
        <f ca="1">IFERROR(__xludf.DUMMYFUNCTION("GOOGLETRANSLATE(English!G442, ""en"", ""bg"")"),"direct_qa")</f>
        <v>direct_qa</v>
      </c>
      <c r="H442" s="1" t="str">
        <f ca="1">IFERROR(__xludf.DUMMYFUNCTION("GOOGLETRANSLATE(English!H442, ""en"", ""bg"")"),"заявка_за_знание")</f>
        <v>заявка_за_знание</v>
      </c>
    </row>
    <row r="443" spans="1:8" ht="13.2" x14ac:dyDescent="0.25">
      <c r="A443" s="1" t="str">
        <f ca="1">IFERROR(__xludf.DUMMYFUNCTION("GOOGLETRANSLATE(English!A443, ""en"", ""bg"")"),"conv_17913")</f>
        <v>conv_17913</v>
      </c>
      <c r="B443" s="1" t="str">
        <f ca="1">IFERROR(__xludf.DUMMYFUNCTION("GOOGLETRANSLATE(English!B443, ""en"", ""bg"")"),"биология")</f>
        <v>биология</v>
      </c>
      <c r="C443" s="1" t="str">
        <f ca="1">IFERROR(__xludf.DUMMYFUNCTION("GOOGLETRANSLATE(English!C443, ""en"", ""bg"")"),"елементарен")</f>
        <v>елементарен</v>
      </c>
      <c r="D443" s="1" t="str">
        <f ca="1">IFERROR(__xludf.DUMMYFUNCTION("GOOGLETRANSLATE(English!D443, ""en"", ""bg"")"),"домашни любимци срещу диви животни")</f>
        <v>домашни любимци срещу диви животни</v>
      </c>
      <c r="E443" s="1" t="str">
        <f ca="1">IFERROR(__xludf.DUMMYFUNCTION("GOOGLETRANSLATE(English!E443, ""en"", ""bg"")"),"Не разбирам тази тема. Можете ли да ми разкажете за домашните любимци спрямо дивите животни?")</f>
        <v>Не разбирам тази тема. Можете ли да ми разкажете за домашните любимци спрямо дивите животни?</v>
      </c>
      <c r="F443" s="1" t="str">
        <f ca="1">IFERROR(__xludf.DUMMYFUNCTION("GOOGLETRANSLATE(English!F443, ""en"", ""bg"")"),"Домашни любимци срещу диви животни е завладяваща част от биологията! Тя ни помага да разберем как функционират живите същества.")</f>
        <v>Домашни любимци срещу диви животни е завладяваща част от биологията! Тя ни помага да разберем как функционират живите същества.</v>
      </c>
      <c r="G443" s="1" t="str">
        <f ca="1">IFERROR(__xludf.DUMMYFUNCTION("GOOGLETRANSLATE(English!G443, ""en"", ""bg"")"),"разговор")</f>
        <v>разговор</v>
      </c>
      <c r="H443" s="1" t="str">
        <f ca="1">IFERROR(__xludf.DUMMYFUNCTION("GOOGLETRANSLATE(English!H443, ""en"", ""bg"")"),"образователна_помощ")</f>
        <v>образователна_помощ</v>
      </c>
    </row>
    <row r="444" spans="1:8" ht="13.2" x14ac:dyDescent="0.25">
      <c r="A444" s="1" t="str">
        <f ca="1">IFERROR(__xludf.DUMMYFUNCTION("GOOGLETRANSLATE(English!A444, ""en"", ""bg"")"),"hw_11282")</f>
        <v>hw_11282</v>
      </c>
      <c r="B444" s="1" t="str">
        <f ca="1">IFERROR(__xludf.DUMMYFUNCTION("GOOGLETRANSLATE(English!B444, ""en"", ""bg"")"),"биология")</f>
        <v>биология</v>
      </c>
      <c r="C444" s="1" t="str">
        <f ca="1">IFERROR(__xludf.DUMMYFUNCTION("GOOGLETRANSLATE(English!C444, ""en"", ""bg"")"),"елементарен")</f>
        <v>елементарен</v>
      </c>
      <c r="D444" s="1" t="str">
        <f ca="1">IFERROR(__xludf.DUMMYFUNCTION("GOOGLETRANSLATE(English!D444, ""en"", ""bg"")"),"местообитания")</f>
        <v>местообитания</v>
      </c>
      <c r="E444" s="1" t="str">
        <f ca="1">IFERROR(__xludf.DUMMYFUNCTION("GOOGLETRANSLATE(English!E444, ""en"", ""bg"")"),"Можете ли да обясните местообитанията за моя научен проект?")</f>
        <v>Можете ли да обясните местообитанията за моя научен проект?</v>
      </c>
      <c r="F444" s="1" t="str">
        <f ca="1">IFERROR(__xludf.DUMMYFUNCTION("GOOGLETRANSLATE(English!F444,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444" s="1" t="str">
        <f ca="1">IFERROR(__xludf.DUMMYFUNCTION("GOOGLETRANSLATE(English!G444, ""en"", ""bg"")"),"помощ_за_домашно_изпълнение")</f>
        <v>помощ_за_домашно_изпълнение</v>
      </c>
      <c r="H444" s="1" t="str">
        <f ca="1">IFERROR(__xludf.DUMMYFUNCTION("GOOGLETRANSLATE(English!H444, ""en"", ""bg"")"),"помощ_за_домашно_задаване")</f>
        <v>помощ_за_домашно_задаване</v>
      </c>
    </row>
    <row r="445" spans="1:8" ht="13.2" x14ac:dyDescent="0.25">
      <c r="A445" s="1" t="str">
        <f ca="1">IFERROR(__xludf.DUMMYFUNCTION("GOOGLETRANSLATE(English!A445, ""en"", ""bg"")"),"conv_00368")</f>
        <v>conv_00368</v>
      </c>
      <c r="B445" s="1" t="str">
        <f ca="1">IFERROR(__xludf.DUMMYFUNCTION("GOOGLETRANSLATE(English!B445, ""en"", ""bg"")"),"химия")</f>
        <v>химия</v>
      </c>
      <c r="C445" s="1" t="str">
        <f ca="1">IFERROR(__xludf.DUMMYFUNCTION("GOOGLETRANSLATE(English!C445, ""en"", ""bg"")"),"средата")</f>
        <v>средата</v>
      </c>
      <c r="D445" s="1" t="str">
        <f ca="1">IFERROR(__xludf.DUMMYFUNCTION("GOOGLETRANSLATE(English!D445, ""en"", ""bg"")"),"химични промени")</f>
        <v>химични промени</v>
      </c>
      <c r="E445" s="1" t="str">
        <f ca="1">IFERROR(__xludf.DUMMYFUNCTION("GOOGLETRANSLATE(English!E445, ""en"", ""bg"")"),"Имам нужда от помощ с домашното. Можете ли да ми помогнете да разбера химичните промени?")</f>
        <v>Имам нужда от помощ с домашното. Можете ли да ми помогнете да разбера химичните промени?</v>
      </c>
      <c r="F445" s="1" t="str">
        <f ca="1">IFERROR(__xludf.DUMMYFUNCTION("GOOGLETRANSLATE(English!F445,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445" s="1" t="str">
        <f ca="1">IFERROR(__xludf.DUMMYFUNCTION("GOOGLETRANSLATE(English!G445, ""en"", ""bg"")"),"разговор")</f>
        <v>разговор</v>
      </c>
      <c r="H445" s="1" t="str">
        <f ca="1">IFERROR(__xludf.DUMMYFUNCTION("GOOGLETRANSLATE(English!H445, ""en"", ""bg"")"),"образователна_помощ")</f>
        <v>образователна_помощ</v>
      </c>
    </row>
    <row r="446" spans="1:8" ht="13.2" x14ac:dyDescent="0.25">
      <c r="A446" s="1" t="str">
        <f ca="1">IFERROR(__xludf.DUMMYFUNCTION("GOOGLETRANSLATE(English!A446, ""en"", ""bg"")"),"qa_07851")</f>
        <v>qa_07851</v>
      </c>
      <c r="B446" s="1" t="str">
        <f ca="1">IFERROR(__xludf.DUMMYFUNCTION("GOOGLETRANSLATE(English!B446, ""en"", ""bg"")"),"физика")</f>
        <v>физика</v>
      </c>
      <c r="C446" s="1" t="str">
        <f ca="1">IFERROR(__xludf.DUMMYFUNCTION("GOOGLETRANSLATE(English!C446, ""en"", ""bg"")"),"елементарен")</f>
        <v>елементарен</v>
      </c>
      <c r="D446" s="1" t="str">
        <f ca="1">IFERROR(__xludf.DUMMYFUNCTION("GOOGLETRANSLATE(English!D446, ""en"", ""bg"")"),"плаващ и потъващ")</f>
        <v>плаващ и потъващ</v>
      </c>
      <c r="E446" s="1" t="str">
        <f ca="1">IFERROR(__xludf.DUMMYFUNCTION("GOOGLETRANSLATE(English!E446, ""en"", ""bg"")"),"Защо е важно да се носиш и да потъваш?")</f>
        <v>Защо е важно да се носиш и да потъваш?</v>
      </c>
      <c r="F446" s="1" t="str">
        <f ca="1">IFERROR(__xludf.DUMMYFUNCTION("GOOGLETRANSLATE(English!F446,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446" s="1" t="str">
        <f ca="1">IFERROR(__xludf.DUMMYFUNCTION("GOOGLETRANSLATE(English!G446, ""en"", ""bg"")"),"direct_qa")</f>
        <v>direct_qa</v>
      </c>
      <c r="H446" s="1" t="str">
        <f ca="1">IFERROR(__xludf.DUMMYFUNCTION("GOOGLETRANSLATE(English!H446, ""en"", ""bg"")"),"заявка_за_знание")</f>
        <v>заявка_за_знание</v>
      </c>
    </row>
    <row r="447" spans="1:8" ht="13.2" x14ac:dyDescent="0.25">
      <c r="A447" s="1" t="str">
        <f ca="1">IFERROR(__xludf.DUMMYFUNCTION("GOOGLETRANSLATE(English!A447, ""en"", ""bg"")"),"qa_01575")</f>
        <v>qa_01575</v>
      </c>
      <c r="B447" s="1" t="str">
        <f ca="1">IFERROR(__xludf.DUMMYFUNCTION("GOOGLETRANSLATE(English!B447, ""en"", ""bg"")"),"биология")</f>
        <v>биология</v>
      </c>
      <c r="C447" s="1" t="str">
        <f ca="1">IFERROR(__xludf.DUMMYFUNCTION("GOOGLETRANSLATE(English!C447, ""en"", ""bg"")"),"елементарен")</f>
        <v>елементарен</v>
      </c>
      <c r="D447" s="1" t="str">
        <f ca="1">IFERROR(__xludf.DUMMYFUNCTION("GOOGLETRANSLATE(English!D447, ""en"", ""bg"")"),"животни")</f>
        <v>животни</v>
      </c>
      <c r="E447" s="1" t="str">
        <f ca="1">IFERROR(__xludf.DUMMYFUNCTION("GOOGLETRANSLATE(English!E447, ""en"", ""bg"")"),"Как животните се защитават?")</f>
        <v>Как животните се защитават?</v>
      </c>
      <c r="F447" s="1" t="str">
        <f ca="1">IFERROR(__xludf.DUMMYFUNCTION("GOOGLETRANSLATE(English!F447, ""en"", ""bg"")"),"Животните се защитават по много начини: камуфлаж, бързо бягане, остри зъби или нокти или живот на групи!")</f>
        <v>Животните се защитават по много начини: камуфлаж, бързо бягане, остри зъби или нокти или живот на групи!</v>
      </c>
      <c r="G447" s="1" t="str">
        <f ca="1">IFERROR(__xludf.DUMMYFUNCTION("GOOGLETRANSLATE(English!G447, ""en"", ""bg"")"),"direct_qa")</f>
        <v>direct_qa</v>
      </c>
      <c r="H447" s="1" t="str">
        <f ca="1">IFERROR(__xludf.DUMMYFUNCTION("GOOGLETRANSLATE(English!H447, ""en"", ""bg"")"),"заявка_за_знание")</f>
        <v>заявка_за_знание</v>
      </c>
    </row>
    <row r="448" spans="1:8" ht="13.2" x14ac:dyDescent="0.25">
      <c r="A448" s="1" t="str">
        <f ca="1">IFERROR(__xludf.DUMMYFUNCTION("GOOGLETRANSLATE(English!A448, ""en"", ""bg"")"),"conv_08123")</f>
        <v>conv_08123</v>
      </c>
      <c r="B448" s="1" t="str">
        <f ca="1">IFERROR(__xludf.DUMMYFUNCTION("GOOGLETRANSLATE(English!B448, ""en"", ""bg"")"),"биология")</f>
        <v>биология</v>
      </c>
      <c r="C448" s="1" t="str">
        <f ca="1">IFERROR(__xludf.DUMMYFUNCTION("GOOGLETRANSLATE(English!C448, ""en"", ""bg"")"),"високо")</f>
        <v>високо</v>
      </c>
      <c r="D448" s="1" t="str">
        <f ca="1">IFERROR(__xludf.DUMMYFUNCTION("GOOGLETRANSLATE(English!D448, ""en"", ""bg"")"),"Структура на ДНК")</f>
        <v>Структура на ДНК</v>
      </c>
      <c r="E448" s="1" t="str">
        <f ca="1">IFERROR(__xludf.DUMMYFUNCTION("GOOGLETRANSLATE(English!E448, ""en"", ""bg"")"),"Имам научен въпрос. Какво е важно да знаем за структурата на ДНК?")</f>
        <v>Имам научен въпрос. Какво е важно да знаем за структурата на ДНК?</v>
      </c>
      <c r="F448" s="1" t="str">
        <f ca="1">IFERROR(__xludf.DUMMYFUNCTION("GOOGLETRANSLATE(English!F448,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448" s="1" t="str">
        <f ca="1">IFERROR(__xludf.DUMMYFUNCTION("GOOGLETRANSLATE(English!G448, ""en"", ""bg"")"),"разговор")</f>
        <v>разговор</v>
      </c>
      <c r="H448" s="1" t="str">
        <f ca="1">IFERROR(__xludf.DUMMYFUNCTION("GOOGLETRANSLATE(English!H448, ""en"", ""bg"")"),"образователна_помощ")</f>
        <v>образователна_помощ</v>
      </c>
    </row>
    <row r="449" spans="1:8" ht="13.2" x14ac:dyDescent="0.25">
      <c r="A449" s="1" t="str">
        <f ca="1">IFERROR(__xludf.DUMMYFUNCTION("GOOGLETRANSLATE(English!A449, ""en"", ""bg"")"),"conv_01363")</f>
        <v>conv_01363</v>
      </c>
      <c r="B449" s="1" t="str">
        <f ca="1">IFERROR(__xludf.DUMMYFUNCTION("GOOGLETRANSLATE(English!B449, ""en"", ""bg"")"),"биология")</f>
        <v>биология</v>
      </c>
      <c r="C449" s="1" t="str">
        <f ca="1">IFERROR(__xludf.DUMMYFUNCTION("GOOGLETRANSLATE(English!C449, ""en"", ""bg"")"),"елементарен")</f>
        <v>елементарен</v>
      </c>
      <c r="D449" s="1" t="str">
        <f ca="1">IFERROR(__xludf.DUMMYFUNCTION("GOOGLETRANSLATE(English!D449, ""en"", ""bg"")"),"домашни любимци срещу диви животни")</f>
        <v>домашни любимци срещу диви животни</v>
      </c>
      <c r="E449" s="1" t="str">
        <f ca="1">IFERROR(__xludf.DUMMYFUNCTION("GOOGLETRANSLATE(English!E449, ""en"", ""bg"")"),"Можете ли да ми помогнете? Какво е важно да знаем за домашните любимци спрямо дивите животни?")</f>
        <v>Можете ли да ми помогнете? Какво е важно да знаем за домашните любимци спрямо дивите животни?</v>
      </c>
      <c r="F449" s="1" t="str">
        <f ca="1">IFERROR(__xludf.DUMMYFUNCTION("GOOGLETRANSLATE(English!F449,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449" s="1" t="str">
        <f ca="1">IFERROR(__xludf.DUMMYFUNCTION("GOOGLETRANSLATE(English!G449, ""en"", ""bg"")"),"разговор")</f>
        <v>разговор</v>
      </c>
      <c r="H449" s="1" t="str">
        <f ca="1">IFERROR(__xludf.DUMMYFUNCTION("GOOGLETRANSLATE(English!H449, ""en"", ""bg"")"),"образователна_помощ")</f>
        <v>образователна_помощ</v>
      </c>
    </row>
    <row r="450" spans="1:8" ht="13.2" x14ac:dyDescent="0.25">
      <c r="A450" s="1" t="str">
        <f ca="1">IFERROR(__xludf.DUMMYFUNCTION("GOOGLETRANSLATE(English!A450, ""en"", ""bg"")"),"conv_12629")</f>
        <v>conv_12629</v>
      </c>
      <c r="B450" s="1" t="str">
        <f ca="1">IFERROR(__xludf.DUMMYFUNCTION("GOOGLETRANSLATE(English!B450, ""en"", ""bg"")"),"физика")</f>
        <v>физика</v>
      </c>
      <c r="C450" s="1" t="str">
        <f ca="1">IFERROR(__xludf.DUMMYFUNCTION("GOOGLETRANSLATE(English!C450, ""en"", ""bg"")"),"средата")</f>
        <v>средата</v>
      </c>
      <c r="D450" s="1" t="str">
        <f ca="1">IFERROR(__xludf.DUMMYFUNCTION("GOOGLETRANSLATE(English!D450, ""en"", ""bg"")"),"плътност")</f>
        <v>плътност</v>
      </c>
      <c r="E450" s="1" t="str">
        <f ca="1">IFERROR(__xludf.DUMMYFUNCTION("GOOGLETRANSLATE(English!E450, ""en"", ""bg"")"),"Не разбирам тази тема. Защо плътността е важна?")</f>
        <v>Не разбирам тази тема. Защо плътността е важна?</v>
      </c>
      <c r="F450" s="1" t="str">
        <f ca="1">IFERROR(__xludf.DUMMYFUNCTION("GOOGLETRANSLATE(English!F450,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450" s="1" t="str">
        <f ca="1">IFERROR(__xludf.DUMMYFUNCTION("GOOGLETRANSLATE(English!G450, ""en"", ""bg"")"),"разговор")</f>
        <v>разговор</v>
      </c>
      <c r="H450" s="1" t="str">
        <f ca="1">IFERROR(__xludf.DUMMYFUNCTION("GOOGLETRANSLATE(English!H450, ""en"", ""bg"")"),"образователна_помощ")</f>
        <v>образователна_помощ</v>
      </c>
    </row>
    <row r="451" spans="1:8" ht="13.2" x14ac:dyDescent="0.25">
      <c r="A451" s="1" t="str">
        <f ca="1">IFERROR(__xludf.DUMMYFUNCTION("GOOGLETRANSLATE(English!A451, ""en"", ""bg"")"),"qa_13958")</f>
        <v>qa_13958</v>
      </c>
      <c r="B451" s="1" t="str">
        <f ca="1">IFERROR(__xludf.DUMMYFUNCTION("GOOGLETRANSLATE(English!B451, ""en"", ""bg"")"),"биология")</f>
        <v>биология</v>
      </c>
      <c r="C451" s="1" t="str">
        <f ca="1">IFERROR(__xludf.DUMMYFUNCTION("GOOGLETRANSLATE(English!C451, ""en"", ""bg"")"),"средата")</f>
        <v>средата</v>
      </c>
      <c r="D451" s="1" t="str">
        <f ca="1">IFERROR(__xludf.DUMMYFUNCTION("GOOGLETRANSLATE(English!D451, ""en"", ""bg"")"),"размножаване")</f>
        <v>размножаване</v>
      </c>
      <c r="E451" s="1" t="str">
        <f ca="1">IFERROR(__xludf.DUMMYFUNCTION("GOOGLETRANSLATE(English!E451, ""en"", ""bg"")"),"Можете ли да ми разкажете за размножаването?")</f>
        <v>Можете ли да ми разкажете за размножаването?</v>
      </c>
      <c r="F451" s="1" t="str">
        <f ca="1">IFERROR(__xludf.DUMMYFUNCTION("GOOGLETRANSLATE(English!F451,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451" s="1" t="str">
        <f ca="1">IFERROR(__xludf.DUMMYFUNCTION("GOOGLETRANSLATE(English!G451, ""en"", ""bg"")"),"direct_qa")</f>
        <v>direct_qa</v>
      </c>
      <c r="H451" s="1" t="str">
        <f ca="1">IFERROR(__xludf.DUMMYFUNCTION("GOOGLETRANSLATE(English!H451, ""en"", ""bg"")"),"заявка_за_знание")</f>
        <v>заявка_за_знание</v>
      </c>
    </row>
    <row r="452" spans="1:8" ht="13.2" x14ac:dyDescent="0.25">
      <c r="A452" s="1" t="str">
        <f ca="1">IFERROR(__xludf.DUMMYFUNCTION("GOOGLETRANSLATE(English!A452, ""en"", ""bg"")"),"conv_00747")</f>
        <v>conv_00747</v>
      </c>
      <c r="B452" s="1" t="str">
        <f ca="1">IFERROR(__xludf.DUMMYFUNCTION("GOOGLETRANSLATE(English!B452, ""en"", ""bg"")"),"химия")</f>
        <v>химия</v>
      </c>
      <c r="C452" s="1" t="str">
        <f ca="1">IFERROR(__xludf.DUMMYFUNCTION("GOOGLETRANSLATE(English!C452, ""en"", ""bg"")"),"средата")</f>
        <v>средата</v>
      </c>
      <c r="D452" s="1" t="str">
        <f ca="1">IFERROR(__xludf.DUMMYFUNCTION("GOOGLETRANSLATE(English!D452, ""en"", ""bg"")"),"съединения срещу елементи")</f>
        <v>съединения срещу елементи</v>
      </c>
      <c r="E452" s="1" t="str">
        <f ca="1">IFERROR(__xludf.DUMMYFUNCTION("GOOGLETRANSLATE(English!E452, ""en"", ""bg"")"),"Имам научен въпрос. Можете ли да ми помогнете да разбера какво представляват съединенията и елементите?")</f>
        <v>Имам научен въпрос. Можете ли да ми помогнете да разбера какво представляват съединенията и елементите?</v>
      </c>
      <c r="F452" s="1" t="str">
        <f ca="1">IFERROR(__xludf.DUMMYFUNCTION("GOOGLETRANSLATE(English!F452,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452" s="1" t="str">
        <f ca="1">IFERROR(__xludf.DUMMYFUNCTION("GOOGLETRANSLATE(English!G452, ""en"", ""bg"")"),"разговор")</f>
        <v>разговор</v>
      </c>
      <c r="H452" s="1" t="str">
        <f ca="1">IFERROR(__xludf.DUMMYFUNCTION("GOOGLETRANSLATE(English!H452, ""en"", ""bg"")"),"образователна_помощ")</f>
        <v>образователна_помощ</v>
      </c>
    </row>
    <row r="453" spans="1:8" ht="13.2" x14ac:dyDescent="0.25">
      <c r="A453" s="1" t="str">
        <f ca="1">IFERROR(__xludf.DUMMYFUNCTION("GOOGLETRANSLATE(English!A453, ""en"", ""bg"")"),"qa_14360")</f>
        <v>qa_14360</v>
      </c>
      <c r="B453" s="1" t="str">
        <f ca="1">IFERROR(__xludf.DUMMYFUNCTION("GOOGLETRANSLATE(English!B453, ""en"", ""bg"")"),"биология")</f>
        <v>биология</v>
      </c>
      <c r="C453" s="1" t="str">
        <f ca="1">IFERROR(__xludf.DUMMYFUNCTION("GOOGLETRANSLATE(English!C453, ""en"", ""bg"")"),"високо")</f>
        <v>високо</v>
      </c>
      <c r="D453" s="1" t="str">
        <f ca="1">IFERROR(__xludf.DUMMYFUNCTION("GOOGLETRANSLATE(English!D453, ""en"", ""bg"")"),"Структура на ДНК")</f>
        <v>Структура на ДНК</v>
      </c>
      <c r="E453" s="1" t="str">
        <f ca="1">IFERROR(__xludf.DUMMYFUNCTION("GOOGLETRANSLATE(English!E453, ""en"", ""bg"")"),"Какво е важно да знаем за структурата на ДНК?")</f>
        <v>Какво е важно да знаем за структурата на ДНК?</v>
      </c>
      <c r="F453" s="1" t="str">
        <f ca="1">IFERROR(__xludf.DUMMYFUNCTION("GOOGLETRANSLATE(English!F453,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453" s="1" t="str">
        <f ca="1">IFERROR(__xludf.DUMMYFUNCTION("GOOGLETRANSLATE(English!G453, ""en"", ""bg"")"),"direct_qa")</f>
        <v>direct_qa</v>
      </c>
      <c r="H453" s="1" t="str">
        <f ca="1">IFERROR(__xludf.DUMMYFUNCTION("GOOGLETRANSLATE(English!H453, ""en"", ""bg"")"),"заявка_за_знание")</f>
        <v>заявка_за_знание</v>
      </c>
    </row>
    <row r="454" spans="1:8" ht="13.2" x14ac:dyDescent="0.25">
      <c r="A454" s="1" t="str">
        <f ca="1">IFERROR(__xludf.DUMMYFUNCTION("GOOGLETRANSLATE(English!A454, ""en"", ""bg"")"),"conv_08442")</f>
        <v>conv_08442</v>
      </c>
      <c r="B454" s="1" t="str">
        <f ca="1">IFERROR(__xludf.DUMMYFUNCTION("GOOGLETRANSLATE(English!B454, ""en"", ""bg"")"),"биология")</f>
        <v>биология</v>
      </c>
      <c r="C454" s="1" t="str">
        <f ca="1">IFERROR(__xludf.DUMMYFUNCTION("GOOGLETRANSLATE(English!C454, ""en"", ""bg"")"),"елементарен")</f>
        <v>елементарен</v>
      </c>
      <c r="D454" s="1" t="str">
        <f ca="1">IFERROR(__xludf.DUMMYFUNCTION("GOOGLETRANSLATE(English!D454, ""en"", ""bg"")"),"домашни любимци срещу диви животни")</f>
        <v>домашни любимци срещу диви животни</v>
      </c>
      <c r="E454" s="1" t="str">
        <f ca="1">IFERROR(__xludf.DUMMYFUNCTION("GOOGLETRANSLATE(English!E454, ""en"", ""bg"")"),"Не разбирам тази тема. Как се различават домашните любимци от дивите животни?")</f>
        <v>Не разбирам тази тема. Как се различават домашните любимци от дивите животни?</v>
      </c>
      <c r="F454" s="1" t="str">
        <f ca="1">IFERROR(__xludf.DUMMYFUNCTION("GOOGLETRANSLATE(English!F454,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454" s="1" t="str">
        <f ca="1">IFERROR(__xludf.DUMMYFUNCTION("GOOGLETRANSLATE(English!G454, ""en"", ""bg"")"),"разговор")</f>
        <v>разговор</v>
      </c>
      <c r="H454" s="1" t="str">
        <f ca="1">IFERROR(__xludf.DUMMYFUNCTION("GOOGLETRANSLATE(English!H454, ""en"", ""bg"")"),"образователна_помощ")</f>
        <v>образователна_помощ</v>
      </c>
    </row>
    <row r="455" spans="1:8" ht="13.2" x14ac:dyDescent="0.25">
      <c r="A455" s="1" t="str">
        <f ca="1">IFERROR(__xludf.DUMMYFUNCTION("GOOGLETRANSLATE(English!A455, ""en"", ""bg"")"),"conv_11705")</f>
        <v>conv_11705</v>
      </c>
      <c r="B455" s="1" t="str">
        <f ca="1">IFERROR(__xludf.DUMMYFUNCTION("GOOGLETRANSLATE(English!B455, ""en"", ""bg"")"),"химия")</f>
        <v>химия</v>
      </c>
      <c r="C455" s="1" t="str">
        <f ca="1">IFERROR(__xludf.DUMMYFUNCTION("GOOGLETRANSLATE(English!C455, ""en"", ""bg"")"),"средата")</f>
        <v>средата</v>
      </c>
      <c r="D455" s="1" t="str">
        <f ca="1">IFERROR(__xludf.DUMMYFUNCTION("GOOGLETRANSLATE(English!D455, ""en"", ""bg"")"),"химични промени")</f>
        <v>химични промени</v>
      </c>
      <c r="E455" s="1" t="str">
        <f ca="1">IFERROR(__xludf.DUMMYFUNCTION("GOOGLETRANSLATE(English!E455, ""en"", ""bg"")"),"Здравей, преподавателю! Защо е важно да се изучават химични промени?")</f>
        <v>Здравей, преподавателю! Защо е важно да се изучават химични промени?</v>
      </c>
      <c r="F455" s="1" t="str">
        <f ca="1">IFERROR(__xludf.DUMMYFUNCTION("GOOGLETRANSLATE(English!F455,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455" s="1" t="str">
        <f ca="1">IFERROR(__xludf.DUMMYFUNCTION("GOOGLETRANSLATE(English!G455, ""en"", ""bg"")"),"разговор")</f>
        <v>разговор</v>
      </c>
      <c r="H455" s="1" t="str">
        <f ca="1">IFERROR(__xludf.DUMMYFUNCTION("GOOGLETRANSLATE(English!H455, ""en"", ""bg"")"),"образователна_помощ")</f>
        <v>образователна_помощ</v>
      </c>
    </row>
    <row r="456" spans="1:8" ht="13.2" x14ac:dyDescent="0.25">
      <c r="A456" s="1" t="str">
        <f ca="1">IFERROR(__xludf.DUMMYFUNCTION("GOOGLETRANSLATE(English!A456, ""en"", ""bg"")"),"conv_16391")</f>
        <v>conv_16391</v>
      </c>
      <c r="B456" s="1" t="str">
        <f ca="1">IFERROR(__xludf.DUMMYFUNCTION("GOOGLETRANSLATE(English!B456, ""en"", ""bg"")"),"химия")</f>
        <v>химия</v>
      </c>
      <c r="C456" s="1" t="str">
        <f ca="1">IFERROR(__xludf.DUMMYFUNCTION("GOOGLETRANSLATE(English!C456, ""en"", ""bg"")"),"елементарен")</f>
        <v>елементарен</v>
      </c>
      <c r="D456" s="1" t="str">
        <f ca="1">IFERROR(__xludf.DUMMYFUNCTION("GOOGLETRANSLATE(English!D456, ""en"", ""bg"")"),"смесване на материали")</f>
        <v>смесване на материали</v>
      </c>
      <c r="E456" s="1" t="str">
        <f ca="1">IFERROR(__xludf.DUMMYFUNCTION("GOOGLETRANSLATE(English!E456, ""en"", ""bg"")"),"Можете ли да ми помогнете? Как може да се отдели солта от водата?")</f>
        <v>Можете ли да ми помогнете? Как може да се отдели солта от водата?</v>
      </c>
      <c r="F456" s="1" t="str">
        <f ca="1">IFERROR(__xludf.DUMMYFUNCTION("GOOGLETRANSLATE(English!F456,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456" s="1" t="str">
        <f ca="1">IFERROR(__xludf.DUMMYFUNCTION("GOOGLETRANSLATE(English!G456, ""en"", ""bg"")"),"разговор")</f>
        <v>разговор</v>
      </c>
      <c r="H456" s="1" t="str">
        <f ca="1">IFERROR(__xludf.DUMMYFUNCTION("GOOGLETRANSLATE(English!H456, ""en"", ""bg"")"),"образователна_помощ")</f>
        <v>образователна_помощ</v>
      </c>
    </row>
    <row r="457" spans="1:8" ht="13.2" x14ac:dyDescent="0.25">
      <c r="A457" s="1" t="str">
        <f ca="1">IFERROR(__xludf.DUMMYFUNCTION("GOOGLETRANSLATE(English!A457, ""en"", ""bg"")"),"hw_07560")</f>
        <v>hw_07560</v>
      </c>
      <c r="B457" s="1" t="str">
        <f ca="1">IFERROR(__xludf.DUMMYFUNCTION("GOOGLETRANSLATE(English!B457, ""en"", ""bg"")"),"физика")</f>
        <v>физика</v>
      </c>
      <c r="C457" s="1" t="str">
        <f ca="1">IFERROR(__xludf.DUMMYFUNCTION("GOOGLETRANSLATE(English!C457, ""en"", ""bg"")"),"високо")</f>
        <v>високо</v>
      </c>
      <c r="D457" s="1" t="str">
        <f ca="1">IFERROR(__xludf.DUMMYFUNCTION("GOOGLETRANSLATE(English!D457, ""en"", ""bg"")"),"термодинамика")</f>
        <v>термодинамика</v>
      </c>
      <c r="E457" s="1" t="str">
        <f ca="1">IFERROR(__xludf.DUMMYFUNCTION("GOOGLETRANSLATE(English!E457, ""en"", ""bg"")"),"Трябва да разбирам термодинамиката за изпита си.")</f>
        <v>Трябва да разбирам термодинамиката за изпита си.</v>
      </c>
      <c r="F457" s="1" t="str">
        <f ca="1">IFERROR(__xludf.DUMMYFUNCTION("GOOGLETRANSLATE(English!F457,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457" s="1" t="str">
        <f ca="1">IFERROR(__xludf.DUMMYFUNCTION("GOOGLETRANSLATE(English!G457, ""en"", ""bg"")"),"помощ_за_домашно_изпълнение")</f>
        <v>помощ_за_домашно_изпълнение</v>
      </c>
      <c r="H457" s="1" t="str">
        <f ca="1">IFERROR(__xludf.DUMMYFUNCTION("GOOGLETRANSLATE(English!H457, ""en"", ""bg"")"),"помощ_за_домашно_задаване")</f>
        <v>помощ_за_домашно_задаване</v>
      </c>
    </row>
    <row r="458" spans="1:8" ht="13.2" x14ac:dyDescent="0.25">
      <c r="A458" s="1" t="str">
        <f ca="1">IFERROR(__xludf.DUMMYFUNCTION("GOOGLETRANSLATE(English!A458, ""en"", ""bg"")"),"hw_11489")</f>
        <v>hw_11489</v>
      </c>
      <c r="B458" s="1" t="str">
        <f ca="1">IFERROR(__xludf.DUMMYFUNCTION("GOOGLETRANSLATE(English!B458, ""en"", ""bg"")"),"химия")</f>
        <v>химия</v>
      </c>
      <c r="C458" s="1" t="str">
        <f ca="1">IFERROR(__xludf.DUMMYFUNCTION("GOOGLETRANSLATE(English!C458, ""en"", ""bg"")"),"средата")</f>
        <v>средата</v>
      </c>
      <c r="D458" s="1" t="str">
        <f ca="1">IFERROR(__xludf.DUMMYFUNCTION("GOOGLETRANSLATE(English!D458, ""en"", ""bg"")"),"химични реакции")</f>
        <v>химични реакции</v>
      </c>
      <c r="E458" s="1" t="str">
        <f ca="1">IFERROR(__xludf.DUMMYFUNCTION("GOOGLETRANSLATE(English!E458, ""en"", ""bg"")"),"Имам проблеми с химичните реакции в домашното си.")</f>
        <v>Имам проблеми с химичните реакции в домашното си.</v>
      </c>
      <c r="F458" s="1" t="str">
        <f ca="1">IFERROR(__xludf.DUMMYFUNCTION("GOOGLETRANSLATE(English!F458,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458" s="1" t="str">
        <f ca="1">IFERROR(__xludf.DUMMYFUNCTION("GOOGLETRANSLATE(English!G458, ""en"", ""bg"")"),"помощ_за_домашно_изпълнение")</f>
        <v>помощ_за_домашно_изпълнение</v>
      </c>
      <c r="H458" s="1" t="str">
        <f ca="1">IFERROR(__xludf.DUMMYFUNCTION("GOOGLETRANSLATE(English!H458, ""en"", ""bg"")"),"помощ_за_домашно_задаване")</f>
        <v>помощ_за_домашно_задаване</v>
      </c>
    </row>
    <row r="459" spans="1:8" ht="13.2" x14ac:dyDescent="0.25">
      <c r="A459" s="1" t="str">
        <f ca="1">IFERROR(__xludf.DUMMYFUNCTION("GOOGLETRANSLATE(English!A459, ""en"", ""bg"")"),"conv_07959")</f>
        <v>conv_07959</v>
      </c>
      <c r="B459" s="1" t="str">
        <f ca="1">IFERROR(__xludf.DUMMYFUNCTION("GOOGLETRANSLATE(English!B459, ""en"", ""bg"")"),"химия")</f>
        <v>химия</v>
      </c>
      <c r="C459" s="1" t="str">
        <f ca="1">IFERROR(__xludf.DUMMYFUNCTION("GOOGLETRANSLATE(English!C459, ""en"", ""bg"")"),"високо")</f>
        <v>високо</v>
      </c>
      <c r="D459" s="1" t="str">
        <f ca="1">IFERROR(__xludf.DUMMYFUNCTION("GOOGLETRANSLATE(English!D459, ""en"", ""bg"")"),"органична химия")</f>
        <v>органична химия</v>
      </c>
      <c r="E459" s="1" t="str">
        <f ca="1">IFERROR(__xludf.DUMMYFUNCTION("GOOGLETRANSLATE(English!E459, ""en"", ""bg"")"),"Имам нужда от помощ с домашното. Какво представлява органичната химия?")</f>
        <v>Имам нужда от помощ с домашното. Какво представлява органичната химия?</v>
      </c>
      <c r="F459" s="1" t="str">
        <f ca="1">IFERROR(__xludf.DUMMYFUNCTION("GOOGLETRANSLATE(English!F459,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459" s="1" t="str">
        <f ca="1">IFERROR(__xludf.DUMMYFUNCTION("GOOGLETRANSLATE(English!G459, ""en"", ""bg"")"),"разговор")</f>
        <v>разговор</v>
      </c>
      <c r="H459" s="1" t="str">
        <f ca="1">IFERROR(__xludf.DUMMYFUNCTION("GOOGLETRANSLATE(English!H459, ""en"", ""bg"")"),"образователна_помощ")</f>
        <v>образователна_помощ</v>
      </c>
    </row>
    <row r="460" spans="1:8" ht="13.2" x14ac:dyDescent="0.25">
      <c r="A460" s="1" t="str">
        <f ca="1">IFERROR(__xludf.DUMMYFUNCTION("GOOGLETRANSLATE(English!A460, ""en"", ""bg"")"),"qa_04911")</f>
        <v>qa_04911</v>
      </c>
      <c r="B460" s="1" t="str">
        <f ca="1">IFERROR(__xludf.DUMMYFUNCTION("GOOGLETRANSLATE(English!B460, ""en"", ""bg"")"),"биология")</f>
        <v>биология</v>
      </c>
      <c r="C460" s="1" t="str">
        <f ca="1">IFERROR(__xludf.DUMMYFUNCTION("GOOGLETRANSLATE(English!C460, ""en"", ""bg"")"),"средата")</f>
        <v>средата</v>
      </c>
      <c r="D460" s="1" t="str">
        <f ca="1">IFERROR(__xludf.DUMMYFUNCTION("GOOGLETRANSLATE(English!D460, ""en"", ""bg"")"),"основи на еволюцията")</f>
        <v>основи на еволюцията</v>
      </c>
      <c r="E460" s="1" t="str">
        <f ca="1">IFERROR(__xludf.DUMMYFUNCTION("GOOGLETRANSLATE(English!E460, ""en"", ""bg"")"),"Можете ли да ми разкажете за основите на еволюцията?")</f>
        <v>Можете ли да ми разкажете за основите на еволюцията?</v>
      </c>
      <c r="F460" s="1" t="str">
        <f ca="1">IFERROR(__xludf.DUMMYFUNCTION("GOOGLETRANSLATE(English!F460,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460" s="1" t="str">
        <f ca="1">IFERROR(__xludf.DUMMYFUNCTION("GOOGLETRANSLATE(English!G460, ""en"", ""bg"")"),"direct_qa")</f>
        <v>direct_qa</v>
      </c>
      <c r="H460" s="1" t="str">
        <f ca="1">IFERROR(__xludf.DUMMYFUNCTION("GOOGLETRANSLATE(English!H460, ""en"", ""bg"")"),"заявка_за_знание")</f>
        <v>заявка_за_знание</v>
      </c>
    </row>
    <row r="461" spans="1:8" ht="13.2" x14ac:dyDescent="0.25">
      <c r="A461" s="1" t="str">
        <f ca="1">IFERROR(__xludf.DUMMYFUNCTION("GOOGLETRANSLATE(English!A461, ""en"", ""bg"")"),"conv_02814")</f>
        <v>conv_02814</v>
      </c>
      <c r="B461" s="1" t="str">
        <f ca="1">IFERROR(__xludf.DUMMYFUNCTION("GOOGLETRANSLATE(English!B461, ""en"", ""bg"")"),"физика")</f>
        <v>физика</v>
      </c>
      <c r="C461" s="1" t="str">
        <f ca="1">IFERROR(__xludf.DUMMYFUNCTION("GOOGLETRANSLATE(English!C461, ""en"", ""bg"")"),"средата")</f>
        <v>средата</v>
      </c>
      <c r="D461" s="1" t="str">
        <f ca="1">IFERROR(__xludf.DUMMYFUNCTION("GOOGLETRANSLATE(English!D461, ""en"", ""bg"")"),"основи на електричеството")</f>
        <v>основи на електричеството</v>
      </c>
      <c r="E461" s="1" t="str">
        <f ca="1">IFERROR(__xludf.DUMMYFUNCTION("GOOGLETRANSLATE(English!E461, ""en"", ""bg"")"),"Можете ли да ми помогнете? Как се прилагат основите на електричеството във физиката?")</f>
        <v>Можете ли да ми помогнете? Как се прилагат основите на електричеството във физиката?</v>
      </c>
      <c r="F461" s="1" t="str">
        <f ca="1">IFERROR(__xludf.DUMMYFUNCTION("GOOGLETRANSLATE(English!F461,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461" s="1" t="str">
        <f ca="1">IFERROR(__xludf.DUMMYFUNCTION("GOOGLETRANSLATE(English!G461, ""en"", ""bg"")"),"разговор")</f>
        <v>разговор</v>
      </c>
      <c r="H461" s="1" t="str">
        <f ca="1">IFERROR(__xludf.DUMMYFUNCTION("GOOGLETRANSLATE(English!H461, ""en"", ""bg"")"),"образователна_помощ")</f>
        <v>образователна_помощ</v>
      </c>
    </row>
    <row r="462" spans="1:8" ht="13.2" x14ac:dyDescent="0.25">
      <c r="A462" s="1" t="str">
        <f ca="1">IFERROR(__xludf.DUMMYFUNCTION("GOOGLETRANSLATE(English!A462, ""en"", ""bg"")"),"conv_04541")</f>
        <v>conv_04541</v>
      </c>
      <c r="B462" s="1" t="str">
        <f ca="1">IFERROR(__xludf.DUMMYFUNCTION("GOOGLETRANSLATE(English!B462, ""en"", ""bg"")"),"физика")</f>
        <v>физика</v>
      </c>
      <c r="C462" s="1" t="str">
        <f ca="1">IFERROR(__xludf.DUMMYFUNCTION("GOOGLETRANSLATE(English!C462, ""en"", ""bg"")"),"високо")</f>
        <v>високо</v>
      </c>
      <c r="D462" s="1" t="str">
        <f ca="1">IFERROR(__xludf.DUMMYFUNCTION("GOOGLETRANSLATE(English!D462, ""en"", ""bg"")"),"механика")</f>
        <v>механика</v>
      </c>
      <c r="E462" s="1" t="str">
        <f ca="1">IFERROR(__xludf.DUMMYFUNCTION("GOOGLETRANSLATE(English!E462, ""en"", ""bg"")"),"Помогнете ми да уча за теста си. Как работи механиката във физиката?")</f>
        <v>Помогнете ми да уча за теста си. Как работи механиката във физиката?</v>
      </c>
      <c r="F462" s="1" t="str">
        <f ca="1">IFERROR(__xludf.DUMMYFUNCTION("GOOGLETRANSLATE(English!F462,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462" s="1" t="str">
        <f ca="1">IFERROR(__xludf.DUMMYFUNCTION("GOOGLETRANSLATE(English!G462, ""en"", ""bg"")"),"разговор")</f>
        <v>разговор</v>
      </c>
      <c r="H462" s="1" t="str">
        <f ca="1">IFERROR(__xludf.DUMMYFUNCTION("GOOGLETRANSLATE(English!H462, ""en"", ""bg"")"),"образователна_помощ")</f>
        <v>образователна_помощ</v>
      </c>
    </row>
    <row r="463" spans="1:8" ht="13.2" x14ac:dyDescent="0.25">
      <c r="A463" s="1" t="str">
        <f ca="1">IFERROR(__xludf.DUMMYFUNCTION("GOOGLETRANSLATE(English!A463, ""en"", ""bg"")"),"qa_02768")</f>
        <v>qa_02768</v>
      </c>
      <c r="B463" s="1" t="str">
        <f ca="1">IFERROR(__xludf.DUMMYFUNCTION("GOOGLETRANSLATE(English!B463, ""en"", ""bg"")"),"химия")</f>
        <v>химия</v>
      </c>
      <c r="C463" s="1" t="str">
        <f ca="1">IFERROR(__xludf.DUMMYFUNCTION("GOOGLETRANSLATE(English!C463, ""en"", ""bg"")"),"средата")</f>
        <v>средата</v>
      </c>
      <c r="D463" s="1" t="str">
        <f ca="1">IFERROR(__xludf.DUMMYFUNCTION("GOOGLETRANSLATE(English!D463, ""en"", ""bg"")"),"основи на периодичната таблица")</f>
        <v>основи на периодичната таблица</v>
      </c>
      <c r="E463" s="1" t="str">
        <f ca="1">IFERROR(__xludf.DUMMYFUNCTION("GOOGLETRANSLATE(English!E463, ""en"", ""bg"")"),"Какво представляват основите на периодичната таблица?")</f>
        <v>Какво представляват основите на периодичната таблица?</v>
      </c>
      <c r="F463" s="1" t="str">
        <f ca="1">IFERROR(__xludf.DUMMYFUNCTION("GOOGLETRANSLATE(English!F463,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463" s="1" t="str">
        <f ca="1">IFERROR(__xludf.DUMMYFUNCTION("GOOGLETRANSLATE(English!G463, ""en"", ""bg"")"),"direct_qa")</f>
        <v>direct_qa</v>
      </c>
      <c r="H463" s="1" t="str">
        <f ca="1">IFERROR(__xludf.DUMMYFUNCTION("GOOGLETRANSLATE(English!H463, ""en"", ""bg"")"),"заявка_за_знание")</f>
        <v>заявка_за_знание</v>
      </c>
    </row>
    <row r="464" spans="1:8" ht="13.2" x14ac:dyDescent="0.25">
      <c r="A464" s="1" t="str">
        <f ca="1">IFERROR(__xludf.DUMMYFUNCTION("GOOGLETRANSLATE(English!A464, ""en"", ""bg"")"),"conv_08727")</f>
        <v>conv_08727</v>
      </c>
      <c r="B464" s="1" t="str">
        <f ca="1">IFERROR(__xludf.DUMMYFUNCTION("GOOGLETRANSLATE(English!B464, ""en"", ""bg"")"),"биология")</f>
        <v>биология</v>
      </c>
      <c r="C464" s="1" t="str">
        <f ca="1">IFERROR(__xludf.DUMMYFUNCTION("GOOGLETRANSLATE(English!C464, ""en"", ""bg"")"),"високо")</f>
        <v>високо</v>
      </c>
      <c r="D464" s="1" t="str">
        <f ca="1">IFERROR(__xludf.DUMMYFUNCTION("GOOGLETRANSLATE(English!D464, ""en"", ""bg"")"),"митоза и мейоза")</f>
        <v>митоза и мейоза</v>
      </c>
      <c r="E464" s="1" t="str">
        <f ca="1">IFERROR(__xludf.DUMMYFUNCTION("GOOGLETRANSLATE(English!E464, ""en"", ""bg"")"),"Имам научен въпрос. Как протичат митозата и мейозата?")</f>
        <v>Имам научен въпрос. Как протичат митозата и мейозата?</v>
      </c>
      <c r="F464" s="1" t="str">
        <f ca="1">IFERROR(__xludf.DUMMYFUNCTION("GOOGLETRANSLATE(English!F464,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464" s="1" t="str">
        <f ca="1">IFERROR(__xludf.DUMMYFUNCTION("GOOGLETRANSLATE(English!G464, ""en"", ""bg"")"),"разговор")</f>
        <v>разговор</v>
      </c>
      <c r="H464" s="1" t="str">
        <f ca="1">IFERROR(__xludf.DUMMYFUNCTION("GOOGLETRANSLATE(English!H464, ""en"", ""bg"")"),"образователна_помощ")</f>
        <v>образователна_помощ</v>
      </c>
    </row>
    <row r="465" spans="1:8" ht="13.2" x14ac:dyDescent="0.25">
      <c r="A465" s="1" t="str">
        <f ca="1">IFERROR(__xludf.DUMMYFUNCTION("GOOGLETRANSLATE(English!A465, ""en"", ""bg"")"),"qa_10445")</f>
        <v>qa_10445</v>
      </c>
      <c r="B465" s="1" t="str">
        <f ca="1">IFERROR(__xludf.DUMMYFUNCTION("GOOGLETRANSLATE(English!B465, ""en"", ""bg"")"),"биология")</f>
        <v>биология</v>
      </c>
      <c r="C465" s="1" t="str">
        <f ca="1">IFERROR(__xludf.DUMMYFUNCTION("GOOGLETRANSLATE(English!C465, ""en"", ""bg"")"),"средата")</f>
        <v>средата</v>
      </c>
      <c r="D465" s="1" t="str">
        <f ca="1">IFERROR(__xludf.DUMMYFUNCTION("GOOGLETRANSLATE(English!D465, ""en"", ""bg"")"),"основи на еволюцията")</f>
        <v>основи на еволюцията</v>
      </c>
      <c r="E465" s="1" t="str">
        <f ca="1">IFERROR(__xludf.DUMMYFUNCTION("GOOGLETRANSLATE(English!E465, ""en"", ""bg"")"),"Можете ли да ми разкажете за основите на еволюцията?")</f>
        <v>Можете ли да ми разкажете за основите на еволюцията?</v>
      </c>
      <c r="F465" s="1" t="str">
        <f ca="1">IFERROR(__xludf.DUMMYFUNCTION("GOOGLETRANSLATE(English!F465,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465" s="1" t="str">
        <f ca="1">IFERROR(__xludf.DUMMYFUNCTION("GOOGLETRANSLATE(English!G465, ""en"", ""bg"")"),"direct_qa")</f>
        <v>direct_qa</v>
      </c>
      <c r="H465" s="1" t="str">
        <f ca="1">IFERROR(__xludf.DUMMYFUNCTION("GOOGLETRANSLATE(English!H465, ""en"", ""bg"")"),"заявка_за_знание")</f>
        <v>заявка_за_знание</v>
      </c>
    </row>
    <row r="466" spans="1:8" ht="13.2" x14ac:dyDescent="0.25">
      <c r="A466" s="1" t="str">
        <f ca="1">IFERROR(__xludf.DUMMYFUNCTION("GOOGLETRANSLATE(English!A466, ""en"", ""bg"")"),"qa_02444")</f>
        <v>qa_02444</v>
      </c>
      <c r="B466" s="1" t="str">
        <f ca="1">IFERROR(__xludf.DUMMYFUNCTION("GOOGLETRANSLATE(English!B466, ""en"", ""bg"")"),"биология")</f>
        <v>биология</v>
      </c>
      <c r="C466" s="1" t="str">
        <f ca="1">IFERROR(__xludf.DUMMYFUNCTION("GOOGLETRANSLATE(English!C466, ""en"", ""bg"")"),"елементарен")</f>
        <v>елементарен</v>
      </c>
      <c r="D466" s="1" t="str">
        <f ca="1">IFERROR(__xludf.DUMMYFUNCTION("GOOGLETRANSLATE(English!D466, ""en"", ""bg"")"),"жизнени цикли")</f>
        <v>жизнени цикли</v>
      </c>
      <c r="E466" s="1" t="str">
        <f ca="1">IFERROR(__xludf.DUMMYFUNCTION("GOOGLETRANSLATE(English!E466, ""en"", ""bg"")"),"Какво е важно да знаем за жизнените цикли?")</f>
        <v>Какво е важно да знаем за жизнените цикли?</v>
      </c>
      <c r="F466" s="1" t="str">
        <f ca="1">IFERROR(__xludf.DUMMYFUNCTION("GOOGLETRANSLATE(English!F466,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466" s="1" t="str">
        <f ca="1">IFERROR(__xludf.DUMMYFUNCTION("GOOGLETRANSLATE(English!G466, ""en"", ""bg"")"),"direct_qa")</f>
        <v>direct_qa</v>
      </c>
      <c r="H466" s="1" t="str">
        <f ca="1">IFERROR(__xludf.DUMMYFUNCTION("GOOGLETRANSLATE(English!H466, ""en"", ""bg"")"),"заявка_за_знание")</f>
        <v>заявка_за_знание</v>
      </c>
    </row>
    <row r="467" spans="1:8" ht="13.2" x14ac:dyDescent="0.25">
      <c r="A467" s="1" t="str">
        <f ca="1">IFERROR(__xludf.DUMMYFUNCTION("GOOGLETRANSLATE(English!A467, ""en"", ""bg"")"),"hw_02903")</f>
        <v>hw_02903</v>
      </c>
      <c r="B467" s="1" t="str">
        <f ca="1">IFERROR(__xludf.DUMMYFUNCTION("GOOGLETRANSLATE(English!B467, ""en"", ""bg"")"),"химия")</f>
        <v>химия</v>
      </c>
      <c r="C467" s="1" t="str">
        <f ca="1">IFERROR(__xludf.DUMMYFUNCTION("GOOGLETRANSLATE(English!C467, ""en"", ""bg"")"),"средата")</f>
        <v>средата</v>
      </c>
      <c r="D467" s="1" t="str">
        <f ca="1">IFERROR(__xludf.DUMMYFUNCTION("GOOGLETRANSLATE(English!D467, ""en"", ""bg"")"),"съединения срещу елементи")</f>
        <v>съединения срещу елементи</v>
      </c>
      <c r="E467" s="1" t="str">
        <f ca="1">IFERROR(__xludf.DUMMYFUNCTION("GOOGLETRANSLATE(English!E467, ""en"", ""bg"")"),"Затруднявам се със сравнението на съединенията и елементите в домашното си.")</f>
        <v>Затруднявам се със сравнението на съединенията и елементите в домашното си.</v>
      </c>
      <c r="F467" s="1" t="str">
        <f ca="1">IFERROR(__xludf.DUMMYFUNCTION("GOOGLETRANSLATE(English!F467,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467" s="1" t="str">
        <f ca="1">IFERROR(__xludf.DUMMYFUNCTION("GOOGLETRANSLATE(English!G467, ""en"", ""bg"")"),"помощ_за_домашно_изпълнение")</f>
        <v>помощ_за_домашно_изпълнение</v>
      </c>
      <c r="H467" s="1" t="str">
        <f ca="1">IFERROR(__xludf.DUMMYFUNCTION("GOOGLETRANSLATE(English!H467, ""en"", ""bg"")"),"помощ_за_домашно_задаване")</f>
        <v>помощ_за_домашно_задаване</v>
      </c>
    </row>
    <row r="468" spans="1:8" ht="13.2" x14ac:dyDescent="0.25">
      <c r="A468" s="1" t="str">
        <f ca="1">IFERROR(__xludf.DUMMYFUNCTION("GOOGLETRANSLATE(English!A468, ""en"", ""bg"")"),"qa_04467")</f>
        <v>qa_04467</v>
      </c>
      <c r="B468" s="1" t="str">
        <f ca="1">IFERROR(__xludf.DUMMYFUNCTION("GOOGLETRANSLATE(English!B468, ""en"", ""bg"")"),"физика")</f>
        <v>физика</v>
      </c>
      <c r="C468" s="1" t="str">
        <f ca="1">IFERROR(__xludf.DUMMYFUNCTION("GOOGLETRANSLATE(English!C468, ""en"", ""bg"")"),"високо")</f>
        <v>високо</v>
      </c>
      <c r="D468" s="1" t="str">
        <f ca="1">IFERROR(__xludf.DUMMYFUNCTION("GOOGLETRANSLATE(English!D468, ""en"", ""bg"")"),"механика")</f>
        <v>механика</v>
      </c>
      <c r="E468" s="1" t="str">
        <f ca="1">IFERROR(__xludf.DUMMYFUNCTION("GOOGLETRANSLATE(English!E468, ""en"", ""bg"")"),"Как работи механиката във физиката?")</f>
        <v>Как работи механиката във физиката?</v>
      </c>
      <c r="F468" s="1" t="str">
        <f ca="1">IFERROR(__xludf.DUMMYFUNCTION("GOOGLETRANSLATE(English!F468,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468" s="1" t="str">
        <f ca="1">IFERROR(__xludf.DUMMYFUNCTION("GOOGLETRANSLATE(English!G468, ""en"", ""bg"")"),"direct_qa")</f>
        <v>direct_qa</v>
      </c>
      <c r="H468" s="1" t="str">
        <f ca="1">IFERROR(__xludf.DUMMYFUNCTION("GOOGLETRANSLATE(English!H468, ""en"", ""bg"")"),"заявка_за_знание")</f>
        <v>заявка_за_знание</v>
      </c>
    </row>
    <row r="469" spans="1:8" ht="13.2" x14ac:dyDescent="0.25">
      <c r="A469" s="1" t="str">
        <f ca="1">IFERROR(__xludf.DUMMYFUNCTION("GOOGLETRANSLATE(English!A469, ""en"", ""bg"")"),"qa_03948")</f>
        <v>qa_03948</v>
      </c>
      <c r="B469" s="1" t="str">
        <f ca="1">IFERROR(__xludf.DUMMYFUNCTION("GOOGLETRANSLATE(English!B469, ""en"", ""bg"")"),"физика")</f>
        <v>физика</v>
      </c>
      <c r="C469" s="1" t="str">
        <f ca="1">IFERROR(__xludf.DUMMYFUNCTION("GOOGLETRANSLATE(English!C469, ""en"", ""bg"")"),"елементарен")</f>
        <v>елементарен</v>
      </c>
      <c r="D469" s="1" t="str">
        <f ca="1">IFERROR(__xludf.DUMMYFUNCTION("GOOGLETRANSLATE(English!D469, ""en"", ""bg"")"),"бутане и дърпане")</f>
        <v>бутане и дърпане</v>
      </c>
      <c r="E469" s="1" t="str">
        <f ca="1">IFERROR(__xludf.DUMMYFUNCTION("GOOGLETRANSLATE(English!E469, ""en"", ""bg"")"),"Как работят бутането и дърпането във физиката?")</f>
        <v>Как работят бутането и дърпането във физиката?</v>
      </c>
      <c r="F469" s="1" t="str">
        <f ca="1">IFERROR(__xludf.DUMMYFUNCTION("GOOGLETRANSLATE(English!F469,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469" s="1" t="str">
        <f ca="1">IFERROR(__xludf.DUMMYFUNCTION("GOOGLETRANSLATE(English!G469, ""en"", ""bg"")"),"direct_qa")</f>
        <v>direct_qa</v>
      </c>
      <c r="H469" s="1" t="str">
        <f ca="1">IFERROR(__xludf.DUMMYFUNCTION("GOOGLETRANSLATE(English!H469, ""en"", ""bg"")"),"заявка_за_знание")</f>
        <v>заявка_за_знание</v>
      </c>
    </row>
    <row r="470" spans="1:8" ht="13.2" x14ac:dyDescent="0.25">
      <c r="A470" s="1" t="str">
        <f ca="1">IFERROR(__xludf.DUMMYFUNCTION("GOOGLETRANSLATE(English!A470, ""en"", ""bg"")"),"hw_11365")</f>
        <v>hw_11365</v>
      </c>
      <c r="B470" s="1" t="str">
        <f ca="1">IFERROR(__xludf.DUMMYFUNCTION("GOOGLETRANSLATE(English!B470, ""en"", ""bg"")"),"химия")</f>
        <v>химия</v>
      </c>
      <c r="C470" s="1" t="str">
        <f ca="1">IFERROR(__xludf.DUMMYFUNCTION("GOOGLETRANSLATE(English!C470, ""en"", ""bg"")"),"средата")</f>
        <v>средата</v>
      </c>
      <c r="D470" s="1" t="str">
        <f ca="1">IFERROR(__xludf.DUMMYFUNCTION("GOOGLETRANSLATE(English!D470, ""en"", ""bg"")"),"химични реакции")</f>
        <v>химични реакции</v>
      </c>
      <c r="E470" s="1" t="str">
        <f ca="1">IFERROR(__xludf.DUMMYFUNCTION("GOOGLETRANSLATE(English!E470, ""en"", ""bg"")"),"Имам проблеми с химичните реакции в домашното си.")</f>
        <v>Имам проблеми с химичните реакции в домашното си.</v>
      </c>
      <c r="F470" s="1" t="str">
        <f ca="1">IFERROR(__xludf.DUMMYFUNCTION("GOOGLETRANSLATE(English!F470,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470" s="1" t="str">
        <f ca="1">IFERROR(__xludf.DUMMYFUNCTION("GOOGLETRANSLATE(English!G470, ""en"", ""bg"")"),"помощ_за_домашно_изпълнение")</f>
        <v>помощ_за_домашно_изпълнение</v>
      </c>
      <c r="H470" s="1" t="str">
        <f ca="1">IFERROR(__xludf.DUMMYFUNCTION("GOOGLETRANSLATE(English!H470, ""en"", ""bg"")"),"помощ_за_домашно_задаване")</f>
        <v>помощ_за_домашно_задаване</v>
      </c>
    </row>
    <row r="471" spans="1:8" ht="13.2" x14ac:dyDescent="0.25">
      <c r="A471" s="1" t="str">
        <f ca="1">IFERROR(__xludf.DUMMYFUNCTION("GOOGLETRANSLATE(English!A471, ""en"", ""bg"")"),"qa_08446")</f>
        <v>qa_08446</v>
      </c>
      <c r="B471" s="1" t="str">
        <f ca="1">IFERROR(__xludf.DUMMYFUNCTION("GOOGLETRANSLATE(English!B471, ""en"", ""bg"")"),"биология")</f>
        <v>биология</v>
      </c>
      <c r="C471" s="1" t="str">
        <f ca="1">IFERROR(__xludf.DUMMYFUNCTION("GOOGLETRANSLATE(English!C471, ""en"", ""bg"")"),"високо")</f>
        <v>високо</v>
      </c>
      <c r="D471" s="1" t="str">
        <f ca="1">IFERROR(__xludf.DUMMYFUNCTION("GOOGLETRANSLATE(English!D471, ""en"", ""bg"")"),"модели на наследяване")</f>
        <v>модели на наследяване</v>
      </c>
      <c r="E471" s="1" t="str">
        <f ca="1">IFERROR(__xludf.DUMMYFUNCTION("GOOGLETRANSLATE(English!E471, ""en"", ""bg"")"),"Можете ли да ми разкажете за моделите на наследяване?")</f>
        <v>Можете ли да ми разкажете за моделите на наследяване?</v>
      </c>
      <c r="F471" s="1" t="str">
        <f ca="1">IFERROR(__xludf.DUMMYFUNCTION("GOOGLETRANSLATE(English!F471,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471" s="1" t="str">
        <f ca="1">IFERROR(__xludf.DUMMYFUNCTION("GOOGLETRANSLATE(English!G471, ""en"", ""bg"")"),"direct_qa")</f>
        <v>direct_qa</v>
      </c>
      <c r="H471" s="1" t="str">
        <f ca="1">IFERROR(__xludf.DUMMYFUNCTION("GOOGLETRANSLATE(English!H471, ""en"", ""bg"")"),"заявка_за_знание")</f>
        <v>заявка_за_знание</v>
      </c>
    </row>
    <row r="472" spans="1:8" ht="13.2" x14ac:dyDescent="0.25">
      <c r="A472" s="1" t="str">
        <f ca="1">IFERROR(__xludf.DUMMYFUNCTION("GOOGLETRANSLATE(English!A472, ""en"", ""bg"")"),"hw_10775")</f>
        <v>hw_10775</v>
      </c>
      <c r="B472" s="1" t="str">
        <f ca="1">IFERROR(__xludf.DUMMYFUNCTION("GOOGLETRANSLATE(English!B472, ""en"", ""bg"")"),"химия")</f>
        <v>химия</v>
      </c>
      <c r="C472" s="1" t="str">
        <f ca="1">IFERROR(__xludf.DUMMYFUNCTION("GOOGLETRANSLATE(English!C472, ""en"", ""bg"")"),"средата")</f>
        <v>средата</v>
      </c>
      <c r="D472" s="1" t="str">
        <f ca="1">IFERROR(__xludf.DUMMYFUNCTION("GOOGLETRANSLATE(English!D472, ""en"", ""bg"")"),"киселини и основи")</f>
        <v>киселини и основи</v>
      </c>
      <c r="E472" s="1" t="str">
        <f ca="1">IFERROR(__xludf.DUMMYFUNCTION("GOOGLETRANSLATE(English!E472,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472" s="1" t="str">
        <f ca="1">IFERROR(__xludf.DUMMYFUNCTION("GOOGLETRANSLATE(English!F472,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72" s="1" t="str">
        <f ca="1">IFERROR(__xludf.DUMMYFUNCTION("GOOGLETRANSLATE(English!G472, ""en"", ""bg"")"),"помощ_за_домашно_изпълнение")</f>
        <v>помощ_за_домашно_изпълнение</v>
      </c>
      <c r="H472" s="1" t="str">
        <f ca="1">IFERROR(__xludf.DUMMYFUNCTION("GOOGLETRANSLATE(English!H472, ""en"", ""bg"")"),"помощ_за_домашно_задаване")</f>
        <v>помощ_за_домашно_задаване</v>
      </c>
    </row>
    <row r="473" spans="1:8" ht="13.2" x14ac:dyDescent="0.25">
      <c r="A473" s="1" t="str">
        <f ca="1">IFERROR(__xludf.DUMMYFUNCTION("GOOGLETRANSLATE(English!A473, ""en"", ""bg"")"),"hw_08357")</f>
        <v>hw_08357</v>
      </c>
      <c r="B473" s="1" t="str">
        <f ca="1">IFERROR(__xludf.DUMMYFUNCTION("GOOGLETRANSLATE(English!B473, ""en"", ""bg"")"),"физика")</f>
        <v>физика</v>
      </c>
      <c r="C473" s="1" t="str">
        <f ca="1">IFERROR(__xludf.DUMMYFUNCTION("GOOGLETRANSLATE(English!C473, ""en"", ""bg"")"),"средата")</f>
        <v>средата</v>
      </c>
      <c r="D473" s="1" t="str">
        <f ca="1">IFERROR(__xludf.DUMMYFUNCTION("GOOGLETRANSLATE(English!D473, ""en"", ""bg"")"),"сили и движение")</f>
        <v>сили и движение</v>
      </c>
      <c r="E473" s="1" t="str">
        <f ca="1">IFERROR(__xludf.DUMMYFUNCTION("GOOGLETRANSLATE(English!E473, ""en"", ""bg"")"),"Домашното ми по физика е за сили и движение. Объркващо е!")</f>
        <v>Домашното ми по физика е за сили и движение. Объркващо е!</v>
      </c>
      <c r="F473" s="1" t="str">
        <f ca="1">IFERROR(__xludf.DUMMYFUNCTION("GOOGLETRANSLATE(English!F473,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473" s="1" t="str">
        <f ca="1">IFERROR(__xludf.DUMMYFUNCTION("GOOGLETRANSLATE(English!G473, ""en"", ""bg"")"),"помощ_за_домашно_изпълнение")</f>
        <v>помощ_за_домашно_изпълнение</v>
      </c>
      <c r="H473" s="1" t="str">
        <f ca="1">IFERROR(__xludf.DUMMYFUNCTION("GOOGLETRANSLATE(English!H473, ""en"", ""bg"")"),"помощ_за_домашно_задаване")</f>
        <v>помощ_за_домашно_задаване</v>
      </c>
    </row>
    <row r="474" spans="1:8" ht="13.2" x14ac:dyDescent="0.25">
      <c r="A474" s="1" t="str">
        <f ca="1">IFERROR(__xludf.DUMMYFUNCTION("GOOGLETRANSLATE(English!A474, ""en"", ""bg"")"),"conv_12023")</f>
        <v>conv_12023</v>
      </c>
      <c r="B474" s="1" t="str">
        <f ca="1">IFERROR(__xludf.DUMMYFUNCTION("GOOGLETRANSLATE(English!B474, ""en"", ""bg"")"),"физика")</f>
        <v>физика</v>
      </c>
      <c r="C474" s="1" t="str">
        <f ca="1">IFERROR(__xludf.DUMMYFUNCTION("GOOGLETRANSLATE(English!C474, ""en"", ""bg"")"),"високо")</f>
        <v>високо</v>
      </c>
      <c r="D474" s="1" t="str">
        <f ca="1">IFERROR(__xludf.DUMMYFUNCTION("GOOGLETRANSLATE(English!D474, ""en"", ""bg"")"),"атомна структура")</f>
        <v>атомна структура</v>
      </c>
      <c r="E474" s="1" t="str">
        <f ca="1">IFERROR(__xludf.DUMMYFUNCTION("GOOGLETRANSLATE(English!E474, ""en"", ""bg"")"),"Помогнете ми да уча за теста си. Защо атомната структура е важна?")</f>
        <v>Помогнете ми да уча за теста си. Защо атомната структура е важна?</v>
      </c>
      <c r="F474" s="1" t="str">
        <f ca="1">IFERROR(__xludf.DUMMYFUNCTION("GOOGLETRANSLATE(English!F474,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474" s="1" t="str">
        <f ca="1">IFERROR(__xludf.DUMMYFUNCTION("GOOGLETRANSLATE(English!G474, ""en"", ""bg"")"),"разговор")</f>
        <v>разговор</v>
      </c>
      <c r="H474" s="1" t="str">
        <f ca="1">IFERROR(__xludf.DUMMYFUNCTION("GOOGLETRANSLATE(English!H474, ""en"", ""bg"")"),"образователна_помощ")</f>
        <v>образователна_помощ</v>
      </c>
    </row>
    <row r="475" spans="1:8" ht="13.2" x14ac:dyDescent="0.25">
      <c r="A475" s="1" t="str">
        <f ca="1">IFERROR(__xludf.DUMMYFUNCTION("GOOGLETRANSLATE(English!A475, ""en"", ""bg"")"),"qa_02074")</f>
        <v>qa_02074</v>
      </c>
      <c r="B475" s="1" t="str">
        <f ca="1">IFERROR(__xludf.DUMMYFUNCTION("GOOGLETRANSLATE(English!B475, ""en"", ""bg"")"),"биология")</f>
        <v>биология</v>
      </c>
      <c r="C475" s="1" t="str">
        <f ca="1">IFERROR(__xludf.DUMMYFUNCTION("GOOGLETRANSLATE(English!C475, ""en"", ""bg"")"),"елементарен")</f>
        <v>елементарен</v>
      </c>
      <c r="D475" s="1" t="str">
        <f ca="1">IFERROR(__xludf.DUMMYFUNCTION("GOOGLETRANSLATE(English!D475, ""en"", ""bg"")"),"домашни любимци срещу диви животни")</f>
        <v>домашни любимци срещу диви животни</v>
      </c>
      <c r="E475" s="1" t="str">
        <f ca="1">IFERROR(__xludf.DUMMYFUNCTION("GOOGLETRANSLATE(English!E475,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475" s="1" t="str">
        <f ca="1">IFERROR(__xludf.DUMMYFUNCTION("GOOGLETRANSLATE(English!F475,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475" s="1" t="str">
        <f ca="1">IFERROR(__xludf.DUMMYFUNCTION("GOOGLETRANSLATE(English!G475, ""en"", ""bg"")"),"direct_qa")</f>
        <v>direct_qa</v>
      </c>
      <c r="H475" s="1" t="str">
        <f ca="1">IFERROR(__xludf.DUMMYFUNCTION("GOOGLETRANSLATE(English!H475, ""en"", ""bg"")"),"заявка_за_знание")</f>
        <v>заявка_за_знание</v>
      </c>
    </row>
    <row r="476" spans="1:8" ht="13.2" x14ac:dyDescent="0.25">
      <c r="A476" s="1" t="str">
        <f ca="1">IFERROR(__xludf.DUMMYFUNCTION("GOOGLETRANSLATE(English!A476, ""en"", ""bg"")"),"conv_15365")</f>
        <v>conv_15365</v>
      </c>
      <c r="B476" s="1" t="str">
        <f ca="1">IFERROR(__xludf.DUMMYFUNCTION("GOOGLETRANSLATE(English!B476, ""en"", ""bg"")"),"биология")</f>
        <v>биология</v>
      </c>
      <c r="C476" s="1" t="str">
        <f ca="1">IFERROR(__xludf.DUMMYFUNCTION("GOOGLETRANSLATE(English!C476, ""en"", ""bg"")"),"високо")</f>
        <v>високо</v>
      </c>
      <c r="D476" s="1" t="str">
        <f ca="1">IFERROR(__xludf.DUMMYFUNCTION("GOOGLETRANSLATE(English!D476, ""en"", ""bg"")"),"молекулярна биология")</f>
        <v>молекулярна биология</v>
      </c>
      <c r="E476" s="1" t="str">
        <f ca="1">IFERROR(__xludf.DUMMYFUNCTION("GOOGLETRANSLATE(English!E476, ""en"", ""bg"")"),"Можете ли да ми помогнете? Защо молекулярната биология е важна в биологията?")</f>
        <v>Можете ли да ми помогнете? Защо молекулярната биология е важна в биологията?</v>
      </c>
      <c r="F476" s="1" t="str">
        <f ca="1">IFERROR(__xludf.DUMMYFUNCTION("GOOGLETRANSLATE(English!F476,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476" s="1" t="str">
        <f ca="1">IFERROR(__xludf.DUMMYFUNCTION("GOOGLETRANSLATE(English!G476, ""en"", ""bg"")"),"разговор")</f>
        <v>разговор</v>
      </c>
      <c r="H476" s="1" t="str">
        <f ca="1">IFERROR(__xludf.DUMMYFUNCTION("GOOGLETRANSLATE(English!H476, ""en"", ""bg"")"),"образователна_помощ")</f>
        <v>образователна_помощ</v>
      </c>
    </row>
    <row r="477" spans="1:8" ht="13.2" x14ac:dyDescent="0.25">
      <c r="A477" s="1" t="str">
        <f ca="1">IFERROR(__xludf.DUMMYFUNCTION("GOOGLETRANSLATE(English!A477, ""en"", ""bg"")"),"hw_02128")</f>
        <v>hw_02128</v>
      </c>
      <c r="B477" s="1" t="str">
        <f ca="1">IFERROR(__xludf.DUMMYFUNCTION("GOOGLETRANSLATE(English!B477, ""en"", ""bg"")"),"химия")</f>
        <v>химия</v>
      </c>
      <c r="C477" s="1" t="str">
        <f ca="1">IFERROR(__xludf.DUMMYFUNCTION("GOOGLETRANSLATE(English!C477, ""en"", ""bg"")"),"елементарен")</f>
        <v>елементарен</v>
      </c>
      <c r="D477" s="1" t="str">
        <f ca="1">IFERROR(__xludf.DUMMYFUNCTION("GOOGLETRANSLATE(English!D477, ""en"", ""bg"")"),"промени в материалите")</f>
        <v>промени в материалите</v>
      </c>
      <c r="E477" s="1" t="str">
        <f ca="1">IFERROR(__xludf.DUMMYFUNCTION("GOOGLETRANSLATE(English!E477,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477" s="1" t="str">
        <f ca="1">IFERROR(__xludf.DUMMYFUNCTION("GOOGLETRANSLATE(English!F477,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477" s="1" t="str">
        <f ca="1">IFERROR(__xludf.DUMMYFUNCTION("GOOGLETRANSLATE(English!G477, ""en"", ""bg"")"),"помощ_за_домашно_изпълнение")</f>
        <v>помощ_за_домашно_изпълнение</v>
      </c>
      <c r="H477" s="1" t="str">
        <f ca="1">IFERROR(__xludf.DUMMYFUNCTION("GOOGLETRANSLATE(English!H477, ""en"", ""bg"")"),"помощ_за_домашно_задаване")</f>
        <v>помощ_за_домашно_задаване</v>
      </c>
    </row>
    <row r="478" spans="1:8" ht="13.2" x14ac:dyDescent="0.25">
      <c r="A478" s="1" t="str">
        <f ca="1">IFERROR(__xludf.DUMMYFUNCTION("GOOGLETRANSLATE(English!A478, ""en"", ""bg"")"),"qa_02673")</f>
        <v>qa_02673</v>
      </c>
      <c r="B478" s="1" t="str">
        <f ca="1">IFERROR(__xludf.DUMMYFUNCTION("GOOGLETRANSLATE(English!B478, ""en"", ""bg"")"),"биология")</f>
        <v>биология</v>
      </c>
      <c r="C478" s="1" t="str">
        <f ca="1">IFERROR(__xludf.DUMMYFUNCTION("GOOGLETRANSLATE(English!C478, ""en"", ""bg"")"),"средата")</f>
        <v>средата</v>
      </c>
      <c r="D478" s="1" t="str">
        <f ca="1">IFERROR(__xludf.DUMMYFUNCTION("GOOGLETRANSLATE(English!D478, ""en"", ""bg"")"),"клетки")</f>
        <v>клетки</v>
      </c>
      <c r="E478" s="1" t="str">
        <f ca="1">IFERROR(__xludf.DUMMYFUNCTION("GOOGLETRANSLATE(English!E478, ""en"", ""bg"")"),"Какво е клетка?")</f>
        <v>Какво е клетка?</v>
      </c>
      <c r="F478" s="1" t="str">
        <f ca="1">IFERROR(__xludf.DUMMYFUNCTION("GOOGLETRANSLATE(English!F478,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478" s="1" t="str">
        <f ca="1">IFERROR(__xludf.DUMMYFUNCTION("GOOGLETRANSLATE(English!G478, ""en"", ""bg"")"),"direct_qa")</f>
        <v>direct_qa</v>
      </c>
      <c r="H478" s="1" t="str">
        <f ca="1">IFERROR(__xludf.DUMMYFUNCTION("GOOGLETRANSLATE(English!H478, ""en"", ""bg"")"),"заявка_за_знание")</f>
        <v>заявка_за_знание</v>
      </c>
    </row>
    <row r="479" spans="1:8" ht="13.2" x14ac:dyDescent="0.25">
      <c r="A479" s="1" t="str">
        <f ca="1">IFERROR(__xludf.DUMMYFUNCTION("GOOGLETRANSLATE(English!A479, ""en"", ""bg"")"),"conv_05383")</f>
        <v>conv_05383</v>
      </c>
      <c r="B479" s="1" t="str">
        <f ca="1">IFERROR(__xludf.DUMMYFUNCTION("GOOGLETRANSLATE(English!B479, ""en"", ""bg"")"),"биология")</f>
        <v>биология</v>
      </c>
      <c r="C479" s="1" t="str">
        <f ca="1">IFERROR(__xludf.DUMMYFUNCTION("GOOGLETRANSLATE(English!C479, ""en"", ""bg"")"),"елементарен")</f>
        <v>елементарен</v>
      </c>
      <c r="D479" s="1" t="str">
        <f ca="1">IFERROR(__xludf.DUMMYFUNCTION("GOOGLETRANSLATE(English!D479, ""en"", ""bg"")"),"сетива")</f>
        <v>сетива</v>
      </c>
      <c r="E479" s="1" t="str">
        <f ca="1">IFERROR(__xludf.DUMMYFUNCTION("GOOGLETRANSLATE(English!E479, ""en"", ""bg"")"),"Можете ли да ми обясните това? Какво е важно да знаем за сетивата?")</f>
        <v>Можете ли да ми обясните това? Какво е важно да знаем за сетивата?</v>
      </c>
      <c r="F479" s="1" t="str">
        <f ca="1">IFERROR(__xludf.DUMMYFUNCTION("GOOGLETRANSLATE(English!F479,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479" s="1" t="str">
        <f ca="1">IFERROR(__xludf.DUMMYFUNCTION("GOOGLETRANSLATE(English!G479, ""en"", ""bg"")"),"разговор")</f>
        <v>разговор</v>
      </c>
      <c r="H479" s="1" t="str">
        <f ca="1">IFERROR(__xludf.DUMMYFUNCTION("GOOGLETRANSLATE(English!H479, ""en"", ""bg"")"),"образователна_помощ")</f>
        <v>образователна_помощ</v>
      </c>
    </row>
    <row r="480" spans="1:8" ht="13.2" x14ac:dyDescent="0.25">
      <c r="A480" s="1" t="str">
        <f ca="1">IFERROR(__xludf.DUMMYFUNCTION("GOOGLETRANSLATE(English!A480, ""en"", ""bg"")"),"conv_09246")</f>
        <v>conv_09246</v>
      </c>
      <c r="B480" s="1" t="str">
        <f ca="1">IFERROR(__xludf.DUMMYFUNCTION("GOOGLETRANSLATE(English!B480, ""en"", ""bg"")"),"химия")</f>
        <v>химия</v>
      </c>
      <c r="C480" s="1" t="str">
        <f ca="1">IFERROR(__xludf.DUMMYFUNCTION("GOOGLETRANSLATE(English!C480, ""en"", ""bg"")"),"елементарен")</f>
        <v>елементарен</v>
      </c>
      <c r="D480" s="1" t="str">
        <f ca="1">IFERROR(__xludf.DUMMYFUNCTION("GOOGLETRANSLATE(English!D480, ""en"", ""bg"")"),"смесване на материали")</f>
        <v>смесване на материали</v>
      </c>
      <c r="E480" s="1" t="str">
        <f ca="1">IFERROR(__xludf.DUMMYFUNCTION("GOOGLETRANSLATE(English!E480, ""en"", ""bg"")"),"Не разбирам тази тема. Защо някои неща се разтварят, а други не?")</f>
        <v>Не разбирам тази тема. Защо някои неща се разтварят, а други не?</v>
      </c>
      <c r="F480" s="1" t="str">
        <f ca="1">IFERROR(__xludf.DUMMYFUNCTION("GOOGLETRANSLATE(English!F480,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480" s="1" t="str">
        <f ca="1">IFERROR(__xludf.DUMMYFUNCTION("GOOGLETRANSLATE(English!G480, ""en"", ""bg"")"),"разговор")</f>
        <v>разговор</v>
      </c>
      <c r="H480" s="1" t="str">
        <f ca="1">IFERROR(__xludf.DUMMYFUNCTION("GOOGLETRANSLATE(English!H480, ""en"", ""bg"")"),"образователна_помощ")</f>
        <v>образователна_помощ</v>
      </c>
    </row>
    <row r="481" spans="1:8" ht="13.2" x14ac:dyDescent="0.25">
      <c r="A481" s="1" t="str">
        <f ca="1">IFERROR(__xludf.DUMMYFUNCTION("GOOGLETRANSLATE(English!A481, ""en"", ""bg"")"),"conv_09868")</f>
        <v>conv_09868</v>
      </c>
      <c r="B481" s="1" t="str">
        <f ca="1">IFERROR(__xludf.DUMMYFUNCTION("GOOGLETRANSLATE(English!B481, ""en"", ""bg"")"),"биология")</f>
        <v>биология</v>
      </c>
      <c r="C481" s="1" t="str">
        <f ca="1">IFERROR(__xludf.DUMMYFUNCTION("GOOGLETRANSLATE(English!C481, ""en"", ""bg"")"),"елементарен")</f>
        <v>елементарен</v>
      </c>
      <c r="D481" s="1" t="str">
        <f ca="1">IFERROR(__xludf.DUMMYFUNCTION("GOOGLETRANSLATE(English!D481, ""en"", ""bg"")"),"жизнени цикли")</f>
        <v>жизнени цикли</v>
      </c>
      <c r="E481" s="1" t="str">
        <f ca="1">IFERROR(__xludf.DUMMYFUNCTION("GOOGLETRANSLATE(English!E481, ""en"", ""bg"")"),"Помогнете ми да уча за теста си. Какво е важно да знаем за жизнените цикли?")</f>
        <v>Помогнете ми да уча за теста си. Какво е важно да знаем за жизнените цикли?</v>
      </c>
      <c r="F481" s="1" t="str">
        <f ca="1">IFERROR(__xludf.DUMMYFUNCTION("GOOGLETRANSLATE(English!F481,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481" s="1" t="str">
        <f ca="1">IFERROR(__xludf.DUMMYFUNCTION("GOOGLETRANSLATE(English!G481, ""en"", ""bg"")"),"разговор")</f>
        <v>разговор</v>
      </c>
      <c r="H481" s="1" t="str">
        <f ca="1">IFERROR(__xludf.DUMMYFUNCTION("GOOGLETRANSLATE(English!H481, ""en"", ""bg"")"),"образователна_помощ")</f>
        <v>образователна_помощ</v>
      </c>
    </row>
    <row r="482" spans="1:8" ht="13.2" x14ac:dyDescent="0.25">
      <c r="A482" s="1" t="str">
        <f ca="1">IFERROR(__xludf.DUMMYFUNCTION("GOOGLETRANSLATE(English!A482, ""en"", ""bg"")"),"qa_01205")</f>
        <v>qa_01205</v>
      </c>
      <c r="B482" s="1" t="str">
        <f ca="1">IFERROR(__xludf.DUMMYFUNCTION("GOOGLETRANSLATE(English!B482, ""en"", ""bg"")"),"химия")</f>
        <v>химия</v>
      </c>
      <c r="C482" s="1" t="str">
        <f ca="1">IFERROR(__xludf.DUMMYFUNCTION("GOOGLETRANSLATE(English!C482, ""en"", ""bg"")"),"високо")</f>
        <v>високо</v>
      </c>
      <c r="D482" s="1" t="str">
        <f ca="1">IFERROR(__xludf.DUMMYFUNCTION("GOOGLETRANSLATE(English!D482, ""en"", ""bg"")"),"електрохимия")</f>
        <v>електрохимия</v>
      </c>
      <c r="E482" s="1" t="str">
        <f ca="1">IFERROR(__xludf.DUMMYFUNCTION("GOOGLETRANSLATE(English!E482, ""en"", ""bg"")"),"Защо е важно да се учи електрохимия?")</f>
        <v>Защо е важно да се учи електрохимия?</v>
      </c>
      <c r="F482" s="1" t="str">
        <f ca="1">IFERROR(__xludf.DUMMYFUNCTION("GOOGLETRANSLATE(English!F482,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482" s="1" t="str">
        <f ca="1">IFERROR(__xludf.DUMMYFUNCTION("GOOGLETRANSLATE(English!G482, ""en"", ""bg"")"),"direct_qa")</f>
        <v>direct_qa</v>
      </c>
      <c r="H482" s="1" t="str">
        <f ca="1">IFERROR(__xludf.DUMMYFUNCTION("GOOGLETRANSLATE(English!H482, ""en"", ""bg"")"),"заявка_за_знание")</f>
        <v>заявка_за_знание</v>
      </c>
    </row>
    <row r="483" spans="1:8" ht="13.2" x14ac:dyDescent="0.25">
      <c r="A483" s="1" t="str">
        <f ca="1">IFERROR(__xludf.DUMMYFUNCTION("GOOGLETRANSLATE(English!A483, ""en"", ""bg"")"),"hw_11339")</f>
        <v>hw_11339</v>
      </c>
      <c r="B483" s="1" t="str">
        <f ca="1">IFERROR(__xludf.DUMMYFUNCTION("GOOGLETRANSLATE(English!B483, ""en"", ""bg"")"),"биология")</f>
        <v>биология</v>
      </c>
      <c r="C483" s="1" t="str">
        <f ca="1">IFERROR(__xludf.DUMMYFUNCTION("GOOGLETRANSLATE(English!C483, ""en"", ""bg"")"),"високо")</f>
        <v>високо</v>
      </c>
      <c r="D483" s="1" t="str">
        <f ca="1">IFERROR(__xludf.DUMMYFUNCTION("GOOGLETRANSLATE(English!D483, ""en"", ""bg"")"),"синтез на протеини")</f>
        <v>синтез на протеини</v>
      </c>
      <c r="E483" s="1" t="str">
        <f ca="1">IFERROR(__xludf.DUMMYFUNCTION("GOOGLETRANSLATE(English!E483, ""en"", ""bg"")"),"Трябва да напиша доклад за синтеза на протеини. Можете ли да ми помогнете да започна?")</f>
        <v>Трябва да напиша доклад за синтеза на протеини. Можете ли да ми помогнете да започна?</v>
      </c>
      <c r="F483" s="1" t="str">
        <f ca="1">IFERROR(__xludf.DUMMYFUNCTION("GOOGLETRANSLATE(English!F483,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483" s="1" t="str">
        <f ca="1">IFERROR(__xludf.DUMMYFUNCTION("GOOGLETRANSLATE(English!G483, ""en"", ""bg"")"),"помощ_за_домашно_изпълнение")</f>
        <v>помощ_за_домашно_изпълнение</v>
      </c>
      <c r="H483" s="1" t="str">
        <f ca="1">IFERROR(__xludf.DUMMYFUNCTION("GOOGLETRANSLATE(English!H483, ""en"", ""bg"")"),"помощ_за_домашно_задаване")</f>
        <v>помощ_за_домашно_задаване</v>
      </c>
    </row>
    <row r="484" spans="1:8" ht="13.2" x14ac:dyDescent="0.25">
      <c r="A484" s="1" t="str">
        <f ca="1">IFERROR(__xludf.DUMMYFUNCTION("GOOGLETRANSLATE(English!A484, ""en"", ""bg"")"),"conv_03497")</f>
        <v>conv_03497</v>
      </c>
      <c r="B484" s="1" t="str">
        <f ca="1">IFERROR(__xludf.DUMMYFUNCTION("GOOGLETRANSLATE(English!B484, ""en"", ""bg"")"),"химия")</f>
        <v>химия</v>
      </c>
      <c r="C484" s="1" t="str">
        <f ca="1">IFERROR(__xludf.DUMMYFUNCTION("GOOGLETRANSLATE(English!C484, ""en"", ""bg"")"),"средата")</f>
        <v>средата</v>
      </c>
      <c r="D484" s="1" t="str">
        <f ca="1">IFERROR(__xludf.DUMMYFUNCTION("GOOGLETRANSLATE(English!D484, ""en"", ""bg"")"),"киселини и основи")</f>
        <v>киселини и основи</v>
      </c>
      <c r="E484" s="1" t="str">
        <f ca="1">IFERROR(__xludf.DUMMYFUNCTION("GOOGLETRANSLATE(English!E484, ""en"", ""bg"")"),"Имам нужда от помощ с домашното. Как действат киселините и основите в химията?")</f>
        <v>Имам нужда от помощ с домашното. Как действат киселините и основите в химията?</v>
      </c>
      <c r="F484" s="1" t="str">
        <f ca="1">IFERROR(__xludf.DUMMYFUNCTION("GOOGLETRANSLATE(English!F484,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84" s="1" t="str">
        <f ca="1">IFERROR(__xludf.DUMMYFUNCTION("GOOGLETRANSLATE(English!G484, ""en"", ""bg"")"),"разговор")</f>
        <v>разговор</v>
      </c>
      <c r="H484" s="1" t="str">
        <f ca="1">IFERROR(__xludf.DUMMYFUNCTION("GOOGLETRANSLATE(English!H484, ""en"", ""bg"")"),"образователна_помощ")</f>
        <v>образователна_помощ</v>
      </c>
    </row>
    <row r="485" spans="1:8" ht="13.2" x14ac:dyDescent="0.25">
      <c r="A485" s="1" t="str">
        <f ca="1">IFERROR(__xludf.DUMMYFUNCTION("GOOGLETRANSLATE(English!A485, ""en"", ""bg"")"),"conv_12431")</f>
        <v>conv_12431</v>
      </c>
      <c r="B485" s="1" t="str">
        <f ca="1">IFERROR(__xludf.DUMMYFUNCTION("GOOGLETRANSLATE(English!B485, ""en"", ""bg"")"),"биология")</f>
        <v>биология</v>
      </c>
      <c r="C485" s="1" t="str">
        <f ca="1">IFERROR(__xludf.DUMMYFUNCTION("GOOGLETRANSLATE(English!C485, ""en"", ""bg"")"),"високо")</f>
        <v>високо</v>
      </c>
      <c r="D485" s="1" t="str">
        <f ca="1">IFERROR(__xludf.DUMMYFUNCTION("GOOGLETRANSLATE(English!D485, ""en"", ""bg"")"),"молекулярна биология")</f>
        <v>молекулярна биология</v>
      </c>
      <c r="E485" s="1" t="str">
        <f ca="1">IFERROR(__xludf.DUMMYFUNCTION("GOOGLETRANSLATE(English!E485, ""en"", ""bg"")"),"Имам нужда от помощ с домашното си. Как работи молекулярната биология?")</f>
        <v>Имам нужда от помощ с домашното си. Как работи молекулярната биология?</v>
      </c>
      <c r="F485" s="1" t="str">
        <f ca="1">IFERROR(__xludf.DUMMYFUNCTION("GOOGLETRANSLATE(English!F485,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485" s="1" t="str">
        <f ca="1">IFERROR(__xludf.DUMMYFUNCTION("GOOGLETRANSLATE(English!G485, ""en"", ""bg"")"),"разговор")</f>
        <v>разговор</v>
      </c>
      <c r="H485" s="1" t="str">
        <f ca="1">IFERROR(__xludf.DUMMYFUNCTION("GOOGLETRANSLATE(English!H485, ""en"", ""bg"")"),"образователна_помощ")</f>
        <v>образователна_помощ</v>
      </c>
    </row>
    <row r="486" spans="1:8" ht="13.2" x14ac:dyDescent="0.25">
      <c r="A486" s="1" t="str">
        <f ca="1">IFERROR(__xludf.DUMMYFUNCTION("GOOGLETRANSLATE(English!A486, ""en"", ""bg"")"),"conv_10542")</f>
        <v>conv_10542</v>
      </c>
      <c r="B486" s="1" t="str">
        <f ca="1">IFERROR(__xludf.DUMMYFUNCTION("GOOGLETRANSLATE(English!B486, ""en"", ""bg"")"),"химия")</f>
        <v>химия</v>
      </c>
      <c r="C486" s="1" t="str">
        <f ca="1">IFERROR(__xludf.DUMMYFUNCTION("GOOGLETRANSLATE(English!C486, ""en"", ""bg"")"),"елементарен")</f>
        <v>елементарен</v>
      </c>
      <c r="D486" s="1" t="str">
        <f ca="1">IFERROR(__xludf.DUMMYFUNCTION("GOOGLETRANSLATE(English!D486, ""en"", ""bg"")"),"безопасност")</f>
        <v>безопасност</v>
      </c>
      <c r="E486" s="1" t="str">
        <f ca="1">IFERROR(__xludf.DUMMYFUNCTION("GOOGLETRANSLATE(English!E486, ""en"", ""bg"")"),"Имам научен въпрос. Какво е безопасността?")</f>
        <v>Имам научен въпрос. Какво е безопасността?</v>
      </c>
      <c r="F486" s="1" t="str">
        <f ca="1">IFERROR(__xludf.DUMMYFUNCTION("GOOGLETRANSLATE(English!F486,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486" s="1" t="str">
        <f ca="1">IFERROR(__xludf.DUMMYFUNCTION("GOOGLETRANSLATE(English!G486, ""en"", ""bg"")"),"разговор")</f>
        <v>разговор</v>
      </c>
      <c r="H486" s="1" t="str">
        <f ca="1">IFERROR(__xludf.DUMMYFUNCTION("GOOGLETRANSLATE(English!H486, ""en"", ""bg"")"),"образователна_помощ")</f>
        <v>образователна_помощ</v>
      </c>
    </row>
    <row r="487" spans="1:8" ht="13.2" x14ac:dyDescent="0.25">
      <c r="A487" s="1" t="str">
        <f ca="1">IFERROR(__xludf.DUMMYFUNCTION("GOOGLETRANSLATE(English!A487, ""en"", ""bg"")"),"conv_09238")</f>
        <v>conv_09238</v>
      </c>
      <c r="B487" s="1" t="str">
        <f ca="1">IFERROR(__xludf.DUMMYFUNCTION("GOOGLETRANSLATE(English!B487, ""en"", ""bg"")"),"биология")</f>
        <v>биология</v>
      </c>
      <c r="C487" s="1" t="str">
        <f ca="1">IFERROR(__xludf.DUMMYFUNCTION("GOOGLETRANSLATE(English!C487, ""en"", ""bg"")"),"средата")</f>
        <v>средата</v>
      </c>
      <c r="D487" s="1" t="str">
        <f ca="1">IFERROR(__xludf.DUMMYFUNCTION("GOOGLETRANSLATE(English!D487, ""en"", ""bg"")"),"класификация")</f>
        <v>класификация</v>
      </c>
      <c r="E487" s="1" t="str">
        <f ca="1">IFERROR(__xludf.DUMMYFUNCTION("GOOGLETRANSLATE(English!E487, ""en"", ""bg"")"),"Можете ли да ми обясните това? Можете ли да ми кажете за класификацията?")</f>
        <v>Можете ли да ми обясните това? Можете ли да ми кажете за класификацията?</v>
      </c>
      <c r="F487" s="1" t="str">
        <f ca="1">IFERROR(__xludf.DUMMYFUNCTION("GOOGLETRANSLATE(English!F487,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487" s="1" t="str">
        <f ca="1">IFERROR(__xludf.DUMMYFUNCTION("GOOGLETRANSLATE(English!G487, ""en"", ""bg"")"),"разговор")</f>
        <v>разговор</v>
      </c>
      <c r="H487" s="1" t="str">
        <f ca="1">IFERROR(__xludf.DUMMYFUNCTION("GOOGLETRANSLATE(English!H487, ""en"", ""bg"")"),"образователна_помощ")</f>
        <v>образователна_помощ</v>
      </c>
    </row>
    <row r="488" spans="1:8" ht="13.2" x14ac:dyDescent="0.25">
      <c r="A488" s="1" t="str">
        <f ca="1">IFERROR(__xludf.DUMMYFUNCTION("GOOGLETRANSLATE(English!A488, ""en"", ""bg"")"),"conv_09808")</f>
        <v>conv_09808</v>
      </c>
      <c r="B488" s="1" t="str">
        <f ca="1">IFERROR(__xludf.DUMMYFUNCTION("GOOGLETRANSLATE(English!B488, ""en"", ""bg"")"),"биология")</f>
        <v>биология</v>
      </c>
      <c r="C488" s="1" t="str">
        <f ca="1">IFERROR(__xludf.DUMMYFUNCTION("GOOGLETRANSLATE(English!C488, ""en"", ""bg"")"),"елементарен")</f>
        <v>елементарен</v>
      </c>
      <c r="D488" s="1" t="str">
        <f ca="1">IFERROR(__xludf.DUMMYFUNCTION("GOOGLETRANSLATE(English!D488, ""en"", ""bg"")"),"основни нужди")</f>
        <v>основни нужди</v>
      </c>
      <c r="E488" s="1" t="str">
        <f ca="1">IFERROR(__xludf.DUMMYFUNCTION("GOOGLETRANSLATE(English!E488, ""en"", ""bg"")"),"Можете ли да ми помогнете? Можете ли да ми разкажете за основните нужди?")</f>
        <v>Можете ли да ми помогнете? Можете ли да ми разкажете за основните нужди?</v>
      </c>
      <c r="F488" s="1" t="str">
        <f ca="1">IFERROR(__xludf.DUMMYFUNCTION("GOOGLETRANSLATE(English!F488,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488" s="1" t="str">
        <f ca="1">IFERROR(__xludf.DUMMYFUNCTION("GOOGLETRANSLATE(English!G488, ""en"", ""bg"")"),"разговор")</f>
        <v>разговор</v>
      </c>
      <c r="H488" s="1" t="str">
        <f ca="1">IFERROR(__xludf.DUMMYFUNCTION("GOOGLETRANSLATE(English!H488, ""en"", ""bg"")"),"образователна_помощ")</f>
        <v>образователна_помощ</v>
      </c>
    </row>
    <row r="489" spans="1:8" ht="13.2" x14ac:dyDescent="0.25">
      <c r="A489" s="1" t="str">
        <f ca="1">IFERROR(__xludf.DUMMYFUNCTION("GOOGLETRANSLATE(English!A489, ""en"", ""bg"")"),"conv_11486")</f>
        <v>conv_11486</v>
      </c>
      <c r="B489" s="1" t="str">
        <f ca="1">IFERROR(__xludf.DUMMYFUNCTION("GOOGLETRANSLATE(English!B489, ""en"", ""bg"")"),"химия")</f>
        <v>химия</v>
      </c>
      <c r="C489" s="1" t="str">
        <f ca="1">IFERROR(__xludf.DUMMYFUNCTION("GOOGLETRANSLATE(English!C489, ""en"", ""bg"")"),"средата")</f>
        <v>средата</v>
      </c>
      <c r="D489" s="1" t="str">
        <f ca="1">IFERROR(__xludf.DUMMYFUNCTION("GOOGLETRANSLATE(English!D489, ""en"", ""bg"")"),"химични промени")</f>
        <v>химични промени</v>
      </c>
      <c r="E489" s="1" t="str">
        <f ca="1">IFERROR(__xludf.DUMMYFUNCTION("GOOGLETRANSLATE(English!E489, ""en"", ""bg"")"),"Можете ли да ми обясните това? Можете ли да ми помогнете да разбера химичните промени?")</f>
        <v>Можете ли да ми обясните това? Можете ли да ми помогнете да разбера химичните промени?</v>
      </c>
      <c r="F489" s="1" t="str">
        <f ca="1">IFERROR(__xludf.DUMMYFUNCTION("GOOGLETRANSLATE(English!F489,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489" s="1" t="str">
        <f ca="1">IFERROR(__xludf.DUMMYFUNCTION("GOOGLETRANSLATE(English!G489, ""en"", ""bg"")"),"разговор")</f>
        <v>разговор</v>
      </c>
      <c r="H489" s="1" t="str">
        <f ca="1">IFERROR(__xludf.DUMMYFUNCTION("GOOGLETRANSLATE(English!H489, ""en"", ""bg"")"),"образователна_помощ")</f>
        <v>образователна_помощ</v>
      </c>
    </row>
    <row r="490" spans="1:8" ht="13.2" x14ac:dyDescent="0.25">
      <c r="A490" s="1" t="str">
        <f ca="1">IFERROR(__xludf.DUMMYFUNCTION("GOOGLETRANSLATE(English!A490, ""en"", ""bg"")"),"qa_13799")</f>
        <v>qa_13799</v>
      </c>
      <c r="B490" s="1" t="str">
        <f ca="1">IFERROR(__xludf.DUMMYFUNCTION("GOOGLETRANSLATE(English!B490, ""en"", ""bg"")"),"физика")</f>
        <v>физика</v>
      </c>
      <c r="C490" s="1" t="str">
        <f ca="1">IFERROR(__xludf.DUMMYFUNCTION("GOOGLETRANSLATE(English!C490, ""en"", ""bg"")"),"високо")</f>
        <v>високо</v>
      </c>
      <c r="D490" s="1" t="str">
        <f ca="1">IFERROR(__xludf.DUMMYFUNCTION("GOOGLETRANSLATE(English!D490, ""en"", ""bg"")"),"термодинамика")</f>
        <v>термодинамика</v>
      </c>
      <c r="E490" s="1" t="str">
        <f ca="1">IFERROR(__xludf.DUMMYFUNCTION("GOOGLETRANSLATE(English!E490, ""en"", ""bg"")"),"Защо термодинамиката е важна?")</f>
        <v>Защо термодинамиката е важна?</v>
      </c>
      <c r="F490" s="1" t="str">
        <f ca="1">IFERROR(__xludf.DUMMYFUNCTION("GOOGLETRANSLATE(English!F490,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490" s="1" t="str">
        <f ca="1">IFERROR(__xludf.DUMMYFUNCTION("GOOGLETRANSLATE(English!G490, ""en"", ""bg"")"),"direct_qa")</f>
        <v>direct_qa</v>
      </c>
      <c r="H490" s="1" t="str">
        <f ca="1">IFERROR(__xludf.DUMMYFUNCTION("GOOGLETRANSLATE(English!H490, ""en"", ""bg"")"),"заявка_за_знание")</f>
        <v>заявка_за_знание</v>
      </c>
    </row>
    <row r="491" spans="1:8" ht="13.2" x14ac:dyDescent="0.25">
      <c r="A491" s="1" t="str">
        <f ca="1">IFERROR(__xludf.DUMMYFUNCTION("GOOGLETRANSLATE(English!A491, ""en"", ""bg"")"),"conv_02646")</f>
        <v>conv_02646</v>
      </c>
      <c r="B491" s="1" t="str">
        <f ca="1">IFERROR(__xludf.DUMMYFUNCTION("GOOGLETRANSLATE(English!B491, ""en"", ""bg"")"),"биология")</f>
        <v>биология</v>
      </c>
      <c r="C491" s="1" t="str">
        <f ca="1">IFERROR(__xludf.DUMMYFUNCTION("GOOGLETRANSLATE(English!C491, ""en"", ""bg"")"),"елементарен")</f>
        <v>елементарен</v>
      </c>
      <c r="D491" s="1" t="str">
        <f ca="1">IFERROR(__xludf.DUMMYFUNCTION("GOOGLETRANSLATE(English!D491, ""en"", ""bg"")"),"жизнени цикли")</f>
        <v>жизнени цикли</v>
      </c>
      <c r="E491" s="1" t="str">
        <f ca="1">IFERROR(__xludf.DUMMYFUNCTION("GOOGLETRANSLATE(English!E491, ""en"", ""bg"")"),"Можете ли да ми помогнете? Как работят жизнените цикли?")</f>
        <v>Можете ли да ми помогнете? Как работят жизнените цикли?</v>
      </c>
      <c r="F491" s="1" t="str">
        <f ca="1">IFERROR(__xludf.DUMMYFUNCTION("GOOGLETRANSLATE(English!F491,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491" s="1" t="str">
        <f ca="1">IFERROR(__xludf.DUMMYFUNCTION("GOOGLETRANSLATE(English!G491, ""en"", ""bg"")"),"разговор")</f>
        <v>разговор</v>
      </c>
      <c r="H491" s="1" t="str">
        <f ca="1">IFERROR(__xludf.DUMMYFUNCTION("GOOGLETRANSLATE(English!H491, ""en"", ""bg"")"),"образователна_помощ")</f>
        <v>образователна_помощ</v>
      </c>
    </row>
    <row r="492" spans="1:8" ht="13.2" x14ac:dyDescent="0.25">
      <c r="A492" s="1" t="str">
        <f ca="1">IFERROR(__xludf.DUMMYFUNCTION("GOOGLETRANSLATE(English!A492, ""en"", ""bg"")"),"conv_15608")</f>
        <v>conv_15608</v>
      </c>
      <c r="B492" s="1" t="str">
        <f ca="1">IFERROR(__xludf.DUMMYFUNCTION("GOOGLETRANSLATE(English!B492, ""en"", ""bg"")"),"физика")</f>
        <v>физика</v>
      </c>
      <c r="C492" s="1" t="str">
        <f ca="1">IFERROR(__xludf.DUMMYFUNCTION("GOOGLETRANSLATE(English!C492, ""en"", ""bg"")"),"средата")</f>
        <v>средата</v>
      </c>
      <c r="D492" s="1" t="str">
        <f ca="1">IFERROR(__xludf.DUMMYFUNCTION("GOOGLETRANSLATE(English!D492, ""en"", ""bg"")"),"видове енергия")</f>
        <v>видове енергия</v>
      </c>
      <c r="E492" s="1" t="str">
        <f ca="1">IFERROR(__xludf.DUMMYFUNCTION("GOOGLETRANSLATE(English!E492, ""en"", ""bg"")"),"Имам научен въпрос. Какво е потенциална енергия?")</f>
        <v>Имам научен въпрос. Какво е потенциална енергия?</v>
      </c>
      <c r="F492" s="1" t="str">
        <f ca="1">IFERROR(__xludf.DUMMYFUNCTION("GOOGLETRANSLATE(English!F492,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492" s="1" t="str">
        <f ca="1">IFERROR(__xludf.DUMMYFUNCTION("GOOGLETRANSLATE(English!G492, ""en"", ""bg"")"),"разговор")</f>
        <v>разговор</v>
      </c>
      <c r="H492" s="1" t="str">
        <f ca="1">IFERROR(__xludf.DUMMYFUNCTION("GOOGLETRANSLATE(English!H492, ""en"", ""bg"")"),"образователна_помощ")</f>
        <v>образователна_помощ</v>
      </c>
    </row>
    <row r="493" spans="1:8" ht="13.2" x14ac:dyDescent="0.25">
      <c r="A493" s="1" t="str">
        <f ca="1">IFERROR(__xludf.DUMMYFUNCTION("GOOGLETRANSLATE(English!A493, ""en"", ""bg"")"),"hw_03916")</f>
        <v>hw_03916</v>
      </c>
      <c r="B493" s="1" t="str">
        <f ca="1">IFERROR(__xludf.DUMMYFUNCTION("GOOGLETRANSLATE(English!B493, ""en"", ""bg"")"),"химия")</f>
        <v>химия</v>
      </c>
      <c r="C493" s="1" t="str">
        <f ca="1">IFERROR(__xludf.DUMMYFUNCTION("GOOGLETRANSLATE(English!C493, ""en"", ""bg"")"),"средата")</f>
        <v>средата</v>
      </c>
      <c r="D493" s="1" t="str">
        <f ca="1">IFERROR(__xludf.DUMMYFUNCTION("GOOGLETRANSLATE(English!D493, ""en"", ""bg"")"),"атоми и молекули")</f>
        <v>атоми и молекули</v>
      </c>
      <c r="E493" s="1" t="str">
        <f ca="1">IFERROR(__xludf.DUMMYFUNCTION("GOOGLETRANSLATE(English!E493,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493" s="1" t="str">
        <f ca="1">IFERROR(__xludf.DUMMYFUNCTION("GOOGLETRANSLATE(English!F493,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93" s="1" t="str">
        <f ca="1">IFERROR(__xludf.DUMMYFUNCTION("GOOGLETRANSLATE(English!G493, ""en"", ""bg"")"),"помощ_за_домашно_изпълнение")</f>
        <v>помощ_за_домашно_изпълнение</v>
      </c>
      <c r="H493" s="1" t="str">
        <f ca="1">IFERROR(__xludf.DUMMYFUNCTION("GOOGLETRANSLATE(English!H493, ""en"", ""bg"")"),"помощ_за_домашно_задаване")</f>
        <v>помощ_за_домашно_задаване</v>
      </c>
    </row>
    <row r="494" spans="1:8" ht="13.2" x14ac:dyDescent="0.25">
      <c r="A494" s="1" t="str">
        <f ca="1">IFERROR(__xludf.DUMMYFUNCTION("GOOGLETRANSLATE(English!A494, ""en"", ""bg"")"),"qa_13624")</f>
        <v>qa_13624</v>
      </c>
      <c r="B494" s="1" t="str">
        <f ca="1">IFERROR(__xludf.DUMMYFUNCTION("GOOGLETRANSLATE(English!B494, ""en"", ""bg"")"),"физика")</f>
        <v>физика</v>
      </c>
      <c r="C494" s="1" t="str">
        <f ca="1">IFERROR(__xludf.DUMMYFUNCTION("GOOGLETRANSLATE(English!C494, ""en"", ""bg"")"),"средата")</f>
        <v>средата</v>
      </c>
      <c r="D494" s="1" t="str">
        <f ca="1">IFERROR(__xludf.DUMMYFUNCTION("GOOGLETRANSLATE(English!D494, ""en"", ""bg"")"),"плътност")</f>
        <v>плътност</v>
      </c>
      <c r="E494" s="1" t="str">
        <f ca="1">IFERROR(__xludf.DUMMYFUNCTION("GOOGLETRANSLATE(English!E494, ""en"", ""bg"")"),"Как работи плътността във физиката?")</f>
        <v>Как работи плътността във физиката?</v>
      </c>
      <c r="F494" s="1" t="str">
        <f ca="1">IFERROR(__xludf.DUMMYFUNCTION("GOOGLETRANSLATE(English!F494,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494" s="1" t="str">
        <f ca="1">IFERROR(__xludf.DUMMYFUNCTION("GOOGLETRANSLATE(English!G494, ""en"", ""bg"")"),"direct_qa")</f>
        <v>direct_qa</v>
      </c>
      <c r="H494" s="1" t="str">
        <f ca="1">IFERROR(__xludf.DUMMYFUNCTION("GOOGLETRANSLATE(English!H494, ""en"", ""bg"")"),"заявка_за_знание")</f>
        <v>заявка_за_знание</v>
      </c>
    </row>
    <row r="495" spans="1:8" ht="13.2" x14ac:dyDescent="0.25">
      <c r="A495" s="1" t="str">
        <f ca="1">IFERROR(__xludf.DUMMYFUNCTION("GOOGLETRANSLATE(English!A495, ""en"", ""bg"")"),"conv_05718")</f>
        <v>conv_05718</v>
      </c>
      <c r="B495" s="1" t="str">
        <f ca="1">IFERROR(__xludf.DUMMYFUNCTION("GOOGLETRANSLATE(English!B495, ""en"", ""bg"")"),"химия")</f>
        <v>химия</v>
      </c>
      <c r="C495" s="1" t="str">
        <f ca="1">IFERROR(__xludf.DUMMYFUNCTION("GOOGLETRANSLATE(English!C495, ""en"", ""bg"")"),"високо")</f>
        <v>високо</v>
      </c>
      <c r="D495" s="1" t="str">
        <f ca="1">IFERROR(__xludf.DUMMYFUNCTION("GOOGLETRANSLATE(English!D495, ""en"", ""bg"")"),"скорости на реакция")</f>
        <v>скорости на реакция</v>
      </c>
      <c r="E495" s="1" t="str">
        <f ca="1">IFERROR(__xludf.DUMMYFUNCTION("GOOGLETRANSLATE(English!E495, ""en"", ""bg"")"),"Имам научен въпрос. Как работят скоростите на реакциите в химията?")</f>
        <v>Имам научен въпрос. Как работят скоростите на реакциите в химията?</v>
      </c>
      <c r="F495" s="1" t="str">
        <f ca="1">IFERROR(__xludf.DUMMYFUNCTION("GOOGLETRANSLATE(English!F495,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495" s="1" t="str">
        <f ca="1">IFERROR(__xludf.DUMMYFUNCTION("GOOGLETRANSLATE(English!G495, ""en"", ""bg"")"),"разговор")</f>
        <v>разговор</v>
      </c>
      <c r="H495" s="1" t="str">
        <f ca="1">IFERROR(__xludf.DUMMYFUNCTION("GOOGLETRANSLATE(English!H495, ""en"", ""bg"")"),"образователна_помощ")</f>
        <v>образователна_помощ</v>
      </c>
    </row>
    <row r="496" spans="1:8" ht="13.2" x14ac:dyDescent="0.25">
      <c r="A496" s="1" t="str">
        <f ca="1">IFERROR(__xludf.DUMMYFUNCTION("GOOGLETRANSLATE(English!A496, ""en"", ""bg"")"),"conv_13813")</f>
        <v>conv_13813</v>
      </c>
      <c r="B496" s="1" t="str">
        <f ca="1">IFERROR(__xludf.DUMMYFUNCTION("GOOGLETRANSLATE(English!B496, ""en"", ""bg"")"),"химия")</f>
        <v>химия</v>
      </c>
      <c r="C496" s="1" t="str">
        <f ca="1">IFERROR(__xludf.DUMMYFUNCTION("GOOGLETRANSLATE(English!C496, ""en"", ""bg"")"),"средата")</f>
        <v>средата</v>
      </c>
      <c r="D496" s="1" t="str">
        <f ca="1">IFERROR(__xludf.DUMMYFUNCTION("GOOGLETRANSLATE(English!D496, ""en"", ""bg"")"),"киселини и основи")</f>
        <v>киселини и основи</v>
      </c>
      <c r="E496" s="1" t="str">
        <f ca="1">IFERROR(__xludf.DUMMYFUNCTION("GOOGLETRANSLATE(English!E496, ""en"", ""bg"")"),"Помогнете ми да уча за теста си. Как действат киселините и основите в химията?")</f>
        <v>Помогнете ми да уча за теста си. Как действат киселините и основите в химията?</v>
      </c>
      <c r="F496" s="1" t="str">
        <f ca="1">IFERROR(__xludf.DUMMYFUNCTION("GOOGLETRANSLATE(English!F496,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96" s="1" t="str">
        <f ca="1">IFERROR(__xludf.DUMMYFUNCTION("GOOGLETRANSLATE(English!G496, ""en"", ""bg"")"),"разговор")</f>
        <v>разговор</v>
      </c>
      <c r="H496" s="1" t="str">
        <f ca="1">IFERROR(__xludf.DUMMYFUNCTION("GOOGLETRANSLATE(English!H496, ""en"", ""bg"")"),"образователна_помощ")</f>
        <v>образователна_помощ</v>
      </c>
    </row>
    <row r="497" spans="1:8" ht="13.2" x14ac:dyDescent="0.25">
      <c r="A497" s="1" t="str">
        <f ca="1">IFERROR(__xludf.DUMMYFUNCTION("GOOGLETRANSLATE(English!A497, ""en"", ""bg"")"),"qa_07027")</f>
        <v>qa_07027</v>
      </c>
      <c r="B497" s="1" t="str">
        <f ca="1">IFERROR(__xludf.DUMMYFUNCTION("GOOGLETRANSLATE(English!B497, ""en"", ""bg"")"),"химия")</f>
        <v>химия</v>
      </c>
      <c r="C497" s="1" t="str">
        <f ca="1">IFERROR(__xludf.DUMMYFUNCTION("GOOGLETRANSLATE(English!C497, ""en"", ""bg"")"),"елементарен")</f>
        <v>елементарен</v>
      </c>
      <c r="D497" s="1" t="str">
        <f ca="1">IFERROR(__xludf.DUMMYFUNCTION("GOOGLETRANSLATE(English!D497, ""en"", ""bg"")"),"безопасност")</f>
        <v>безопасност</v>
      </c>
      <c r="E497" s="1" t="str">
        <f ca="1">IFERROR(__xludf.DUMMYFUNCTION("GOOGLETRANSLATE(English!E497, ""en"", ""bg"")"),"Защо е важно да се учим за безопасността?")</f>
        <v>Защо е важно да се учим за безопасността?</v>
      </c>
      <c r="F497" s="1" t="str">
        <f ca="1">IFERROR(__xludf.DUMMYFUNCTION("GOOGLETRANSLATE(English!F497,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497" s="1" t="str">
        <f ca="1">IFERROR(__xludf.DUMMYFUNCTION("GOOGLETRANSLATE(English!G497, ""en"", ""bg"")"),"direct_qa")</f>
        <v>direct_qa</v>
      </c>
      <c r="H497" s="1" t="str">
        <f ca="1">IFERROR(__xludf.DUMMYFUNCTION("GOOGLETRANSLATE(English!H497, ""en"", ""bg"")"),"заявка_за_знание")</f>
        <v>заявка_за_знание</v>
      </c>
    </row>
    <row r="498" spans="1:8" ht="13.2" x14ac:dyDescent="0.25">
      <c r="A498" s="1" t="str">
        <f ca="1">IFERROR(__xludf.DUMMYFUNCTION("GOOGLETRANSLATE(English!A498, ""en"", ""bg"")"),"hw_09767")</f>
        <v>hw_09767</v>
      </c>
      <c r="B498" s="1" t="str">
        <f ca="1">IFERROR(__xludf.DUMMYFUNCTION("GOOGLETRANSLATE(English!B498, ""en"", ""bg"")"),"химия")</f>
        <v>химия</v>
      </c>
      <c r="C498" s="1" t="str">
        <f ca="1">IFERROR(__xludf.DUMMYFUNCTION("GOOGLETRANSLATE(English!C498, ""en"", ""bg"")"),"средата")</f>
        <v>средата</v>
      </c>
      <c r="D498" s="1" t="str">
        <f ca="1">IFERROR(__xludf.DUMMYFUNCTION("GOOGLETRANSLATE(English!D498, ""en"", ""bg"")"),"киселини и основи")</f>
        <v>киселини и основи</v>
      </c>
      <c r="E498" s="1" t="str">
        <f ca="1">IFERROR(__xludf.DUMMYFUNCTION("GOOGLETRANSLATE(English!E498,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498" s="1" t="str">
        <f ca="1">IFERROR(__xludf.DUMMYFUNCTION("GOOGLETRANSLATE(English!F498,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98" s="1" t="str">
        <f ca="1">IFERROR(__xludf.DUMMYFUNCTION("GOOGLETRANSLATE(English!G498, ""en"", ""bg"")"),"помощ_за_домашно_изпълнение")</f>
        <v>помощ_за_домашно_изпълнение</v>
      </c>
      <c r="H498" s="1" t="str">
        <f ca="1">IFERROR(__xludf.DUMMYFUNCTION("GOOGLETRANSLATE(English!H498, ""en"", ""bg"")"),"помощ_за_домашно_задаване")</f>
        <v>помощ_за_домашно_задаване</v>
      </c>
    </row>
    <row r="499" spans="1:8" ht="13.2" x14ac:dyDescent="0.25">
      <c r="A499" s="1" t="str">
        <f ca="1">IFERROR(__xludf.DUMMYFUNCTION("GOOGLETRANSLATE(English!A499, ""en"", ""bg"")"),"qa_02565")</f>
        <v>qa_02565</v>
      </c>
      <c r="B499" s="1" t="str">
        <f ca="1">IFERROR(__xludf.DUMMYFUNCTION("GOOGLETRANSLATE(English!B499, ""en"", ""bg"")"),"биология")</f>
        <v>биология</v>
      </c>
      <c r="C499" s="1" t="str">
        <f ca="1">IFERROR(__xludf.DUMMYFUNCTION("GOOGLETRANSLATE(English!C499, ""en"", ""bg"")"),"средата")</f>
        <v>средата</v>
      </c>
      <c r="D499" s="1" t="str">
        <f ca="1">IFERROR(__xludf.DUMMYFUNCTION("GOOGLETRANSLATE(English!D499, ""en"", ""bg"")"),"размножаване")</f>
        <v>размножаване</v>
      </c>
      <c r="E499" s="1" t="str">
        <f ca="1">IFERROR(__xludf.DUMMYFUNCTION("GOOGLETRANSLATE(English!E499, ""en"", ""bg"")"),"Как работи репродукцията?")</f>
        <v>Как работи репродукцията?</v>
      </c>
      <c r="F499" s="1" t="str">
        <f ca="1">IFERROR(__xludf.DUMMYFUNCTION("GOOGLETRANSLATE(English!F499,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499" s="1" t="str">
        <f ca="1">IFERROR(__xludf.DUMMYFUNCTION("GOOGLETRANSLATE(English!G499, ""en"", ""bg"")"),"direct_qa")</f>
        <v>direct_qa</v>
      </c>
      <c r="H499" s="1" t="str">
        <f ca="1">IFERROR(__xludf.DUMMYFUNCTION("GOOGLETRANSLATE(English!H499, ""en"", ""bg"")"),"заявка_за_знание")</f>
        <v>заявка_за_знание</v>
      </c>
    </row>
    <row r="500" spans="1:8" ht="13.2" x14ac:dyDescent="0.25">
      <c r="A500" s="1" t="str">
        <f ca="1">IFERROR(__xludf.DUMMYFUNCTION("GOOGLETRANSLATE(English!A500, ""en"", ""bg"")"),"conv_07068")</f>
        <v>conv_07068</v>
      </c>
      <c r="B500" s="1" t="str">
        <f ca="1">IFERROR(__xludf.DUMMYFUNCTION("GOOGLETRANSLATE(English!B500, ""en"", ""bg"")"),"химия")</f>
        <v>химия</v>
      </c>
      <c r="C500" s="1" t="str">
        <f ca="1">IFERROR(__xludf.DUMMYFUNCTION("GOOGLETRANSLATE(English!C500, ""en"", ""bg"")"),"високо")</f>
        <v>високо</v>
      </c>
      <c r="D500" s="1" t="str">
        <f ca="1">IFERROR(__xludf.DUMMYFUNCTION("GOOGLETRANSLATE(English!D500, ""en"", ""bg"")"),"равновесие")</f>
        <v>равновесие</v>
      </c>
      <c r="E500" s="1" t="str">
        <f ca="1">IFERROR(__xludf.DUMMYFUNCTION("GOOGLETRANSLATE(English!E500, ""en"", ""bg"")"),"Можете ли да ми обясните това? Защо е важно да се учи равновесие?")</f>
        <v>Можете ли да ми обясните това? Защо е важно да се учи равновесие?</v>
      </c>
      <c r="F500" s="1" t="str">
        <f ca="1">IFERROR(__xludf.DUMMYFUNCTION("GOOGLETRANSLATE(English!F500,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500" s="1" t="str">
        <f ca="1">IFERROR(__xludf.DUMMYFUNCTION("GOOGLETRANSLATE(English!G500, ""en"", ""bg"")"),"разговор")</f>
        <v>разговор</v>
      </c>
      <c r="H500" s="1" t="str">
        <f ca="1">IFERROR(__xludf.DUMMYFUNCTION("GOOGLETRANSLATE(English!H500, ""en"", ""bg"")"),"образователна_помощ")</f>
        <v>образователна_помощ</v>
      </c>
    </row>
    <row r="501" spans="1:8" ht="13.2" x14ac:dyDescent="0.25">
      <c r="A501" s="1" t="str">
        <f ca="1">IFERROR(__xludf.DUMMYFUNCTION("GOOGLETRANSLATE(English!A501, ""en"", ""bg"")"),"hw_02029")</f>
        <v>hw_02029</v>
      </c>
      <c r="B501" s="1" t="str">
        <f ca="1">IFERROR(__xludf.DUMMYFUNCTION("GOOGLETRANSLATE(English!B501, ""en"", ""bg"")"),"физика")</f>
        <v>физика</v>
      </c>
      <c r="C501" s="1" t="str">
        <f ca="1">IFERROR(__xludf.DUMMYFUNCTION("GOOGLETRANSLATE(English!C501, ""en"", ""bg"")"),"средата")</f>
        <v>средата</v>
      </c>
      <c r="D501" s="1" t="str">
        <f ca="1">IFERROR(__xludf.DUMMYFUNCTION("GOOGLETRANSLATE(English!D501, ""en"", ""bg"")"),"състояния на материята")</f>
        <v>състояния на материята</v>
      </c>
      <c r="E501" s="1" t="str">
        <f ca="1">IFERROR(__xludf.DUMMYFUNCTION("GOOGLETRANSLATE(English!E501, ""en"", ""bg"")"),"Заседнал съм с този проблем със състоянията на материята. Можете ли да помогнете?")</f>
        <v>Заседнал съм с този проблем със състоянията на материята. Можете ли да помогнете?</v>
      </c>
      <c r="F501" s="1" t="str">
        <f ca="1">IFERROR(__xludf.DUMMYFUNCTION("GOOGLETRANSLATE(English!F501,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501" s="1" t="str">
        <f ca="1">IFERROR(__xludf.DUMMYFUNCTION("GOOGLETRANSLATE(English!G501, ""en"", ""bg"")"),"помощ_за_домашно_изпълнение")</f>
        <v>помощ_за_домашно_изпълнение</v>
      </c>
      <c r="H501" s="1" t="str">
        <f ca="1">IFERROR(__xludf.DUMMYFUNCTION("GOOGLETRANSLATE(English!H501, ""en"", ""bg"")"),"помощ_за_домашно_задаване")</f>
        <v>помощ_за_домашно_задаване</v>
      </c>
    </row>
    <row r="502" spans="1:8" ht="13.2" x14ac:dyDescent="0.25">
      <c r="A502" s="1" t="str">
        <f ca="1">IFERROR(__xludf.DUMMYFUNCTION("GOOGLETRANSLATE(English!A502, ""en"", ""bg"")"),"conv_08411")</f>
        <v>conv_08411</v>
      </c>
      <c r="B502" s="1" t="str">
        <f ca="1">IFERROR(__xludf.DUMMYFUNCTION("GOOGLETRANSLATE(English!B502, ""en"", ""bg"")"),"физика")</f>
        <v>физика</v>
      </c>
      <c r="C502" s="1" t="str">
        <f ca="1">IFERROR(__xludf.DUMMYFUNCTION("GOOGLETRANSLATE(English!C502, ""en"", ""bg"")"),"елементарен")</f>
        <v>елементарен</v>
      </c>
      <c r="D502" s="1" t="str">
        <f ca="1">IFERROR(__xludf.DUMMYFUNCTION("GOOGLETRANSLATE(English!D502, ""en"", ""bg"")"),"бутане и дърпане")</f>
        <v>бутане и дърпане</v>
      </c>
      <c r="E502" s="1" t="str">
        <f ca="1">IFERROR(__xludf.DUMMYFUNCTION("GOOGLETRANSLATE(English!E502, ""en"", ""bg"")"),"Можете ли да ми обясните това? Как работят бутането и дърпането във физиката?")</f>
        <v>Можете ли да ми обясните това? Как работят бутането и дърпането във физиката?</v>
      </c>
      <c r="F502" s="1" t="str">
        <f ca="1">IFERROR(__xludf.DUMMYFUNCTION("GOOGLETRANSLATE(English!F502,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502" s="1" t="str">
        <f ca="1">IFERROR(__xludf.DUMMYFUNCTION("GOOGLETRANSLATE(English!G502, ""en"", ""bg"")"),"разговор")</f>
        <v>разговор</v>
      </c>
      <c r="H502" s="1" t="str">
        <f ca="1">IFERROR(__xludf.DUMMYFUNCTION("GOOGLETRANSLATE(English!H502, ""en"", ""bg"")"),"образователна_помощ")</f>
        <v>образователна_помощ</v>
      </c>
    </row>
    <row r="503" spans="1:8" ht="13.2" x14ac:dyDescent="0.25">
      <c r="A503" s="1" t="str">
        <f ca="1">IFERROR(__xludf.DUMMYFUNCTION("GOOGLETRANSLATE(English!A503, ""en"", ""bg"")"),"conv_14700")</f>
        <v>conv_14700</v>
      </c>
      <c r="B503" s="1" t="str">
        <f ca="1">IFERROR(__xludf.DUMMYFUNCTION("GOOGLETRANSLATE(English!B503, ""en"", ""bg"")"),"биология")</f>
        <v>биология</v>
      </c>
      <c r="C503" s="1" t="str">
        <f ca="1">IFERROR(__xludf.DUMMYFUNCTION("GOOGLETRANSLATE(English!C503, ""en"", ""bg"")"),"средата")</f>
        <v>средата</v>
      </c>
      <c r="D503" s="1" t="str">
        <f ca="1">IFERROR(__xludf.DUMMYFUNCTION("GOOGLETRANSLATE(English!D503, ""en"", ""bg"")"),"класификация")</f>
        <v>класификация</v>
      </c>
      <c r="E503" s="1" t="str">
        <f ca="1">IFERROR(__xludf.DUMMYFUNCTION("GOOGLETRANSLATE(English!E503, ""en"", ""bg"")"),"Не разбирам тази тема. Как работи класификацията?")</f>
        <v>Не разбирам тази тема. Как работи класификацията?</v>
      </c>
      <c r="F503" s="1" t="str">
        <f ca="1">IFERROR(__xludf.DUMMYFUNCTION("GOOGLETRANSLATE(English!F503,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503" s="1" t="str">
        <f ca="1">IFERROR(__xludf.DUMMYFUNCTION("GOOGLETRANSLATE(English!G503, ""en"", ""bg"")"),"разговор")</f>
        <v>разговор</v>
      </c>
      <c r="H503" s="1" t="str">
        <f ca="1">IFERROR(__xludf.DUMMYFUNCTION("GOOGLETRANSLATE(English!H503, ""en"", ""bg"")"),"образователна_помощ")</f>
        <v>образователна_помощ</v>
      </c>
    </row>
    <row r="504" spans="1:8" ht="13.2" x14ac:dyDescent="0.25">
      <c r="A504" s="1" t="str">
        <f ca="1">IFERROR(__xludf.DUMMYFUNCTION("GOOGLETRANSLATE(English!A504, ""en"", ""bg"")"),"conv_14072")</f>
        <v>conv_14072</v>
      </c>
      <c r="B504" s="1" t="str">
        <f ca="1">IFERROR(__xludf.DUMMYFUNCTION("GOOGLETRANSLATE(English!B504, ""en"", ""bg"")"),"физика")</f>
        <v>физика</v>
      </c>
      <c r="C504" s="1" t="str">
        <f ca="1">IFERROR(__xludf.DUMMYFUNCTION("GOOGLETRANSLATE(English!C504, ""en"", ""bg"")"),"средата")</f>
        <v>средата</v>
      </c>
      <c r="D504" s="1" t="str">
        <f ca="1">IFERROR(__xludf.DUMMYFUNCTION("GOOGLETRANSLATE(English!D504, ""en"", ""bg"")"),"прости схеми")</f>
        <v>прости схеми</v>
      </c>
      <c r="E504" s="1" t="str">
        <f ca="1">IFERROR(__xludf.DUMMYFUNCTION("GOOGLETRANSLATE(English!E504, ""en"", ""bg"")"),"Здравей, преподавателю! Как работят прости електрически вериги във физиката?")</f>
        <v>Здравей, преподавателю! Как работят прости електрически вериги във физиката?</v>
      </c>
      <c r="F504" s="1" t="str">
        <f ca="1">IFERROR(__xludf.DUMMYFUNCTION("GOOGLETRANSLATE(English!F504,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504" s="1" t="str">
        <f ca="1">IFERROR(__xludf.DUMMYFUNCTION("GOOGLETRANSLATE(English!G504, ""en"", ""bg"")"),"разговор")</f>
        <v>разговор</v>
      </c>
      <c r="H504" s="1" t="str">
        <f ca="1">IFERROR(__xludf.DUMMYFUNCTION("GOOGLETRANSLATE(English!H504, ""en"", ""bg"")"),"образователна_помощ")</f>
        <v>образователна_помощ</v>
      </c>
    </row>
    <row r="505" spans="1:8" ht="13.2" x14ac:dyDescent="0.25">
      <c r="A505" s="1" t="str">
        <f ca="1">IFERROR(__xludf.DUMMYFUNCTION("GOOGLETRANSLATE(English!A505, ""en"", ""bg"")"),"conv_12368")</f>
        <v>conv_12368</v>
      </c>
      <c r="B505" s="1" t="str">
        <f ca="1">IFERROR(__xludf.DUMMYFUNCTION("GOOGLETRANSLATE(English!B505, ""en"", ""bg"")"),"химия")</f>
        <v>химия</v>
      </c>
      <c r="C505" s="1" t="str">
        <f ca="1">IFERROR(__xludf.DUMMYFUNCTION("GOOGLETRANSLATE(English!C505, ""en"", ""bg"")"),"средата")</f>
        <v>средата</v>
      </c>
      <c r="D505" s="1" t="str">
        <f ca="1">IFERROR(__xludf.DUMMYFUNCTION("GOOGLETRANSLATE(English!D505, ""en"", ""bg"")"),"химични промени")</f>
        <v>химични промени</v>
      </c>
      <c r="E505" s="1" t="str">
        <f ca="1">IFERROR(__xludf.DUMMYFUNCTION("GOOGLETRANSLATE(English!E505, ""en"", ""bg"")"),"Не разбирам тази тема. Какво представляват химичните промени?")</f>
        <v>Не разбирам тази тема. Какво представляват химичните промени?</v>
      </c>
      <c r="F505" s="1" t="str">
        <f ca="1">IFERROR(__xludf.DUMMYFUNCTION("GOOGLETRANSLATE(English!F505,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505" s="1" t="str">
        <f ca="1">IFERROR(__xludf.DUMMYFUNCTION("GOOGLETRANSLATE(English!G505, ""en"", ""bg"")"),"разговор")</f>
        <v>разговор</v>
      </c>
      <c r="H505" s="1" t="str">
        <f ca="1">IFERROR(__xludf.DUMMYFUNCTION("GOOGLETRANSLATE(English!H505, ""en"", ""bg"")"),"образователна_помощ")</f>
        <v>образователна_помощ</v>
      </c>
    </row>
    <row r="506" spans="1:8" ht="13.2" x14ac:dyDescent="0.25">
      <c r="A506" s="1" t="str">
        <f ca="1">IFERROR(__xludf.DUMMYFUNCTION("GOOGLETRANSLATE(English!A506, ""en"", ""bg"")"),"qa_08489")</f>
        <v>qa_08489</v>
      </c>
      <c r="B506" s="1" t="str">
        <f ca="1">IFERROR(__xludf.DUMMYFUNCTION("GOOGLETRANSLATE(English!B506, ""en"", ""bg"")"),"химия")</f>
        <v>химия</v>
      </c>
      <c r="C506" s="1" t="str">
        <f ca="1">IFERROR(__xludf.DUMMYFUNCTION("GOOGLETRANSLATE(English!C506, ""en"", ""bg"")"),"високо")</f>
        <v>високо</v>
      </c>
      <c r="D506" s="1" t="str">
        <f ca="1">IFERROR(__xludf.DUMMYFUNCTION("GOOGLETRANSLATE(English!D506, ""en"", ""bg"")"),"скорости на реакция")</f>
        <v>скорости на реакция</v>
      </c>
      <c r="E506" s="1" t="str">
        <f ca="1">IFERROR(__xludf.DUMMYFUNCTION("GOOGLETRANSLATE(English!E506, ""en"", ""bg"")"),"Какво представляват скоростите на реакция?")</f>
        <v>Какво представляват скоростите на реакция?</v>
      </c>
      <c r="F506" s="1" t="str">
        <f ca="1">IFERROR(__xludf.DUMMYFUNCTION("GOOGLETRANSLATE(English!F506,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506" s="1" t="str">
        <f ca="1">IFERROR(__xludf.DUMMYFUNCTION("GOOGLETRANSLATE(English!G506, ""en"", ""bg"")"),"direct_qa")</f>
        <v>direct_qa</v>
      </c>
      <c r="H506" s="1" t="str">
        <f ca="1">IFERROR(__xludf.DUMMYFUNCTION("GOOGLETRANSLATE(English!H506, ""en"", ""bg"")"),"заявка_за_знание")</f>
        <v>заявка_за_знание</v>
      </c>
    </row>
    <row r="507" spans="1:8" ht="13.2" x14ac:dyDescent="0.25">
      <c r="A507" s="1" t="str">
        <f ca="1">IFERROR(__xludf.DUMMYFUNCTION("GOOGLETRANSLATE(English!A507, ""en"", ""bg"")"),"hw_06994")</f>
        <v>hw_06994</v>
      </c>
      <c r="B507" s="1" t="str">
        <f ca="1">IFERROR(__xludf.DUMMYFUNCTION("GOOGLETRANSLATE(English!B507, ""en"", ""bg"")"),"физика")</f>
        <v>физика</v>
      </c>
      <c r="C507" s="1" t="str">
        <f ca="1">IFERROR(__xludf.DUMMYFUNCTION("GOOGLETRANSLATE(English!C507, ""en"", ""bg"")"),"елементарен")</f>
        <v>елементарен</v>
      </c>
      <c r="D507" s="1" t="str">
        <f ca="1">IFERROR(__xludf.DUMMYFUNCTION("GOOGLETRANSLATE(English!D507, ""en"", ""bg"")"),"горещо и студено")</f>
        <v>горещо и студено</v>
      </c>
      <c r="E507" s="1" t="str">
        <f ca="1">IFERROR(__xludf.DUMMYFUNCTION("GOOGLETRANSLATE(English!E507, ""en"", ""bg"")"),"Можеш ли да решиш този горещ и студен въпрос с мен?")</f>
        <v>Можеш ли да решиш този горещ и студен въпрос с мен?</v>
      </c>
      <c r="F507" s="1" t="str">
        <f ca="1">IFERROR(__xludf.DUMMYFUNCTION("GOOGLETRANSLATE(English!F507,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507" s="1" t="str">
        <f ca="1">IFERROR(__xludf.DUMMYFUNCTION("GOOGLETRANSLATE(English!G507, ""en"", ""bg"")"),"помощ_за_домашно_изпълнение")</f>
        <v>помощ_за_домашно_изпълнение</v>
      </c>
      <c r="H507" s="1" t="str">
        <f ca="1">IFERROR(__xludf.DUMMYFUNCTION("GOOGLETRANSLATE(English!H507, ""en"", ""bg"")"),"помощ_за_домашно_задаване")</f>
        <v>помощ_за_домашно_задаване</v>
      </c>
    </row>
    <row r="508" spans="1:8" ht="13.2" x14ac:dyDescent="0.25">
      <c r="A508" s="1" t="str">
        <f ca="1">IFERROR(__xludf.DUMMYFUNCTION("GOOGLETRANSLATE(English!A508, ""en"", ""bg"")"),"conv_18087")</f>
        <v>conv_18087</v>
      </c>
      <c r="B508" s="1" t="str">
        <f ca="1">IFERROR(__xludf.DUMMYFUNCTION("GOOGLETRANSLATE(English!B508, ""en"", ""bg"")"),"химия")</f>
        <v>химия</v>
      </c>
      <c r="C508" s="1" t="str">
        <f ca="1">IFERROR(__xludf.DUMMYFUNCTION("GOOGLETRANSLATE(English!C508, ""en"", ""bg"")"),"средата")</f>
        <v>средата</v>
      </c>
      <c r="D508" s="1" t="str">
        <f ca="1">IFERROR(__xludf.DUMMYFUNCTION("GOOGLETRANSLATE(English!D508, ""en"", ""bg"")"),"атоми и молекули")</f>
        <v>атоми и молекули</v>
      </c>
      <c r="E508" s="1" t="str">
        <f ca="1">IFERROR(__xludf.DUMMYFUNCTION("GOOGLETRANSLATE(English!E508, ""en"", ""bg"")"),"Не разбирам тази тема. Какво е атом?")</f>
        <v>Не разбирам тази тема. Какво е атом?</v>
      </c>
      <c r="F508" s="1" t="str">
        <f ca="1">IFERROR(__xludf.DUMMYFUNCTION("GOOGLETRANSLATE(English!F508,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508" s="1" t="str">
        <f ca="1">IFERROR(__xludf.DUMMYFUNCTION("GOOGLETRANSLATE(English!G508, ""en"", ""bg"")"),"разговор")</f>
        <v>разговор</v>
      </c>
      <c r="H508" s="1" t="str">
        <f ca="1">IFERROR(__xludf.DUMMYFUNCTION("GOOGLETRANSLATE(English!H508, ""en"", ""bg"")"),"образователна_помощ")</f>
        <v>образователна_помощ</v>
      </c>
    </row>
    <row r="509" spans="1:8" ht="13.2" x14ac:dyDescent="0.25">
      <c r="A509" s="1" t="str">
        <f ca="1">IFERROR(__xludf.DUMMYFUNCTION("GOOGLETRANSLATE(English!A509, ""en"", ""bg"")"),"hw_03029")</f>
        <v>hw_03029</v>
      </c>
      <c r="B509" s="1" t="str">
        <f ca="1">IFERROR(__xludf.DUMMYFUNCTION("GOOGLETRANSLATE(English!B509, ""en"", ""bg"")"),"физика")</f>
        <v>физика</v>
      </c>
      <c r="C509" s="1" t="str">
        <f ca="1">IFERROR(__xludf.DUMMYFUNCTION("GOOGLETRANSLATE(English!C509, ""en"", ""bg"")"),"високо")</f>
        <v>високо</v>
      </c>
      <c r="D509" s="1" t="str">
        <f ca="1">IFERROR(__xludf.DUMMYFUNCTION("GOOGLETRANSLATE(English!D509, ""en"", ""bg"")"),"механика")</f>
        <v>механика</v>
      </c>
      <c r="E509" s="1" t="str">
        <f ca="1">IFERROR(__xludf.DUMMYFUNCTION("GOOGLETRANSLATE(English!E509, ""en"", ""bg"")"),"Заседнал съм с този механичен проблем. Можете ли да помогнете?")</f>
        <v>Заседнал съм с този механичен проблем. Можете ли да помогнете?</v>
      </c>
      <c r="F509" s="1" t="str">
        <f ca="1">IFERROR(__xludf.DUMMYFUNCTION("GOOGLETRANSLATE(English!F509,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509" s="1" t="str">
        <f ca="1">IFERROR(__xludf.DUMMYFUNCTION("GOOGLETRANSLATE(English!G509, ""en"", ""bg"")"),"помощ_за_домашно_изпълнение")</f>
        <v>помощ_за_домашно_изпълнение</v>
      </c>
      <c r="H509" s="1" t="str">
        <f ca="1">IFERROR(__xludf.DUMMYFUNCTION("GOOGLETRANSLATE(English!H509, ""en"", ""bg"")"),"помощ_за_домашно_задаване")</f>
        <v>помощ_за_домашно_задаване</v>
      </c>
    </row>
    <row r="510" spans="1:8" ht="13.2" x14ac:dyDescent="0.25">
      <c r="A510" s="1" t="str">
        <f ca="1">IFERROR(__xludf.DUMMYFUNCTION("GOOGLETRANSLATE(English!A510, ""en"", ""bg"")"),"hw_03678")</f>
        <v>hw_03678</v>
      </c>
      <c r="B510" s="1" t="str">
        <f ca="1">IFERROR(__xludf.DUMMYFUNCTION("GOOGLETRANSLATE(English!B510, ""en"", ""bg"")"),"химия")</f>
        <v>химия</v>
      </c>
      <c r="C510" s="1" t="str">
        <f ca="1">IFERROR(__xludf.DUMMYFUNCTION("GOOGLETRANSLATE(English!C510, ""en"", ""bg"")"),"елементарен")</f>
        <v>елементарен</v>
      </c>
      <c r="D510" s="1" t="str">
        <f ca="1">IFERROR(__xludf.DUMMYFUNCTION("GOOGLETRANSLATE(English!D510, ""en"", ""bg"")"),"смесване на материали")</f>
        <v>смесване на материали</v>
      </c>
      <c r="E510" s="1" t="str">
        <f ca="1">IFERROR(__xludf.DUMMYFUNCTION("GOOGLETRANSLATE(English!E510, ""en"", ""bg"")"),"Можете ли да ми помогнете с изчисленията за смесване на материали?")</f>
        <v>Можете ли да ми помогнете с изчисленията за смесване на материали?</v>
      </c>
      <c r="F510" s="1" t="str">
        <f ca="1">IFERROR(__xludf.DUMMYFUNCTION("GOOGLETRANSLATE(English!F510,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510" s="1" t="str">
        <f ca="1">IFERROR(__xludf.DUMMYFUNCTION("GOOGLETRANSLATE(English!G510, ""en"", ""bg"")"),"помощ_за_домашно_изпълнение")</f>
        <v>помощ_за_домашно_изпълнение</v>
      </c>
      <c r="H510" s="1" t="str">
        <f ca="1">IFERROR(__xludf.DUMMYFUNCTION("GOOGLETRANSLATE(English!H510, ""en"", ""bg"")"),"помощ_за_домашно_задаване")</f>
        <v>помощ_за_домашно_задаване</v>
      </c>
    </row>
    <row r="511" spans="1:8" ht="13.2" x14ac:dyDescent="0.25">
      <c r="A511" s="1" t="str">
        <f ca="1">IFERROR(__xludf.DUMMYFUNCTION("GOOGLETRANSLATE(English!A511, ""en"", ""bg"")"),"conv_14840")</f>
        <v>conv_14840</v>
      </c>
      <c r="B511" s="1" t="str">
        <f ca="1">IFERROR(__xludf.DUMMYFUNCTION("GOOGLETRANSLATE(English!B511, ""en"", ""bg"")"),"биология")</f>
        <v>биология</v>
      </c>
      <c r="C511" s="1" t="str">
        <f ca="1">IFERROR(__xludf.DUMMYFUNCTION("GOOGLETRANSLATE(English!C511, ""en"", ""bg"")"),"средата")</f>
        <v>средата</v>
      </c>
      <c r="D511" s="1" t="str">
        <f ca="1">IFERROR(__xludf.DUMMYFUNCTION("GOOGLETRANSLATE(English!D511, ""en"", ""bg"")"),"класификация")</f>
        <v>класификация</v>
      </c>
      <c r="E511" s="1" t="str">
        <f ca="1">IFERROR(__xludf.DUMMYFUNCTION("GOOGLETRANSLATE(English!E511, ""en"", ""bg"")"),"Имам научен въпрос. Какво е важно да знаем за класификацията?")</f>
        <v>Имам научен въпрос. Какво е важно да знаем за класификацията?</v>
      </c>
      <c r="F511" s="1" t="str">
        <f ca="1">IFERROR(__xludf.DUMMYFUNCTION("GOOGLETRANSLATE(English!F511,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511" s="1" t="str">
        <f ca="1">IFERROR(__xludf.DUMMYFUNCTION("GOOGLETRANSLATE(English!G511, ""en"", ""bg"")"),"разговор")</f>
        <v>разговор</v>
      </c>
      <c r="H511" s="1" t="str">
        <f ca="1">IFERROR(__xludf.DUMMYFUNCTION("GOOGLETRANSLATE(English!H511, ""en"", ""bg"")"),"образователна_помощ")</f>
        <v>образователна_помощ</v>
      </c>
    </row>
    <row r="512" spans="1:8" ht="13.2" x14ac:dyDescent="0.25">
      <c r="A512" s="1" t="str">
        <f ca="1">IFERROR(__xludf.DUMMYFUNCTION("GOOGLETRANSLATE(English!A512, ""en"", ""bg"")"),"qa_02685")</f>
        <v>qa_02685</v>
      </c>
      <c r="B512" s="1" t="str">
        <f ca="1">IFERROR(__xludf.DUMMYFUNCTION("GOOGLETRANSLATE(English!B512, ""en"", ""bg"")"),"физика")</f>
        <v>физика</v>
      </c>
      <c r="C512" s="1" t="str">
        <f ca="1">IFERROR(__xludf.DUMMYFUNCTION("GOOGLETRANSLATE(English!C512, ""en"", ""bg"")"),"високо")</f>
        <v>високо</v>
      </c>
      <c r="D512" s="1" t="str">
        <f ca="1">IFERROR(__xludf.DUMMYFUNCTION("GOOGLETRANSLATE(English!D512, ""en"", ""bg"")"),"атомна структура")</f>
        <v>атомна структура</v>
      </c>
      <c r="E512" s="1" t="str">
        <f ca="1">IFERROR(__xludf.DUMMYFUNCTION("GOOGLETRANSLATE(English!E512, ""en"", ""bg"")"),"Какво трябва да знам за атомната структура?")</f>
        <v>Какво трябва да знам за атомната структура?</v>
      </c>
      <c r="F512" s="1" t="str">
        <f ca="1">IFERROR(__xludf.DUMMYFUNCTION("GOOGLETRANSLATE(English!F512,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512" s="1" t="str">
        <f ca="1">IFERROR(__xludf.DUMMYFUNCTION("GOOGLETRANSLATE(English!G512, ""en"", ""bg"")"),"direct_qa")</f>
        <v>direct_qa</v>
      </c>
      <c r="H512" s="1" t="str">
        <f ca="1">IFERROR(__xludf.DUMMYFUNCTION("GOOGLETRANSLATE(English!H512, ""en"", ""bg"")"),"заявка_за_знание")</f>
        <v>заявка_за_знание</v>
      </c>
    </row>
    <row r="513" spans="1:8" ht="13.2" x14ac:dyDescent="0.25">
      <c r="A513" s="1" t="str">
        <f ca="1">IFERROR(__xludf.DUMMYFUNCTION("GOOGLETRANSLATE(English!A513, ""en"", ""bg"")"),"qa_07967")</f>
        <v>qa_07967</v>
      </c>
      <c r="B513" s="1" t="str">
        <f ca="1">IFERROR(__xludf.DUMMYFUNCTION("GOOGLETRANSLATE(English!B513, ""en"", ""bg"")"),"физика")</f>
        <v>физика</v>
      </c>
      <c r="C513" s="1" t="str">
        <f ca="1">IFERROR(__xludf.DUMMYFUNCTION("GOOGLETRANSLATE(English!C513, ""en"", ""bg"")"),"високо")</f>
        <v>високо</v>
      </c>
      <c r="D513" s="1" t="str">
        <f ca="1">IFERROR(__xludf.DUMMYFUNCTION("GOOGLETRANSLATE(English!D513, ""en"", ""bg"")"),"електромагнетизъм")</f>
        <v>електромагнетизъм</v>
      </c>
      <c r="E513" s="1" t="str">
        <f ca="1">IFERROR(__xludf.DUMMYFUNCTION("GOOGLETRANSLATE(English!E513, ""en"", ""bg"")"),"Защо електромагнетизмът е важен?")</f>
        <v>Защо електромагнетизмът е важен?</v>
      </c>
      <c r="F513" s="1" t="str">
        <f ca="1">IFERROR(__xludf.DUMMYFUNCTION("GOOGLETRANSLATE(English!F513,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513" s="1" t="str">
        <f ca="1">IFERROR(__xludf.DUMMYFUNCTION("GOOGLETRANSLATE(English!G513, ""en"", ""bg"")"),"direct_qa")</f>
        <v>direct_qa</v>
      </c>
      <c r="H513" s="1" t="str">
        <f ca="1">IFERROR(__xludf.DUMMYFUNCTION("GOOGLETRANSLATE(English!H513, ""en"", ""bg"")"),"заявка_за_знание")</f>
        <v>заявка_за_знание</v>
      </c>
    </row>
    <row r="514" spans="1:8" ht="13.2" x14ac:dyDescent="0.25">
      <c r="A514" s="1" t="str">
        <f ca="1">IFERROR(__xludf.DUMMYFUNCTION("GOOGLETRANSLATE(English!A514, ""en"", ""bg"")"),"qa_10557")</f>
        <v>qa_10557</v>
      </c>
      <c r="B514" s="1" t="str">
        <f ca="1">IFERROR(__xludf.DUMMYFUNCTION("GOOGLETRANSLATE(English!B514, ""en"", ""bg"")"),"физика")</f>
        <v>физика</v>
      </c>
      <c r="C514" s="1" t="str">
        <f ca="1">IFERROR(__xludf.DUMMYFUNCTION("GOOGLETRANSLATE(English!C514, ""en"", ""bg"")"),"елементарен")</f>
        <v>елементарен</v>
      </c>
      <c r="D514" s="1" t="str">
        <f ca="1">IFERROR(__xludf.DUMMYFUNCTION("GOOGLETRANSLATE(English!D514, ""en"", ""bg"")"),"магнити")</f>
        <v>магнити</v>
      </c>
      <c r="E514" s="1" t="str">
        <f ca="1">IFERROR(__xludf.DUMMYFUNCTION("GOOGLETRANSLATE(English!E514, ""en"", ""bg"")"),"Можете ли да направите магнит по-силен?")</f>
        <v>Можете ли да направите магнит по-силен?</v>
      </c>
      <c r="F514" s="1" t="str">
        <f ca="1">IFERROR(__xludf.DUMMYFUNCTION("GOOGLETRANSLATE(English!F514,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514" s="1" t="str">
        <f ca="1">IFERROR(__xludf.DUMMYFUNCTION("GOOGLETRANSLATE(English!G514, ""en"", ""bg"")"),"direct_qa")</f>
        <v>direct_qa</v>
      </c>
      <c r="H514" s="1" t="str">
        <f ca="1">IFERROR(__xludf.DUMMYFUNCTION("GOOGLETRANSLATE(English!H514, ""en"", ""bg"")"),"заявка_за_знание")</f>
        <v>заявка_за_знание</v>
      </c>
    </row>
    <row r="515" spans="1:8" ht="13.2" x14ac:dyDescent="0.25">
      <c r="A515" s="1" t="str">
        <f ca="1">IFERROR(__xludf.DUMMYFUNCTION("GOOGLETRANSLATE(English!A515, ""en"", ""bg"")"),"qa_12499")</f>
        <v>qa_12499</v>
      </c>
      <c r="B515" s="1" t="str">
        <f ca="1">IFERROR(__xludf.DUMMYFUNCTION("GOOGLETRANSLATE(English!B515, ""en"", ""bg"")"),"физика")</f>
        <v>физика</v>
      </c>
      <c r="C515" s="1" t="str">
        <f ca="1">IFERROR(__xludf.DUMMYFUNCTION("GOOGLETRANSLATE(English!C515, ""en"", ""bg"")"),"средата")</f>
        <v>средата</v>
      </c>
      <c r="D515" s="1" t="str">
        <f ca="1">IFERROR(__xludf.DUMMYFUNCTION("GOOGLETRANSLATE(English!D515, ""en"", ""bg"")"),"състояния на материята")</f>
        <v>състояния на материята</v>
      </c>
      <c r="E515" s="1" t="str">
        <f ca="1">IFERROR(__xludf.DUMMYFUNCTION("GOOGLETRANSLATE(English!E515, ""en"", ""bg"")"),"Защо състоянията на материята са важни?")</f>
        <v>Защо състоянията на материята са важни?</v>
      </c>
      <c r="F515" s="1" t="str">
        <f ca="1">IFERROR(__xludf.DUMMYFUNCTION("GOOGLETRANSLATE(English!F515,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515" s="1" t="str">
        <f ca="1">IFERROR(__xludf.DUMMYFUNCTION("GOOGLETRANSLATE(English!G515, ""en"", ""bg"")"),"direct_qa")</f>
        <v>direct_qa</v>
      </c>
      <c r="H515" s="1" t="str">
        <f ca="1">IFERROR(__xludf.DUMMYFUNCTION("GOOGLETRANSLATE(English!H515, ""en"", ""bg"")"),"заявка_за_знание")</f>
        <v>заявка_за_знание</v>
      </c>
    </row>
    <row r="516" spans="1:8" ht="13.2" x14ac:dyDescent="0.25">
      <c r="A516" s="1" t="str">
        <f ca="1">IFERROR(__xludf.DUMMYFUNCTION("GOOGLETRANSLATE(English!A516, ""en"", ""bg"")"),"qa_08044")</f>
        <v>qa_08044</v>
      </c>
      <c r="B516" s="1" t="str">
        <f ca="1">IFERROR(__xludf.DUMMYFUNCTION("GOOGLETRANSLATE(English!B516, ""en"", ""bg"")"),"физика")</f>
        <v>физика</v>
      </c>
      <c r="C516" s="1" t="str">
        <f ca="1">IFERROR(__xludf.DUMMYFUNCTION("GOOGLETRANSLATE(English!C516, ""en"", ""bg"")"),"елементарен")</f>
        <v>елементарен</v>
      </c>
      <c r="D516" s="1" t="str">
        <f ca="1">IFERROR(__xludf.DUMMYFUNCTION("GOOGLETRANSLATE(English!D516, ""en"", ""bg"")"),"горещо и студено")</f>
        <v>горещо и студено</v>
      </c>
      <c r="E516" s="1" t="str">
        <f ca="1">IFERROR(__xludf.DUMMYFUNCTION("GOOGLETRANSLATE(English!E516, ""en"", ""bg"")"),"Защо е важно топлото и студеното?")</f>
        <v>Защо е важно топлото и студеното?</v>
      </c>
      <c r="F516" s="1" t="str">
        <f ca="1">IFERROR(__xludf.DUMMYFUNCTION("GOOGLETRANSLATE(English!F516,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516" s="1" t="str">
        <f ca="1">IFERROR(__xludf.DUMMYFUNCTION("GOOGLETRANSLATE(English!G516, ""en"", ""bg"")"),"direct_qa")</f>
        <v>direct_qa</v>
      </c>
      <c r="H516" s="1" t="str">
        <f ca="1">IFERROR(__xludf.DUMMYFUNCTION("GOOGLETRANSLATE(English!H516, ""en"", ""bg"")"),"заявка_за_знание")</f>
        <v>заявка_за_знание</v>
      </c>
    </row>
    <row r="517" spans="1:8" ht="13.2" x14ac:dyDescent="0.25">
      <c r="A517" s="1" t="str">
        <f ca="1">IFERROR(__xludf.DUMMYFUNCTION("GOOGLETRANSLATE(English!A517, ""en"", ""bg"")"),"conv_10107")</f>
        <v>conv_10107</v>
      </c>
      <c r="B517" s="1" t="str">
        <f ca="1">IFERROR(__xludf.DUMMYFUNCTION("GOOGLETRANSLATE(English!B517, ""en"", ""bg"")"),"химия")</f>
        <v>химия</v>
      </c>
      <c r="C517" s="1" t="str">
        <f ca="1">IFERROR(__xludf.DUMMYFUNCTION("GOOGLETRANSLATE(English!C517, ""en"", ""bg"")"),"средата")</f>
        <v>средата</v>
      </c>
      <c r="D517" s="1" t="str">
        <f ca="1">IFERROR(__xludf.DUMMYFUNCTION("GOOGLETRANSLATE(English!D517, ""en"", ""bg"")"),"химични реакции")</f>
        <v>химични реакции</v>
      </c>
      <c r="E517" s="1" t="str">
        <f ca="1">IFERROR(__xludf.DUMMYFUNCTION("GOOGLETRANSLATE(English!E517, ""en"", ""bg"")"),"Можете ли да ми помогнете? Как да разберете дали е възникнала химическа реакция?")</f>
        <v>Можете ли да ми помогнете? Как да разберете дали е възникнала химическа реакция?</v>
      </c>
      <c r="F517" s="1" t="str">
        <f ca="1">IFERROR(__xludf.DUMMYFUNCTION("GOOGLETRANSLATE(English!F517,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517" s="1" t="str">
        <f ca="1">IFERROR(__xludf.DUMMYFUNCTION("GOOGLETRANSLATE(English!G517, ""en"", ""bg"")"),"разговор")</f>
        <v>разговор</v>
      </c>
      <c r="H517" s="1" t="str">
        <f ca="1">IFERROR(__xludf.DUMMYFUNCTION("GOOGLETRANSLATE(English!H517, ""en"", ""bg"")"),"образователна_помощ")</f>
        <v>образователна_помощ</v>
      </c>
    </row>
    <row r="518" spans="1:8" ht="13.2" x14ac:dyDescent="0.25">
      <c r="A518" s="1" t="str">
        <f ca="1">IFERROR(__xludf.DUMMYFUNCTION("GOOGLETRANSLATE(English!A518, ""en"", ""bg"")"),"conv_11685")</f>
        <v>conv_11685</v>
      </c>
      <c r="B518" s="1" t="str">
        <f ca="1">IFERROR(__xludf.DUMMYFUNCTION("GOOGLETRANSLATE(English!B518, ""en"", ""bg"")"),"биология")</f>
        <v>биология</v>
      </c>
      <c r="C518" s="1" t="str">
        <f ca="1">IFERROR(__xludf.DUMMYFUNCTION("GOOGLETRANSLATE(English!C518, ""en"", ""bg"")"),"елементарен")</f>
        <v>елементарен</v>
      </c>
      <c r="D518" s="1" t="str">
        <f ca="1">IFERROR(__xludf.DUMMYFUNCTION("GOOGLETRANSLATE(English!D518, ""en"", ""bg"")"),"местообитания")</f>
        <v>местообитания</v>
      </c>
      <c r="E518" s="1" t="str">
        <f ca="1">IFERROR(__xludf.DUMMYFUNCTION("GOOGLETRANSLATE(English!E518, ""en"", ""bg"")"),"Имам научен въпрос. Можете ли да ми разкажете за местообитанията?")</f>
        <v>Имам научен въпрос. Можете ли да ми разкажете за местообитанията?</v>
      </c>
      <c r="F518" s="1" t="str">
        <f ca="1">IFERROR(__xludf.DUMMYFUNCTION("GOOGLETRANSLATE(English!F518,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518" s="1" t="str">
        <f ca="1">IFERROR(__xludf.DUMMYFUNCTION("GOOGLETRANSLATE(English!G518, ""en"", ""bg"")"),"разговор")</f>
        <v>разговор</v>
      </c>
      <c r="H518" s="1" t="str">
        <f ca="1">IFERROR(__xludf.DUMMYFUNCTION("GOOGLETRANSLATE(English!H518, ""en"", ""bg"")"),"образователна_помощ")</f>
        <v>образователна_помощ</v>
      </c>
    </row>
    <row r="519" spans="1:8" ht="13.2" x14ac:dyDescent="0.25">
      <c r="A519" s="1" t="str">
        <f ca="1">IFERROR(__xludf.DUMMYFUNCTION("GOOGLETRANSLATE(English!A519, ""en"", ""bg"")"),"hw_03213")</f>
        <v>hw_03213</v>
      </c>
      <c r="B519" s="1" t="str">
        <f ca="1">IFERROR(__xludf.DUMMYFUNCTION("GOOGLETRANSLATE(English!B519, ""en"", ""bg"")"),"биология")</f>
        <v>биология</v>
      </c>
      <c r="C519" s="1" t="str">
        <f ca="1">IFERROR(__xludf.DUMMYFUNCTION("GOOGLETRANSLATE(English!C519, ""en"", ""bg"")"),"високо")</f>
        <v>високо</v>
      </c>
      <c r="D519" s="1" t="str">
        <f ca="1">IFERROR(__xludf.DUMMYFUNCTION("GOOGLETRANSLATE(English!D519, ""en"", ""bg"")"),"молекулярна биология")</f>
        <v>молекулярна биология</v>
      </c>
      <c r="E519" s="1" t="str">
        <f ca="1">IFERROR(__xludf.DUMMYFUNCTION("GOOGLETRANSLATE(English!E519,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519" s="1" t="str">
        <f ca="1">IFERROR(__xludf.DUMMYFUNCTION("GOOGLETRANSLATE(English!F519,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519" s="1" t="str">
        <f ca="1">IFERROR(__xludf.DUMMYFUNCTION("GOOGLETRANSLATE(English!G519, ""en"", ""bg"")"),"помощ_за_домашно_изпълнение")</f>
        <v>помощ_за_домашно_изпълнение</v>
      </c>
      <c r="H519" s="1" t="str">
        <f ca="1">IFERROR(__xludf.DUMMYFUNCTION("GOOGLETRANSLATE(English!H519, ""en"", ""bg"")"),"помощ_за_домашно_задаване")</f>
        <v>помощ_за_домашно_задаване</v>
      </c>
    </row>
    <row r="520" spans="1:8" ht="13.2" x14ac:dyDescent="0.25">
      <c r="A520" s="1" t="str">
        <f ca="1">IFERROR(__xludf.DUMMYFUNCTION("GOOGLETRANSLATE(English!A520, ""en"", ""bg"")"),"hw_13845")</f>
        <v>hw_13845</v>
      </c>
      <c r="B520" s="1" t="str">
        <f ca="1">IFERROR(__xludf.DUMMYFUNCTION("GOOGLETRANSLATE(English!B520, ""en"", ""bg"")"),"химия")</f>
        <v>химия</v>
      </c>
      <c r="C520" s="1" t="str">
        <f ca="1">IFERROR(__xludf.DUMMYFUNCTION("GOOGLETRANSLATE(English!C520, ""en"", ""bg"")"),"средата")</f>
        <v>средата</v>
      </c>
      <c r="D520" s="1" t="str">
        <f ca="1">IFERROR(__xludf.DUMMYFUNCTION("GOOGLETRANSLATE(English!D520, ""en"", ""bg"")"),"атоми и молекули")</f>
        <v>атоми и молекули</v>
      </c>
      <c r="E520" s="1" t="str">
        <f ca="1">IFERROR(__xludf.DUMMYFUNCTION("GOOGLETRANSLATE(English!E520,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520" s="1" t="str">
        <f ca="1">IFERROR(__xludf.DUMMYFUNCTION("GOOGLETRANSLATE(English!F520,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520" s="1" t="str">
        <f ca="1">IFERROR(__xludf.DUMMYFUNCTION("GOOGLETRANSLATE(English!G520, ""en"", ""bg"")"),"помощ_за_домашно_изпълнение")</f>
        <v>помощ_за_домашно_изпълнение</v>
      </c>
      <c r="H520" s="1" t="str">
        <f ca="1">IFERROR(__xludf.DUMMYFUNCTION("GOOGLETRANSLATE(English!H520, ""en"", ""bg"")"),"помощ_за_домашно_задаване")</f>
        <v>помощ_за_домашно_задаване</v>
      </c>
    </row>
    <row r="521" spans="1:8" ht="13.2" x14ac:dyDescent="0.25">
      <c r="A521" s="1" t="str">
        <f ca="1">IFERROR(__xludf.DUMMYFUNCTION("GOOGLETRANSLATE(English!A521, ""en"", ""bg"")"),"hw_01729")</f>
        <v>hw_01729</v>
      </c>
      <c r="B521" s="1" t="str">
        <f ca="1">IFERROR(__xludf.DUMMYFUNCTION("GOOGLETRANSLATE(English!B521, ""en"", ""bg"")"),"биология")</f>
        <v>биология</v>
      </c>
      <c r="C521" s="1" t="str">
        <f ca="1">IFERROR(__xludf.DUMMYFUNCTION("GOOGLETRANSLATE(English!C521, ""en"", ""bg"")"),"елементарен")</f>
        <v>елементарен</v>
      </c>
      <c r="D521" s="1" t="str">
        <f ca="1">IFERROR(__xludf.DUMMYFUNCTION("GOOGLETRANSLATE(English!D521, ""en"", ""bg"")"),"основни нужди")</f>
        <v>основни нужди</v>
      </c>
      <c r="E521" s="1" t="str">
        <f ca="1">IFERROR(__xludf.DUMMYFUNCTION("GOOGLETRANSLATE(English!E521, ""en"", ""bg"")"),"Домашното ми пита за основни нужди. Не го разбирам.")</f>
        <v>Домашното ми пита за основни нужди. Не го разбирам.</v>
      </c>
      <c r="F521" s="1" t="str">
        <f ca="1">IFERROR(__xludf.DUMMYFUNCTION("GOOGLETRANSLATE(English!F521,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521" s="1" t="str">
        <f ca="1">IFERROR(__xludf.DUMMYFUNCTION("GOOGLETRANSLATE(English!G521, ""en"", ""bg"")"),"помощ_за_домашно_изпълнение")</f>
        <v>помощ_за_домашно_изпълнение</v>
      </c>
      <c r="H521" s="1" t="str">
        <f ca="1">IFERROR(__xludf.DUMMYFUNCTION("GOOGLETRANSLATE(English!H521, ""en"", ""bg"")"),"помощ_за_домашно_задаване")</f>
        <v>помощ_за_домашно_задаване</v>
      </c>
    </row>
    <row r="522" spans="1:8" ht="13.2" x14ac:dyDescent="0.25">
      <c r="A522" s="1" t="str">
        <f ca="1">IFERROR(__xludf.DUMMYFUNCTION("GOOGLETRANSLATE(English!A522, ""en"", ""bg"")"),"hw_07199")</f>
        <v>hw_07199</v>
      </c>
      <c r="B522" s="1" t="str">
        <f ca="1">IFERROR(__xludf.DUMMYFUNCTION("GOOGLETRANSLATE(English!B522, ""en"", ""bg"")"),"химия")</f>
        <v>химия</v>
      </c>
      <c r="C522" s="1" t="str">
        <f ca="1">IFERROR(__xludf.DUMMYFUNCTION("GOOGLETRANSLATE(English!C522, ""en"", ""bg"")"),"средата")</f>
        <v>средата</v>
      </c>
      <c r="D522" s="1" t="str">
        <f ca="1">IFERROR(__xludf.DUMMYFUNCTION("GOOGLETRANSLATE(English!D522, ""en"", ""bg"")"),"съединения срещу елементи")</f>
        <v>съединения срещу елементи</v>
      </c>
      <c r="E522" s="1" t="str">
        <f ca="1">IFERROR(__xludf.DUMMYFUNCTION("GOOGLETRANSLATE(English!E522,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522" s="1" t="str">
        <f ca="1">IFERROR(__xludf.DUMMYFUNCTION("GOOGLETRANSLATE(English!F522,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522" s="1" t="str">
        <f ca="1">IFERROR(__xludf.DUMMYFUNCTION("GOOGLETRANSLATE(English!G522, ""en"", ""bg"")"),"помощ_за_домашно_изпълнение")</f>
        <v>помощ_за_домашно_изпълнение</v>
      </c>
      <c r="H522" s="1" t="str">
        <f ca="1">IFERROR(__xludf.DUMMYFUNCTION("GOOGLETRANSLATE(English!H522, ""en"", ""bg"")"),"помощ_за_домашно_задаване")</f>
        <v>помощ_за_домашно_задаване</v>
      </c>
    </row>
    <row r="523" spans="1:8" ht="13.2" x14ac:dyDescent="0.25">
      <c r="A523" s="1" t="str">
        <f ca="1">IFERROR(__xludf.DUMMYFUNCTION("GOOGLETRANSLATE(English!A523, ""en"", ""bg"")"),"hw_11037")</f>
        <v>hw_11037</v>
      </c>
      <c r="B523" s="1" t="str">
        <f ca="1">IFERROR(__xludf.DUMMYFUNCTION("GOOGLETRANSLATE(English!B523, ""en"", ""bg"")"),"биология")</f>
        <v>биология</v>
      </c>
      <c r="C523" s="1" t="str">
        <f ca="1">IFERROR(__xludf.DUMMYFUNCTION("GOOGLETRANSLATE(English!C523, ""en"", ""bg"")"),"средата")</f>
        <v>средата</v>
      </c>
      <c r="D523" s="1" t="str">
        <f ca="1">IFERROR(__xludf.DUMMYFUNCTION("GOOGLETRANSLATE(English!D523, ""en"", ""bg"")"),"основи на еволюцията")</f>
        <v>основи на еволюцията</v>
      </c>
      <c r="E523" s="1" t="str">
        <f ca="1">IFERROR(__xludf.DUMMYFUNCTION("GOOGLETRANSLATE(English!E523, ""en"", ""bg"")"),"Домашното ми пита за основите на еволюцията. Не го разбирам.")</f>
        <v>Домашното ми пита за основите на еволюцията. Не го разбирам.</v>
      </c>
      <c r="F523" s="1" t="str">
        <f ca="1">IFERROR(__xludf.DUMMYFUNCTION("GOOGLETRANSLATE(English!F523,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523" s="1" t="str">
        <f ca="1">IFERROR(__xludf.DUMMYFUNCTION("GOOGLETRANSLATE(English!G523, ""en"", ""bg"")"),"помощ_за_домашно_изпълнение")</f>
        <v>помощ_за_домашно_изпълнение</v>
      </c>
      <c r="H523" s="1" t="str">
        <f ca="1">IFERROR(__xludf.DUMMYFUNCTION("GOOGLETRANSLATE(English!H523, ""en"", ""bg"")"),"помощ_за_домашно_задаване")</f>
        <v>помощ_за_домашно_задаване</v>
      </c>
    </row>
    <row r="524" spans="1:8" ht="13.2" x14ac:dyDescent="0.25">
      <c r="A524" s="1" t="str">
        <f ca="1">IFERROR(__xludf.DUMMYFUNCTION("GOOGLETRANSLATE(English!A524, ""en"", ""bg"")"),"hw_03544")</f>
        <v>hw_03544</v>
      </c>
      <c r="B524" s="1" t="str">
        <f ca="1">IFERROR(__xludf.DUMMYFUNCTION("GOOGLETRANSLATE(English!B524, ""en"", ""bg"")"),"биология")</f>
        <v>биология</v>
      </c>
      <c r="C524" s="1" t="str">
        <f ca="1">IFERROR(__xludf.DUMMYFUNCTION("GOOGLETRANSLATE(English!C524, ""en"", ""bg"")"),"високо")</f>
        <v>високо</v>
      </c>
      <c r="D524" s="1" t="str">
        <f ca="1">IFERROR(__xludf.DUMMYFUNCTION("GOOGLETRANSLATE(English!D524, ""en"", ""bg"")"),"молекулярна биология")</f>
        <v>молекулярна биология</v>
      </c>
      <c r="E524" s="1" t="str">
        <f ca="1">IFERROR(__xludf.DUMMYFUNCTION("GOOGLETRANSLATE(English!E524,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524" s="1" t="str">
        <f ca="1">IFERROR(__xludf.DUMMYFUNCTION("GOOGLETRANSLATE(English!F524,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524" s="1" t="str">
        <f ca="1">IFERROR(__xludf.DUMMYFUNCTION("GOOGLETRANSLATE(English!G524, ""en"", ""bg"")"),"помощ_за_домашно_изпълнение")</f>
        <v>помощ_за_домашно_изпълнение</v>
      </c>
      <c r="H524" s="1" t="str">
        <f ca="1">IFERROR(__xludf.DUMMYFUNCTION("GOOGLETRANSLATE(English!H524, ""en"", ""bg"")"),"помощ_за_домашно_задаване")</f>
        <v>помощ_за_домашно_задаване</v>
      </c>
    </row>
    <row r="525" spans="1:8" ht="13.2" x14ac:dyDescent="0.25">
      <c r="A525" s="1" t="str">
        <f ca="1">IFERROR(__xludf.DUMMYFUNCTION("GOOGLETRANSLATE(English!A525, ""en"", ""bg"")"),"hw_14639")</f>
        <v>hw_14639</v>
      </c>
      <c r="B525" s="1" t="str">
        <f ca="1">IFERROR(__xludf.DUMMYFUNCTION("GOOGLETRANSLATE(English!B525, ""en"", ""bg"")"),"биология")</f>
        <v>биология</v>
      </c>
      <c r="C525" s="1" t="str">
        <f ca="1">IFERROR(__xludf.DUMMYFUNCTION("GOOGLETRANSLATE(English!C525, ""en"", ""bg"")"),"средата")</f>
        <v>средата</v>
      </c>
      <c r="D525" s="1" t="str">
        <f ca="1">IFERROR(__xludf.DUMMYFUNCTION("GOOGLETRANSLATE(English!D525, ""en"", ""bg"")"),"екосистеми")</f>
        <v>екосистеми</v>
      </c>
      <c r="E525" s="1" t="str">
        <f ca="1">IFERROR(__xludf.DUMMYFUNCTION("GOOGLETRANSLATE(English!E525, ""en"", ""bg"")"),"Можете ли да обясните екосистемите за моя научен проект?")</f>
        <v>Можете ли да обясните екосистемите за моя научен проект?</v>
      </c>
      <c r="F525" s="1" t="str">
        <f ca="1">IFERROR(__xludf.DUMMYFUNCTION("GOOGLETRANSLATE(English!F525,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525" s="1" t="str">
        <f ca="1">IFERROR(__xludf.DUMMYFUNCTION("GOOGLETRANSLATE(English!G525, ""en"", ""bg"")"),"помощ_за_домашно_изпълнение")</f>
        <v>помощ_за_домашно_изпълнение</v>
      </c>
      <c r="H525" s="1" t="str">
        <f ca="1">IFERROR(__xludf.DUMMYFUNCTION("GOOGLETRANSLATE(English!H525, ""en"", ""bg"")"),"помощ_за_домашно_задаване")</f>
        <v>помощ_за_домашно_задаване</v>
      </c>
    </row>
    <row r="526" spans="1:8" ht="13.2" x14ac:dyDescent="0.25">
      <c r="A526" s="1" t="str">
        <f ca="1">IFERROR(__xludf.DUMMYFUNCTION("GOOGLETRANSLATE(English!A526, ""en"", ""bg"")"),"conv_06174")</f>
        <v>conv_06174</v>
      </c>
      <c r="B526" s="1" t="str">
        <f ca="1">IFERROR(__xludf.DUMMYFUNCTION("GOOGLETRANSLATE(English!B526, ""en"", ""bg"")"),"физика")</f>
        <v>физика</v>
      </c>
      <c r="C526" s="1" t="str">
        <f ca="1">IFERROR(__xludf.DUMMYFUNCTION("GOOGLETRANSLATE(English!C526, ""en"", ""bg"")"),"високо")</f>
        <v>високо</v>
      </c>
      <c r="D526" s="1" t="str">
        <f ca="1">IFERROR(__xludf.DUMMYFUNCTION("GOOGLETRANSLATE(English!D526, ""en"", ""bg"")"),"радиоактивност")</f>
        <v>радиоактивност</v>
      </c>
      <c r="E526" s="1" t="str">
        <f ca="1">IFERROR(__xludf.DUMMYFUNCTION("GOOGLETRANSLATE(English!E526, ""en"", ""bg"")"),"Помогнете ми да уча за теста си. Какво трябва да знам за радиоактивността?")</f>
        <v>Помогнете ми да уча за теста си. Какво трябва да знам за радиоактивността?</v>
      </c>
      <c r="F526" s="1" t="str">
        <f ca="1">IFERROR(__xludf.DUMMYFUNCTION("GOOGLETRANSLATE(English!F526,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526" s="1" t="str">
        <f ca="1">IFERROR(__xludf.DUMMYFUNCTION("GOOGLETRANSLATE(English!G526, ""en"", ""bg"")"),"разговор")</f>
        <v>разговор</v>
      </c>
      <c r="H526" s="1" t="str">
        <f ca="1">IFERROR(__xludf.DUMMYFUNCTION("GOOGLETRANSLATE(English!H526, ""en"", ""bg"")"),"образователна_помощ")</f>
        <v>образователна_помощ</v>
      </c>
    </row>
    <row r="527" spans="1:8" ht="13.2" x14ac:dyDescent="0.25">
      <c r="A527" s="1" t="str">
        <f ca="1">IFERROR(__xludf.DUMMYFUNCTION("GOOGLETRANSLATE(English!A527, ""en"", ""bg"")"),"conv_13134")</f>
        <v>conv_13134</v>
      </c>
      <c r="B527" s="1" t="str">
        <f ca="1">IFERROR(__xludf.DUMMYFUNCTION("GOOGLETRANSLATE(English!B527, ""en"", ""bg"")"),"биология")</f>
        <v>биология</v>
      </c>
      <c r="C527" s="1" t="str">
        <f ca="1">IFERROR(__xludf.DUMMYFUNCTION("GOOGLETRANSLATE(English!C527, ""en"", ""bg"")"),"средата")</f>
        <v>средата</v>
      </c>
      <c r="D527" s="1" t="str">
        <f ca="1">IFERROR(__xludf.DUMMYFUNCTION("GOOGLETRANSLATE(English!D527, ""en"", ""bg"")"),"екосистеми")</f>
        <v>екосистеми</v>
      </c>
      <c r="E527" s="1" t="str">
        <f ca="1">IFERROR(__xludf.DUMMYFUNCTION("GOOGLETRANSLATE(English!E527, ""en"", ""bg"")"),"Имам научен въпрос. Какво е важно да знаем за екосистемите?")</f>
        <v>Имам научен въпрос. Какво е важно да знаем за екосистемите?</v>
      </c>
      <c r="F527" s="1" t="str">
        <f ca="1">IFERROR(__xludf.DUMMYFUNCTION("GOOGLETRANSLATE(English!F527,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527" s="1" t="str">
        <f ca="1">IFERROR(__xludf.DUMMYFUNCTION("GOOGLETRANSLATE(English!G527, ""en"", ""bg"")"),"разговор")</f>
        <v>разговор</v>
      </c>
      <c r="H527" s="1" t="str">
        <f ca="1">IFERROR(__xludf.DUMMYFUNCTION("GOOGLETRANSLATE(English!H527, ""en"", ""bg"")"),"образователна_помощ")</f>
        <v>образователна_помощ</v>
      </c>
    </row>
    <row r="528" spans="1:8" ht="13.2" x14ac:dyDescent="0.25">
      <c r="A528" s="1" t="str">
        <f ca="1">IFERROR(__xludf.DUMMYFUNCTION("GOOGLETRANSLATE(English!A528, ""en"", ""bg"")"),"hw_10276")</f>
        <v>hw_10276</v>
      </c>
      <c r="B528" s="1" t="str">
        <f ca="1">IFERROR(__xludf.DUMMYFUNCTION("GOOGLETRANSLATE(English!B528, ""en"", ""bg"")"),"химия")</f>
        <v>химия</v>
      </c>
      <c r="C528" s="1" t="str">
        <f ca="1">IFERROR(__xludf.DUMMYFUNCTION("GOOGLETRANSLATE(English!C528, ""en"", ""bg"")"),"средата")</f>
        <v>средата</v>
      </c>
      <c r="D528" s="1" t="str">
        <f ca="1">IFERROR(__xludf.DUMMYFUNCTION("GOOGLETRANSLATE(English!D528, ""en"", ""bg"")"),"химични промени")</f>
        <v>химични промени</v>
      </c>
      <c r="E528" s="1" t="str">
        <f ca="1">IFERROR(__xludf.DUMMYFUNCTION("GOOGLETRANSLATE(English!E528, ""en"", ""bg"")"),"Не разбирам тази концепция за химични промени. Моля, обяснете!")</f>
        <v>Не разбирам тази концепция за химични промени. Моля, обяснете!</v>
      </c>
      <c r="F528" s="1" t="str">
        <f ca="1">IFERROR(__xludf.DUMMYFUNCTION("GOOGLETRANSLATE(English!F528,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528" s="1" t="str">
        <f ca="1">IFERROR(__xludf.DUMMYFUNCTION("GOOGLETRANSLATE(English!G528, ""en"", ""bg"")"),"помощ_за_домашно_изпълнение")</f>
        <v>помощ_за_домашно_изпълнение</v>
      </c>
      <c r="H528" s="1" t="str">
        <f ca="1">IFERROR(__xludf.DUMMYFUNCTION("GOOGLETRANSLATE(English!H528, ""en"", ""bg"")"),"помощ_за_домашно_задаване")</f>
        <v>помощ_за_домашно_задаване</v>
      </c>
    </row>
    <row r="529" spans="1:8" ht="13.2" x14ac:dyDescent="0.25">
      <c r="A529" s="1" t="str">
        <f ca="1">IFERROR(__xludf.DUMMYFUNCTION("GOOGLETRANSLATE(English!A529, ""en"", ""bg"")"),"conv_14800")</f>
        <v>conv_14800</v>
      </c>
      <c r="B529" s="1" t="str">
        <f ca="1">IFERROR(__xludf.DUMMYFUNCTION("GOOGLETRANSLATE(English!B529, ""en"", ""bg"")"),"физика")</f>
        <v>физика</v>
      </c>
      <c r="C529" s="1" t="str">
        <f ca="1">IFERROR(__xludf.DUMMYFUNCTION("GOOGLETRANSLATE(English!C529, ""en"", ""bg"")"),"елементарен")</f>
        <v>елементарен</v>
      </c>
      <c r="D529" s="1" t="str">
        <f ca="1">IFERROR(__xludf.DUMMYFUNCTION("GOOGLETRANSLATE(English!D529, ""en"", ""bg"")"),"звук")</f>
        <v>звук</v>
      </c>
      <c r="E529" s="1" t="str">
        <f ca="1">IFERROR(__xludf.DUMMYFUNCTION("GOOGLETRANSLATE(English!E529, ""en"", ""bg"")"),"Имам научен въпрос. Как работи звукът във физиката?")</f>
        <v>Имам научен въпрос. Как работи звукът във физиката?</v>
      </c>
      <c r="F529" s="1" t="str">
        <f ca="1">IFERROR(__xludf.DUMMYFUNCTION("GOOGLETRANSLATE(English!F529,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529" s="1" t="str">
        <f ca="1">IFERROR(__xludf.DUMMYFUNCTION("GOOGLETRANSLATE(English!G529, ""en"", ""bg"")"),"разговор")</f>
        <v>разговор</v>
      </c>
      <c r="H529" s="1" t="str">
        <f ca="1">IFERROR(__xludf.DUMMYFUNCTION("GOOGLETRANSLATE(English!H529, ""en"", ""bg"")"),"образователна_помощ")</f>
        <v>образователна_помощ</v>
      </c>
    </row>
    <row r="530" spans="1:8" ht="13.2" x14ac:dyDescent="0.25">
      <c r="A530" s="1" t="str">
        <f ca="1">IFERROR(__xludf.DUMMYFUNCTION("GOOGLETRANSLATE(English!A530, ""en"", ""bg"")"),"conv_04307")</f>
        <v>conv_04307</v>
      </c>
      <c r="B530" s="1" t="str">
        <f ca="1">IFERROR(__xludf.DUMMYFUNCTION("GOOGLETRANSLATE(English!B530, ""en"", ""bg"")"),"химия")</f>
        <v>химия</v>
      </c>
      <c r="C530" s="1" t="str">
        <f ca="1">IFERROR(__xludf.DUMMYFUNCTION("GOOGLETRANSLATE(English!C530, ""en"", ""bg"")"),"елементарен")</f>
        <v>елементарен</v>
      </c>
      <c r="D530" s="1" t="str">
        <f ca="1">IFERROR(__xludf.DUMMYFUNCTION("GOOGLETRANSLATE(English!D530, ""en"", ""bg"")"),"смесване на материали")</f>
        <v>смесване на материали</v>
      </c>
      <c r="E530" s="1" t="str">
        <f ca="1">IFERROR(__xludf.DUMMYFUNCTION("GOOGLETRANSLATE(English!E530, ""en"", ""bg"")"),"Здравей, преподавателю! Защо някои неща се разтварят, а други не?")</f>
        <v>Здравей, преподавателю! Защо някои неща се разтварят, а други не?</v>
      </c>
      <c r="F530" s="1" t="str">
        <f ca="1">IFERROR(__xludf.DUMMYFUNCTION("GOOGLETRANSLATE(English!F530,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530" s="1" t="str">
        <f ca="1">IFERROR(__xludf.DUMMYFUNCTION("GOOGLETRANSLATE(English!G530, ""en"", ""bg"")"),"разговор")</f>
        <v>разговор</v>
      </c>
      <c r="H530" s="1" t="str">
        <f ca="1">IFERROR(__xludf.DUMMYFUNCTION("GOOGLETRANSLATE(English!H530, ""en"", ""bg"")"),"образователна_помощ")</f>
        <v>образователна_помощ</v>
      </c>
    </row>
    <row r="531" spans="1:8" ht="13.2" x14ac:dyDescent="0.25">
      <c r="A531" s="1" t="str">
        <f ca="1">IFERROR(__xludf.DUMMYFUNCTION("GOOGLETRANSLATE(English!A531, ""en"", ""bg"")"),"hw_03692")</f>
        <v>hw_03692</v>
      </c>
      <c r="B531" s="1" t="str">
        <f ca="1">IFERROR(__xludf.DUMMYFUNCTION("GOOGLETRANSLATE(English!B531, ""en"", ""bg"")"),"физика")</f>
        <v>физика</v>
      </c>
      <c r="C531" s="1" t="str">
        <f ca="1">IFERROR(__xludf.DUMMYFUNCTION("GOOGLETRANSLATE(English!C531, ""en"", ""bg"")"),"средата")</f>
        <v>средата</v>
      </c>
      <c r="D531" s="1" t="str">
        <f ca="1">IFERROR(__xludf.DUMMYFUNCTION("GOOGLETRANSLATE(English!D531, ""en"", ""bg"")"),"видове енергия")</f>
        <v>видове енергия</v>
      </c>
      <c r="E531" s="1" t="str">
        <f ca="1">IFERROR(__xludf.DUMMYFUNCTION("GOOGLETRANSLATE(English!E531, ""en"", ""bg"")"),"Трябва да разбера видовете енергия за изпита си.")</f>
        <v>Трябва да разбера видовете енергия за изпита си.</v>
      </c>
      <c r="F531" s="1" t="str">
        <f ca="1">IFERROR(__xludf.DUMMYFUNCTION("GOOGLETRANSLATE(English!F531,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531" s="1" t="str">
        <f ca="1">IFERROR(__xludf.DUMMYFUNCTION("GOOGLETRANSLATE(English!G531, ""en"", ""bg"")"),"помощ_за_домашно_изпълнение")</f>
        <v>помощ_за_домашно_изпълнение</v>
      </c>
      <c r="H531" s="1" t="str">
        <f ca="1">IFERROR(__xludf.DUMMYFUNCTION("GOOGLETRANSLATE(English!H531, ""en"", ""bg"")"),"помощ_за_домашно_задаване")</f>
        <v>помощ_за_домашно_задаване</v>
      </c>
    </row>
    <row r="532" spans="1:8" ht="13.2" x14ac:dyDescent="0.25">
      <c r="A532" s="1" t="str">
        <f ca="1">IFERROR(__xludf.DUMMYFUNCTION("GOOGLETRANSLATE(English!A532, ""en"", ""bg"")"),"qa_11715")</f>
        <v>qa_11715</v>
      </c>
      <c r="B532" s="1" t="str">
        <f ca="1">IFERROR(__xludf.DUMMYFUNCTION("GOOGLETRANSLATE(English!B532, ""en"", ""bg"")"),"физика")</f>
        <v>физика</v>
      </c>
      <c r="C532" s="1" t="str">
        <f ca="1">IFERROR(__xludf.DUMMYFUNCTION("GOOGLETRANSLATE(English!C532, ""en"", ""bg"")"),"високо")</f>
        <v>високо</v>
      </c>
      <c r="D532" s="1" t="str">
        <f ca="1">IFERROR(__xludf.DUMMYFUNCTION("GOOGLETRANSLATE(English!D532, ""en"", ""bg"")"),"атомна структура")</f>
        <v>атомна структура</v>
      </c>
      <c r="E532" s="1" t="str">
        <f ca="1">IFERROR(__xludf.DUMMYFUNCTION("GOOGLETRANSLATE(English!E532, ""en"", ""bg"")"),"Как работи атомната структура във физиката?")</f>
        <v>Как работи атомната структура във физиката?</v>
      </c>
      <c r="F532" s="1" t="str">
        <f ca="1">IFERROR(__xludf.DUMMYFUNCTION("GOOGLETRANSLATE(English!F532,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532" s="1" t="str">
        <f ca="1">IFERROR(__xludf.DUMMYFUNCTION("GOOGLETRANSLATE(English!G532, ""en"", ""bg"")"),"direct_qa")</f>
        <v>direct_qa</v>
      </c>
      <c r="H532" s="1" t="str">
        <f ca="1">IFERROR(__xludf.DUMMYFUNCTION("GOOGLETRANSLATE(English!H532, ""en"", ""bg"")"),"заявка_за_знание")</f>
        <v>заявка_за_знание</v>
      </c>
    </row>
    <row r="533" spans="1:8" ht="13.2" x14ac:dyDescent="0.25">
      <c r="A533" s="1" t="str">
        <f ca="1">IFERROR(__xludf.DUMMYFUNCTION("GOOGLETRANSLATE(English!A533, ""en"", ""bg"")"),"hw_00184")</f>
        <v>hw_00184</v>
      </c>
      <c r="B533" s="1" t="str">
        <f ca="1">IFERROR(__xludf.DUMMYFUNCTION("GOOGLETRANSLATE(English!B533, ""en"", ""bg"")"),"химия")</f>
        <v>химия</v>
      </c>
      <c r="C533" s="1" t="str">
        <f ca="1">IFERROR(__xludf.DUMMYFUNCTION("GOOGLETRANSLATE(English!C533, ""en"", ""bg"")"),"средата")</f>
        <v>средата</v>
      </c>
      <c r="D533" s="1" t="str">
        <f ca="1">IFERROR(__xludf.DUMMYFUNCTION("GOOGLETRANSLATE(English!D533, ""en"", ""bg"")"),"атоми и молекули")</f>
        <v>атоми и молекули</v>
      </c>
      <c r="E533" s="1" t="str">
        <f ca="1">IFERROR(__xludf.DUMMYFUNCTION("GOOGLETRANSLATE(English!E533,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533" s="1" t="str">
        <f ca="1">IFERROR(__xludf.DUMMYFUNCTION("GOOGLETRANSLATE(English!F533,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533" s="1" t="str">
        <f ca="1">IFERROR(__xludf.DUMMYFUNCTION("GOOGLETRANSLATE(English!G533, ""en"", ""bg"")"),"помощ_за_домашно_изпълнение")</f>
        <v>помощ_за_домашно_изпълнение</v>
      </c>
      <c r="H533" s="1" t="str">
        <f ca="1">IFERROR(__xludf.DUMMYFUNCTION("GOOGLETRANSLATE(English!H533, ""en"", ""bg"")"),"помощ_за_домашно_задаване")</f>
        <v>помощ_за_домашно_задаване</v>
      </c>
    </row>
    <row r="534" spans="1:8" ht="13.2" x14ac:dyDescent="0.25">
      <c r="A534" s="1" t="str">
        <f ca="1">IFERROR(__xludf.DUMMYFUNCTION("GOOGLETRANSLATE(English!A534, ""en"", ""bg"")"),"qa_10222")</f>
        <v>qa_10222</v>
      </c>
      <c r="B534" s="1" t="str">
        <f ca="1">IFERROR(__xludf.DUMMYFUNCTION("GOOGLETRANSLATE(English!B534, ""en"", ""bg"")"),"биология")</f>
        <v>биология</v>
      </c>
      <c r="C534" s="1" t="str">
        <f ca="1">IFERROR(__xludf.DUMMYFUNCTION("GOOGLETRANSLATE(English!C534, ""en"", ""bg"")"),"средата")</f>
        <v>средата</v>
      </c>
      <c r="D534" s="1" t="str">
        <f ca="1">IFERROR(__xludf.DUMMYFUNCTION("GOOGLETRANSLATE(English!D534, ""en"", ""bg"")"),"размножаване")</f>
        <v>размножаване</v>
      </c>
      <c r="E534" s="1" t="str">
        <f ca="1">IFERROR(__xludf.DUMMYFUNCTION("GOOGLETRANSLATE(English!E534, ""en"", ""bg"")"),"Как работи репродукцията?")</f>
        <v>Как работи репродукцията?</v>
      </c>
      <c r="F534" s="1" t="str">
        <f ca="1">IFERROR(__xludf.DUMMYFUNCTION("GOOGLETRANSLATE(English!F534,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534" s="1" t="str">
        <f ca="1">IFERROR(__xludf.DUMMYFUNCTION("GOOGLETRANSLATE(English!G534, ""en"", ""bg"")"),"direct_qa")</f>
        <v>direct_qa</v>
      </c>
      <c r="H534" s="1" t="str">
        <f ca="1">IFERROR(__xludf.DUMMYFUNCTION("GOOGLETRANSLATE(English!H534, ""en"", ""bg"")"),"заявка_за_знание")</f>
        <v>заявка_за_знание</v>
      </c>
    </row>
    <row r="535" spans="1:8" ht="13.2" x14ac:dyDescent="0.25">
      <c r="A535" s="1" t="str">
        <f ca="1">IFERROR(__xludf.DUMMYFUNCTION("GOOGLETRANSLATE(English!A535, ""en"", ""bg"")"),"qa_12662")</f>
        <v>qa_12662</v>
      </c>
      <c r="B535" s="1" t="str">
        <f ca="1">IFERROR(__xludf.DUMMYFUNCTION("GOOGLETRANSLATE(English!B535, ""en"", ""bg"")"),"физика")</f>
        <v>физика</v>
      </c>
      <c r="C535" s="1" t="str">
        <f ca="1">IFERROR(__xludf.DUMMYFUNCTION("GOOGLETRANSLATE(English!C535, ""en"", ""bg"")"),"високо")</f>
        <v>високо</v>
      </c>
      <c r="D535" s="1" t="str">
        <f ca="1">IFERROR(__xludf.DUMMYFUNCTION("GOOGLETRANSLATE(English!D535, ""en"", ""bg"")"),"електромагнетизъм")</f>
        <v>електромагнетизъм</v>
      </c>
      <c r="E535" s="1" t="str">
        <f ca="1">IFERROR(__xludf.DUMMYFUNCTION("GOOGLETRANSLATE(English!E535, ""en"", ""bg"")"),"Какво трябва да знам за електромагнетизма?")</f>
        <v>Какво трябва да знам за електромагнетизма?</v>
      </c>
      <c r="F535" s="1" t="str">
        <f ca="1">IFERROR(__xludf.DUMMYFUNCTION("GOOGLETRANSLATE(English!F535,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535" s="1" t="str">
        <f ca="1">IFERROR(__xludf.DUMMYFUNCTION("GOOGLETRANSLATE(English!G535, ""en"", ""bg"")"),"direct_qa")</f>
        <v>direct_qa</v>
      </c>
      <c r="H535" s="1" t="str">
        <f ca="1">IFERROR(__xludf.DUMMYFUNCTION("GOOGLETRANSLATE(English!H535, ""en"", ""bg"")"),"заявка_за_знание")</f>
        <v>заявка_за_знание</v>
      </c>
    </row>
    <row r="536" spans="1:8" ht="13.2" x14ac:dyDescent="0.25">
      <c r="A536" s="1" t="str">
        <f ca="1">IFERROR(__xludf.DUMMYFUNCTION("GOOGLETRANSLATE(English!A536, ""en"", ""bg"")"),"qa_06446")</f>
        <v>qa_06446</v>
      </c>
      <c r="B536" s="1" t="str">
        <f ca="1">IFERROR(__xludf.DUMMYFUNCTION("GOOGLETRANSLATE(English!B536, ""en"", ""bg"")"),"физика")</f>
        <v>физика</v>
      </c>
      <c r="C536" s="1" t="str">
        <f ca="1">IFERROR(__xludf.DUMMYFUNCTION("GOOGLETRANSLATE(English!C536, ""en"", ""bg"")"),"средата")</f>
        <v>средата</v>
      </c>
      <c r="D536" s="1" t="str">
        <f ca="1">IFERROR(__xludf.DUMMYFUNCTION("GOOGLETRANSLATE(English!D536, ""en"", ""bg"")"),"сили и движение")</f>
        <v>сили и движение</v>
      </c>
      <c r="E536" s="1" t="str">
        <f ca="1">IFERROR(__xludf.DUMMYFUNCTION("GOOGLETRANSLATE(English!E536, ""en"", ""bg"")"),"Защо обектите падат с еднаква скорост?")</f>
        <v>Защо обектите падат с еднаква скорост?</v>
      </c>
      <c r="F536" s="1" t="str">
        <f ca="1">IFERROR(__xludf.DUMMYFUNCTION("GOOGLETRANSLATE(English!F536,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536" s="1" t="str">
        <f ca="1">IFERROR(__xludf.DUMMYFUNCTION("GOOGLETRANSLATE(English!G536, ""en"", ""bg"")"),"direct_qa")</f>
        <v>direct_qa</v>
      </c>
      <c r="H536" s="1" t="str">
        <f ca="1">IFERROR(__xludf.DUMMYFUNCTION("GOOGLETRANSLATE(English!H536, ""en"", ""bg"")"),"заявка_за_знание")</f>
        <v>заявка_за_знание</v>
      </c>
    </row>
    <row r="537" spans="1:8" ht="13.2" x14ac:dyDescent="0.25">
      <c r="A537" s="1" t="str">
        <f ca="1">IFERROR(__xludf.DUMMYFUNCTION("GOOGLETRANSLATE(English!A537, ""en"", ""bg"")"),"conv_09136")</f>
        <v>conv_09136</v>
      </c>
      <c r="B537" s="1" t="str">
        <f ca="1">IFERROR(__xludf.DUMMYFUNCTION("GOOGLETRANSLATE(English!B537, ""en"", ""bg"")"),"химия")</f>
        <v>химия</v>
      </c>
      <c r="C537" s="1" t="str">
        <f ca="1">IFERROR(__xludf.DUMMYFUNCTION("GOOGLETRANSLATE(English!C537, ""en"", ""bg"")"),"високо")</f>
        <v>високо</v>
      </c>
      <c r="D537" s="1" t="str">
        <f ca="1">IFERROR(__xludf.DUMMYFUNCTION("GOOGLETRANSLATE(English!D537, ""en"", ""bg"")"),"органична химия")</f>
        <v>органична химия</v>
      </c>
      <c r="E537" s="1" t="str">
        <f ca="1">IFERROR(__xludf.DUMMYFUNCTION("GOOGLETRANSLATE(English!E537, ""en"", ""bg"")"),"Имам нужда от помощ с домашното. Можете ли да ми помогнете да разбера органичната химия?")</f>
        <v>Имам нужда от помощ с домашното. Можете ли да ми помогнете да разбера органичната химия?</v>
      </c>
      <c r="F537" s="1" t="str">
        <f ca="1">IFERROR(__xludf.DUMMYFUNCTION("GOOGLETRANSLATE(English!F537,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537" s="1" t="str">
        <f ca="1">IFERROR(__xludf.DUMMYFUNCTION("GOOGLETRANSLATE(English!G537, ""en"", ""bg"")"),"разговор")</f>
        <v>разговор</v>
      </c>
      <c r="H537" s="1" t="str">
        <f ca="1">IFERROR(__xludf.DUMMYFUNCTION("GOOGLETRANSLATE(English!H537, ""en"", ""bg"")"),"образователна_помощ")</f>
        <v>образователна_помощ</v>
      </c>
    </row>
    <row r="538" spans="1:8" ht="13.2" x14ac:dyDescent="0.25">
      <c r="A538" s="1" t="str">
        <f ca="1">IFERROR(__xludf.DUMMYFUNCTION("GOOGLETRANSLATE(English!A538, ""en"", ""bg"")"),"qa_14333")</f>
        <v>qa_14333</v>
      </c>
      <c r="B538" s="1" t="str">
        <f ca="1">IFERROR(__xludf.DUMMYFUNCTION("GOOGLETRANSLATE(English!B538, ""en"", ""bg"")"),"химия")</f>
        <v>химия</v>
      </c>
      <c r="C538" s="1" t="str">
        <f ca="1">IFERROR(__xludf.DUMMYFUNCTION("GOOGLETRANSLATE(English!C538, ""en"", ""bg"")"),"елементарен")</f>
        <v>елементарен</v>
      </c>
      <c r="D538" s="1" t="str">
        <f ca="1">IFERROR(__xludf.DUMMYFUNCTION("GOOGLETRANSLATE(English!D538, ""en"", ""bg"")"),"твърди вещества, течности, газове")</f>
        <v>твърди вещества, течности, газове</v>
      </c>
      <c r="E538" s="1" t="str">
        <f ca="1">IFERROR(__xludf.DUMMYFUNCTION("GOOGLETRANSLATE(English!E538, ""en"", ""bg"")"),"Как водата се превръща от течност в газообразно състояние?")</f>
        <v>Как водата се превръща от течност в газообразно състояние?</v>
      </c>
      <c r="F538" s="1" t="str">
        <f ca="1">IFERROR(__xludf.DUMMYFUNCTION("GOOGLETRANSLATE(English!F538,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538" s="1" t="str">
        <f ca="1">IFERROR(__xludf.DUMMYFUNCTION("GOOGLETRANSLATE(English!G538, ""en"", ""bg"")"),"direct_qa")</f>
        <v>direct_qa</v>
      </c>
      <c r="H538" s="1" t="str">
        <f ca="1">IFERROR(__xludf.DUMMYFUNCTION("GOOGLETRANSLATE(English!H538, ""en"", ""bg"")"),"заявка_за_знание")</f>
        <v>заявка_за_знание</v>
      </c>
    </row>
    <row r="539" spans="1:8" ht="13.2" x14ac:dyDescent="0.25">
      <c r="A539" s="1" t="str">
        <f ca="1">IFERROR(__xludf.DUMMYFUNCTION("GOOGLETRANSLATE(English!A539, ""en"", ""bg"")"),"qa_03330")</f>
        <v>qa_03330</v>
      </c>
      <c r="B539" s="1" t="str">
        <f ca="1">IFERROR(__xludf.DUMMYFUNCTION("GOOGLETRANSLATE(English!B539, ""en"", ""bg"")"),"химия")</f>
        <v>химия</v>
      </c>
      <c r="C539" s="1" t="str">
        <f ca="1">IFERROR(__xludf.DUMMYFUNCTION("GOOGLETRANSLATE(English!C539, ""en"", ""bg"")"),"високо")</f>
        <v>високо</v>
      </c>
      <c r="D539" s="1" t="str">
        <f ca="1">IFERROR(__xludf.DUMMYFUNCTION("GOOGLETRANSLATE(English!D539, ""en"", ""bg"")"),"скорости на реакция")</f>
        <v>скорости на реакция</v>
      </c>
      <c r="E539" s="1" t="str">
        <f ca="1">IFERROR(__xludf.DUMMYFUNCTION("GOOGLETRANSLATE(English!E539, ""en"", ""bg"")"),"Какво представляват скоростите на реакция?")</f>
        <v>Какво представляват скоростите на реакция?</v>
      </c>
      <c r="F539" s="1" t="str">
        <f ca="1">IFERROR(__xludf.DUMMYFUNCTION("GOOGLETRANSLATE(English!F539,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539" s="1" t="str">
        <f ca="1">IFERROR(__xludf.DUMMYFUNCTION("GOOGLETRANSLATE(English!G539, ""en"", ""bg"")"),"direct_qa")</f>
        <v>direct_qa</v>
      </c>
      <c r="H539" s="1" t="str">
        <f ca="1">IFERROR(__xludf.DUMMYFUNCTION("GOOGLETRANSLATE(English!H539, ""en"", ""bg"")"),"заявка_за_знание")</f>
        <v>заявка_за_знание</v>
      </c>
    </row>
    <row r="540" spans="1:8" ht="13.2" x14ac:dyDescent="0.25">
      <c r="A540" s="1" t="str">
        <f ca="1">IFERROR(__xludf.DUMMYFUNCTION("GOOGLETRANSLATE(English!A540, ""en"", ""bg"")"),"hw_13409")</f>
        <v>hw_13409</v>
      </c>
      <c r="B540" s="1" t="str">
        <f ca="1">IFERROR(__xludf.DUMMYFUNCTION("GOOGLETRANSLATE(English!B540, ""en"", ""bg"")"),"биология")</f>
        <v>биология</v>
      </c>
      <c r="C540" s="1" t="str">
        <f ca="1">IFERROR(__xludf.DUMMYFUNCTION("GOOGLETRANSLATE(English!C540, ""en"", ""bg"")"),"елементарен")</f>
        <v>елементарен</v>
      </c>
      <c r="D540" s="1" t="str">
        <f ca="1">IFERROR(__xludf.DUMMYFUNCTION("GOOGLETRANSLATE(English!D540, ""en"", ""bg"")"),"човешкото тяло")</f>
        <v>човешкото тяло</v>
      </c>
      <c r="E540" s="1" t="str">
        <f ca="1">IFERROR(__xludf.DUMMYFUNCTION("GOOGLETRANSLATE(English!E540, ""en"", ""bg"")"),"Утре имам тест по човешко тяло. Помогни ми да уча!")</f>
        <v>Утре имам тест по човешко тяло. Помогни ми да уча!</v>
      </c>
      <c r="F540" s="1" t="str">
        <f ca="1">IFERROR(__xludf.DUMMYFUNCTION("GOOGLETRANSLATE(English!F540,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540" s="1" t="str">
        <f ca="1">IFERROR(__xludf.DUMMYFUNCTION("GOOGLETRANSLATE(English!G540, ""en"", ""bg"")"),"помощ_за_домашно_изпълнение")</f>
        <v>помощ_за_домашно_изпълнение</v>
      </c>
      <c r="H540" s="1" t="str">
        <f ca="1">IFERROR(__xludf.DUMMYFUNCTION("GOOGLETRANSLATE(English!H540, ""en"", ""bg"")"),"помощ_за_домашно_задаване")</f>
        <v>помощ_за_домашно_задаване</v>
      </c>
    </row>
    <row r="541" spans="1:8" ht="13.2" x14ac:dyDescent="0.25">
      <c r="A541" s="1" t="str">
        <f ca="1">IFERROR(__xludf.DUMMYFUNCTION("GOOGLETRANSLATE(English!A541, ""en"", ""bg"")"),"qa_09314")</f>
        <v>qa_09314</v>
      </c>
      <c r="B541" s="1" t="str">
        <f ca="1">IFERROR(__xludf.DUMMYFUNCTION("GOOGLETRANSLATE(English!B541, ""en"", ""bg"")"),"химия")</f>
        <v>химия</v>
      </c>
      <c r="C541" s="1" t="str">
        <f ca="1">IFERROR(__xludf.DUMMYFUNCTION("GOOGLETRANSLATE(English!C541, ""en"", ""bg"")"),"елементарен")</f>
        <v>елементарен</v>
      </c>
      <c r="D541" s="1" t="str">
        <f ca="1">IFERROR(__xludf.DUMMYFUNCTION("GOOGLETRANSLATE(English!D541, ""en"", ""bg"")"),"промени в материалите")</f>
        <v>промени в материалите</v>
      </c>
      <c r="E541" s="1" t="str">
        <f ca="1">IFERROR(__xludf.DUMMYFUNCTION("GOOGLETRANSLATE(English!E541, ""en"", ""bg"")"),"Защо е важно да се изучават промените в материалите?")</f>
        <v>Защо е важно да се изучават промените в материалите?</v>
      </c>
      <c r="F541" s="1" t="str">
        <f ca="1">IFERROR(__xludf.DUMMYFUNCTION("GOOGLETRANSLATE(English!F541,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541" s="1" t="str">
        <f ca="1">IFERROR(__xludf.DUMMYFUNCTION("GOOGLETRANSLATE(English!G541, ""en"", ""bg"")"),"direct_qa")</f>
        <v>direct_qa</v>
      </c>
      <c r="H541" s="1" t="str">
        <f ca="1">IFERROR(__xludf.DUMMYFUNCTION("GOOGLETRANSLATE(English!H541, ""en"", ""bg"")"),"заявка_за_знание")</f>
        <v>заявка_за_знание</v>
      </c>
    </row>
    <row r="542" spans="1:8" ht="13.2" x14ac:dyDescent="0.25">
      <c r="A542" s="1" t="str">
        <f ca="1">IFERROR(__xludf.DUMMYFUNCTION("GOOGLETRANSLATE(English!A542, ""en"", ""bg"")"),"conv_08769")</f>
        <v>conv_08769</v>
      </c>
      <c r="B542" s="1" t="str">
        <f ca="1">IFERROR(__xludf.DUMMYFUNCTION("GOOGLETRANSLATE(English!B542, ""en"", ""bg"")"),"химия")</f>
        <v>химия</v>
      </c>
      <c r="C542" s="1" t="str">
        <f ca="1">IFERROR(__xludf.DUMMYFUNCTION("GOOGLETRANSLATE(English!C542, ""en"", ""bg"")"),"средата")</f>
        <v>средата</v>
      </c>
      <c r="D542" s="1" t="str">
        <f ca="1">IFERROR(__xludf.DUMMYFUNCTION("GOOGLETRANSLATE(English!D542, ""en"", ""bg"")"),"основи на периодичната таблица")</f>
        <v>основи на периодичната таблица</v>
      </c>
      <c r="E542" s="1" t="str">
        <f ca="1">IFERROR(__xludf.DUMMYFUNCTION("GOOGLETRANSLATE(English!E542, ""en"", ""bg"")"),"Можете ли да ми обясните това? Можете ли да ми помогнете да разбера основите на периодичната таблица?")</f>
        <v>Можете ли да ми обясните това? Можете ли да ми помогнете да разбера основите на периодичната таблица?</v>
      </c>
      <c r="F542" s="1" t="str">
        <f ca="1">IFERROR(__xludf.DUMMYFUNCTION("GOOGLETRANSLATE(English!F542,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542" s="1" t="str">
        <f ca="1">IFERROR(__xludf.DUMMYFUNCTION("GOOGLETRANSLATE(English!G542, ""en"", ""bg"")"),"разговор")</f>
        <v>разговор</v>
      </c>
      <c r="H542" s="1" t="str">
        <f ca="1">IFERROR(__xludf.DUMMYFUNCTION("GOOGLETRANSLATE(English!H542, ""en"", ""bg"")"),"образователна_помощ")</f>
        <v>образователна_помощ</v>
      </c>
    </row>
    <row r="543" spans="1:8" ht="13.2" x14ac:dyDescent="0.25">
      <c r="A543" s="1" t="str">
        <f ca="1">IFERROR(__xludf.DUMMYFUNCTION("GOOGLETRANSLATE(English!A543, ""en"", ""bg"")"),"conv_16104")</f>
        <v>conv_16104</v>
      </c>
      <c r="B543" s="1" t="str">
        <f ca="1">IFERROR(__xludf.DUMMYFUNCTION("GOOGLETRANSLATE(English!B543, ""en"", ""bg"")"),"химия")</f>
        <v>химия</v>
      </c>
      <c r="C543" s="1" t="str">
        <f ca="1">IFERROR(__xludf.DUMMYFUNCTION("GOOGLETRANSLATE(English!C543, ""en"", ""bg"")"),"високо")</f>
        <v>високо</v>
      </c>
      <c r="D543" s="1" t="str">
        <f ca="1">IFERROR(__xludf.DUMMYFUNCTION("GOOGLETRANSLATE(English!D543, ""en"", ""bg"")"),"химическо свързване")</f>
        <v>химическо свързване</v>
      </c>
      <c r="E543" s="1" t="str">
        <f ca="1">IFERROR(__xludf.DUMMYFUNCTION("GOOGLETRANSLATE(English!E543, ""en"", ""bg"")"),"Можете ли да ми помогнете? Какво представлява химичното свързване?")</f>
        <v>Можете ли да ми помогнете? Какво представлява химичното свързване?</v>
      </c>
      <c r="F543" s="1" t="str">
        <f ca="1">IFERROR(__xludf.DUMMYFUNCTION("GOOGLETRANSLATE(English!F543,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543" s="1" t="str">
        <f ca="1">IFERROR(__xludf.DUMMYFUNCTION("GOOGLETRANSLATE(English!G543, ""en"", ""bg"")"),"разговор")</f>
        <v>разговор</v>
      </c>
      <c r="H543" s="1" t="str">
        <f ca="1">IFERROR(__xludf.DUMMYFUNCTION("GOOGLETRANSLATE(English!H543, ""en"", ""bg"")"),"образователна_помощ")</f>
        <v>образователна_помощ</v>
      </c>
    </row>
    <row r="544" spans="1:8" ht="13.2" x14ac:dyDescent="0.25">
      <c r="A544" s="1" t="str">
        <f ca="1">IFERROR(__xludf.DUMMYFUNCTION("GOOGLETRANSLATE(English!A544, ""en"", ""bg"")"),"conv_05579")</f>
        <v>conv_05579</v>
      </c>
      <c r="B544" s="1" t="str">
        <f ca="1">IFERROR(__xludf.DUMMYFUNCTION("GOOGLETRANSLATE(English!B544, ""en"", ""bg"")"),"физика")</f>
        <v>физика</v>
      </c>
      <c r="C544" s="1" t="str">
        <f ca="1">IFERROR(__xludf.DUMMYFUNCTION("GOOGLETRANSLATE(English!C544, ""en"", ""bg"")"),"високо")</f>
        <v>високо</v>
      </c>
      <c r="D544" s="1" t="str">
        <f ca="1">IFERROR(__xludf.DUMMYFUNCTION("GOOGLETRANSLATE(English!D544, ""en"", ""bg"")"),"атомна структура")</f>
        <v>атомна структура</v>
      </c>
      <c r="E544" s="1" t="str">
        <f ca="1">IFERROR(__xludf.DUMMYFUNCTION("GOOGLETRANSLATE(English!E544, ""en"", ""bg"")"),"Имам нужда от помощ с домашното си. Можете ли да ми обясните структурата на атома?")</f>
        <v>Имам нужда от помощ с домашното си. Можете ли да ми обясните структурата на атома?</v>
      </c>
      <c r="F544" s="1" t="str">
        <f ca="1">IFERROR(__xludf.DUMMYFUNCTION("GOOGLETRANSLATE(English!F544,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544" s="1" t="str">
        <f ca="1">IFERROR(__xludf.DUMMYFUNCTION("GOOGLETRANSLATE(English!G544, ""en"", ""bg"")"),"разговор")</f>
        <v>разговор</v>
      </c>
      <c r="H544" s="1" t="str">
        <f ca="1">IFERROR(__xludf.DUMMYFUNCTION("GOOGLETRANSLATE(English!H544, ""en"", ""bg"")"),"образователна_помощ")</f>
        <v>образователна_помощ</v>
      </c>
    </row>
    <row r="545" spans="1:8" ht="13.2" x14ac:dyDescent="0.25">
      <c r="A545" s="1" t="str">
        <f ca="1">IFERROR(__xludf.DUMMYFUNCTION("GOOGLETRANSLATE(English!A545, ""en"", ""bg"")"),"qa_08424")</f>
        <v>qa_08424</v>
      </c>
      <c r="B545" s="1" t="str">
        <f ca="1">IFERROR(__xludf.DUMMYFUNCTION("GOOGLETRANSLATE(English!B545, ""en"", ""bg"")"),"биология")</f>
        <v>биология</v>
      </c>
      <c r="C545" s="1" t="str">
        <f ca="1">IFERROR(__xludf.DUMMYFUNCTION("GOOGLETRANSLATE(English!C545, ""en"", ""bg"")"),"средата")</f>
        <v>средата</v>
      </c>
      <c r="D545" s="1" t="str">
        <f ca="1">IFERROR(__xludf.DUMMYFUNCTION("GOOGLETRANSLATE(English!D545, ""en"", ""bg"")"),"фотосинтеза")</f>
        <v>фотосинтеза</v>
      </c>
      <c r="E545" s="1" t="str">
        <f ca="1">IFERROR(__xludf.DUMMYFUNCTION("GOOGLETRANSLATE(English!E545, ""en"", ""bg"")"),"Какво е важно да знаем за фотосинтезата?")</f>
        <v>Какво е важно да знаем за фотосинтезата?</v>
      </c>
      <c r="F545" s="1" t="str">
        <f ca="1">IFERROR(__xludf.DUMMYFUNCTION("GOOGLETRANSLATE(English!F545,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545" s="1" t="str">
        <f ca="1">IFERROR(__xludf.DUMMYFUNCTION("GOOGLETRANSLATE(English!G545, ""en"", ""bg"")"),"direct_qa")</f>
        <v>direct_qa</v>
      </c>
      <c r="H545" s="1" t="str">
        <f ca="1">IFERROR(__xludf.DUMMYFUNCTION("GOOGLETRANSLATE(English!H545, ""en"", ""bg"")"),"заявка_за_знание")</f>
        <v>заявка_за_знание</v>
      </c>
    </row>
    <row r="546" spans="1:8" ht="13.2" x14ac:dyDescent="0.25">
      <c r="A546" s="1" t="str">
        <f ca="1">IFERROR(__xludf.DUMMYFUNCTION("GOOGLETRANSLATE(English!A546, ""en"", ""bg"")"),"qa_07040")</f>
        <v>qa_07040</v>
      </c>
      <c r="B546" s="1" t="str">
        <f ca="1">IFERROR(__xludf.DUMMYFUNCTION("GOOGLETRANSLATE(English!B546, ""en"", ""bg"")"),"биология")</f>
        <v>биология</v>
      </c>
      <c r="C546" s="1" t="str">
        <f ca="1">IFERROR(__xludf.DUMMYFUNCTION("GOOGLETRANSLATE(English!C546, ""en"", ""bg"")"),"елементарен")</f>
        <v>елементарен</v>
      </c>
      <c r="D546" s="1" t="str">
        <f ca="1">IFERROR(__xludf.DUMMYFUNCTION("GOOGLETRANSLATE(English!D546, ""en"", ""bg"")"),"домашни любимци срещу диви животни")</f>
        <v>домашни любимци срещу диви животни</v>
      </c>
      <c r="E546" s="1" t="str">
        <f ca="1">IFERROR(__xludf.DUMMYFUNCTION("GOOGLETRANSLATE(English!E546, ""en"", ""bg"")"),"Как се различават домашните любимци от дивите животни?")</f>
        <v>Как се различават домашните любимци от дивите животни?</v>
      </c>
      <c r="F546" s="1" t="str">
        <f ca="1">IFERROR(__xludf.DUMMYFUNCTION("GOOGLETRANSLATE(English!F546,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546" s="1" t="str">
        <f ca="1">IFERROR(__xludf.DUMMYFUNCTION("GOOGLETRANSLATE(English!G546, ""en"", ""bg"")"),"direct_qa")</f>
        <v>direct_qa</v>
      </c>
      <c r="H546" s="1" t="str">
        <f ca="1">IFERROR(__xludf.DUMMYFUNCTION("GOOGLETRANSLATE(English!H546, ""en"", ""bg"")"),"заявка_за_знание")</f>
        <v>заявка_за_знание</v>
      </c>
    </row>
    <row r="547" spans="1:8" ht="13.2" x14ac:dyDescent="0.25">
      <c r="A547" s="1" t="str">
        <f ca="1">IFERROR(__xludf.DUMMYFUNCTION("GOOGLETRANSLATE(English!A547, ""en"", ""bg"")"),"hw_10557")</f>
        <v>hw_10557</v>
      </c>
      <c r="B547" s="1" t="str">
        <f ca="1">IFERROR(__xludf.DUMMYFUNCTION("GOOGLETRANSLATE(English!B547, ""en"", ""bg"")"),"химия")</f>
        <v>химия</v>
      </c>
      <c r="C547" s="1" t="str">
        <f ca="1">IFERROR(__xludf.DUMMYFUNCTION("GOOGLETRANSLATE(English!C547, ""en"", ""bg"")"),"елементарен")</f>
        <v>елементарен</v>
      </c>
      <c r="D547" s="1" t="str">
        <f ca="1">IFERROR(__xludf.DUMMYFUNCTION("GOOGLETRANSLATE(English!D547, ""en"", ""bg"")"),"промени в материалите")</f>
        <v>промени в материалите</v>
      </c>
      <c r="E547" s="1" t="str">
        <f ca="1">IFERROR(__xludf.DUMMYFUNCTION("GOOGLETRANSLATE(English!E547,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547" s="1" t="str">
        <f ca="1">IFERROR(__xludf.DUMMYFUNCTION("GOOGLETRANSLATE(English!F547,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547" s="1" t="str">
        <f ca="1">IFERROR(__xludf.DUMMYFUNCTION("GOOGLETRANSLATE(English!G547, ""en"", ""bg"")"),"помощ_за_домашно_изпълнение")</f>
        <v>помощ_за_домашно_изпълнение</v>
      </c>
      <c r="H547" s="1" t="str">
        <f ca="1">IFERROR(__xludf.DUMMYFUNCTION("GOOGLETRANSLATE(English!H547, ""en"", ""bg"")"),"помощ_за_домашно_задаване")</f>
        <v>помощ_за_домашно_задаване</v>
      </c>
    </row>
    <row r="548" spans="1:8" ht="13.2" x14ac:dyDescent="0.25">
      <c r="A548" s="1" t="str">
        <f ca="1">IFERROR(__xludf.DUMMYFUNCTION("GOOGLETRANSLATE(English!A548, ""en"", ""bg"")"),"hw_11515")</f>
        <v>hw_11515</v>
      </c>
      <c r="B548" s="1" t="str">
        <f ca="1">IFERROR(__xludf.DUMMYFUNCTION("GOOGLETRANSLATE(English!B548, ""en"", ""bg"")"),"химия")</f>
        <v>химия</v>
      </c>
      <c r="C548" s="1" t="str">
        <f ca="1">IFERROR(__xludf.DUMMYFUNCTION("GOOGLETRANSLATE(English!C548, ""en"", ""bg"")"),"високо")</f>
        <v>високо</v>
      </c>
      <c r="D548" s="1" t="str">
        <f ca="1">IFERROR(__xludf.DUMMYFUNCTION("GOOGLETRANSLATE(English!D548, ""en"", ""bg"")"),"скорости на реакция")</f>
        <v>скорости на реакция</v>
      </c>
      <c r="E548" s="1" t="str">
        <f ca="1">IFERROR(__xludf.DUMMYFUNCTION("GOOGLETRANSLATE(English!E548, ""en"", ""bg"")"),"Докладът ми по химия е за скоростите на реакциите. Помогнете ми да разбера.")</f>
        <v>Докладът ми по химия е за скоростите на реакциите. Помогнете ми да разбера.</v>
      </c>
      <c r="F548" s="1" t="str">
        <f ca="1">IFERROR(__xludf.DUMMYFUNCTION("GOOGLETRANSLATE(English!F548,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548" s="1" t="str">
        <f ca="1">IFERROR(__xludf.DUMMYFUNCTION("GOOGLETRANSLATE(English!G548, ""en"", ""bg"")"),"помощ_за_домашно_изпълнение")</f>
        <v>помощ_за_домашно_изпълнение</v>
      </c>
      <c r="H548" s="1" t="str">
        <f ca="1">IFERROR(__xludf.DUMMYFUNCTION("GOOGLETRANSLATE(English!H548, ""en"", ""bg"")"),"помощ_за_домашно_задаване")</f>
        <v>помощ_за_домашно_задаване</v>
      </c>
    </row>
    <row r="549" spans="1:8" ht="13.2" x14ac:dyDescent="0.25">
      <c r="A549" s="1" t="str">
        <f ca="1">IFERROR(__xludf.DUMMYFUNCTION("GOOGLETRANSLATE(English!A549, ""en"", ""bg"")"),"conv_12310")</f>
        <v>conv_12310</v>
      </c>
      <c r="B549" s="1" t="str">
        <f ca="1">IFERROR(__xludf.DUMMYFUNCTION("GOOGLETRANSLATE(English!B549, ""en"", ""bg"")"),"физика")</f>
        <v>физика</v>
      </c>
      <c r="C549" s="1" t="str">
        <f ca="1">IFERROR(__xludf.DUMMYFUNCTION("GOOGLETRANSLATE(English!C549, ""en"", ""bg"")"),"елементарен")</f>
        <v>елементарен</v>
      </c>
      <c r="D549" s="1" t="str">
        <f ca="1">IFERROR(__xludf.DUMMYFUNCTION("GOOGLETRANSLATE(English!D549, ""en"", ""bg"")"),"плаващ и потъващ")</f>
        <v>плаващ и потъващ</v>
      </c>
      <c r="E549" s="1" t="str">
        <f ca="1">IFERROR(__xludf.DUMMYFUNCTION("GOOGLETRANSLATE(English!E549, ""en"", ""bg"")"),"Помогни ми да уча за теста. Можеш ли да ми обясниш какво е плаване и потъване?")</f>
        <v>Помогни ми да уча за теста. Можеш ли да ми обясниш какво е плаване и потъване?</v>
      </c>
      <c r="F549" s="1" t="str">
        <f ca="1">IFERROR(__xludf.DUMMYFUNCTION("GOOGLETRANSLATE(English!F549,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549" s="1" t="str">
        <f ca="1">IFERROR(__xludf.DUMMYFUNCTION("GOOGLETRANSLATE(English!G549, ""en"", ""bg"")"),"разговор")</f>
        <v>разговор</v>
      </c>
      <c r="H549" s="1" t="str">
        <f ca="1">IFERROR(__xludf.DUMMYFUNCTION("GOOGLETRANSLATE(English!H549, ""en"", ""bg"")"),"образователна_помощ")</f>
        <v>образователна_помощ</v>
      </c>
    </row>
    <row r="550" spans="1:8" ht="13.2" x14ac:dyDescent="0.25">
      <c r="A550" s="1" t="str">
        <f ca="1">IFERROR(__xludf.DUMMYFUNCTION("GOOGLETRANSLATE(English!A550, ""en"", ""bg"")"),"hw_07083")</f>
        <v>hw_07083</v>
      </c>
      <c r="B550" s="1" t="str">
        <f ca="1">IFERROR(__xludf.DUMMYFUNCTION("GOOGLETRANSLATE(English!B550, ""en"", ""bg"")"),"биология")</f>
        <v>биология</v>
      </c>
      <c r="C550" s="1" t="str">
        <f ca="1">IFERROR(__xludf.DUMMYFUNCTION("GOOGLETRANSLATE(English!C550, ""en"", ""bg"")"),"елементарен")</f>
        <v>елементарен</v>
      </c>
      <c r="D550" s="1" t="str">
        <f ca="1">IFERROR(__xludf.DUMMYFUNCTION("GOOGLETRANSLATE(English!D550, ""en"", ""bg"")"),"основни нужди")</f>
        <v>основни нужди</v>
      </c>
      <c r="E550" s="1" t="str">
        <f ca="1">IFERROR(__xludf.DUMMYFUNCTION("GOOGLETRANSLATE(English!E550, ""en"", ""bg"")"),"Можете ли да обясните основните изисквания за моя научен проект?")</f>
        <v>Можете ли да обясните основните изисквания за моя научен проект?</v>
      </c>
      <c r="F550" s="1" t="str">
        <f ca="1">IFERROR(__xludf.DUMMYFUNCTION("GOOGLETRANSLATE(English!F550,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550" s="1" t="str">
        <f ca="1">IFERROR(__xludf.DUMMYFUNCTION("GOOGLETRANSLATE(English!G550, ""en"", ""bg"")"),"помощ_за_домашно_изпълнение")</f>
        <v>помощ_за_домашно_изпълнение</v>
      </c>
      <c r="H550" s="1" t="str">
        <f ca="1">IFERROR(__xludf.DUMMYFUNCTION("GOOGLETRANSLATE(English!H550, ""en"", ""bg"")"),"помощ_за_домашно_задаване")</f>
        <v>помощ_за_домашно_задаване</v>
      </c>
    </row>
    <row r="551" spans="1:8" ht="13.2" x14ac:dyDescent="0.25">
      <c r="A551" s="1" t="str">
        <f ca="1">IFERROR(__xludf.DUMMYFUNCTION("GOOGLETRANSLATE(English!A551, ""en"", ""bg"")"),"conv_10208")</f>
        <v>conv_10208</v>
      </c>
      <c r="B551" s="1" t="str">
        <f ca="1">IFERROR(__xludf.DUMMYFUNCTION("GOOGLETRANSLATE(English!B551, ""en"", ""bg"")"),"химия")</f>
        <v>химия</v>
      </c>
      <c r="C551" s="1" t="str">
        <f ca="1">IFERROR(__xludf.DUMMYFUNCTION("GOOGLETRANSLATE(English!C551, ""en"", ""bg"")"),"средата")</f>
        <v>средата</v>
      </c>
      <c r="D551" s="1" t="str">
        <f ca="1">IFERROR(__xludf.DUMMYFUNCTION("GOOGLETRANSLATE(English!D551, ""en"", ""bg"")"),"химични реакции")</f>
        <v>химични реакции</v>
      </c>
      <c r="E551" s="1" t="str">
        <f ca="1">IFERROR(__xludf.DUMMYFUNCTION("GOOGLETRANSLATE(English!E551, ""en"", ""bg"")"),"Имам нужда от помощ с домашното. Могат ли химичните реакции да бъдат обратими?")</f>
        <v>Имам нужда от помощ с домашното. Могат ли химичните реакции да бъдат обратими?</v>
      </c>
      <c r="F551" s="1" t="str">
        <f ca="1">IFERROR(__xludf.DUMMYFUNCTION("GOOGLETRANSLATE(English!F551,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551" s="1" t="str">
        <f ca="1">IFERROR(__xludf.DUMMYFUNCTION("GOOGLETRANSLATE(English!G551, ""en"", ""bg"")"),"разговор")</f>
        <v>разговор</v>
      </c>
      <c r="H551" s="1" t="str">
        <f ca="1">IFERROR(__xludf.DUMMYFUNCTION("GOOGLETRANSLATE(English!H551, ""en"", ""bg"")"),"образователна_помощ")</f>
        <v>образователна_помощ</v>
      </c>
    </row>
    <row r="552" spans="1:8" ht="13.2" x14ac:dyDescent="0.25">
      <c r="A552" s="1" t="str">
        <f ca="1">IFERROR(__xludf.DUMMYFUNCTION("GOOGLETRANSLATE(English!A552, ""en"", ""bg"")"),"qa_05637")</f>
        <v>qa_05637</v>
      </c>
      <c r="B552" s="1" t="str">
        <f ca="1">IFERROR(__xludf.DUMMYFUNCTION("GOOGLETRANSLATE(English!B552, ""en"", ""bg"")"),"физика")</f>
        <v>физика</v>
      </c>
      <c r="C552" s="1" t="str">
        <f ca="1">IFERROR(__xludf.DUMMYFUNCTION("GOOGLETRANSLATE(English!C552, ""en"", ""bg"")"),"високо")</f>
        <v>високо</v>
      </c>
      <c r="D552" s="1" t="str">
        <f ca="1">IFERROR(__xludf.DUMMYFUNCTION("GOOGLETRANSLATE(English!D552, ""en"", ""bg"")"),"термодинамика")</f>
        <v>термодинамика</v>
      </c>
      <c r="E552" s="1" t="str">
        <f ca="1">IFERROR(__xludf.DUMMYFUNCTION("GOOGLETRANSLATE(English!E552, ""en"", ""bg"")"),"Как работи термодинамиката във физиката?")</f>
        <v>Как работи термодинамиката във физиката?</v>
      </c>
      <c r="F552" s="1" t="str">
        <f ca="1">IFERROR(__xludf.DUMMYFUNCTION("GOOGLETRANSLATE(English!F552,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552" s="1" t="str">
        <f ca="1">IFERROR(__xludf.DUMMYFUNCTION("GOOGLETRANSLATE(English!G552, ""en"", ""bg"")"),"direct_qa")</f>
        <v>direct_qa</v>
      </c>
      <c r="H552" s="1" t="str">
        <f ca="1">IFERROR(__xludf.DUMMYFUNCTION("GOOGLETRANSLATE(English!H552, ""en"", ""bg"")"),"заявка_за_знание")</f>
        <v>заявка_за_знание</v>
      </c>
    </row>
    <row r="553" spans="1:8" ht="13.2" x14ac:dyDescent="0.25">
      <c r="A553" s="1" t="str">
        <f ca="1">IFERROR(__xludf.DUMMYFUNCTION("GOOGLETRANSLATE(English!A553, ""en"", ""bg"")"),"qa_13645")</f>
        <v>qa_13645</v>
      </c>
      <c r="B553" s="1" t="str">
        <f ca="1">IFERROR(__xludf.DUMMYFUNCTION("GOOGLETRANSLATE(English!B553, ""en"", ""bg"")"),"биология")</f>
        <v>биология</v>
      </c>
      <c r="C553" s="1" t="str">
        <f ca="1">IFERROR(__xludf.DUMMYFUNCTION("GOOGLETRANSLATE(English!C553, ""en"", ""bg"")"),"високо")</f>
        <v>високо</v>
      </c>
      <c r="D553" s="1" t="str">
        <f ca="1">IFERROR(__xludf.DUMMYFUNCTION("GOOGLETRANSLATE(English!D553, ""en"", ""bg"")"),"Структура на ДНК")</f>
        <v>Структура на ДНК</v>
      </c>
      <c r="E553" s="1" t="str">
        <f ca="1">IFERROR(__xludf.DUMMYFUNCTION("GOOGLETRANSLATE(English!E553, ""en"", ""bg"")"),"Какво е важно да знаем за структурата на ДНК?")</f>
        <v>Какво е важно да знаем за структурата на ДНК?</v>
      </c>
      <c r="F553" s="1" t="str">
        <f ca="1">IFERROR(__xludf.DUMMYFUNCTION("GOOGLETRANSLATE(English!F553,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553" s="1" t="str">
        <f ca="1">IFERROR(__xludf.DUMMYFUNCTION("GOOGLETRANSLATE(English!G553, ""en"", ""bg"")"),"direct_qa")</f>
        <v>direct_qa</v>
      </c>
      <c r="H553" s="1" t="str">
        <f ca="1">IFERROR(__xludf.DUMMYFUNCTION("GOOGLETRANSLATE(English!H553, ""en"", ""bg"")"),"заявка_за_знание")</f>
        <v>заявка_за_знание</v>
      </c>
    </row>
    <row r="554" spans="1:8" ht="13.2" x14ac:dyDescent="0.25">
      <c r="A554" s="1" t="str">
        <f ca="1">IFERROR(__xludf.DUMMYFUNCTION("GOOGLETRANSLATE(English!A554, ""en"", ""bg"")"),"conv_19173")</f>
        <v>conv_19173</v>
      </c>
      <c r="B554" s="1" t="str">
        <f ca="1">IFERROR(__xludf.DUMMYFUNCTION("GOOGLETRANSLATE(English!B554, ""en"", ""bg"")"),"биология")</f>
        <v>биология</v>
      </c>
      <c r="C554" s="1" t="str">
        <f ca="1">IFERROR(__xludf.DUMMYFUNCTION("GOOGLETRANSLATE(English!C554, ""en"", ""bg"")"),"елементарен")</f>
        <v>елементарен</v>
      </c>
      <c r="D554" s="1" t="str">
        <f ca="1">IFERROR(__xludf.DUMMYFUNCTION("GOOGLETRANSLATE(English!D554, ""en"", ""bg"")"),"животни")</f>
        <v>животни</v>
      </c>
      <c r="E554" s="1" t="str">
        <f ca="1">IFERROR(__xludf.DUMMYFUNCTION("GOOGLETRANSLATE(English!E554, ""en"", ""bg"")"),"Можете ли да ми обясните това? Как зайците се грижат за малките си?")</f>
        <v>Можете ли да ми обясните това? Как зайците се грижат за малките си?</v>
      </c>
      <c r="F554" s="1" t="str">
        <f ca="1">IFERROR(__xludf.DUMMYFUNCTION("GOOGLETRANSLATE(English!F554,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554" s="1" t="str">
        <f ca="1">IFERROR(__xludf.DUMMYFUNCTION("GOOGLETRANSLATE(English!G554, ""en"", ""bg"")"),"разговор")</f>
        <v>разговор</v>
      </c>
      <c r="H554" s="1" t="str">
        <f ca="1">IFERROR(__xludf.DUMMYFUNCTION("GOOGLETRANSLATE(English!H554, ""en"", ""bg"")"),"образователна_помощ")</f>
        <v>образователна_помощ</v>
      </c>
    </row>
    <row r="555" spans="1:8" ht="13.2" x14ac:dyDescent="0.25">
      <c r="A555" s="1" t="str">
        <f ca="1">IFERROR(__xludf.DUMMYFUNCTION("GOOGLETRANSLATE(English!A555, ""en"", ""bg"")"),"hw_07093")</f>
        <v>hw_07093</v>
      </c>
      <c r="B555" s="1" t="str">
        <f ca="1">IFERROR(__xludf.DUMMYFUNCTION("GOOGLETRANSLATE(English!B555, ""en"", ""bg"")"),"физика")</f>
        <v>физика</v>
      </c>
      <c r="C555" s="1" t="str">
        <f ca="1">IFERROR(__xludf.DUMMYFUNCTION("GOOGLETRANSLATE(English!C555, ""en"", ""bg"")"),"високо")</f>
        <v>високо</v>
      </c>
      <c r="D555" s="1" t="str">
        <f ca="1">IFERROR(__xludf.DUMMYFUNCTION("GOOGLETRANSLATE(English!D555, ""en"", ""bg"")"),"радиоактивност")</f>
        <v>радиоактивност</v>
      </c>
      <c r="E555" s="1" t="str">
        <f ca="1">IFERROR(__xludf.DUMMYFUNCTION("GOOGLETRANSLATE(English!E555, ""en"", ""bg"")"),"Трябва да разбера радиоактивността за изпита си.")</f>
        <v>Трябва да разбера радиоактивността за изпита си.</v>
      </c>
      <c r="F555" s="1" t="str">
        <f ca="1">IFERROR(__xludf.DUMMYFUNCTION("GOOGLETRANSLATE(English!F555,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555" s="1" t="str">
        <f ca="1">IFERROR(__xludf.DUMMYFUNCTION("GOOGLETRANSLATE(English!G555, ""en"", ""bg"")"),"помощ_за_домашно_изпълнение")</f>
        <v>помощ_за_домашно_изпълнение</v>
      </c>
      <c r="H555" s="1" t="str">
        <f ca="1">IFERROR(__xludf.DUMMYFUNCTION("GOOGLETRANSLATE(English!H555, ""en"", ""bg"")"),"помощ_за_домашно_задаване")</f>
        <v>помощ_за_домашно_задаване</v>
      </c>
    </row>
    <row r="556" spans="1:8" ht="13.2" x14ac:dyDescent="0.25">
      <c r="A556" s="1" t="str">
        <f ca="1">IFERROR(__xludf.DUMMYFUNCTION("GOOGLETRANSLATE(English!A556, ""en"", ""bg"")"),"conv_10170")</f>
        <v>conv_10170</v>
      </c>
      <c r="B556" s="1" t="str">
        <f ca="1">IFERROR(__xludf.DUMMYFUNCTION("GOOGLETRANSLATE(English!B556, ""en"", ""bg"")"),"химия")</f>
        <v>химия</v>
      </c>
      <c r="C556" s="1" t="str">
        <f ca="1">IFERROR(__xludf.DUMMYFUNCTION("GOOGLETRANSLATE(English!C556, ""en"", ""bg"")"),"високо")</f>
        <v>високо</v>
      </c>
      <c r="D556" s="1" t="str">
        <f ca="1">IFERROR(__xludf.DUMMYFUNCTION("GOOGLETRANSLATE(English!D556, ""en"", ""bg"")"),"органична химия")</f>
        <v>органична химия</v>
      </c>
      <c r="E556" s="1" t="str">
        <f ca="1">IFERROR(__xludf.DUMMYFUNCTION("GOOGLETRANSLATE(English!E556, ""en"", ""bg"")"),"Здравей, преподавателю! Можеш ли да ми помогнеш да разбера органичната химия?")</f>
        <v>Здравей, преподавателю! Можеш ли да ми помогнеш да разбера органичната химия?</v>
      </c>
      <c r="F556" s="1" t="str">
        <f ca="1">IFERROR(__xludf.DUMMYFUNCTION("GOOGLETRANSLATE(English!F556,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556" s="1" t="str">
        <f ca="1">IFERROR(__xludf.DUMMYFUNCTION("GOOGLETRANSLATE(English!G556, ""en"", ""bg"")"),"разговор")</f>
        <v>разговор</v>
      </c>
      <c r="H556" s="1" t="str">
        <f ca="1">IFERROR(__xludf.DUMMYFUNCTION("GOOGLETRANSLATE(English!H556, ""en"", ""bg"")"),"образователна_помощ")</f>
        <v>образователна_помощ</v>
      </c>
    </row>
    <row r="557" spans="1:8" ht="13.2" x14ac:dyDescent="0.25">
      <c r="A557" s="1" t="str">
        <f ca="1">IFERROR(__xludf.DUMMYFUNCTION("GOOGLETRANSLATE(English!A557, ""en"", ""bg"")"),"qa_06882")</f>
        <v>qa_06882</v>
      </c>
      <c r="B557" s="1" t="str">
        <f ca="1">IFERROR(__xludf.DUMMYFUNCTION("GOOGLETRANSLATE(English!B557, ""en"", ""bg"")"),"физика")</f>
        <v>физика</v>
      </c>
      <c r="C557" s="1" t="str">
        <f ca="1">IFERROR(__xludf.DUMMYFUNCTION("GOOGLETRANSLATE(English!C557, ""en"", ""bg"")"),"средата")</f>
        <v>средата</v>
      </c>
      <c r="D557" s="1" t="str">
        <f ca="1">IFERROR(__xludf.DUMMYFUNCTION("GOOGLETRANSLATE(English!D557, ""en"", ""bg"")"),"видове енергия")</f>
        <v>видове енергия</v>
      </c>
      <c r="E557" s="1" t="str">
        <f ca="1">IFERROR(__xludf.DUMMYFUNCTION("GOOGLETRANSLATE(English!E557, ""en"", ""bg"")"),"Какво е потенциална енергия?")</f>
        <v>Какво е потенциална енергия?</v>
      </c>
      <c r="F557" s="1" t="str">
        <f ca="1">IFERROR(__xludf.DUMMYFUNCTION("GOOGLETRANSLATE(English!F557,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557" s="1" t="str">
        <f ca="1">IFERROR(__xludf.DUMMYFUNCTION("GOOGLETRANSLATE(English!G557, ""en"", ""bg"")"),"direct_qa")</f>
        <v>direct_qa</v>
      </c>
      <c r="H557" s="1" t="str">
        <f ca="1">IFERROR(__xludf.DUMMYFUNCTION("GOOGLETRANSLATE(English!H557, ""en"", ""bg"")"),"заявка_за_знание")</f>
        <v>заявка_за_знание</v>
      </c>
    </row>
    <row r="558" spans="1:8" ht="13.2" x14ac:dyDescent="0.25">
      <c r="A558" s="1" t="str">
        <f ca="1">IFERROR(__xludf.DUMMYFUNCTION("GOOGLETRANSLATE(English!A558, ""en"", ""bg"")"),"conv_14542")</f>
        <v>conv_14542</v>
      </c>
      <c r="B558" s="1" t="str">
        <f ca="1">IFERROR(__xludf.DUMMYFUNCTION("GOOGLETRANSLATE(English!B558, ""en"", ""bg"")"),"химия")</f>
        <v>химия</v>
      </c>
      <c r="C558" s="1" t="str">
        <f ca="1">IFERROR(__xludf.DUMMYFUNCTION("GOOGLETRANSLATE(English!C558, ""en"", ""bg"")"),"средата")</f>
        <v>средата</v>
      </c>
      <c r="D558" s="1" t="str">
        <f ca="1">IFERROR(__xludf.DUMMYFUNCTION("GOOGLETRANSLATE(English!D558, ""en"", ""bg"")"),"химични промени")</f>
        <v>химични промени</v>
      </c>
      <c r="E558" s="1" t="str">
        <f ca="1">IFERROR(__xludf.DUMMYFUNCTION("GOOGLETRANSLATE(English!E558, ""en"", ""bg"")"),"Можете ли да ми помогнете? Как протичат химичните промени в химията?")</f>
        <v>Можете ли да ми помогнете? Как протичат химичните промени в химията?</v>
      </c>
      <c r="F558" s="1" t="str">
        <f ca="1">IFERROR(__xludf.DUMMYFUNCTION("GOOGLETRANSLATE(English!F558,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558" s="1" t="str">
        <f ca="1">IFERROR(__xludf.DUMMYFUNCTION("GOOGLETRANSLATE(English!G558, ""en"", ""bg"")"),"разговор")</f>
        <v>разговор</v>
      </c>
      <c r="H558" s="1" t="str">
        <f ca="1">IFERROR(__xludf.DUMMYFUNCTION("GOOGLETRANSLATE(English!H558, ""en"", ""bg"")"),"образователна_помощ")</f>
        <v>образователна_помощ</v>
      </c>
    </row>
    <row r="559" spans="1:8" ht="13.2" x14ac:dyDescent="0.25">
      <c r="A559" s="1" t="str">
        <f ca="1">IFERROR(__xludf.DUMMYFUNCTION("GOOGLETRANSLATE(English!A559, ""en"", ""bg"")"),"hw_12668")</f>
        <v>hw_12668</v>
      </c>
      <c r="B559" s="1" t="str">
        <f ca="1">IFERROR(__xludf.DUMMYFUNCTION("GOOGLETRANSLATE(English!B559, ""en"", ""bg"")"),"физика")</f>
        <v>физика</v>
      </c>
      <c r="C559" s="1" t="str">
        <f ca="1">IFERROR(__xludf.DUMMYFUNCTION("GOOGLETRANSLATE(English!C559, ""en"", ""bg"")"),"средата")</f>
        <v>средата</v>
      </c>
      <c r="D559" s="1" t="str">
        <f ca="1">IFERROR(__xludf.DUMMYFUNCTION("GOOGLETRANSLATE(English!D559, ""en"", ""bg"")"),"сили и движение")</f>
        <v>сили и движение</v>
      </c>
      <c r="E559" s="1" t="str">
        <f ca="1">IFERROR(__xludf.DUMMYFUNCTION("GOOGLETRANSLATE(English!E559, ""en"", ""bg"")"),"Можете ли да решите тази задача за сили и движение с мен?")</f>
        <v>Можете ли да решите тази задача за сили и движение с мен?</v>
      </c>
      <c r="F559" s="1" t="str">
        <f ca="1">IFERROR(__xludf.DUMMYFUNCTION("GOOGLETRANSLATE(English!F559,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559" s="1" t="str">
        <f ca="1">IFERROR(__xludf.DUMMYFUNCTION("GOOGLETRANSLATE(English!G559, ""en"", ""bg"")"),"помощ_за_домашно_изпълнение")</f>
        <v>помощ_за_домашно_изпълнение</v>
      </c>
      <c r="H559" s="1" t="str">
        <f ca="1">IFERROR(__xludf.DUMMYFUNCTION("GOOGLETRANSLATE(English!H559, ""en"", ""bg"")"),"помощ_за_домашно_задаване")</f>
        <v>помощ_за_домашно_задаване</v>
      </c>
    </row>
    <row r="560" spans="1:8" ht="13.2" x14ac:dyDescent="0.25">
      <c r="A560" s="1" t="str">
        <f ca="1">IFERROR(__xludf.DUMMYFUNCTION("GOOGLETRANSLATE(English!A560, ""en"", ""bg"")"),"qa_12074")</f>
        <v>qa_12074</v>
      </c>
      <c r="B560" s="1" t="str">
        <f ca="1">IFERROR(__xludf.DUMMYFUNCTION("GOOGLETRANSLATE(English!B560, ""en"", ""bg"")"),"физика")</f>
        <v>физика</v>
      </c>
      <c r="C560" s="1" t="str">
        <f ca="1">IFERROR(__xludf.DUMMYFUNCTION("GOOGLETRANSLATE(English!C560, ""en"", ""bg"")"),"елементарен")</f>
        <v>елементарен</v>
      </c>
      <c r="D560" s="1" t="str">
        <f ca="1">IFERROR(__xludf.DUMMYFUNCTION("GOOGLETRANSLATE(English!D560, ""en"", ""bg"")"),"бутане и дърпане")</f>
        <v>бутане и дърпане</v>
      </c>
      <c r="E560" s="1" t="str">
        <f ca="1">IFERROR(__xludf.DUMMYFUNCTION("GOOGLETRANSLATE(English!E560, ""en"", ""bg"")"),"Можете ли да ми обясните как се прави бутане и дърпане?")</f>
        <v>Можете ли да ми обясните как се прави бутане и дърпане?</v>
      </c>
      <c r="F560" s="1" t="str">
        <f ca="1">IFERROR(__xludf.DUMMYFUNCTION("GOOGLETRANSLATE(English!F560,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560" s="1" t="str">
        <f ca="1">IFERROR(__xludf.DUMMYFUNCTION("GOOGLETRANSLATE(English!G560, ""en"", ""bg"")"),"direct_qa")</f>
        <v>direct_qa</v>
      </c>
      <c r="H560" s="1" t="str">
        <f ca="1">IFERROR(__xludf.DUMMYFUNCTION("GOOGLETRANSLATE(English!H560, ""en"", ""bg"")"),"заявка_за_знание")</f>
        <v>заявка_за_знание</v>
      </c>
    </row>
    <row r="561" spans="1:8" ht="13.2" x14ac:dyDescent="0.25">
      <c r="A561" s="1" t="str">
        <f ca="1">IFERROR(__xludf.DUMMYFUNCTION("GOOGLETRANSLATE(English!A561, ""en"", ""bg"")"),"conv_08491")</f>
        <v>conv_08491</v>
      </c>
      <c r="B561" s="1" t="str">
        <f ca="1">IFERROR(__xludf.DUMMYFUNCTION("GOOGLETRANSLATE(English!B561, ""en"", ""bg"")"),"физика")</f>
        <v>физика</v>
      </c>
      <c r="C561" s="1" t="str">
        <f ca="1">IFERROR(__xludf.DUMMYFUNCTION("GOOGLETRANSLATE(English!C561, ""en"", ""bg"")"),"високо")</f>
        <v>високо</v>
      </c>
      <c r="D561" s="1" t="str">
        <f ca="1">IFERROR(__xludf.DUMMYFUNCTION("GOOGLETRANSLATE(English!D561, ""en"", ""bg"")"),"механика")</f>
        <v>механика</v>
      </c>
      <c r="E561" s="1" t="str">
        <f ca="1">IFERROR(__xludf.DUMMYFUNCTION("GOOGLETRANSLATE(English!E561, ""en"", ""bg"")"),"Помогнете ми да уча за теста си. Защо механиката е важна?")</f>
        <v>Помогнете ми да уча за теста си. Защо механиката е важна?</v>
      </c>
      <c r="F561" s="1" t="str">
        <f ca="1">IFERROR(__xludf.DUMMYFUNCTION("GOOGLETRANSLATE(English!F561,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561" s="1" t="str">
        <f ca="1">IFERROR(__xludf.DUMMYFUNCTION("GOOGLETRANSLATE(English!G561, ""en"", ""bg"")"),"разговор")</f>
        <v>разговор</v>
      </c>
      <c r="H561" s="1" t="str">
        <f ca="1">IFERROR(__xludf.DUMMYFUNCTION("GOOGLETRANSLATE(English!H561, ""en"", ""bg"")"),"образователна_помощ")</f>
        <v>образователна_помощ</v>
      </c>
    </row>
    <row r="562" spans="1:8" ht="13.2" x14ac:dyDescent="0.25">
      <c r="A562" s="1" t="str">
        <f ca="1">IFERROR(__xludf.DUMMYFUNCTION("GOOGLETRANSLATE(English!A562, ""en"", ""bg"")"),"qa_05345")</f>
        <v>qa_05345</v>
      </c>
      <c r="B562" s="1" t="str">
        <f ca="1">IFERROR(__xludf.DUMMYFUNCTION("GOOGLETRANSLATE(English!B562, ""en"", ""bg"")"),"биология")</f>
        <v>биология</v>
      </c>
      <c r="C562" s="1" t="str">
        <f ca="1">IFERROR(__xludf.DUMMYFUNCTION("GOOGLETRANSLATE(English!C562, ""en"", ""bg"")"),"средата")</f>
        <v>средата</v>
      </c>
      <c r="D562" s="1" t="str">
        <f ca="1">IFERROR(__xludf.DUMMYFUNCTION("GOOGLETRANSLATE(English!D562, ""en"", ""bg"")"),"класификация")</f>
        <v>класификация</v>
      </c>
      <c r="E562" s="1" t="str">
        <f ca="1">IFERROR(__xludf.DUMMYFUNCTION("GOOGLETRANSLATE(English!E562, ""en"", ""bg"")"),"Можете ли да ми кажете за класификацията?")</f>
        <v>Можете ли да ми кажете за класификацията?</v>
      </c>
      <c r="F562" s="1" t="str">
        <f ca="1">IFERROR(__xludf.DUMMYFUNCTION("GOOGLETRANSLATE(English!F562,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562" s="1" t="str">
        <f ca="1">IFERROR(__xludf.DUMMYFUNCTION("GOOGLETRANSLATE(English!G562, ""en"", ""bg"")"),"direct_qa")</f>
        <v>direct_qa</v>
      </c>
      <c r="H562" s="1" t="str">
        <f ca="1">IFERROR(__xludf.DUMMYFUNCTION("GOOGLETRANSLATE(English!H562, ""en"", ""bg"")"),"заявка_за_знание")</f>
        <v>заявка_за_знание</v>
      </c>
    </row>
    <row r="563" spans="1:8" ht="13.2" x14ac:dyDescent="0.25">
      <c r="A563" s="1" t="str">
        <f ca="1">IFERROR(__xludf.DUMMYFUNCTION("GOOGLETRANSLATE(English!A563, ""en"", ""bg"")"),"conv_07321")</f>
        <v>conv_07321</v>
      </c>
      <c r="B563" s="1" t="str">
        <f ca="1">IFERROR(__xludf.DUMMYFUNCTION("GOOGLETRANSLATE(English!B563, ""en"", ""bg"")"),"биология")</f>
        <v>биология</v>
      </c>
      <c r="C563" s="1" t="str">
        <f ca="1">IFERROR(__xludf.DUMMYFUNCTION("GOOGLETRANSLATE(English!C563, ""en"", ""bg"")"),"високо")</f>
        <v>високо</v>
      </c>
      <c r="D563" s="1" t="str">
        <f ca="1">IFERROR(__xludf.DUMMYFUNCTION("GOOGLETRANSLATE(English!D563, ""en"", ""bg"")"),"клетъчно дишане")</f>
        <v>клетъчно дишане</v>
      </c>
      <c r="E563" s="1" t="str">
        <f ca="1">IFERROR(__xludf.DUMMYFUNCTION("GOOGLETRANSLATE(English!E563, ""en"", ""bg"")"),"Помогнете ми да уча за теста си. Защо клетъчното дишане е важно в биологията?")</f>
        <v>Помогнете ми да уча за теста си. Защо клетъчното дишане е важно в биологията?</v>
      </c>
      <c r="F563" s="1" t="str">
        <f ca="1">IFERROR(__xludf.DUMMYFUNCTION("GOOGLETRANSLATE(English!F563,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563" s="1" t="str">
        <f ca="1">IFERROR(__xludf.DUMMYFUNCTION("GOOGLETRANSLATE(English!G563, ""en"", ""bg"")"),"разговор")</f>
        <v>разговор</v>
      </c>
      <c r="H563" s="1" t="str">
        <f ca="1">IFERROR(__xludf.DUMMYFUNCTION("GOOGLETRANSLATE(English!H563, ""en"", ""bg"")"),"образователна_помощ")</f>
        <v>образователна_помощ</v>
      </c>
    </row>
    <row r="564" spans="1:8" ht="13.2" x14ac:dyDescent="0.25">
      <c r="A564" s="1" t="str">
        <f ca="1">IFERROR(__xludf.DUMMYFUNCTION("GOOGLETRANSLATE(English!A564, ""en"", ""bg"")"),"conv_18826")</f>
        <v>conv_18826</v>
      </c>
      <c r="B564" s="1" t="str">
        <f ca="1">IFERROR(__xludf.DUMMYFUNCTION("GOOGLETRANSLATE(English!B564, ""en"", ""bg"")"),"химия")</f>
        <v>химия</v>
      </c>
      <c r="C564" s="1" t="str">
        <f ca="1">IFERROR(__xludf.DUMMYFUNCTION("GOOGLETRANSLATE(English!C564, ""en"", ""bg"")"),"средата")</f>
        <v>средата</v>
      </c>
      <c r="D564" s="1" t="str">
        <f ca="1">IFERROR(__xludf.DUMMYFUNCTION("GOOGLETRANSLATE(English!D564, ""en"", ""bg"")"),"атоми и молекули")</f>
        <v>атоми и молекули</v>
      </c>
      <c r="E564" s="1" t="str">
        <f ca="1">IFERROR(__xludf.DUMMYFUNCTION("GOOGLETRANSLATE(English!E564, ""en"", ""bg"")"),"Имам научен въпрос. Коя е най-малката част от един елемент?")</f>
        <v>Имам научен въпрос. Коя е най-малката част от един елемент?</v>
      </c>
      <c r="F564" s="1" t="str">
        <f ca="1">IFERROR(__xludf.DUMMYFUNCTION("GOOGLETRANSLATE(English!F564,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564" s="1" t="str">
        <f ca="1">IFERROR(__xludf.DUMMYFUNCTION("GOOGLETRANSLATE(English!G564, ""en"", ""bg"")"),"разговор")</f>
        <v>разговор</v>
      </c>
      <c r="H564" s="1" t="str">
        <f ca="1">IFERROR(__xludf.DUMMYFUNCTION("GOOGLETRANSLATE(English!H564, ""en"", ""bg"")"),"образователна_помощ")</f>
        <v>образователна_помощ</v>
      </c>
    </row>
    <row r="565" spans="1:8" ht="13.2" x14ac:dyDescent="0.25">
      <c r="A565" s="1" t="str">
        <f ca="1">IFERROR(__xludf.DUMMYFUNCTION("GOOGLETRANSLATE(English!A565, ""en"", ""bg"")"),"qa_06045")</f>
        <v>qa_06045</v>
      </c>
      <c r="B565" s="1" t="str">
        <f ca="1">IFERROR(__xludf.DUMMYFUNCTION("GOOGLETRANSLATE(English!B565, ""en"", ""bg"")"),"химия")</f>
        <v>химия</v>
      </c>
      <c r="C565" s="1" t="str">
        <f ca="1">IFERROR(__xludf.DUMMYFUNCTION("GOOGLETRANSLATE(English!C565, ""en"", ""bg"")"),"елементарен")</f>
        <v>елементарен</v>
      </c>
      <c r="D565" s="1" t="str">
        <f ca="1">IFERROR(__xludf.DUMMYFUNCTION("GOOGLETRANSLATE(English!D565, ""en"", ""bg"")"),"ежедневни химикали")</f>
        <v>ежедневни химикали</v>
      </c>
      <c r="E565" s="1" t="str">
        <f ca="1">IFERROR(__xludf.DUMMYFUNCTION("GOOGLETRANSLATE(English!E565, ""en"", ""bg"")"),"Защо е важно да се изучават ежедневните химикали?")</f>
        <v>Защо е важно да се изучават ежедневните химикали?</v>
      </c>
      <c r="F565" s="1" t="str">
        <f ca="1">IFERROR(__xludf.DUMMYFUNCTION("GOOGLETRANSLATE(English!F565,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565" s="1" t="str">
        <f ca="1">IFERROR(__xludf.DUMMYFUNCTION("GOOGLETRANSLATE(English!G565, ""en"", ""bg"")"),"direct_qa")</f>
        <v>direct_qa</v>
      </c>
      <c r="H565" s="1" t="str">
        <f ca="1">IFERROR(__xludf.DUMMYFUNCTION("GOOGLETRANSLATE(English!H565, ""en"", ""bg"")"),"заявка_за_знание")</f>
        <v>заявка_за_знание</v>
      </c>
    </row>
    <row r="566" spans="1:8" ht="13.2" x14ac:dyDescent="0.25">
      <c r="A566" s="1" t="str">
        <f ca="1">IFERROR(__xludf.DUMMYFUNCTION("GOOGLETRANSLATE(English!A566, ""en"", ""bg"")"),"qa_02157")</f>
        <v>qa_02157</v>
      </c>
      <c r="B566" s="1" t="str">
        <f ca="1">IFERROR(__xludf.DUMMYFUNCTION("GOOGLETRANSLATE(English!B566, ""en"", ""bg"")"),"биология")</f>
        <v>биология</v>
      </c>
      <c r="C566" s="1" t="str">
        <f ca="1">IFERROR(__xludf.DUMMYFUNCTION("GOOGLETRANSLATE(English!C566, ""en"", ""bg"")"),"елементарен")</f>
        <v>елементарен</v>
      </c>
      <c r="D566" s="1" t="str">
        <f ca="1">IFERROR(__xludf.DUMMYFUNCTION("GOOGLETRANSLATE(English!D566, ""en"", ""bg"")"),"основни нужди")</f>
        <v>основни нужди</v>
      </c>
      <c r="E566" s="1" t="str">
        <f ca="1">IFERROR(__xludf.DUMMYFUNCTION("GOOGLETRANSLATE(English!E566, ""en"", ""bg"")"),"Можете ли да ми кажете за основните нужди?")</f>
        <v>Можете ли да ми кажете за основните нужди?</v>
      </c>
      <c r="F566" s="1" t="str">
        <f ca="1">IFERROR(__xludf.DUMMYFUNCTION("GOOGLETRANSLATE(English!F566,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566" s="1" t="str">
        <f ca="1">IFERROR(__xludf.DUMMYFUNCTION("GOOGLETRANSLATE(English!G566, ""en"", ""bg"")"),"direct_qa")</f>
        <v>direct_qa</v>
      </c>
      <c r="H566" s="1" t="str">
        <f ca="1">IFERROR(__xludf.DUMMYFUNCTION("GOOGLETRANSLATE(English!H566, ""en"", ""bg"")"),"заявка_за_знание")</f>
        <v>заявка_за_знание</v>
      </c>
    </row>
    <row r="567" spans="1:8" ht="13.2" x14ac:dyDescent="0.25">
      <c r="A567" s="1" t="str">
        <f ca="1">IFERROR(__xludf.DUMMYFUNCTION("GOOGLETRANSLATE(English!A567, ""en"", ""bg"")"),"hw_01857")</f>
        <v>hw_01857</v>
      </c>
      <c r="B567" s="1" t="str">
        <f ca="1">IFERROR(__xludf.DUMMYFUNCTION("GOOGLETRANSLATE(English!B567, ""en"", ""bg"")"),"физика")</f>
        <v>физика</v>
      </c>
      <c r="C567" s="1" t="str">
        <f ca="1">IFERROR(__xludf.DUMMYFUNCTION("GOOGLETRANSLATE(English!C567, ""en"", ""bg"")"),"високо")</f>
        <v>високо</v>
      </c>
      <c r="D567" s="1" t="str">
        <f ca="1">IFERROR(__xludf.DUMMYFUNCTION("GOOGLETRANSLATE(English!D567, ""en"", ""bg"")"),"оптика")</f>
        <v>оптика</v>
      </c>
      <c r="E567" s="1" t="str">
        <f ca="1">IFERROR(__xludf.DUMMYFUNCTION("GOOGLETRANSLATE(English!E567, ""en"", ""bg"")"),"Домашното ми по физика е за оптика. Объркващо е!")</f>
        <v>Домашното ми по физика е за оптика. Объркващо е!</v>
      </c>
      <c r="F567" s="1" t="str">
        <f ca="1">IFERROR(__xludf.DUMMYFUNCTION("GOOGLETRANSLATE(English!F567,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567" s="1" t="str">
        <f ca="1">IFERROR(__xludf.DUMMYFUNCTION("GOOGLETRANSLATE(English!G567, ""en"", ""bg"")"),"помощ_за_домашно_изпълнение")</f>
        <v>помощ_за_домашно_изпълнение</v>
      </c>
      <c r="H567" s="1" t="str">
        <f ca="1">IFERROR(__xludf.DUMMYFUNCTION("GOOGLETRANSLATE(English!H567, ""en"", ""bg"")"),"помощ_за_домашно_задаване")</f>
        <v>помощ_за_домашно_задаване</v>
      </c>
    </row>
    <row r="568" spans="1:8" ht="13.2" x14ac:dyDescent="0.25">
      <c r="A568" s="1" t="str">
        <f ca="1">IFERROR(__xludf.DUMMYFUNCTION("GOOGLETRANSLATE(English!A568, ""en"", ""bg"")"),"hw_13549")</f>
        <v>hw_13549</v>
      </c>
      <c r="B568" s="1" t="str">
        <f ca="1">IFERROR(__xludf.DUMMYFUNCTION("GOOGLETRANSLATE(English!B568, ""en"", ""bg"")"),"биология")</f>
        <v>биология</v>
      </c>
      <c r="C568" s="1" t="str">
        <f ca="1">IFERROR(__xludf.DUMMYFUNCTION("GOOGLETRANSLATE(English!C568, ""en"", ""bg"")"),"средата")</f>
        <v>средата</v>
      </c>
      <c r="D568" s="1" t="str">
        <f ca="1">IFERROR(__xludf.DUMMYFUNCTION("GOOGLETRANSLATE(English!D568, ""en"", ""bg"")"),"фотосинтеза")</f>
        <v>фотосинтеза</v>
      </c>
      <c r="E568" s="1" t="str">
        <f ca="1">IFERROR(__xludf.DUMMYFUNCTION("GOOGLETRANSLATE(English!E568, ""en"", ""bg"")"),"Домашното ми пита за фотосинтезата. Не го разбирам.")</f>
        <v>Домашното ми пита за фотосинтезата. Не го разбирам.</v>
      </c>
      <c r="F568" s="1" t="str">
        <f ca="1">IFERROR(__xludf.DUMMYFUNCTION("GOOGLETRANSLATE(English!F568,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568" s="1" t="str">
        <f ca="1">IFERROR(__xludf.DUMMYFUNCTION("GOOGLETRANSLATE(English!G568, ""en"", ""bg"")"),"помощ_за_домашно_изпълнение")</f>
        <v>помощ_за_домашно_изпълнение</v>
      </c>
      <c r="H568" s="1" t="str">
        <f ca="1">IFERROR(__xludf.DUMMYFUNCTION("GOOGLETRANSLATE(English!H568, ""en"", ""bg"")"),"помощ_за_домашно_задаване")</f>
        <v>помощ_за_домашно_задаване</v>
      </c>
    </row>
    <row r="569" spans="1:8" ht="13.2" x14ac:dyDescent="0.25">
      <c r="A569" s="1" t="str">
        <f ca="1">IFERROR(__xludf.DUMMYFUNCTION("GOOGLETRANSLATE(English!A569, ""en"", ""bg"")"),"qa_01529")</f>
        <v>qa_01529</v>
      </c>
      <c r="B569" s="1" t="str">
        <f ca="1">IFERROR(__xludf.DUMMYFUNCTION("GOOGLETRANSLATE(English!B569, ""en"", ""bg"")"),"физика")</f>
        <v>физика</v>
      </c>
      <c r="C569" s="1" t="str">
        <f ca="1">IFERROR(__xludf.DUMMYFUNCTION("GOOGLETRANSLATE(English!C569, ""en"", ""bg"")"),"средата")</f>
        <v>средата</v>
      </c>
      <c r="D569" s="1" t="str">
        <f ca="1">IFERROR(__xludf.DUMMYFUNCTION("GOOGLETRANSLATE(English!D569, ""en"", ""bg"")"),"плътност")</f>
        <v>плътност</v>
      </c>
      <c r="E569" s="1" t="str">
        <f ca="1">IFERROR(__xludf.DUMMYFUNCTION("GOOGLETRANSLATE(English!E569, ""en"", ""bg"")"),"Как работи плътността във физиката?")</f>
        <v>Как работи плътността във физиката?</v>
      </c>
      <c r="F569" s="1" t="str">
        <f ca="1">IFERROR(__xludf.DUMMYFUNCTION("GOOGLETRANSLATE(English!F569,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569" s="1" t="str">
        <f ca="1">IFERROR(__xludf.DUMMYFUNCTION("GOOGLETRANSLATE(English!G569, ""en"", ""bg"")"),"direct_qa")</f>
        <v>direct_qa</v>
      </c>
      <c r="H569" s="1" t="str">
        <f ca="1">IFERROR(__xludf.DUMMYFUNCTION("GOOGLETRANSLATE(English!H569, ""en"", ""bg"")"),"заявка_за_знание")</f>
        <v>заявка_за_знание</v>
      </c>
    </row>
    <row r="570" spans="1:8" ht="13.2" x14ac:dyDescent="0.25">
      <c r="A570" s="1" t="str">
        <f ca="1">IFERROR(__xludf.DUMMYFUNCTION("GOOGLETRANSLATE(English!A570, ""en"", ""bg"")"),"hw_07694")</f>
        <v>hw_07694</v>
      </c>
      <c r="B570" s="1" t="str">
        <f ca="1">IFERROR(__xludf.DUMMYFUNCTION("GOOGLETRANSLATE(English!B570, ""en"", ""bg"")"),"химия")</f>
        <v>химия</v>
      </c>
      <c r="C570" s="1" t="str">
        <f ca="1">IFERROR(__xludf.DUMMYFUNCTION("GOOGLETRANSLATE(English!C570, ""en"", ""bg"")"),"средата")</f>
        <v>средата</v>
      </c>
      <c r="D570" s="1" t="str">
        <f ca="1">IFERROR(__xludf.DUMMYFUNCTION("GOOGLETRANSLATE(English!D570, ""en"", ""bg"")"),"атоми и молекули")</f>
        <v>атоми и молекули</v>
      </c>
      <c r="E570" s="1" t="str">
        <f ca="1">IFERROR(__xludf.DUMMYFUNCTION("GOOGLETRANSLATE(English!E570,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570" s="1" t="str">
        <f ca="1">IFERROR(__xludf.DUMMYFUNCTION("GOOGLETRANSLATE(English!F570,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570" s="1" t="str">
        <f ca="1">IFERROR(__xludf.DUMMYFUNCTION("GOOGLETRANSLATE(English!G570, ""en"", ""bg"")"),"помощ_за_домашно_изпълнение")</f>
        <v>помощ_за_домашно_изпълнение</v>
      </c>
      <c r="H570" s="1" t="str">
        <f ca="1">IFERROR(__xludf.DUMMYFUNCTION("GOOGLETRANSLATE(English!H570, ""en"", ""bg"")"),"помощ_за_домашно_задаване")</f>
        <v>помощ_за_домашно_задаване</v>
      </c>
    </row>
    <row r="571" spans="1:8" ht="13.2" x14ac:dyDescent="0.25">
      <c r="A571" s="1" t="str">
        <f ca="1">IFERROR(__xludf.DUMMYFUNCTION("GOOGLETRANSLATE(English!A571, ""en"", ""bg"")"),"conv_04108")</f>
        <v>conv_04108</v>
      </c>
      <c r="B571" s="1" t="str">
        <f ca="1">IFERROR(__xludf.DUMMYFUNCTION("GOOGLETRANSLATE(English!B571, ""en"", ""bg"")"),"физика")</f>
        <v>физика</v>
      </c>
      <c r="C571" s="1" t="str">
        <f ca="1">IFERROR(__xludf.DUMMYFUNCTION("GOOGLETRANSLATE(English!C571, ""en"", ""bg"")"),"елементарен")</f>
        <v>елементарен</v>
      </c>
      <c r="D571" s="1" t="str">
        <f ca="1">IFERROR(__xludf.DUMMYFUNCTION("GOOGLETRANSLATE(English!D571, ""en"", ""bg"")"),"магнити")</f>
        <v>магнити</v>
      </c>
      <c r="E571" s="1" t="str">
        <f ca="1">IFERROR(__xludf.DUMMYFUNCTION("GOOGLETRANSLATE(English!E571, ""en"", ""bg"")"),"Не разбирам тази тема. Как работят магнитите?")</f>
        <v>Не разбирам тази тема. Как работят магнитите?</v>
      </c>
      <c r="F571" s="1" t="str">
        <f ca="1">IFERROR(__xludf.DUMMYFUNCTION("GOOGLETRANSLATE(English!F571,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571" s="1" t="str">
        <f ca="1">IFERROR(__xludf.DUMMYFUNCTION("GOOGLETRANSLATE(English!G571, ""en"", ""bg"")"),"разговор")</f>
        <v>разговор</v>
      </c>
      <c r="H571" s="1" t="str">
        <f ca="1">IFERROR(__xludf.DUMMYFUNCTION("GOOGLETRANSLATE(English!H571, ""en"", ""bg"")"),"образователна_помощ")</f>
        <v>образователна_помощ</v>
      </c>
    </row>
    <row r="572" spans="1:8" ht="13.2" x14ac:dyDescent="0.25">
      <c r="A572" s="1" t="str">
        <f ca="1">IFERROR(__xludf.DUMMYFUNCTION("GOOGLETRANSLATE(English!A572, ""en"", ""bg"")"),"hw_09899")</f>
        <v>hw_09899</v>
      </c>
      <c r="B572" s="1" t="str">
        <f ca="1">IFERROR(__xludf.DUMMYFUNCTION("GOOGLETRANSLATE(English!B572, ""en"", ""bg"")"),"физика")</f>
        <v>физика</v>
      </c>
      <c r="C572" s="1" t="str">
        <f ca="1">IFERROR(__xludf.DUMMYFUNCTION("GOOGLETRANSLATE(English!C572, ""en"", ""bg"")"),"високо")</f>
        <v>високо</v>
      </c>
      <c r="D572" s="1" t="str">
        <f ca="1">IFERROR(__xludf.DUMMYFUNCTION("GOOGLETRANSLATE(English!D572, ""en"", ""bg"")"),"оптика")</f>
        <v>оптика</v>
      </c>
      <c r="E572" s="1" t="str">
        <f ca="1">IFERROR(__xludf.DUMMYFUNCTION("GOOGLETRANSLATE(English!E572, ""en"", ""bg"")"),"Домашното ми по физика е за оптика. Объркващо е!")</f>
        <v>Домашното ми по физика е за оптика. Объркващо е!</v>
      </c>
      <c r="F572" s="1" t="str">
        <f ca="1">IFERROR(__xludf.DUMMYFUNCTION("GOOGLETRANSLATE(English!F572,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572" s="1" t="str">
        <f ca="1">IFERROR(__xludf.DUMMYFUNCTION("GOOGLETRANSLATE(English!G572, ""en"", ""bg"")"),"помощ_за_домашно_изпълнение")</f>
        <v>помощ_за_домашно_изпълнение</v>
      </c>
      <c r="H572" s="1" t="str">
        <f ca="1">IFERROR(__xludf.DUMMYFUNCTION("GOOGLETRANSLATE(English!H572, ""en"", ""bg"")"),"помощ_за_домашно_задаване")</f>
        <v>помощ_за_домашно_задаване</v>
      </c>
    </row>
    <row r="573" spans="1:8" ht="13.2" x14ac:dyDescent="0.25">
      <c r="A573" s="1" t="str">
        <f ca="1">IFERROR(__xludf.DUMMYFUNCTION("GOOGLETRANSLATE(English!A573, ""en"", ""bg"")"),"conv_00350")</f>
        <v>conv_00350</v>
      </c>
      <c r="B573" s="1" t="str">
        <f ca="1">IFERROR(__xludf.DUMMYFUNCTION("GOOGLETRANSLATE(English!B573, ""en"", ""bg"")"),"биология")</f>
        <v>биология</v>
      </c>
      <c r="C573" s="1" t="str">
        <f ca="1">IFERROR(__xludf.DUMMYFUNCTION("GOOGLETRANSLATE(English!C573, ""en"", ""bg"")"),"високо")</f>
        <v>високо</v>
      </c>
      <c r="D573" s="1" t="str">
        <f ca="1">IFERROR(__xludf.DUMMYFUNCTION("GOOGLETRANSLATE(English!D573, ""en"", ""bg"")"),"модели на наследяване")</f>
        <v>модели на наследяване</v>
      </c>
      <c r="E573" s="1" t="str">
        <f ca="1">IFERROR(__xludf.DUMMYFUNCTION("GOOGLETRANSLATE(English!E573, ""en"", ""bg"")"),"Помогнете ми да уча за теста си. Защо моделите на наследяване са важни в биологията?")</f>
        <v>Помогнете ми да уча за теста си. Защо моделите на наследяване са важни в биологията?</v>
      </c>
      <c r="F573" s="1" t="str">
        <f ca="1">IFERROR(__xludf.DUMMYFUNCTION("GOOGLETRANSLATE(English!F573,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573" s="1" t="str">
        <f ca="1">IFERROR(__xludf.DUMMYFUNCTION("GOOGLETRANSLATE(English!G573, ""en"", ""bg"")"),"разговор")</f>
        <v>разговор</v>
      </c>
      <c r="H573" s="1" t="str">
        <f ca="1">IFERROR(__xludf.DUMMYFUNCTION("GOOGLETRANSLATE(English!H573, ""en"", ""bg"")"),"образователна_помощ")</f>
        <v>образователна_помощ</v>
      </c>
    </row>
    <row r="574" spans="1:8" ht="13.2" x14ac:dyDescent="0.25">
      <c r="A574" s="1" t="str">
        <f ca="1">IFERROR(__xludf.DUMMYFUNCTION("GOOGLETRANSLATE(English!A574, ""en"", ""bg"")"),"conv_15426")</f>
        <v>conv_15426</v>
      </c>
      <c r="B574" s="1" t="str">
        <f ca="1">IFERROR(__xludf.DUMMYFUNCTION("GOOGLETRANSLATE(English!B574, ""en"", ""bg"")"),"химия")</f>
        <v>химия</v>
      </c>
      <c r="C574" s="1" t="str">
        <f ca="1">IFERROR(__xludf.DUMMYFUNCTION("GOOGLETRANSLATE(English!C574, ""en"", ""bg"")"),"елементарен")</f>
        <v>елементарен</v>
      </c>
      <c r="D574" s="1" t="str">
        <f ca="1">IFERROR(__xludf.DUMMYFUNCTION("GOOGLETRANSLATE(English!D574, ""en"", ""bg"")"),"ежедневни химикали")</f>
        <v>ежедневни химикали</v>
      </c>
      <c r="E574" s="1" t="str">
        <f ca="1">IFERROR(__xludf.DUMMYFUNCTION("GOOGLETRANSLATE(English!E574, ""en"", ""bg"")"),"Имам научен въпрос. Как действат ежедневните химикали в химията?")</f>
        <v>Имам научен въпрос. Как действат ежедневните химикали в химията?</v>
      </c>
      <c r="F574" s="1" t="str">
        <f ca="1">IFERROR(__xludf.DUMMYFUNCTION("GOOGLETRANSLATE(English!F574,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574" s="1" t="str">
        <f ca="1">IFERROR(__xludf.DUMMYFUNCTION("GOOGLETRANSLATE(English!G574, ""en"", ""bg"")"),"разговор")</f>
        <v>разговор</v>
      </c>
      <c r="H574" s="1" t="str">
        <f ca="1">IFERROR(__xludf.DUMMYFUNCTION("GOOGLETRANSLATE(English!H574, ""en"", ""bg"")"),"образователна_помощ")</f>
        <v>образователна_помощ</v>
      </c>
    </row>
    <row r="575" spans="1:8" ht="13.2" x14ac:dyDescent="0.25">
      <c r="A575" s="1" t="str">
        <f ca="1">IFERROR(__xludf.DUMMYFUNCTION("GOOGLETRANSLATE(English!A575, ""en"", ""bg"")"),"conv_04572")</f>
        <v>conv_04572</v>
      </c>
      <c r="B575" s="1" t="str">
        <f ca="1">IFERROR(__xludf.DUMMYFUNCTION("GOOGLETRANSLATE(English!B575, ""en"", ""bg"")"),"химия")</f>
        <v>химия</v>
      </c>
      <c r="C575" s="1" t="str">
        <f ca="1">IFERROR(__xludf.DUMMYFUNCTION("GOOGLETRANSLATE(English!C575, ""en"", ""bg"")"),"средата")</f>
        <v>средата</v>
      </c>
      <c r="D575" s="1" t="str">
        <f ca="1">IFERROR(__xludf.DUMMYFUNCTION("GOOGLETRANSLATE(English!D575, ""en"", ""bg"")"),"атоми и молекули")</f>
        <v>атоми и молекули</v>
      </c>
      <c r="E575" s="1" t="str">
        <f ca="1">IFERROR(__xludf.DUMMYFUNCTION("GOOGLETRANSLATE(English!E575, ""en"", ""bg"")"),"Здравей, преподавателю! Какво е атом?")</f>
        <v>Здравей, преподавателю! Какво е атом?</v>
      </c>
      <c r="F575" s="1" t="str">
        <f ca="1">IFERROR(__xludf.DUMMYFUNCTION("GOOGLETRANSLATE(English!F575,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575" s="1" t="str">
        <f ca="1">IFERROR(__xludf.DUMMYFUNCTION("GOOGLETRANSLATE(English!G575, ""en"", ""bg"")"),"разговор")</f>
        <v>разговор</v>
      </c>
      <c r="H575" s="1" t="str">
        <f ca="1">IFERROR(__xludf.DUMMYFUNCTION("GOOGLETRANSLATE(English!H575, ""en"", ""bg"")"),"образователна_помощ")</f>
        <v>образователна_помощ</v>
      </c>
    </row>
    <row r="576" spans="1:8" ht="13.2" x14ac:dyDescent="0.25">
      <c r="A576" s="1" t="str">
        <f ca="1">IFERROR(__xludf.DUMMYFUNCTION("GOOGLETRANSLATE(English!A576, ""en"", ""bg"")"),"qa_10084")</f>
        <v>qa_10084</v>
      </c>
      <c r="B576" s="1" t="str">
        <f ca="1">IFERROR(__xludf.DUMMYFUNCTION("GOOGLETRANSLATE(English!B576, ""en"", ""bg"")"),"физика")</f>
        <v>физика</v>
      </c>
      <c r="C576" s="1" t="str">
        <f ca="1">IFERROR(__xludf.DUMMYFUNCTION("GOOGLETRANSLATE(English!C576, ""en"", ""bg"")"),"елементарен")</f>
        <v>елементарен</v>
      </c>
      <c r="D576" s="1" t="str">
        <f ca="1">IFERROR(__xludf.DUMMYFUNCTION("GOOGLETRANSLATE(English!D576, ""en"", ""bg"")"),"плаващ и потъващ")</f>
        <v>плаващ и потъващ</v>
      </c>
      <c r="E576" s="1" t="str">
        <f ca="1">IFERROR(__xludf.DUMMYFUNCTION("GOOGLETRANSLATE(English!E576, ""en"", ""bg"")"),"Какво трябва да знам за плаването и потъването?")</f>
        <v>Какво трябва да знам за плаването и потъването?</v>
      </c>
      <c r="F576" s="1" t="str">
        <f ca="1">IFERROR(__xludf.DUMMYFUNCTION("GOOGLETRANSLATE(English!F576,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576" s="1" t="str">
        <f ca="1">IFERROR(__xludf.DUMMYFUNCTION("GOOGLETRANSLATE(English!G576, ""en"", ""bg"")"),"direct_qa")</f>
        <v>direct_qa</v>
      </c>
      <c r="H576" s="1" t="str">
        <f ca="1">IFERROR(__xludf.DUMMYFUNCTION("GOOGLETRANSLATE(English!H576, ""en"", ""bg"")"),"заявка_за_знание")</f>
        <v>заявка_за_знание</v>
      </c>
    </row>
    <row r="577" spans="1:8" ht="13.2" x14ac:dyDescent="0.25">
      <c r="A577" s="1" t="str">
        <f ca="1">IFERROR(__xludf.DUMMYFUNCTION("GOOGLETRANSLATE(English!A577, ""en"", ""bg"")"),"hw_12110")</f>
        <v>hw_12110</v>
      </c>
      <c r="B577" s="1" t="str">
        <f ca="1">IFERROR(__xludf.DUMMYFUNCTION("GOOGLETRANSLATE(English!B577, ""en"", ""bg"")"),"физика")</f>
        <v>физика</v>
      </c>
      <c r="C577" s="1" t="str">
        <f ca="1">IFERROR(__xludf.DUMMYFUNCTION("GOOGLETRANSLATE(English!C577, ""en"", ""bg"")"),"елементарен")</f>
        <v>елементарен</v>
      </c>
      <c r="D577" s="1" t="str">
        <f ca="1">IFERROR(__xludf.DUMMYFUNCTION("GOOGLETRANSLATE(English!D577, ""en"", ""bg"")"),"звук")</f>
        <v>звук</v>
      </c>
      <c r="E577" s="1" t="str">
        <f ca="1">IFERROR(__xludf.DUMMYFUNCTION("GOOGLETRANSLATE(English!E577, ""en"", ""bg"")"),"Домашното ми по физика е за звук. Объркващо е!")</f>
        <v>Домашното ми по физика е за звук. Объркващо е!</v>
      </c>
      <c r="F577" s="1" t="str">
        <f ca="1">IFERROR(__xludf.DUMMYFUNCTION("GOOGLETRANSLATE(English!F577,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577" s="1" t="str">
        <f ca="1">IFERROR(__xludf.DUMMYFUNCTION("GOOGLETRANSLATE(English!G577, ""en"", ""bg"")"),"помощ_за_домашно_изпълнение")</f>
        <v>помощ_за_домашно_изпълнение</v>
      </c>
      <c r="H577" s="1" t="str">
        <f ca="1">IFERROR(__xludf.DUMMYFUNCTION("GOOGLETRANSLATE(English!H577, ""en"", ""bg"")"),"помощ_за_домашно_задаване")</f>
        <v>помощ_за_домашно_задаване</v>
      </c>
    </row>
    <row r="578" spans="1:8" ht="13.2" x14ac:dyDescent="0.25">
      <c r="A578" s="1" t="str">
        <f ca="1">IFERROR(__xludf.DUMMYFUNCTION("GOOGLETRANSLATE(English!A578, ""en"", ""bg"")"),"hw_06971")</f>
        <v>hw_06971</v>
      </c>
      <c r="B578" s="1" t="str">
        <f ca="1">IFERROR(__xludf.DUMMYFUNCTION("GOOGLETRANSLATE(English!B578, ""en"", ""bg"")"),"физика")</f>
        <v>физика</v>
      </c>
      <c r="C578" s="1" t="str">
        <f ca="1">IFERROR(__xludf.DUMMYFUNCTION("GOOGLETRANSLATE(English!C578, ""en"", ""bg"")"),"елементарен")</f>
        <v>елементарен</v>
      </c>
      <c r="D578" s="1" t="str">
        <f ca="1">IFERROR(__xludf.DUMMYFUNCTION("GOOGLETRANSLATE(English!D578, ""en"", ""bg"")"),"прости машини")</f>
        <v>прости машини</v>
      </c>
      <c r="E578" s="1" t="str">
        <f ca="1">IFERROR(__xludf.DUMMYFUNCTION("GOOGLETRANSLATE(English!E578, ""en"", ""bg"")"),"Домашното ми по физика е за прости машини. Объркващо е!")</f>
        <v>Домашното ми по физика е за прости машини. Объркващо е!</v>
      </c>
      <c r="F578" s="1" t="str">
        <f ca="1">IFERROR(__xludf.DUMMYFUNCTION("GOOGLETRANSLATE(English!F578,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578" s="1" t="str">
        <f ca="1">IFERROR(__xludf.DUMMYFUNCTION("GOOGLETRANSLATE(English!G578, ""en"", ""bg"")"),"помощ_за_домашно_изпълнение")</f>
        <v>помощ_за_домашно_изпълнение</v>
      </c>
      <c r="H578" s="1" t="str">
        <f ca="1">IFERROR(__xludf.DUMMYFUNCTION("GOOGLETRANSLATE(English!H578, ""en"", ""bg"")"),"помощ_за_домашно_задаване")</f>
        <v>помощ_за_домашно_задаване</v>
      </c>
    </row>
    <row r="579" spans="1:8" ht="13.2" x14ac:dyDescent="0.25">
      <c r="A579" s="1" t="str">
        <f ca="1">IFERROR(__xludf.DUMMYFUNCTION("GOOGLETRANSLATE(English!A579, ""en"", ""bg"")"),"conv_05593")</f>
        <v>conv_05593</v>
      </c>
      <c r="B579" s="1" t="str">
        <f ca="1">IFERROR(__xludf.DUMMYFUNCTION("GOOGLETRANSLATE(English!B579, ""en"", ""bg"")"),"биология")</f>
        <v>биология</v>
      </c>
      <c r="C579" s="1" t="str">
        <f ca="1">IFERROR(__xludf.DUMMYFUNCTION("GOOGLETRANSLATE(English!C579, ""en"", ""bg"")"),"елементарен")</f>
        <v>елементарен</v>
      </c>
      <c r="D579" s="1" t="str">
        <f ca="1">IFERROR(__xludf.DUMMYFUNCTION("GOOGLETRANSLATE(English!D579, ""en"", ""bg"")"),"човешкото тяло")</f>
        <v>човешкото тяло</v>
      </c>
      <c r="E579" s="1" t="str">
        <f ca="1">IFERROR(__xludf.DUMMYFUNCTION("GOOGLETRANSLATE(English!E579, ""en"", ""bg"")"),"Можете ли да ми обясните това? Какво е важно да знаем за човешкото тяло?")</f>
        <v>Можете ли да ми обясните това? Какво е важно да знаем за човешкото тяло?</v>
      </c>
      <c r="F579" s="1" t="str">
        <f ca="1">IFERROR(__xludf.DUMMYFUNCTION("GOOGLETRANSLATE(English!F579,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579" s="1" t="str">
        <f ca="1">IFERROR(__xludf.DUMMYFUNCTION("GOOGLETRANSLATE(English!G579, ""en"", ""bg"")"),"разговор")</f>
        <v>разговор</v>
      </c>
      <c r="H579" s="1" t="str">
        <f ca="1">IFERROR(__xludf.DUMMYFUNCTION("GOOGLETRANSLATE(English!H579, ""en"", ""bg"")"),"образователна_помощ")</f>
        <v>образователна_помощ</v>
      </c>
    </row>
    <row r="580" spans="1:8" ht="13.2" x14ac:dyDescent="0.25">
      <c r="A580" s="1" t="str">
        <f ca="1">IFERROR(__xludf.DUMMYFUNCTION("GOOGLETRANSLATE(English!A580, ""en"", ""bg"")"),"conv_17322")</f>
        <v>conv_17322</v>
      </c>
      <c r="B580" s="1" t="str">
        <f ca="1">IFERROR(__xludf.DUMMYFUNCTION("GOOGLETRANSLATE(English!B580, ""en"", ""bg"")"),"физика")</f>
        <v>физика</v>
      </c>
      <c r="C580" s="1" t="str">
        <f ca="1">IFERROR(__xludf.DUMMYFUNCTION("GOOGLETRANSLATE(English!C580, ""en"", ""bg"")"),"високо")</f>
        <v>високо</v>
      </c>
      <c r="D580" s="1" t="str">
        <f ca="1">IFERROR(__xludf.DUMMYFUNCTION("GOOGLETRANSLATE(English!D580, ""en"", ""bg"")"),"радиоактивност")</f>
        <v>радиоактивност</v>
      </c>
      <c r="E580" s="1" t="str">
        <f ca="1">IFERROR(__xludf.DUMMYFUNCTION("GOOGLETRANSLATE(English!E580, ""en"", ""bg"")"),"Имам научен въпрос. Можете ли да ми обясните радиоактивността?")</f>
        <v>Имам научен въпрос. Можете ли да ми обясните радиоактивността?</v>
      </c>
      <c r="F580" s="1" t="str">
        <f ca="1">IFERROR(__xludf.DUMMYFUNCTION("GOOGLETRANSLATE(English!F580,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580" s="1" t="str">
        <f ca="1">IFERROR(__xludf.DUMMYFUNCTION("GOOGLETRANSLATE(English!G580, ""en"", ""bg"")"),"разговор")</f>
        <v>разговор</v>
      </c>
      <c r="H580" s="1" t="str">
        <f ca="1">IFERROR(__xludf.DUMMYFUNCTION("GOOGLETRANSLATE(English!H580, ""en"", ""bg"")"),"образователна_помощ")</f>
        <v>образователна_помощ</v>
      </c>
    </row>
    <row r="581" spans="1:8" ht="13.2" x14ac:dyDescent="0.25">
      <c r="A581" s="1" t="str">
        <f ca="1">IFERROR(__xludf.DUMMYFUNCTION("GOOGLETRANSLATE(English!A581, ""en"", ""bg"")"),"qa_13744")</f>
        <v>qa_13744</v>
      </c>
      <c r="B581" s="1" t="str">
        <f ca="1">IFERROR(__xludf.DUMMYFUNCTION("GOOGLETRANSLATE(English!B581, ""en"", ""bg"")"),"биология")</f>
        <v>биология</v>
      </c>
      <c r="C581" s="1" t="str">
        <f ca="1">IFERROR(__xludf.DUMMYFUNCTION("GOOGLETRANSLATE(English!C581, ""en"", ""bg"")"),"високо")</f>
        <v>високо</v>
      </c>
      <c r="D581" s="1" t="str">
        <f ca="1">IFERROR(__xludf.DUMMYFUNCTION("GOOGLETRANSLATE(English!D581, ""en"", ""bg"")"),"модели на наследяване")</f>
        <v>модели на наследяване</v>
      </c>
      <c r="E581" s="1" t="str">
        <f ca="1">IFERROR(__xludf.DUMMYFUNCTION("GOOGLETRANSLATE(English!E581, ""en"", ""bg"")"),"Как работят моделите на наследяване?")</f>
        <v>Как работят моделите на наследяване?</v>
      </c>
      <c r="F581" s="1" t="str">
        <f ca="1">IFERROR(__xludf.DUMMYFUNCTION("GOOGLETRANSLATE(English!F581,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581" s="1" t="str">
        <f ca="1">IFERROR(__xludf.DUMMYFUNCTION("GOOGLETRANSLATE(English!G581, ""en"", ""bg"")"),"direct_qa")</f>
        <v>direct_qa</v>
      </c>
      <c r="H581" s="1" t="str">
        <f ca="1">IFERROR(__xludf.DUMMYFUNCTION("GOOGLETRANSLATE(English!H581, ""en"", ""bg"")"),"заявка_за_знание")</f>
        <v>заявка_за_знание</v>
      </c>
    </row>
    <row r="582" spans="1:8" ht="13.2" x14ac:dyDescent="0.25">
      <c r="A582" s="1" t="str">
        <f ca="1">IFERROR(__xludf.DUMMYFUNCTION("GOOGLETRANSLATE(English!A582, ""en"", ""bg"")"),"conv_01414")</f>
        <v>conv_01414</v>
      </c>
      <c r="B582" s="1" t="str">
        <f ca="1">IFERROR(__xludf.DUMMYFUNCTION("GOOGLETRANSLATE(English!B582, ""en"", ""bg"")"),"химия")</f>
        <v>химия</v>
      </c>
      <c r="C582" s="1" t="str">
        <f ca="1">IFERROR(__xludf.DUMMYFUNCTION("GOOGLETRANSLATE(English!C582, ""en"", ""bg"")"),"елементарен")</f>
        <v>елементарен</v>
      </c>
      <c r="D582" s="1" t="str">
        <f ca="1">IFERROR(__xludf.DUMMYFUNCTION("GOOGLETRANSLATE(English!D582, ""en"", ""bg"")"),"безопасност")</f>
        <v>безопасност</v>
      </c>
      <c r="E582" s="1" t="str">
        <f ca="1">IFERROR(__xludf.DUMMYFUNCTION("GOOGLETRANSLATE(English!E582, ""en"", ""bg"")"),"Можете ли да ми обясните това? Защо е важно да се учим на безопасността?")</f>
        <v>Можете ли да ми обясните това? Защо е важно да се учим на безопасността?</v>
      </c>
      <c r="F582" s="1" t="str">
        <f ca="1">IFERROR(__xludf.DUMMYFUNCTION("GOOGLETRANSLATE(English!F582,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582" s="1" t="str">
        <f ca="1">IFERROR(__xludf.DUMMYFUNCTION("GOOGLETRANSLATE(English!G582, ""en"", ""bg"")"),"разговор")</f>
        <v>разговор</v>
      </c>
      <c r="H582" s="1" t="str">
        <f ca="1">IFERROR(__xludf.DUMMYFUNCTION("GOOGLETRANSLATE(English!H582, ""en"", ""bg"")"),"образователна_помощ")</f>
        <v>образователна_помощ</v>
      </c>
    </row>
    <row r="583" spans="1:8" ht="13.2" x14ac:dyDescent="0.25">
      <c r="A583" s="1" t="str">
        <f ca="1">IFERROR(__xludf.DUMMYFUNCTION("GOOGLETRANSLATE(English!A583, ""en"", ""bg"")"),"hw_01394")</f>
        <v>hw_01394</v>
      </c>
      <c r="B583" s="1" t="str">
        <f ca="1">IFERROR(__xludf.DUMMYFUNCTION("GOOGLETRANSLATE(English!B583, ""en"", ""bg"")"),"химия")</f>
        <v>химия</v>
      </c>
      <c r="C583" s="1" t="str">
        <f ca="1">IFERROR(__xludf.DUMMYFUNCTION("GOOGLETRANSLATE(English!C583, ""en"", ""bg"")"),"високо")</f>
        <v>високо</v>
      </c>
      <c r="D583" s="1" t="str">
        <f ca="1">IFERROR(__xludf.DUMMYFUNCTION("GOOGLETRANSLATE(English!D583, ""en"", ""bg"")"),"скорости на реакция")</f>
        <v>скорости на реакция</v>
      </c>
      <c r="E583" s="1" t="str">
        <f ca="1">IFERROR(__xludf.DUMMYFUNCTION("GOOGLETRANSLATE(English!E583, ""en"", ""bg"")"),"Не разбирам тази концепция за скоростта на реакцията. Моля, обяснете!")</f>
        <v>Не разбирам тази концепция за скоростта на реакцията. Моля, обяснете!</v>
      </c>
      <c r="F583" s="1" t="str">
        <f ca="1">IFERROR(__xludf.DUMMYFUNCTION("GOOGLETRANSLATE(English!F583,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583" s="1" t="str">
        <f ca="1">IFERROR(__xludf.DUMMYFUNCTION("GOOGLETRANSLATE(English!G583, ""en"", ""bg"")"),"помощ_за_домашно_изпълнение")</f>
        <v>помощ_за_домашно_изпълнение</v>
      </c>
      <c r="H583" s="1" t="str">
        <f ca="1">IFERROR(__xludf.DUMMYFUNCTION("GOOGLETRANSLATE(English!H583, ""en"", ""bg"")"),"помощ_за_домашно_задаване")</f>
        <v>помощ_за_домашно_задаване</v>
      </c>
    </row>
    <row r="584" spans="1:8" ht="13.2" x14ac:dyDescent="0.25">
      <c r="A584" s="1" t="str">
        <f ca="1">IFERROR(__xludf.DUMMYFUNCTION("GOOGLETRANSLATE(English!A584, ""en"", ""bg"")"),"conv_12385")</f>
        <v>conv_12385</v>
      </c>
      <c r="B584" s="1" t="str">
        <f ca="1">IFERROR(__xludf.DUMMYFUNCTION("GOOGLETRANSLATE(English!B584, ""en"", ""bg"")"),"химия")</f>
        <v>химия</v>
      </c>
      <c r="C584" s="1" t="str">
        <f ca="1">IFERROR(__xludf.DUMMYFUNCTION("GOOGLETRANSLATE(English!C584, ""en"", ""bg"")"),"елементарен")</f>
        <v>елементарен</v>
      </c>
      <c r="D584" s="1" t="str">
        <f ca="1">IFERROR(__xludf.DUMMYFUNCTION("GOOGLETRANSLATE(English!D584, ""en"", ""bg"")"),"промени в материалите")</f>
        <v>промени в материалите</v>
      </c>
      <c r="E584" s="1" t="str">
        <f ca="1">IFERROR(__xludf.DUMMYFUNCTION("GOOGLETRANSLATE(English!E584, ""en"", ""bg"")"),"Не разбирам тази тема. Можете ли да ми помогнете да разбера промените в материалите?")</f>
        <v>Не разбирам тази тема. Можете ли да ми помогнете да разбера промените в материалите?</v>
      </c>
      <c r="F584" s="1" t="str">
        <f ca="1">IFERROR(__xludf.DUMMYFUNCTION("GOOGLETRANSLATE(English!F584,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584" s="1" t="str">
        <f ca="1">IFERROR(__xludf.DUMMYFUNCTION("GOOGLETRANSLATE(English!G584, ""en"", ""bg"")"),"разговор")</f>
        <v>разговор</v>
      </c>
      <c r="H584" s="1" t="str">
        <f ca="1">IFERROR(__xludf.DUMMYFUNCTION("GOOGLETRANSLATE(English!H584, ""en"", ""bg"")"),"образователна_помощ")</f>
        <v>образователна_помощ</v>
      </c>
    </row>
    <row r="585" spans="1:8" ht="13.2" x14ac:dyDescent="0.25">
      <c r="A585" s="1" t="str">
        <f ca="1">IFERROR(__xludf.DUMMYFUNCTION("GOOGLETRANSLATE(English!A585, ""en"", ""bg"")"),"qa_01767")</f>
        <v>qa_01767</v>
      </c>
      <c r="B585" s="1" t="str">
        <f ca="1">IFERROR(__xludf.DUMMYFUNCTION("GOOGLETRANSLATE(English!B585, ""en"", ""bg"")"),"физика")</f>
        <v>физика</v>
      </c>
      <c r="C585" s="1" t="str">
        <f ca="1">IFERROR(__xludf.DUMMYFUNCTION("GOOGLETRANSLATE(English!C585, ""en"", ""bg"")"),"елементарен")</f>
        <v>елементарен</v>
      </c>
      <c r="D585" s="1" t="str">
        <f ca="1">IFERROR(__xludf.DUMMYFUNCTION("GOOGLETRANSLATE(English!D585, ""en"", ""bg"")"),"светлина и сянка")</f>
        <v>светлина и сянка</v>
      </c>
      <c r="E585" s="1" t="str">
        <f ca="1">IFERROR(__xludf.DUMMYFUNCTION("GOOGLETRANSLATE(English!E585, ""en"", ""bg"")"),"Какво е светлина?")</f>
        <v>Какво е светлина?</v>
      </c>
      <c r="F585" s="1" t="str">
        <f ca="1">IFERROR(__xludf.DUMMYFUNCTION("GOOGLETRANSLATE(English!F585,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585" s="1" t="str">
        <f ca="1">IFERROR(__xludf.DUMMYFUNCTION("GOOGLETRANSLATE(English!G585, ""en"", ""bg"")"),"direct_qa")</f>
        <v>direct_qa</v>
      </c>
      <c r="H585" s="1" t="str">
        <f ca="1">IFERROR(__xludf.DUMMYFUNCTION("GOOGLETRANSLATE(English!H585, ""en"", ""bg"")"),"заявка_за_знание")</f>
        <v>заявка_за_знание</v>
      </c>
    </row>
    <row r="586" spans="1:8" ht="13.2" x14ac:dyDescent="0.25">
      <c r="A586" s="1" t="str">
        <f ca="1">IFERROR(__xludf.DUMMYFUNCTION("GOOGLETRANSLATE(English!A586, ""en"", ""bg"")"),"conv_01522")</f>
        <v>conv_01522</v>
      </c>
      <c r="B586" s="1" t="str">
        <f ca="1">IFERROR(__xludf.DUMMYFUNCTION("GOOGLETRANSLATE(English!B586, ""en"", ""bg"")"),"биология")</f>
        <v>биология</v>
      </c>
      <c r="C586" s="1" t="str">
        <f ca="1">IFERROR(__xludf.DUMMYFUNCTION("GOOGLETRANSLATE(English!C586, ""en"", ""bg"")"),"високо")</f>
        <v>високо</v>
      </c>
      <c r="D586" s="1" t="str">
        <f ca="1">IFERROR(__xludf.DUMMYFUNCTION("GOOGLETRANSLATE(English!D586, ""en"", ""bg"")"),"митоза и мейоза")</f>
        <v>митоза и мейоза</v>
      </c>
      <c r="E586" s="1" t="str">
        <f ca="1">IFERROR(__xludf.DUMMYFUNCTION("GOOGLETRANSLATE(English!E586, ""en"", ""bg"")"),"Можете ли да ми помогнете? Какво е важно да знаем за митозата и мейозата?")</f>
        <v>Можете ли да ми помогнете? Какво е важно да знаем за митозата и мейозата?</v>
      </c>
      <c r="F586" s="1" t="str">
        <f ca="1">IFERROR(__xludf.DUMMYFUNCTION("GOOGLETRANSLATE(English!F586,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586" s="1" t="str">
        <f ca="1">IFERROR(__xludf.DUMMYFUNCTION("GOOGLETRANSLATE(English!G586, ""en"", ""bg"")"),"разговор")</f>
        <v>разговор</v>
      </c>
      <c r="H586" s="1" t="str">
        <f ca="1">IFERROR(__xludf.DUMMYFUNCTION("GOOGLETRANSLATE(English!H586, ""en"", ""bg"")"),"образователна_помощ")</f>
        <v>образователна_помощ</v>
      </c>
    </row>
    <row r="587" spans="1:8" ht="13.2" x14ac:dyDescent="0.25">
      <c r="A587" s="1" t="str">
        <f ca="1">IFERROR(__xludf.DUMMYFUNCTION("GOOGLETRANSLATE(English!A587, ""en"", ""bg"")"),"conv_15115")</f>
        <v>conv_15115</v>
      </c>
      <c r="B587" s="1" t="str">
        <f ca="1">IFERROR(__xludf.DUMMYFUNCTION("GOOGLETRANSLATE(English!B587, ""en"", ""bg"")"),"биология")</f>
        <v>биология</v>
      </c>
      <c r="C587" s="1" t="str">
        <f ca="1">IFERROR(__xludf.DUMMYFUNCTION("GOOGLETRANSLATE(English!C587, ""en"", ""bg"")"),"елементарен")</f>
        <v>елементарен</v>
      </c>
      <c r="D587" s="1" t="str">
        <f ca="1">IFERROR(__xludf.DUMMYFUNCTION("GOOGLETRANSLATE(English!D587, ""en"", ""bg"")"),"основни нужди")</f>
        <v>основни нужди</v>
      </c>
      <c r="E587" s="1" t="str">
        <f ca="1">IFERROR(__xludf.DUMMYFUNCTION("GOOGLETRANSLATE(English!E587, ""en"", ""bg"")"),"Здравей, преподавател! Как работят основните потребности?")</f>
        <v>Здравей, преподавател! Как работят основните потребности?</v>
      </c>
      <c r="F587" s="1" t="str">
        <f ca="1">IFERROR(__xludf.DUMMYFUNCTION("GOOGLETRANSLATE(English!F587,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587" s="1" t="str">
        <f ca="1">IFERROR(__xludf.DUMMYFUNCTION("GOOGLETRANSLATE(English!G587, ""en"", ""bg"")"),"разговор")</f>
        <v>разговор</v>
      </c>
      <c r="H587" s="1" t="str">
        <f ca="1">IFERROR(__xludf.DUMMYFUNCTION("GOOGLETRANSLATE(English!H587, ""en"", ""bg"")"),"образователна_помощ")</f>
        <v>образователна_помощ</v>
      </c>
    </row>
    <row r="588" spans="1:8" ht="13.2" x14ac:dyDescent="0.25">
      <c r="A588" s="1" t="str">
        <f ca="1">IFERROR(__xludf.DUMMYFUNCTION("GOOGLETRANSLATE(English!A588, ""en"", ""bg"")"),"qa_10245")</f>
        <v>qa_10245</v>
      </c>
      <c r="B588" s="1" t="str">
        <f ca="1">IFERROR(__xludf.DUMMYFUNCTION("GOOGLETRANSLATE(English!B588, ""en"", ""bg"")"),"биология")</f>
        <v>биология</v>
      </c>
      <c r="C588" s="1" t="str">
        <f ca="1">IFERROR(__xludf.DUMMYFUNCTION("GOOGLETRANSLATE(English!C588, ""en"", ""bg"")"),"високо")</f>
        <v>високо</v>
      </c>
      <c r="D588" s="1" t="str">
        <f ca="1">IFERROR(__xludf.DUMMYFUNCTION("GOOGLETRANSLATE(English!D588, ""en"", ""bg"")"),"модели на наследяване")</f>
        <v>модели на наследяване</v>
      </c>
      <c r="E588" s="1" t="str">
        <f ca="1">IFERROR(__xludf.DUMMYFUNCTION("GOOGLETRANSLATE(English!E588, ""en"", ""bg"")"),"Можете ли да ми разкажете за моделите на наследяване?")</f>
        <v>Можете ли да ми разкажете за моделите на наследяване?</v>
      </c>
      <c r="F588" s="1" t="str">
        <f ca="1">IFERROR(__xludf.DUMMYFUNCTION("GOOGLETRANSLATE(English!F588,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588" s="1" t="str">
        <f ca="1">IFERROR(__xludf.DUMMYFUNCTION("GOOGLETRANSLATE(English!G588, ""en"", ""bg"")"),"direct_qa")</f>
        <v>direct_qa</v>
      </c>
      <c r="H588" s="1" t="str">
        <f ca="1">IFERROR(__xludf.DUMMYFUNCTION("GOOGLETRANSLATE(English!H588, ""en"", ""bg"")"),"заявка_за_знание")</f>
        <v>заявка_за_знание</v>
      </c>
    </row>
    <row r="589" spans="1:8" ht="13.2" x14ac:dyDescent="0.25">
      <c r="A589" s="1" t="str">
        <f ca="1">IFERROR(__xludf.DUMMYFUNCTION("GOOGLETRANSLATE(English!A589, ""en"", ""bg"")"),"conv_17065")</f>
        <v>conv_17065</v>
      </c>
      <c r="B589" s="1" t="str">
        <f ca="1">IFERROR(__xludf.DUMMYFUNCTION("GOOGLETRANSLATE(English!B589, ""en"", ""bg"")"),"химия")</f>
        <v>химия</v>
      </c>
      <c r="C589" s="1" t="str">
        <f ca="1">IFERROR(__xludf.DUMMYFUNCTION("GOOGLETRANSLATE(English!C589, ""en"", ""bg"")"),"високо")</f>
        <v>високо</v>
      </c>
      <c r="D589" s="1" t="str">
        <f ca="1">IFERROR(__xludf.DUMMYFUNCTION("GOOGLETRANSLATE(English!D589, ""en"", ""bg"")"),"стехиометрия")</f>
        <v>стехиометрия</v>
      </c>
      <c r="E589" s="1" t="str">
        <f ca="1">IFERROR(__xludf.DUMMYFUNCTION("GOOGLETRANSLATE(English!E589, ""en"", ""bg"")"),"Помогнете ми да уча за теста. Как работи стехиометрията в химията?")</f>
        <v>Помогнете ми да уча за теста. Как работи стехиометрията в химията?</v>
      </c>
      <c r="F589" s="1" t="str">
        <f ca="1">IFERROR(__xludf.DUMMYFUNCTION("GOOGLETRANSLATE(English!F589,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589" s="1" t="str">
        <f ca="1">IFERROR(__xludf.DUMMYFUNCTION("GOOGLETRANSLATE(English!G589, ""en"", ""bg"")"),"разговор")</f>
        <v>разговор</v>
      </c>
      <c r="H589" s="1" t="str">
        <f ca="1">IFERROR(__xludf.DUMMYFUNCTION("GOOGLETRANSLATE(English!H589, ""en"", ""bg"")"),"образователна_помощ")</f>
        <v>образователна_помощ</v>
      </c>
    </row>
    <row r="590" spans="1:8" ht="13.2" x14ac:dyDescent="0.25">
      <c r="A590" s="1" t="str">
        <f ca="1">IFERROR(__xludf.DUMMYFUNCTION("GOOGLETRANSLATE(English!A590, ""en"", ""bg"")"),"hw_01468")</f>
        <v>hw_01468</v>
      </c>
      <c r="B590" s="1" t="str">
        <f ca="1">IFERROR(__xludf.DUMMYFUNCTION("GOOGLETRANSLATE(English!B590, ""en"", ""bg"")"),"физика")</f>
        <v>физика</v>
      </c>
      <c r="C590" s="1" t="str">
        <f ca="1">IFERROR(__xludf.DUMMYFUNCTION("GOOGLETRANSLATE(English!C590, ""en"", ""bg"")"),"елементарен")</f>
        <v>елементарен</v>
      </c>
      <c r="D590" s="1" t="str">
        <f ca="1">IFERROR(__xludf.DUMMYFUNCTION("GOOGLETRANSLATE(English!D590, ""en"", ""bg"")"),"плаващ и потъващ")</f>
        <v>плаващ и потъващ</v>
      </c>
      <c r="E590" s="1" t="str">
        <f ca="1">IFERROR(__xludf.DUMMYFUNCTION("GOOGLETRANSLATE(English!E590, ""en"", ""bg"")"),"Домашното ми по физика е за плаване и потъване. Объркващо е!")</f>
        <v>Домашното ми по физика е за плаване и потъване. Объркващо е!</v>
      </c>
      <c r="F590" s="1" t="str">
        <f ca="1">IFERROR(__xludf.DUMMYFUNCTION("GOOGLETRANSLATE(English!F590,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590" s="1" t="str">
        <f ca="1">IFERROR(__xludf.DUMMYFUNCTION("GOOGLETRANSLATE(English!G590, ""en"", ""bg"")"),"помощ_за_домашно_изпълнение")</f>
        <v>помощ_за_домашно_изпълнение</v>
      </c>
      <c r="H590" s="1" t="str">
        <f ca="1">IFERROR(__xludf.DUMMYFUNCTION("GOOGLETRANSLATE(English!H590, ""en"", ""bg"")"),"помощ_за_домашно_задаване")</f>
        <v>помощ_за_домашно_задаване</v>
      </c>
    </row>
    <row r="591" spans="1:8" ht="13.2" x14ac:dyDescent="0.25">
      <c r="A591" s="1" t="str">
        <f ca="1">IFERROR(__xludf.DUMMYFUNCTION("GOOGLETRANSLATE(English!A591, ""en"", ""bg"")"),"conv_01427")</f>
        <v>conv_01427</v>
      </c>
      <c r="B591" s="1" t="str">
        <f ca="1">IFERROR(__xludf.DUMMYFUNCTION("GOOGLETRANSLATE(English!B591, ""en"", ""bg"")"),"физика")</f>
        <v>физика</v>
      </c>
      <c r="C591" s="1" t="str">
        <f ca="1">IFERROR(__xludf.DUMMYFUNCTION("GOOGLETRANSLATE(English!C591, ""en"", ""bg"")"),"елементарен")</f>
        <v>елементарен</v>
      </c>
      <c r="D591" s="1" t="str">
        <f ca="1">IFERROR(__xludf.DUMMYFUNCTION("GOOGLETRANSLATE(English!D591, ""en"", ""bg"")"),"светлина и сянка")</f>
        <v>светлина и сянка</v>
      </c>
      <c r="E591" s="1" t="str">
        <f ca="1">IFERROR(__xludf.DUMMYFUNCTION("GOOGLETRANSLATE(English!E591, ""en"", ""bg"")"),"Помогни ми да уча за теста си. Какво се случва, когато светлината попадне в огледало?")</f>
        <v>Помогни ми да уча за теста си. Какво се случва, когато светлината попадне в огледало?</v>
      </c>
      <c r="F591" s="1" t="str">
        <f ca="1">IFERROR(__xludf.DUMMYFUNCTION("GOOGLETRANSLATE(English!F591,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591" s="1" t="str">
        <f ca="1">IFERROR(__xludf.DUMMYFUNCTION("GOOGLETRANSLATE(English!G591, ""en"", ""bg"")"),"разговор")</f>
        <v>разговор</v>
      </c>
      <c r="H591" s="1" t="str">
        <f ca="1">IFERROR(__xludf.DUMMYFUNCTION("GOOGLETRANSLATE(English!H591, ""en"", ""bg"")"),"образователна_помощ")</f>
        <v>образователна_помощ</v>
      </c>
    </row>
    <row r="592" spans="1:8" ht="13.2" x14ac:dyDescent="0.25">
      <c r="A592" s="1" t="str">
        <f ca="1">IFERROR(__xludf.DUMMYFUNCTION("GOOGLETRANSLATE(English!A592, ""en"", ""bg"")"),"hw_08107")</f>
        <v>hw_08107</v>
      </c>
      <c r="B592" s="1" t="str">
        <f ca="1">IFERROR(__xludf.DUMMYFUNCTION("GOOGLETRANSLATE(English!B592, ""en"", ""bg"")"),"биология")</f>
        <v>биология</v>
      </c>
      <c r="C592" s="1" t="str">
        <f ca="1">IFERROR(__xludf.DUMMYFUNCTION("GOOGLETRANSLATE(English!C592, ""en"", ""bg"")"),"средата")</f>
        <v>средата</v>
      </c>
      <c r="D592" s="1" t="str">
        <f ca="1">IFERROR(__xludf.DUMMYFUNCTION("GOOGLETRANSLATE(English!D592, ""en"", ""bg"")"),"класификация")</f>
        <v>класификация</v>
      </c>
      <c r="E592" s="1" t="str">
        <f ca="1">IFERROR(__xludf.DUMMYFUNCTION("GOOGLETRANSLATE(English!E592, ""en"", ""bg"")"),"Трябва да напиша доклад за класификацията. Можете ли да ми помогнете да започна?")</f>
        <v>Трябва да напиша доклад за класификацията. Можете ли да ми помогнете да започна?</v>
      </c>
      <c r="F592" s="1" t="str">
        <f ca="1">IFERROR(__xludf.DUMMYFUNCTION("GOOGLETRANSLATE(English!F592,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592" s="1" t="str">
        <f ca="1">IFERROR(__xludf.DUMMYFUNCTION("GOOGLETRANSLATE(English!G592, ""en"", ""bg"")"),"помощ_за_домашно_изпълнение")</f>
        <v>помощ_за_домашно_изпълнение</v>
      </c>
      <c r="H592" s="1" t="str">
        <f ca="1">IFERROR(__xludf.DUMMYFUNCTION("GOOGLETRANSLATE(English!H592, ""en"", ""bg"")"),"помощ_за_домашно_задаване")</f>
        <v>помощ_за_домашно_задаване</v>
      </c>
    </row>
    <row r="593" spans="1:8" ht="13.2" x14ac:dyDescent="0.25">
      <c r="A593" s="1" t="str">
        <f ca="1">IFERROR(__xludf.DUMMYFUNCTION("GOOGLETRANSLATE(English!A593, ""en"", ""bg"")"),"hw_05507")</f>
        <v>hw_05507</v>
      </c>
      <c r="B593" s="1" t="str">
        <f ca="1">IFERROR(__xludf.DUMMYFUNCTION("GOOGLETRANSLATE(English!B593, ""en"", ""bg"")"),"физика")</f>
        <v>физика</v>
      </c>
      <c r="C593" s="1" t="str">
        <f ca="1">IFERROR(__xludf.DUMMYFUNCTION("GOOGLETRANSLATE(English!C593, ""en"", ""bg"")"),"елементарен")</f>
        <v>елементарен</v>
      </c>
      <c r="D593" s="1" t="str">
        <f ca="1">IFERROR(__xludf.DUMMYFUNCTION("GOOGLETRANSLATE(English!D593, ""en"", ""bg"")"),"звук")</f>
        <v>звук</v>
      </c>
      <c r="E593" s="1" t="str">
        <f ca="1">IFERROR(__xludf.DUMMYFUNCTION("GOOGLETRANSLATE(English!E593, ""en"", ""bg"")"),"Домашното ми по физика е за звук. Объркващо е!")</f>
        <v>Домашното ми по физика е за звук. Объркващо е!</v>
      </c>
      <c r="F593" s="1" t="str">
        <f ca="1">IFERROR(__xludf.DUMMYFUNCTION("GOOGLETRANSLATE(English!F593,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593" s="1" t="str">
        <f ca="1">IFERROR(__xludf.DUMMYFUNCTION("GOOGLETRANSLATE(English!G593, ""en"", ""bg"")"),"помощ_за_домашно_изпълнение")</f>
        <v>помощ_за_домашно_изпълнение</v>
      </c>
      <c r="H593" s="1" t="str">
        <f ca="1">IFERROR(__xludf.DUMMYFUNCTION("GOOGLETRANSLATE(English!H593, ""en"", ""bg"")"),"помощ_за_домашно_задаване")</f>
        <v>помощ_за_домашно_задаване</v>
      </c>
    </row>
    <row r="594" spans="1:8" ht="13.2" x14ac:dyDescent="0.25">
      <c r="A594" s="1" t="str">
        <f ca="1">IFERROR(__xludf.DUMMYFUNCTION("GOOGLETRANSLATE(English!A594, ""en"", ""bg"")"),"qa_00406")</f>
        <v>qa_00406</v>
      </c>
      <c r="B594" s="1" t="str">
        <f ca="1">IFERROR(__xludf.DUMMYFUNCTION("GOOGLETRANSLATE(English!B594, ""en"", ""bg"")"),"физика")</f>
        <v>физика</v>
      </c>
      <c r="C594" s="1" t="str">
        <f ca="1">IFERROR(__xludf.DUMMYFUNCTION("GOOGLETRANSLATE(English!C594, ""en"", ""bg"")"),"средата")</f>
        <v>средата</v>
      </c>
      <c r="D594" s="1" t="str">
        <f ca="1">IFERROR(__xludf.DUMMYFUNCTION("GOOGLETRANSLATE(English!D594, ""en"", ""bg"")"),"прости схеми")</f>
        <v>прости схеми</v>
      </c>
      <c r="E594" s="1" t="str">
        <f ca="1">IFERROR(__xludf.DUMMYFUNCTION("GOOGLETRANSLATE(English!E594, ""en"", ""bg"")"),"Как работят прости електрически вериги във физиката?")</f>
        <v>Как работят прости електрически вериги във физиката?</v>
      </c>
      <c r="F594" s="1" t="str">
        <f ca="1">IFERROR(__xludf.DUMMYFUNCTION("GOOGLETRANSLATE(English!F594,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594" s="1" t="str">
        <f ca="1">IFERROR(__xludf.DUMMYFUNCTION("GOOGLETRANSLATE(English!G594, ""en"", ""bg"")"),"direct_qa")</f>
        <v>direct_qa</v>
      </c>
      <c r="H594" s="1" t="str">
        <f ca="1">IFERROR(__xludf.DUMMYFUNCTION("GOOGLETRANSLATE(English!H594, ""en"", ""bg"")"),"заявка_за_знание")</f>
        <v>заявка_за_знание</v>
      </c>
    </row>
    <row r="595" spans="1:8" ht="13.2" x14ac:dyDescent="0.25">
      <c r="A595" s="1" t="str">
        <f ca="1">IFERROR(__xludf.DUMMYFUNCTION("GOOGLETRANSLATE(English!A595, ""en"", ""bg"")"),"conv_18028")</f>
        <v>conv_18028</v>
      </c>
      <c r="B595" s="1" t="str">
        <f ca="1">IFERROR(__xludf.DUMMYFUNCTION("GOOGLETRANSLATE(English!B595, ""en"", ""bg"")"),"биология")</f>
        <v>биология</v>
      </c>
      <c r="C595" s="1" t="str">
        <f ca="1">IFERROR(__xludf.DUMMYFUNCTION("GOOGLETRANSLATE(English!C595, ""en"", ""bg"")"),"елементарен")</f>
        <v>елементарен</v>
      </c>
      <c r="D595" s="1" t="str">
        <f ca="1">IFERROR(__xludf.DUMMYFUNCTION("GOOGLETRANSLATE(English!D595, ""en"", ""bg"")"),"жизнени цикли")</f>
        <v>жизнени цикли</v>
      </c>
      <c r="E595" s="1" t="str">
        <f ca="1">IFERROR(__xludf.DUMMYFUNCTION("GOOGLETRANSLATE(English!E595, ""en"", ""bg"")"),"Не разбирам тази тема. Какво е важно да знаем за жизнените цикли?")</f>
        <v>Не разбирам тази тема. Какво е важно да знаем за жизнените цикли?</v>
      </c>
      <c r="F595" s="1" t="str">
        <f ca="1">IFERROR(__xludf.DUMMYFUNCTION("GOOGLETRANSLATE(English!F595,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595" s="1" t="str">
        <f ca="1">IFERROR(__xludf.DUMMYFUNCTION("GOOGLETRANSLATE(English!G595, ""en"", ""bg"")"),"разговор")</f>
        <v>разговор</v>
      </c>
      <c r="H595" s="1" t="str">
        <f ca="1">IFERROR(__xludf.DUMMYFUNCTION("GOOGLETRANSLATE(English!H595, ""en"", ""bg"")"),"образователна_помощ")</f>
        <v>образователна_помощ</v>
      </c>
    </row>
    <row r="596" spans="1:8" ht="13.2" x14ac:dyDescent="0.25">
      <c r="A596" s="1" t="str">
        <f ca="1">IFERROR(__xludf.DUMMYFUNCTION("GOOGLETRANSLATE(English!A596, ""en"", ""bg"")"),"qa_12481")</f>
        <v>qa_12481</v>
      </c>
      <c r="B596" s="1" t="str">
        <f ca="1">IFERROR(__xludf.DUMMYFUNCTION("GOOGLETRANSLATE(English!B596, ""en"", ""bg"")"),"физика")</f>
        <v>физика</v>
      </c>
      <c r="C596" s="1" t="str">
        <f ca="1">IFERROR(__xludf.DUMMYFUNCTION("GOOGLETRANSLATE(English!C596, ""en"", ""bg"")"),"елементарен")</f>
        <v>елементарен</v>
      </c>
      <c r="D596" s="1" t="str">
        <f ca="1">IFERROR(__xludf.DUMMYFUNCTION("GOOGLETRANSLATE(English!D596, ""en"", ""bg"")"),"горещо и студено")</f>
        <v>горещо и студено</v>
      </c>
      <c r="E596" s="1" t="str">
        <f ca="1">IFERROR(__xludf.DUMMYFUNCTION("GOOGLETRANSLATE(English!E596, ""en"", ""bg"")"),"Какво трябва да знам за топлото и студеното?")</f>
        <v>Какво трябва да знам за топлото и студеното?</v>
      </c>
      <c r="F596" s="1" t="str">
        <f ca="1">IFERROR(__xludf.DUMMYFUNCTION("GOOGLETRANSLATE(English!F596,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596" s="1" t="str">
        <f ca="1">IFERROR(__xludf.DUMMYFUNCTION("GOOGLETRANSLATE(English!G596, ""en"", ""bg"")"),"direct_qa")</f>
        <v>direct_qa</v>
      </c>
      <c r="H596" s="1" t="str">
        <f ca="1">IFERROR(__xludf.DUMMYFUNCTION("GOOGLETRANSLATE(English!H596, ""en"", ""bg"")"),"заявка_за_знание")</f>
        <v>заявка_за_знание</v>
      </c>
    </row>
    <row r="597" spans="1:8" ht="13.2" x14ac:dyDescent="0.25">
      <c r="A597" s="1" t="str">
        <f ca="1">IFERROR(__xludf.DUMMYFUNCTION("GOOGLETRANSLATE(English!A597, ""en"", ""bg"")"),"hw_07465")</f>
        <v>hw_07465</v>
      </c>
      <c r="B597" s="1" t="str">
        <f ca="1">IFERROR(__xludf.DUMMYFUNCTION("GOOGLETRANSLATE(English!B597, ""en"", ""bg"")"),"физика")</f>
        <v>физика</v>
      </c>
      <c r="C597" s="1" t="str">
        <f ca="1">IFERROR(__xludf.DUMMYFUNCTION("GOOGLETRANSLATE(English!C597, ""en"", ""bg"")"),"елементарен")</f>
        <v>елементарен</v>
      </c>
      <c r="D597" s="1" t="str">
        <f ca="1">IFERROR(__xludf.DUMMYFUNCTION("GOOGLETRANSLATE(English!D597, ""en"", ""bg"")"),"светлина и сянка")</f>
        <v>светлина и сянка</v>
      </c>
      <c r="E597" s="1" t="str">
        <f ca="1">IFERROR(__xludf.DUMMYFUNCTION("GOOGLETRANSLATE(English!E597,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597" s="1" t="str">
        <f ca="1">IFERROR(__xludf.DUMMYFUNCTION("GOOGLETRANSLATE(English!F597,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597" s="1" t="str">
        <f ca="1">IFERROR(__xludf.DUMMYFUNCTION("GOOGLETRANSLATE(English!G597, ""en"", ""bg"")"),"помощ_за_домашно_изпълнение")</f>
        <v>помощ_за_домашно_изпълнение</v>
      </c>
      <c r="H597" s="1" t="str">
        <f ca="1">IFERROR(__xludf.DUMMYFUNCTION("GOOGLETRANSLATE(English!H597, ""en"", ""bg"")"),"помощ_за_домашно_задаване")</f>
        <v>помощ_за_домашно_задаване</v>
      </c>
    </row>
    <row r="598" spans="1:8" ht="13.2" x14ac:dyDescent="0.25">
      <c r="A598" s="1" t="str">
        <f ca="1">IFERROR(__xludf.DUMMYFUNCTION("GOOGLETRANSLATE(English!A598, ""en"", ""bg"")"),"qa_02121")</f>
        <v>qa_02121</v>
      </c>
      <c r="B598" s="1" t="str">
        <f ca="1">IFERROR(__xludf.DUMMYFUNCTION("GOOGLETRANSLATE(English!B598, ""en"", ""bg"")"),"физика")</f>
        <v>физика</v>
      </c>
      <c r="C598" s="1" t="str">
        <f ca="1">IFERROR(__xludf.DUMMYFUNCTION("GOOGLETRANSLATE(English!C598, ""en"", ""bg"")"),"елементарен")</f>
        <v>елементарен</v>
      </c>
      <c r="D598" s="1" t="str">
        <f ca="1">IFERROR(__xludf.DUMMYFUNCTION("GOOGLETRANSLATE(English!D598, ""en"", ""bg"")"),"магнити")</f>
        <v>магнити</v>
      </c>
      <c r="E598" s="1" t="str">
        <f ca="1">IFERROR(__xludf.DUMMYFUNCTION("GOOGLETRANSLATE(English!E598, ""en"", ""bg"")"),"Какво се случва, когато сложите два магнита заедно?")</f>
        <v>Какво се случва, когато сложите два магнита заедно?</v>
      </c>
      <c r="F598" s="1" t="str">
        <f ca="1">IFERROR(__xludf.DUMMYFUNCTION("GOOGLETRANSLATE(English!F598, ""en"", ""bg"")"),"Когато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друг!")</f>
        <v>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</v>
      </c>
      <c r="G598" s="1" t="str">
        <f ca="1">IFERROR(__xludf.DUMMYFUNCTION("GOOGLETRANSLATE(English!G598, ""en"", ""bg"")"),"direct_qa")</f>
        <v>direct_qa</v>
      </c>
      <c r="H598" s="1" t="str">
        <f ca="1">IFERROR(__xludf.DUMMYFUNCTION("GOOGLETRANSLATE(English!H598, ""en"", ""bg"")"),"заявка_за_знание")</f>
        <v>заявка_за_знание</v>
      </c>
    </row>
    <row r="599" spans="1:8" ht="13.2" x14ac:dyDescent="0.25">
      <c r="A599" s="1" t="str">
        <f ca="1">IFERROR(__xludf.DUMMYFUNCTION("GOOGLETRANSLATE(English!A599, ""en"", ""bg"")"),"qa_05157")</f>
        <v>qa_05157</v>
      </c>
      <c r="B599" s="1" t="str">
        <f ca="1">IFERROR(__xludf.DUMMYFUNCTION("GOOGLETRANSLATE(English!B599, ""en"", ""bg"")"),"физика")</f>
        <v>физика</v>
      </c>
      <c r="C599" s="1" t="str">
        <f ca="1">IFERROR(__xludf.DUMMYFUNCTION("GOOGLETRANSLATE(English!C599, ""en"", ""bg"")"),"средата")</f>
        <v>средата</v>
      </c>
      <c r="D599" s="1" t="str">
        <f ca="1">IFERROR(__xludf.DUMMYFUNCTION("GOOGLETRANSLATE(English!D599, ""en"", ""bg"")"),"основи на електричеството")</f>
        <v>основи на електричеството</v>
      </c>
      <c r="E599" s="1" t="str">
        <f ca="1">IFERROR(__xludf.DUMMYFUNCTION("GOOGLETRANSLATE(English!E599, ""en"", ""bg"")"),"Как работят основите на електричеството във физиката?")</f>
        <v>Как работят основите на електричеството във физиката?</v>
      </c>
      <c r="F599" s="1" t="str">
        <f ca="1">IFERROR(__xludf.DUMMYFUNCTION("GOOGLETRANSLATE(English!F599,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599" s="1" t="str">
        <f ca="1">IFERROR(__xludf.DUMMYFUNCTION("GOOGLETRANSLATE(English!G599, ""en"", ""bg"")"),"direct_qa")</f>
        <v>direct_qa</v>
      </c>
      <c r="H599" s="1" t="str">
        <f ca="1">IFERROR(__xludf.DUMMYFUNCTION("GOOGLETRANSLATE(English!H599, ""en"", ""bg"")"),"заявка_за_знание")</f>
        <v>заявка_за_знание</v>
      </c>
    </row>
    <row r="600" spans="1:8" ht="13.2" x14ac:dyDescent="0.25">
      <c r="A600" s="1" t="str">
        <f ca="1">IFERROR(__xludf.DUMMYFUNCTION("GOOGLETRANSLATE(English!A600, ""en"", ""bg"")"),"hw_11721")</f>
        <v>hw_11721</v>
      </c>
      <c r="B600" s="1" t="str">
        <f ca="1">IFERROR(__xludf.DUMMYFUNCTION("GOOGLETRANSLATE(English!B600, ""en"", ""bg"")"),"биология")</f>
        <v>биология</v>
      </c>
      <c r="C600" s="1" t="str">
        <f ca="1">IFERROR(__xludf.DUMMYFUNCTION("GOOGLETRANSLATE(English!C600, ""en"", ""bg"")"),"средата")</f>
        <v>средата</v>
      </c>
      <c r="D600" s="1" t="str">
        <f ca="1">IFERROR(__xludf.DUMMYFUNCTION("GOOGLETRANSLATE(English!D600, ""en"", ""bg"")"),"дишане")</f>
        <v>дишане</v>
      </c>
      <c r="E600" s="1" t="str">
        <f ca="1">IFERROR(__xludf.DUMMYFUNCTION("GOOGLETRANSLATE(English!E600, ""en"", ""bg"")"),"Можете ли да обясните дишането за моя научен проект?")</f>
        <v>Можете ли да обясните дишането за моя научен проект?</v>
      </c>
      <c r="F600" s="1" t="str">
        <f ca="1">IFERROR(__xludf.DUMMYFUNCTION("GOOGLETRANSLATE(English!F600,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600" s="1" t="str">
        <f ca="1">IFERROR(__xludf.DUMMYFUNCTION("GOOGLETRANSLATE(English!G600, ""en"", ""bg"")"),"помощ_за_домашно_изпълнение")</f>
        <v>помощ_за_домашно_изпълнение</v>
      </c>
      <c r="H600" s="1" t="str">
        <f ca="1">IFERROR(__xludf.DUMMYFUNCTION("GOOGLETRANSLATE(English!H600, ""en"", ""bg"")"),"помощ_за_домашно_задаване")</f>
        <v>помощ_за_домашно_задаване</v>
      </c>
    </row>
    <row r="601" spans="1:8" ht="13.2" x14ac:dyDescent="0.25">
      <c r="A601" s="1" t="str">
        <f ca="1">IFERROR(__xludf.DUMMYFUNCTION("GOOGLETRANSLATE(English!A601, ""en"", ""bg"")"),"qa_10338")</f>
        <v>qa_10338</v>
      </c>
      <c r="B601" s="1" t="str">
        <f ca="1">IFERROR(__xludf.DUMMYFUNCTION("GOOGLETRANSLATE(English!B601, ""en"", ""bg"")"),"химия")</f>
        <v>химия</v>
      </c>
      <c r="C601" s="1" t="str">
        <f ca="1">IFERROR(__xludf.DUMMYFUNCTION("GOOGLETRANSLATE(English!C601, ""en"", ""bg"")"),"средата")</f>
        <v>средата</v>
      </c>
      <c r="D601" s="1" t="str">
        <f ca="1">IFERROR(__xludf.DUMMYFUNCTION("GOOGLETRANSLATE(English!D601, ""en"", ""bg"")"),"съединения срещу елементи")</f>
        <v>съединения срещу елементи</v>
      </c>
      <c r="E601" s="1" t="str">
        <f ca="1">IFERROR(__xludf.DUMMYFUNCTION("GOOGLETRANSLATE(English!E601, ""en"", ""bg"")"),"Как работят съединенията срещу елементите в химията?")</f>
        <v>Как работят съединенията срещу елементите в химията?</v>
      </c>
      <c r="F601" s="1" t="str">
        <f ca="1">IFERROR(__xludf.DUMMYFUNCTION("GOOGLETRANSLATE(English!F601,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601" s="1" t="str">
        <f ca="1">IFERROR(__xludf.DUMMYFUNCTION("GOOGLETRANSLATE(English!G601, ""en"", ""bg"")"),"direct_qa")</f>
        <v>direct_qa</v>
      </c>
      <c r="H601" s="1" t="str">
        <f ca="1">IFERROR(__xludf.DUMMYFUNCTION("GOOGLETRANSLATE(English!H601, ""en"", ""bg"")"),"заявка_за_знание")</f>
        <v>заявка_за_знание</v>
      </c>
    </row>
    <row r="602" spans="1:8" ht="13.2" x14ac:dyDescent="0.25">
      <c r="A602" s="1" t="str">
        <f ca="1">IFERROR(__xludf.DUMMYFUNCTION("GOOGLETRANSLATE(English!A602, ""en"", ""bg"")"),"conv_10327")</f>
        <v>conv_10327</v>
      </c>
      <c r="B602" s="1" t="str">
        <f ca="1">IFERROR(__xludf.DUMMYFUNCTION("GOOGLETRANSLATE(English!B602, ""en"", ""bg"")"),"биология")</f>
        <v>биология</v>
      </c>
      <c r="C602" s="1" t="str">
        <f ca="1">IFERROR(__xludf.DUMMYFUNCTION("GOOGLETRANSLATE(English!C602, ""en"", ""bg"")"),"средата")</f>
        <v>средата</v>
      </c>
      <c r="D602" s="1" t="str">
        <f ca="1">IFERROR(__xludf.DUMMYFUNCTION("GOOGLETRANSLATE(English!D602, ""en"", ""bg"")"),"класификация")</f>
        <v>класификация</v>
      </c>
      <c r="E602" s="1" t="str">
        <f ca="1">IFERROR(__xludf.DUMMYFUNCTION("GOOGLETRANSLATE(English!E602, ""en"", ""bg"")"),"Имам научен въпрос. Можете ли да ми кажете нещо за класификацията?")</f>
        <v>Имам научен въпрос. Можете ли да ми кажете нещо за класификацията?</v>
      </c>
      <c r="F602" s="1" t="str">
        <f ca="1">IFERROR(__xludf.DUMMYFUNCTION("GOOGLETRANSLATE(English!F602,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602" s="1" t="str">
        <f ca="1">IFERROR(__xludf.DUMMYFUNCTION("GOOGLETRANSLATE(English!G602, ""en"", ""bg"")"),"разговор")</f>
        <v>разговор</v>
      </c>
      <c r="H602" s="1" t="str">
        <f ca="1">IFERROR(__xludf.DUMMYFUNCTION("GOOGLETRANSLATE(English!H602, ""en"", ""bg"")"),"образователна_помощ")</f>
        <v>образователна_помощ</v>
      </c>
    </row>
    <row r="603" spans="1:8" ht="13.2" x14ac:dyDescent="0.25">
      <c r="A603" s="1" t="str">
        <f ca="1">IFERROR(__xludf.DUMMYFUNCTION("GOOGLETRANSLATE(English!A603, ""en"", ""bg"")"),"conv_04655")</f>
        <v>conv_04655</v>
      </c>
      <c r="B603" s="1" t="str">
        <f ca="1">IFERROR(__xludf.DUMMYFUNCTION("GOOGLETRANSLATE(English!B603, ""en"", ""bg"")"),"биология")</f>
        <v>биология</v>
      </c>
      <c r="C603" s="1" t="str">
        <f ca="1">IFERROR(__xludf.DUMMYFUNCTION("GOOGLETRANSLATE(English!C603, ""en"", ""bg"")"),"елементарен")</f>
        <v>елементарен</v>
      </c>
      <c r="D603" s="1" t="str">
        <f ca="1">IFERROR(__xludf.DUMMYFUNCTION("GOOGLETRANSLATE(English!D603, ""en"", ""bg"")"),"местообитания")</f>
        <v>местообитания</v>
      </c>
      <c r="E603" s="1" t="str">
        <f ca="1">IFERROR(__xludf.DUMMYFUNCTION("GOOGLETRANSLATE(English!E603, ""en"", ""bg"")"),"Можете ли да ми помогнете? Защо местообитанията са важни в биологията?")</f>
        <v>Можете ли да ми помогнете? Защо местообитанията са важни в биологията?</v>
      </c>
      <c r="F603" s="1" t="str">
        <f ca="1">IFERROR(__xludf.DUMMYFUNCTION("GOOGLETRANSLATE(English!F603,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603" s="1" t="str">
        <f ca="1">IFERROR(__xludf.DUMMYFUNCTION("GOOGLETRANSLATE(English!G603, ""en"", ""bg"")"),"разговор")</f>
        <v>разговор</v>
      </c>
      <c r="H603" s="1" t="str">
        <f ca="1">IFERROR(__xludf.DUMMYFUNCTION("GOOGLETRANSLATE(English!H603, ""en"", ""bg"")"),"образователна_помощ")</f>
        <v>образователна_помощ</v>
      </c>
    </row>
    <row r="604" spans="1:8" ht="13.2" x14ac:dyDescent="0.25">
      <c r="A604" s="1" t="str">
        <f ca="1">IFERROR(__xludf.DUMMYFUNCTION("GOOGLETRANSLATE(English!A604, ""en"", ""bg"")"),"qa_03543")</f>
        <v>qa_03543</v>
      </c>
      <c r="B604" s="1" t="str">
        <f ca="1">IFERROR(__xludf.DUMMYFUNCTION("GOOGLETRANSLATE(English!B604, ""en"", ""bg"")"),"физика")</f>
        <v>физика</v>
      </c>
      <c r="C604" s="1" t="str">
        <f ca="1">IFERROR(__xludf.DUMMYFUNCTION("GOOGLETRANSLATE(English!C604, ""en"", ""bg"")"),"средата")</f>
        <v>средата</v>
      </c>
      <c r="D604" s="1" t="str">
        <f ca="1">IFERROR(__xludf.DUMMYFUNCTION("GOOGLETRANSLATE(English!D604, ""en"", ""bg"")"),"основи на електричеството")</f>
        <v>основи на електричеството</v>
      </c>
      <c r="E604" s="1" t="str">
        <f ca="1">IFERROR(__xludf.DUMMYFUNCTION("GOOGLETRANSLATE(English!E604, ""en"", ""bg"")"),"Защо основите на електричеството са важни?")</f>
        <v>Защо основите на електричеството са важни?</v>
      </c>
      <c r="F604" s="1" t="str">
        <f ca="1">IFERROR(__xludf.DUMMYFUNCTION("GOOGLETRANSLATE(English!F604,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604" s="1" t="str">
        <f ca="1">IFERROR(__xludf.DUMMYFUNCTION("GOOGLETRANSLATE(English!G604, ""en"", ""bg"")"),"direct_qa")</f>
        <v>direct_qa</v>
      </c>
      <c r="H604" s="1" t="str">
        <f ca="1">IFERROR(__xludf.DUMMYFUNCTION("GOOGLETRANSLATE(English!H604, ""en"", ""bg"")"),"заявка_за_знание")</f>
        <v>заявка_за_знание</v>
      </c>
    </row>
    <row r="605" spans="1:8" ht="13.2" x14ac:dyDescent="0.25">
      <c r="A605" s="1" t="str">
        <f ca="1">IFERROR(__xludf.DUMMYFUNCTION("GOOGLETRANSLATE(English!A605, ""en"", ""bg"")"),"qa_09888")</f>
        <v>qa_09888</v>
      </c>
      <c r="B605" s="1" t="str">
        <f ca="1">IFERROR(__xludf.DUMMYFUNCTION("GOOGLETRANSLATE(English!B605, ""en"", ""bg"")"),"биология")</f>
        <v>биология</v>
      </c>
      <c r="C605" s="1" t="str">
        <f ca="1">IFERROR(__xludf.DUMMYFUNCTION("GOOGLETRANSLATE(English!C605, ""en"", ""bg"")"),"елементарен")</f>
        <v>елементарен</v>
      </c>
      <c r="D605" s="1" t="str">
        <f ca="1">IFERROR(__xludf.DUMMYFUNCTION("GOOGLETRANSLATE(English!D605, ""en"", ""bg"")"),"човешкото тяло")</f>
        <v>човешкото тяло</v>
      </c>
      <c r="E605" s="1" t="str">
        <f ca="1">IFERROR(__xludf.DUMMYFUNCTION("GOOGLETRANSLATE(English!E605, ""en"", ""bg"")"),"Можете ли да ми разкажете за човешкото тяло?")</f>
        <v>Можете ли да ми разкажете за човешкото тяло?</v>
      </c>
      <c r="F605" s="1" t="str">
        <f ca="1">IFERROR(__xludf.DUMMYFUNCTION("GOOGLETRANSLATE(English!F605,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605" s="1" t="str">
        <f ca="1">IFERROR(__xludf.DUMMYFUNCTION("GOOGLETRANSLATE(English!G605, ""en"", ""bg"")"),"direct_qa")</f>
        <v>direct_qa</v>
      </c>
      <c r="H605" s="1" t="str">
        <f ca="1">IFERROR(__xludf.DUMMYFUNCTION("GOOGLETRANSLATE(English!H605, ""en"", ""bg"")"),"заявка_за_знание")</f>
        <v>заявка_за_знание</v>
      </c>
    </row>
    <row r="606" spans="1:8" ht="13.2" x14ac:dyDescent="0.25">
      <c r="A606" s="1" t="str">
        <f ca="1">IFERROR(__xludf.DUMMYFUNCTION("GOOGLETRANSLATE(English!A606, ""en"", ""bg"")"),"hw_07750")</f>
        <v>hw_07750</v>
      </c>
      <c r="B606" s="1" t="str">
        <f ca="1">IFERROR(__xludf.DUMMYFUNCTION("GOOGLETRANSLATE(English!B606, ""en"", ""bg"")"),"химия")</f>
        <v>химия</v>
      </c>
      <c r="C606" s="1" t="str">
        <f ca="1">IFERROR(__xludf.DUMMYFUNCTION("GOOGLETRANSLATE(English!C606, ""en"", ""bg"")"),"високо")</f>
        <v>високо</v>
      </c>
      <c r="D606" s="1" t="str">
        <f ca="1">IFERROR(__xludf.DUMMYFUNCTION("GOOGLETRANSLATE(English!D606, ""en"", ""bg"")"),"равновесие")</f>
        <v>равновесие</v>
      </c>
      <c r="E606" s="1" t="str">
        <f ca="1">IFERROR(__xludf.DUMMYFUNCTION("GOOGLETRANSLATE(English!E606, ""en"", ""bg"")"),"Трудно ми е да пазя равновесието си в домашните.")</f>
        <v>Трудно ми е да пазя равновесието си в домашните.</v>
      </c>
      <c r="F606" s="1" t="str">
        <f ca="1">IFERROR(__xludf.DUMMYFUNCTION("GOOGLETRANSLATE(English!F606,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606" s="1" t="str">
        <f ca="1">IFERROR(__xludf.DUMMYFUNCTION("GOOGLETRANSLATE(English!G606, ""en"", ""bg"")"),"помощ_за_домашно_изпълнение")</f>
        <v>помощ_за_домашно_изпълнение</v>
      </c>
      <c r="H606" s="1" t="str">
        <f ca="1">IFERROR(__xludf.DUMMYFUNCTION("GOOGLETRANSLATE(English!H606, ""en"", ""bg"")"),"помощ_за_домашно_задаване")</f>
        <v>помощ_за_домашно_задаване</v>
      </c>
    </row>
    <row r="607" spans="1:8" ht="13.2" x14ac:dyDescent="0.25">
      <c r="A607" s="1" t="str">
        <f ca="1">IFERROR(__xludf.DUMMYFUNCTION("GOOGLETRANSLATE(English!A607, ""en"", ""bg"")"),"qa_08646")</f>
        <v>qa_08646</v>
      </c>
      <c r="B607" s="1" t="str">
        <f ca="1">IFERROR(__xludf.DUMMYFUNCTION("GOOGLETRANSLATE(English!B607, ""en"", ""bg"")"),"химия")</f>
        <v>химия</v>
      </c>
      <c r="C607" s="1" t="str">
        <f ca="1">IFERROR(__xludf.DUMMYFUNCTION("GOOGLETRANSLATE(English!C607, ""en"", ""bg"")"),"високо")</f>
        <v>високо</v>
      </c>
      <c r="D607" s="1" t="str">
        <f ca="1">IFERROR(__xludf.DUMMYFUNCTION("GOOGLETRANSLATE(English!D607, ""en"", ""bg"")"),"електрохимия")</f>
        <v>електрохимия</v>
      </c>
      <c r="E607" s="1" t="str">
        <f ca="1">IFERROR(__xludf.DUMMYFUNCTION("GOOGLETRANSLATE(English!E607, ""en"", ""bg"")"),"Защо е важно да се учи електрохимия?")</f>
        <v>Защо е важно да се учи електрохимия?</v>
      </c>
      <c r="F607" s="1" t="str">
        <f ca="1">IFERROR(__xludf.DUMMYFUNCTION("GOOGLETRANSLATE(English!F607,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607" s="1" t="str">
        <f ca="1">IFERROR(__xludf.DUMMYFUNCTION("GOOGLETRANSLATE(English!G607, ""en"", ""bg"")"),"direct_qa")</f>
        <v>direct_qa</v>
      </c>
      <c r="H607" s="1" t="str">
        <f ca="1">IFERROR(__xludf.DUMMYFUNCTION("GOOGLETRANSLATE(English!H607, ""en"", ""bg"")"),"заявка_за_знание")</f>
        <v>заявка_за_знание</v>
      </c>
    </row>
    <row r="608" spans="1:8" ht="13.2" x14ac:dyDescent="0.25">
      <c r="A608" s="1" t="str">
        <f ca="1">IFERROR(__xludf.DUMMYFUNCTION("GOOGLETRANSLATE(English!A608, ""en"", ""bg"")"),"conv_17091")</f>
        <v>conv_17091</v>
      </c>
      <c r="B608" s="1" t="str">
        <f ca="1">IFERROR(__xludf.DUMMYFUNCTION("GOOGLETRANSLATE(English!B608, ""en"", ""bg"")"),"физика")</f>
        <v>физика</v>
      </c>
      <c r="C608" s="1" t="str">
        <f ca="1">IFERROR(__xludf.DUMMYFUNCTION("GOOGLETRANSLATE(English!C608, ""en"", ""bg"")"),"високо")</f>
        <v>високо</v>
      </c>
      <c r="D608" s="1" t="str">
        <f ca="1">IFERROR(__xludf.DUMMYFUNCTION("GOOGLETRANSLATE(English!D608, ""en"", ""bg"")"),"термодинамика")</f>
        <v>термодинамика</v>
      </c>
      <c r="E608" s="1" t="str">
        <f ca="1">IFERROR(__xludf.DUMMYFUNCTION("GOOGLETRANSLATE(English!E608, ""en"", ""bg"")"),"Не разбирам тази тема. Какво трябва да знам за термодинамиката?")</f>
        <v>Не разбирам тази тема. Какво трябва да знам за термодинамиката?</v>
      </c>
      <c r="F608" s="1" t="str">
        <f ca="1">IFERROR(__xludf.DUMMYFUNCTION("GOOGLETRANSLATE(English!F608,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608" s="1" t="str">
        <f ca="1">IFERROR(__xludf.DUMMYFUNCTION("GOOGLETRANSLATE(English!G608, ""en"", ""bg"")"),"разговор")</f>
        <v>разговор</v>
      </c>
      <c r="H608" s="1" t="str">
        <f ca="1">IFERROR(__xludf.DUMMYFUNCTION("GOOGLETRANSLATE(English!H608, ""en"", ""bg"")"),"образователна_помощ")</f>
        <v>образователна_помощ</v>
      </c>
    </row>
    <row r="609" spans="1:8" ht="13.2" x14ac:dyDescent="0.25">
      <c r="A609" s="1" t="str">
        <f ca="1">IFERROR(__xludf.DUMMYFUNCTION("GOOGLETRANSLATE(English!A609, ""en"", ""bg"")"),"hw_04985")</f>
        <v>hw_04985</v>
      </c>
      <c r="B609" s="1" t="str">
        <f ca="1">IFERROR(__xludf.DUMMYFUNCTION("GOOGLETRANSLATE(English!B609, ""en"", ""bg"")"),"биология")</f>
        <v>биология</v>
      </c>
      <c r="C609" s="1" t="str">
        <f ca="1">IFERROR(__xludf.DUMMYFUNCTION("GOOGLETRANSLATE(English!C609, ""en"", ""bg"")"),"средата")</f>
        <v>средата</v>
      </c>
      <c r="D609" s="1" t="str">
        <f ca="1">IFERROR(__xludf.DUMMYFUNCTION("GOOGLETRANSLATE(English!D609, ""en"", ""bg"")"),"клетки")</f>
        <v>клетки</v>
      </c>
      <c r="E609" s="1" t="str">
        <f ca="1">IFERROR(__xludf.DUMMYFUNCTION("GOOGLETRANSLATE(English!E609, ""en"", ""bg"")"),"Домашното ми пита за клетки. Не го разбирам.")</f>
        <v>Домашното ми пита за клетки. Не го разбирам.</v>
      </c>
      <c r="F609" s="1" t="str">
        <f ca="1">IFERROR(__xludf.DUMMYFUNCTION("GOOGLETRANSLATE(English!F609,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609" s="1" t="str">
        <f ca="1">IFERROR(__xludf.DUMMYFUNCTION("GOOGLETRANSLATE(English!G609, ""en"", ""bg"")"),"помощ_за_домашно_изпълнение")</f>
        <v>помощ_за_домашно_изпълнение</v>
      </c>
      <c r="H609" s="1" t="str">
        <f ca="1">IFERROR(__xludf.DUMMYFUNCTION("GOOGLETRANSLATE(English!H609, ""en"", ""bg"")"),"помощ_за_домашно_задаване")</f>
        <v>помощ_за_домашно_задаване</v>
      </c>
    </row>
    <row r="610" spans="1:8" ht="13.2" x14ac:dyDescent="0.25">
      <c r="A610" s="1" t="str">
        <f ca="1">IFERROR(__xludf.DUMMYFUNCTION("GOOGLETRANSLATE(English!A610, ""en"", ""bg"")"),"conv_06937")</f>
        <v>conv_06937</v>
      </c>
      <c r="B610" s="1" t="str">
        <f ca="1">IFERROR(__xludf.DUMMYFUNCTION("GOOGLETRANSLATE(English!B610, ""en"", ""bg"")"),"биология")</f>
        <v>биология</v>
      </c>
      <c r="C610" s="1" t="str">
        <f ca="1">IFERROR(__xludf.DUMMYFUNCTION("GOOGLETRANSLATE(English!C610, ""en"", ""bg"")"),"елементарен")</f>
        <v>елементарен</v>
      </c>
      <c r="D610" s="1" t="str">
        <f ca="1">IFERROR(__xludf.DUMMYFUNCTION("GOOGLETRANSLATE(English!D610, ""en"", ""bg"")"),"човешкото тяло")</f>
        <v>човешкото тяло</v>
      </c>
      <c r="E610" s="1" t="str">
        <f ca="1">IFERROR(__xludf.DUMMYFUNCTION("GOOGLETRANSLATE(English!E610, ""en"", ""bg"")"),"Помогнете ми да уча за теста си. Защо човешкото тяло е важно в биологията?")</f>
        <v>Помогнете ми да уча за теста си. Защо човешкото тяло е важно в биологията?</v>
      </c>
      <c r="F610" s="1" t="str">
        <f ca="1">IFERROR(__xludf.DUMMYFUNCTION("GOOGLETRANSLATE(English!F610,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610" s="1" t="str">
        <f ca="1">IFERROR(__xludf.DUMMYFUNCTION("GOOGLETRANSLATE(English!G610, ""en"", ""bg"")"),"разговор")</f>
        <v>разговор</v>
      </c>
      <c r="H610" s="1" t="str">
        <f ca="1">IFERROR(__xludf.DUMMYFUNCTION("GOOGLETRANSLATE(English!H610, ""en"", ""bg"")"),"образователна_помощ")</f>
        <v>образователна_помощ</v>
      </c>
    </row>
    <row r="611" spans="1:8" ht="13.2" x14ac:dyDescent="0.25">
      <c r="A611" s="1" t="str">
        <f ca="1">IFERROR(__xludf.DUMMYFUNCTION("GOOGLETRANSLATE(English!A611, ""en"", ""bg"")"),"hw_05477")</f>
        <v>hw_05477</v>
      </c>
      <c r="B611" s="1" t="str">
        <f ca="1">IFERROR(__xludf.DUMMYFUNCTION("GOOGLETRANSLATE(English!B611, ""en"", ""bg"")"),"химия")</f>
        <v>химия</v>
      </c>
      <c r="C611" s="1" t="str">
        <f ca="1">IFERROR(__xludf.DUMMYFUNCTION("GOOGLETRANSLATE(English!C611, ""en"", ""bg"")"),"високо")</f>
        <v>високо</v>
      </c>
      <c r="D611" s="1" t="str">
        <f ca="1">IFERROR(__xludf.DUMMYFUNCTION("GOOGLETRANSLATE(English!D611, ""en"", ""bg"")"),"органична химия")</f>
        <v>органична химия</v>
      </c>
      <c r="E611" s="1" t="str">
        <f ca="1">IFERROR(__xludf.DUMMYFUNCTION("GOOGLETRANSLATE(English!E611, ""en"", ""bg"")"),"Можете ли да ми помогнете с изчисленията в органичната химия?")</f>
        <v>Можете ли да ми помогнете с изчисленията в органичната химия?</v>
      </c>
      <c r="F611" s="1" t="str">
        <f ca="1">IFERROR(__xludf.DUMMYFUNCTION("GOOGLETRANSLATE(English!F611,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611" s="1" t="str">
        <f ca="1">IFERROR(__xludf.DUMMYFUNCTION("GOOGLETRANSLATE(English!G611, ""en"", ""bg"")"),"помощ_за_домашно_изпълнение")</f>
        <v>помощ_за_домашно_изпълнение</v>
      </c>
      <c r="H611" s="1" t="str">
        <f ca="1">IFERROR(__xludf.DUMMYFUNCTION("GOOGLETRANSLATE(English!H611, ""en"", ""bg"")"),"помощ_за_домашно_задаване")</f>
        <v>помощ_за_домашно_задаване</v>
      </c>
    </row>
    <row r="612" spans="1:8" ht="13.2" x14ac:dyDescent="0.25">
      <c r="A612" s="1" t="str">
        <f ca="1">IFERROR(__xludf.DUMMYFUNCTION("GOOGLETRANSLATE(English!A612, ""en"", ""bg"")"),"conv_01433")</f>
        <v>conv_01433</v>
      </c>
      <c r="B612" s="1" t="str">
        <f ca="1">IFERROR(__xludf.DUMMYFUNCTION("GOOGLETRANSLATE(English!B612, ""en"", ""bg"")"),"биология")</f>
        <v>биология</v>
      </c>
      <c r="C612" s="1" t="str">
        <f ca="1">IFERROR(__xludf.DUMMYFUNCTION("GOOGLETRANSLATE(English!C612, ""en"", ""bg"")"),"елементарен")</f>
        <v>елементарен</v>
      </c>
      <c r="D612" s="1" t="str">
        <f ca="1">IFERROR(__xludf.DUMMYFUNCTION("GOOGLETRANSLATE(English!D612, ""en"", ""bg"")"),"човешкото тяло")</f>
        <v>човешкото тяло</v>
      </c>
      <c r="E612" s="1" t="str">
        <f ca="1">IFERROR(__xludf.DUMMYFUNCTION("GOOGLETRANSLATE(English!E612, ""en"", ""bg"")"),"Имам нужда от помощ с домашното. Защо човешкото тяло е важно в биологията?")</f>
        <v>Имам нужда от помощ с домашното. Защо човешкото тяло е важно в биологията?</v>
      </c>
      <c r="F612" s="1" t="str">
        <f ca="1">IFERROR(__xludf.DUMMYFUNCTION("GOOGLETRANSLATE(English!F612,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612" s="1" t="str">
        <f ca="1">IFERROR(__xludf.DUMMYFUNCTION("GOOGLETRANSLATE(English!G612, ""en"", ""bg"")"),"разговор")</f>
        <v>разговор</v>
      </c>
      <c r="H612" s="1" t="str">
        <f ca="1">IFERROR(__xludf.DUMMYFUNCTION("GOOGLETRANSLATE(English!H612, ""en"", ""bg"")"),"образователна_помощ")</f>
        <v>образователна_помощ</v>
      </c>
    </row>
    <row r="613" spans="1:8" ht="13.2" x14ac:dyDescent="0.25">
      <c r="A613" s="1" t="str">
        <f ca="1">IFERROR(__xludf.DUMMYFUNCTION("GOOGLETRANSLATE(English!A613, ""en"", ""bg"")"),"conv_17864")</f>
        <v>conv_17864</v>
      </c>
      <c r="B613" s="1" t="str">
        <f ca="1">IFERROR(__xludf.DUMMYFUNCTION("GOOGLETRANSLATE(English!B613, ""en"", ""bg"")"),"биология")</f>
        <v>биология</v>
      </c>
      <c r="C613" s="1" t="str">
        <f ca="1">IFERROR(__xludf.DUMMYFUNCTION("GOOGLETRANSLATE(English!C613, ""en"", ""bg"")"),"елементарен")</f>
        <v>елементарен</v>
      </c>
      <c r="D613" s="1" t="str">
        <f ca="1">IFERROR(__xludf.DUMMYFUNCTION("GOOGLETRANSLATE(English!D613, ""en"", ""bg"")"),"животни")</f>
        <v>животни</v>
      </c>
      <c r="E613" s="1" t="str">
        <f ca="1">IFERROR(__xludf.DUMMYFUNCTION("GOOGLETRANSLATE(English!E613, ""en"", ""bg"")"),"Не разбирам тази тема. Защо някои животни живеят на групи?")</f>
        <v>Не разбирам тази тема. Защо някои животни живеят на групи?</v>
      </c>
      <c r="F613" s="1" t="str">
        <f ca="1">IFERROR(__xludf.DUMMYFUNCTION("GOOGLETRANSLATE(English!F613, ""en"", ""bg"")"),"Животните живеят на групи за защита, за да намират храна по-лесно и за да отглеждат малките си заедно.")</f>
        <v>Животните живеят на групи за защита, за да намират храна по-лесно и за да отглеждат малките си заедно.</v>
      </c>
      <c r="G613" s="1" t="str">
        <f ca="1">IFERROR(__xludf.DUMMYFUNCTION("GOOGLETRANSLATE(English!G613, ""en"", ""bg"")"),"разговор")</f>
        <v>разговор</v>
      </c>
      <c r="H613" s="1" t="str">
        <f ca="1">IFERROR(__xludf.DUMMYFUNCTION("GOOGLETRANSLATE(English!H613, ""en"", ""bg"")"),"образователна_помощ")</f>
        <v>образователна_помощ</v>
      </c>
    </row>
    <row r="614" spans="1:8" ht="13.2" x14ac:dyDescent="0.25">
      <c r="A614" s="1" t="str">
        <f ca="1">IFERROR(__xludf.DUMMYFUNCTION("GOOGLETRANSLATE(English!A614, ""en"", ""bg"")"),"hw_12930")</f>
        <v>hw_12930</v>
      </c>
      <c r="B614" s="1" t="str">
        <f ca="1">IFERROR(__xludf.DUMMYFUNCTION("GOOGLETRANSLATE(English!B614, ""en"", ""bg"")"),"физика")</f>
        <v>физика</v>
      </c>
      <c r="C614" s="1" t="str">
        <f ca="1">IFERROR(__xludf.DUMMYFUNCTION("GOOGLETRANSLATE(English!C614, ""en"", ""bg"")"),"елементарен")</f>
        <v>елементарен</v>
      </c>
      <c r="D614" s="1" t="str">
        <f ca="1">IFERROR(__xludf.DUMMYFUNCTION("GOOGLETRANSLATE(English!D614, ""en"", ""bg"")"),"прости машини")</f>
        <v>прости машини</v>
      </c>
      <c r="E614" s="1" t="str">
        <f ca="1">IFERROR(__xludf.DUMMYFUNCTION("GOOGLETRANSLATE(English!E614, ""en"", ""bg"")"),"Можете ли да решите този прост проблем с машините заедно с мен?")</f>
        <v>Можете ли да решите този прост проблем с машините заедно с мен?</v>
      </c>
      <c r="F614" s="1" t="str">
        <f ca="1">IFERROR(__xludf.DUMMYFUNCTION("GOOGLETRANSLATE(English!F614,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614" s="1" t="str">
        <f ca="1">IFERROR(__xludf.DUMMYFUNCTION("GOOGLETRANSLATE(English!G614, ""en"", ""bg"")"),"помощ_за_домашно_изпълнение")</f>
        <v>помощ_за_домашно_изпълнение</v>
      </c>
      <c r="H614" s="1" t="str">
        <f ca="1">IFERROR(__xludf.DUMMYFUNCTION("GOOGLETRANSLATE(English!H614, ""en"", ""bg"")"),"помощ_за_домашно_задаване")</f>
        <v>помощ_за_домашно_задаване</v>
      </c>
    </row>
    <row r="615" spans="1:8" ht="13.2" x14ac:dyDescent="0.25">
      <c r="A615" s="1" t="str">
        <f ca="1">IFERROR(__xludf.DUMMYFUNCTION("GOOGLETRANSLATE(English!A615, ""en"", ""bg"")"),"hw_04154")</f>
        <v>hw_04154</v>
      </c>
      <c r="B615" s="1" t="str">
        <f ca="1">IFERROR(__xludf.DUMMYFUNCTION("GOOGLETRANSLATE(English!B615, ""en"", ""bg"")"),"химия")</f>
        <v>химия</v>
      </c>
      <c r="C615" s="1" t="str">
        <f ca="1">IFERROR(__xludf.DUMMYFUNCTION("GOOGLETRANSLATE(English!C615, ""en"", ""bg"")"),"високо")</f>
        <v>високо</v>
      </c>
      <c r="D615" s="1" t="str">
        <f ca="1">IFERROR(__xludf.DUMMYFUNCTION("GOOGLETRANSLATE(English!D615, ""en"", ""bg"")"),"химическо свързване")</f>
        <v>химическо свързване</v>
      </c>
      <c r="E615" s="1" t="str">
        <f ca="1">IFERROR(__xludf.DUMMYFUNCTION("GOOGLETRANSLATE(English!E615, ""en"", ""bg"")"),"Можете ли да ми помогнете с изчисленията за химични връзки?")</f>
        <v>Можете ли да ми помогнете с изчисленията за химични връзки?</v>
      </c>
      <c r="F615" s="1" t="str">
        <f ca="1">IFERROR(__xludf.DUMMYFUNCTION("GOOGLETRANSLATE(English!F615,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615" s="1" t="str">
        <f ca="1">IFERROR(__xludf.DUMMYFUNCTION("GOOGLETRANSLATE(English!G615, ""en"", ""bg"")"),"помощ_за_домашно_изпълнение")</f>
        <v>помощ_за_домашно_изпълнение</v>
      </c>
      <c r="H615" s="1" t="str">
        <f ca="1">IFERROR(__xludf.DUMMYFUNCTION("GOOGLETRANSLATE(English!H615, ""en"", ""bg"")"),"помощ_за_домашно_задаване")</f>
        <v>помощ_за_домашно_задаване</v>
      </c>
    </row>
    <row r="616" spans="1:8" ht="13.2" x14ac:dyDescent="0.25">
      <c r="A616" s="1" t="str">
        <f ca="1">IFERROR(__xludf.DUMMYFUNCTION("GOOGLETRANSLATE(English!A616, ""en"", ""bg"")"),"hw_01623")</f>
        <v>hw_01623</v>
      </c>
      <c r="B616" s="1" t="str">
        <f ca="1">IFERROR(__xludf.DUMMYFUNCTION("GOOGLETRANSLATE(English!B616, ""en"", ""bg"")"),"биология")</f>
        <v>биология</v>
      </c>
      <c r="C616" s="1" t="str">
        <f ca="1">IFERROR(__xludf.DUMMYFUNCTION("GOOGLETRANSLATE(English!C616, ""en"", ""bg"")"),"средата")</f>
        <v>средата</v>
      </c>
      <c r="D616" s="1" t="str">
        <f ca="1">IFERROR(__xludf.DUMMYFUNCTION("GOOGLETRANSLATE(English!D616, ""en"", ""bg"")"),"размножаване")</f>
        <v>размножаване</v>
      </c>
      <c r="E616" s="1" t="str">
        <f ca="1">IFERROR(__xludf.DUMMYFUNCTION("GOOGLETRANSLATE(English!E616,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616" s="1" t="str">
        <f ca="1">IFERROR(__xludf.DUMMYFUNCTION("GOOGLETRANSLATE(English!F616,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616" s="1" t="str">
        <f ca="1">IFERROR(__xludf.DUMMYFUNCTION("GOOGLETRANSLATE(English!G616, ""en"", ""bg"")"),"помощ_за_домашно_изпълнение")</f>
        <v>помощ_за_домашно_изпълнение</v>
      </c>
      <c r="H616" s="1" t="str">
        <f ca="1">IFERROR(__xludf.DUMMYFUNCTION("GOOGLETRANSLATE(English!H616, ""en"", ""bg"")"),"помощ_за_домашно_задаване")</f>
        <v>помощ_за_домашно_задаване</v>
      </c>
    </row>
    <row r="617" spans="1:8" ht="13.2" x14ac:dyDescent="0.25">
      <c r="A617" s="1" t="str">
        <f ca="1">IFERROR(__xludf.DUMMYFUNCTION("GOOGLETRANSLATE(English!A617, ""en"", ""bg"")"),"qa_05038")</f>
        <v>qa_05038</v>
      </c>
      <c r="B617" s="1" t="str">
        <f ca="1">IFERROR(__xludf.DUMMYFUNCTION("GOOGLETRANSLATE(English!B617, ""en"", ""bg"")"),"химия")</f>
        <v>химия</v>
      </c>
      <c r="C617" s="1" t="str">
        <f ca="1">IFERROR(__xludf.DUMMYFUNCTION("GOOGLETRANSLATE(English!C617, ""en"", ""bg"")"),"елементарен")</f>
        <v>елементарен</v>
      </c>
      <c r="D617" s="1" t="str">
        <f ca="1">IFERROR(__xludf.DUMMYFUNCTION("GOOGLETRANSLATE(English!D617, ""en"", ""bg"")"),"смесване на материали")</f>
        <v>смесване на материали</v>
      </c>
      <c r="E617" s="1" t="str">
        <f ca="1">IFERROR(__xludf.DUMMYFUNCTION("GOOGLETRANSLATE(English!E617, ""en"", ""bg"")"),"Защо някои неща се разтварят, а други не?")</f>
        <v>Защо някои неща се разтварят, а други не?</v>
      </c>
      <c r="F617" s="1" t="str">
        <f ca="1">IFERROR(__xludf.DUMMYFUNCTION("GOOGLETRANSLATE(English!F617,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617" s="1" t="str">
        <f ca="1">IFERROR(__xludf.DUMMYFUNCTION("GOOGLETRANSLATE(English!G617, ""en"", ""bg"")"),"direct_qa")</f>
        <v>direct_qa</v>
      </c>
      <c r="H617" s="1" t="str">
        <f ca="1">IFERROR(__xludf.DUMMYFUNCTION("GOOGLETRANSLATE(English!H617, ""en"", ""bg"")"),"заявка_за_знание")</f>
        <v>заявка_за_знание</v>
      </c>
    </row>
    <row r="618" spans="1:8" ht="13.2" x14ac:dyDescent="0.25">
      <c r="A618" s="1" t="str">
        <f ca="1">IFERROR(__xludf.DUMMYFUNCTION("GOOGLETRANSLATE(English!A618, ""en"", ""bg"")"),"qa_03656")</f>
        <v>qa_03656</v>
      </c>
      <c r="B618" s="1" t="str">
        <f ca="1">IFERROR(__xludf.DUMMYFUNCTION("GOOGLETRANSLATE(English!B618, ""en"", ""bg"")"),"биология")</f>
        <v>биология</v>
      </c>
      <c r="C618" s="1" t="str">
        <f ca="1">IFERROR(__xludf.DUMMYFUNCTION("GOOGLETRANSLATE(English!C618, ""en"", ""bg"")"),"високо")</f>
        <v>високо</v>
      </c>
      <c r="D618" s="1" t="str">
        <f ca="1">IFERROR(__xludf.DUMMYFUNCTION("GOOGLETRANSLATE(English!D618, ""en"", ""bg"")"),"клетъчно дишане")</f>
        <v>клетъчно дишане</v>
      </c>
      <c r="E618" s="1" t="str">
        <f ca="1">IFERROR(__xludf.DUMMYFUNCTION("GOOGLETRANSLATE(English!E618, ""en"", ""bg"")"),"Можете ли да ми разкажете за клетъчното дишане?")</f>
        <v>Можете ли да ми разкажете за клетъчното дишане?</v>
      </c>
      <c r="F618" s="1" t="str">
        <f ca="1">IFERROR(__xludf.DUMMYFUNCTION("GOOGLETRANSLATE(English!F618,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618" s="1" t="str">
        <f ca="1">IFERROR(__xludf.DUMMYFUNCTION("GOOGLETRANSLATE(English!G618, ""en"", ""bg"")"),"direct_qa")</f>
        <v>direct_qa</v>
      </c>
      <c r="H618" s="1" t="str">
        <f ca="1">IFERROR(__xludf.DUMMYFUNCTION("GOOGLETRANSLATE(English!H618, ""en"", ""bg"")"),"заявка_за_знание")</f>
        <v>заявка_за_знание</v>
      </c>
    </row>
    <row r="619" spans="1:8" ht="13.2" x14ac:dyDescent="0.25">
      <c r="A619" s="1" t="str">
        <f ca="1">IFERROR(__xludf.DUMMYFUNCTION("GOOGLETRANSLATE(English!A619, ""en"", ""bg"")"),"conv_14961")</f>
        <v>conv_14961</v>
      </c>
      <c r="B619" s="1" t="str">
        <f ca="1">IFERROR(__xludf.DUMMYFUNCTION("GOOGLETRANSLATE(English!B619, ""en"", ""bg"")"),"биология")</f>
        <v>биология</v>
      </c>
      <c r="C619" s="1" t="str">
        <f ca="1">IFERROR(__xludf.DUMMYFUNCTION("GOOGLETRANSLATE(English!C619, ""en"", ""bg"")"),"средата")</f>
        <v>средата</v>
      </c>
      <c r="D619" s="1" t="str">
        <f ca="1">IFERROR(__xludf.DUMMYFUNCTION("GOOGLETRANSLATE(English!D619, ""en"", ""bg"")"),"екосистеми")</f>
        <v>екосистеми</v>
      </c>
      <c r="E619" s="1" t="str">
        <f ca="1">IFERROR(__xludf.DUMMYFUNCTION("GOOGLETRANSLATE(English!E619, ""en"", ""bg"")"),"Можете ли да ми обясните това? Как функционират екосистемите?")</f>
        <v>Можете ли да ми обясните това? Как функционират екосистемите?</v>
      </c>
      <c r="F619" s="1" t="str">
        <f ca="1">IFERROR(__xludf.DUMMYFUNCTION("GOOGLETRANSLATE(English!F619,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619" s="1" t="str">
        <f ca="1">IFERROR(__xludf.DUMMYFUNCTION("GOOGLETRANSLATE(English!G619, ""en"", ""bg"")"),"разговор")</f>
        <v>разговор</v>
      </c>
      <c r="H619" s="1" t="str">
        <f ca="1">IFERROR(__xludf.DUMMYFUNCTION("GOOGLETRANSLATE(English!H619, ""en"", ""bg"")"),"образователна_помощ")</f>
        <v>образователна_помощ</v>
      </c>
    </row>
    <row r="620" spans="1:8" ht="13.2" x14ac:dyDescent="0.25">
      <c r="A620" s="1" t="str">
        <f ca="1">IFERROR(__xludf.DUMMYFUNCTION("GOOGLETRANSLATE(English!A620, ""en"", ""bg"")"),"conv_06651")</f>
        <v>conv_06651</v>
      </c>
      <c r="B620" s="1" t="str">
        <f ca="1">IFERROR(__xludf.DUMMYFUNCTION("GOOGLETRANSLATE(English!B620, ""en"", ""bg"")"),"биология")</f>
        <v>биология</v>
      </c>
      <c r="C620" s="1" t="str">
        <f ca="1">IFERROR(__xludf.DUMMYFUNCTION("GOOGLETRANSLATE(English!C620, ""en"", ""bg"")"),"средата")</f>
        <v>средата</v>
      </c>
      <c r="D620" s="1" t="str">
        <f ca="1">IFERROR(__xludf.DUMMYFUNCTION("GOOGLETRANSLATE(English!D620, ""en"", ""bg"")"),"основи на еволюцията")</f>
        <v>основи на еволюцията</v>
      </c>
      <c r="E620" s="1" t="str">
        <f ca="1">IFERROR(__xludf.DUMMYFUNCTION("GOOGLETRANSLATE(English!E620, ""en"", ""bg"")"),"Можете ли да ми помогнете? Как работят основите на еволюцията?")</f>
        <v>Можете ли да ми помогнете? Как работят основите на еволюцията?</v>
      </c>
      <c r="F620" s="1" t="str">
        <f ca="1">IFERROR(__xludf.DUMMYFUNCTION("GOOGLETRANSLATE(English!F620,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620" s="1" t="str">
        <f ca="1">IFERROR(__xludf.DUMMYFUNCTION("GOOGLETRANSLATE(English!G620, ""en"", ""bg"")"),"разговор")</f>
        <v>разговор</v>
      </c>
      <c r="H620" s="1" t="str">
        <f ca="1">IFERROR(__xludf.DUMMYFUNCTION("GOOGLETRANSLATE(English!H620, ""en"", ""bg"")"),"образователна_помощ")</f>
        <v>образователна_помощ</v>
      </c>
    </row>
    <row r="621" spans="1:8" ht="13.2" x14ac:dyDescent="0.25">
      <c r="A621" s="1" t="str">
        <f ca="1">IFERROR(__xludf.DUMMYFUNCTION("GOOGLETRANSLATE(English!A621, ""en"", ""bg"")"),"conv_04202")</f>
        <v>conv_04202</v>
      </c>
      <c r="B621" s="1" t="str">
        <f ca="1">IFERROR(__xludf.DUMMYFUNCTION("GOOGLETRANSLATE(English!B621, ""en"", ""bg"")"),"биология")</f>
        <v>биология</v>
      </c>
      <c r="C621" s="1" t="str">
        <f ca="1">IFERROR(__xludf.DUMMYFUNCTION("GOOGLETRANSLATE(English!C621, ""en"", ""bg"")"),"средата")</f>
        <v>средата</v>
      </c>
      <c r="D621" s="1" t="str">
        <f ca="1">IFERROR(__xludf.DUMMYFUNCTION("GOOGLETRANSLATE(English!D621, ""en"", ""bg"")"),"клетки")</f>
        <v>клетки</v>
      </c>
      <c r="E621" s="1" t="str">
        <f ca="1">IFERROR(__xludf.DUMMYFUNCTION("GOOGLETRANSLATE(English!E621, ""en"", ""bg"")"),"Имам научен въпрос: Какво е клетка?")</f>
        <v>Имам научен въпрос: Какво е клетка?</v>
      </c>
      <c r="F621" s="1" t="str">
        <f ca="1">IFERROR(__xludf.DUMMYFUNCTION("GOOGLETRANSLATE(English!F621,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621" s="1" t="str">
        <f ca="1">IFERROR(__xludf.DUMMYFUNCTION("GOOGLETRANSLATE(English!G621, ""en"", ""bg"")"),"разговор")</f>
        <v>разговор</v>
      </c>
      <c r="H621" s="1" t="str">
        <f ca="1">IFERROR(__xludf.DUMMYFUNCTION("GOOGLETRANSLATE(English!H621, ""en"", ""bg"")"),"образователна_помощ")</f>
        <v>образователна_помощ</v>
      </c>
    </row>
    <row r="622" spans="1:8" ht="13.2" x14ac:dyDescent="0.25">
      <c r="A622" s="1" t="str">
        <f ca="1">IFERROR(__xludf.DUMMYFUNCTION("GOOGLETRANSLATE(English!A622, ""en"", ""bg"")"),"hw_07761")</f>
        <v>hw_07761</v>
      </c>
      <c r="B622" s="1" t="str">
        <f ca="1">IFERROR(__xludf.DUMMYFUNCTION("GOOGLETRANSLATE(English!B622, ""en"", ""bg"")"),"химия")</f>
        <v>химия</v>
      </c>
      <c r="C622" s="1" t="str">
        <f ca="1">IFERROR(__xludf.DUMMYFUNCTION("GOOGLETRANSLATE(English!C622, ""en"", ""bg"")"),"високо")</f>
        <v>високо</v>
      </c>
      <c r="D622" s="1" t="str">
        <f ca="1">IFERROR(__xludf.DUMMYFUNCTION("GOOGLETRANSLATE(English!D622, ""en"", ""bg"")"),"скорости на реакция")</f>
        <v>скорости на реакция</v>
      </c>
      <c r="E622" s="1" t="str">
        <f ca="1">IFERROR(__xludf.DUMMYFUNCTION("GOOGLETRANSLATE(English!E622, ""en"", ""bg"")"),"Имам проблеми с темпото на реакция в домашните си.")</f>
        <v>Имам проблеми с темпото на реакция в домашните си.</v>
      </c>
      <c r="F622" s="1" t="str">
        <f ca="1">IFERROR(__xludf.DUMMYFUNCTION("GOOGLETRANSLATE(English!F622,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622" s="1" t="str">
        <f ca="1">IFERROR(__xludf.DUMMYFUNCTION("GOOGLETRANSLATE(English!G622, ""en"", ""bg"")"),"помощ_за_домашно_изпълнение")</f>
        <v>помощ_за_домашно_изпълнение</v>
      </c>
      <c r="H622" s="1" t="str">
        <f ca="1">IFERROR(__xludf.DUMMYFUNCTION("GOOGLETRANSLATE(English!H622, ""en"", ""bg"")"),"помощ_за_домашно_задаване")</f>
        <v>помощ_за_домашно_задаване</v>
      </c>
    </row>
    <row r="623" spans="1:8" ht="13.2" x14ac:dyDescent="0.25">
      <c r="A623" s="1" t="str">
        <f ca="1">IFERROR(__xludf.DUMMYFUNCTION("GOOGLETRANSLATE(English!A623, ""en"", ""bg"")"),"conv_04677")</f>
        <v>conv_04677</v>
      </c>
      <c r="B623" s="1" t="str">
        <f ca="1">IFERROR(__xludf.DUMMYFUNCTION("GOOGLETRANSLATE(English!B623, ""en"", ""bg"")"),"физика")</f>
        <v>физика</v>
      </c>
      <c r="C623" s="1" t="str">
        <f ca="1">IFERROR(__xludf.DUMMYFUNCTION("GOOGLETRANSLATE(English!C623, ""en"", ""bg"")"),"високо")</f>
        <v>високо</v>
      </c>
      <c r="D623" s="1" t="str">
        <f ca="1">IFERROR(__xludf.DUMMYFUNCTION("GOOGLETRANSLATE(English!D623, ""en"", ""bg"")"),"оптика")</f>
        <v>оптика</v>
      </c>
      <c r="E623" s="1" t="str">
        <f ca="1">IFERROR(__xludf.DUMMYFUNCTION("GOOGLETRANSLATE(English!E623, ""en"", ""bg"")"),"Здравей, преподавателю! Можеш ли да ми обясниш оптиката?")</f>
        <v>Здравей, преподавателю! Можеш ли да ми обясниш оптиката?</v>
      </c>
      <c r="F623" s="1" t="str">
        <f ca="1">IFERROR(__xludf.DUMMYFUNCTION("GOOGLETRANSLATE(English!F623,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623" s="1" t="str">
        <f ca="1">IFERROR(__xludf.DUMMYFUNCTION("GOOGLETRANSLATE(English!G623, ""en"", ""bg"")"),"разговор")</f>
        <v>разговор</v>
      </c>
      <c r="H623" s="1" t="str">
        <f ca="1">IFERROR(__xludf.DUMMYFUNCTION("GOOGLETRANSLATE(English!H623, ""en"", ""bg"")"),"образователна_помощ")</f>
        <v>образователна_помощ</v>
      </c>
    </row>
    <row r="624" spans="1:8" ht="13.2" x14ac:dyDescent="0.25">
      <c r="A624" s="1" t="str">
        <f ca="1">IFERROR(__xludf.DUMMYFUNCTION("GOOGLETRANSLATE(English!A624, ""en"", ""bg"")"),"qa_06299")</f>
        <v>qa_06299</v>
      </c>
      <c r="B624" s="1" t="str">
        <f ca="1">IFERROR(__xludf.DUMMYFUNCTION("GOOGLETRANSLATE(English!B624, ""en"", ""bg"")"),"физика")</f>
        <v>физика</v>
      </c>
      <c r="C624" s="1" t="str">
        <f ca="1">IFERROR(__xludf.DUMMYFUNCTION("GOOGLETRANSLATE(English!C624, ""en"", ""bg"")"),"високо")</f>
        <v>високо</v>
      </c>
      <c r="D624" s="1" t="str">
        <f ca="1">IFERROR(__xludf.DUMMYFUNCTION("GOOGLETRANSLATE(English!D624, ""en"", ""bg"")"),"електромагнетизъм")</f>
        <v>електромагнетизъм</v>
      </c>
      <c r="E624" s="1" t="str">
        <f ca="1">IFERROR(__xludf.DUMMYFUNCTION("GOOGLETRANSLATE(English!E624, ""en"", ""bg"")"),"Как работи електромагнетизмът във физиката?")</f>
        <v>Как работи електромагнетизмът във физиката?</v>
      </c>
      <c r="F624" s="1" t="str">
        <f ca="1">IFERROR(__xludf.DUMMYFUNCTION("GOOGLETRANSLATE(English!F624,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624" s="1" t="str">
        <f ca="1">IFERROR(__xludf.DUMMYFUNCTION("GOOGLETRANSLATE(English!G624, ""en"", ""bg"")"),"direct_qa")</f>
        <v>direct_qa</v>
      </c>
      <c r="H624" s="1" t="str">
        <f ca="1">IFERROR(__xludf.DUMMYFUNCTION("GOOGLETRANSLATE(English!H624, ""en"", ""bg"")"),"заявка_за_знание")</f>
        <v>заявка_за_знание</v>
      </c>
    </row>
    <row r="625" spans="1:8" ht="13.2" x14ac:dyDescent="0.25">
      <c r="A625" s="1" t="str">
        <f ca="1">IFERROR(__xludf.DUMMYFUNCTION("GOOGLETRANSLATE(English!A625, ""en"", ""bg"")"),"hw_14038")</f>
        <v>hw_14038</v>
      </c>
      <c r="B625" s="1" t="str">
        <f ca="1">IFERROR(__xludf.DUMMYFUNCTION("GOOGLETRANSLATE(English!B625, ""en"", ""bg"")"),"физика")</f>
        <v>физика</v>
      </c>
      <c r="C625" s="1" t="str">
        <f ca="1">IFERROR(__xludf.DUMMYFUNCTION("GOOGLETRANSLATE(English!C625, ""en"", ""bg"")"),"средата")</f>
        <v>средата</v>
      </c>
      <c r="D625" s="1" t="str">
        <f ca="1">IFERROR(__xludf.DUMMYFUNCTION("GOOGLETRANSLATE(English!D625, ""en"", ""bg"")"),"прости схеми")</f>
        <v>прости схеми</v>
      </c>
      <c r="E625" s="1" t="str">
        <f ca="1">IFERROR(__xludf.DUMMYFUNCTION("GOOGLETRANSLATE(English!E625, ""en"", ""bg"")"),"Трябва да разбирам прости електрически схеми за изпита си.")</f>
        <v>Трябва да разбирам прости електрически схеми за изпита си.</v>
      </c>
      <c r="F625" s="1" t="str">
        <f ca="1">IFERROR(__xludf.DUMMYFUNCTION("GOOGLETRANSLATE(English!F625,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625" s="1" t="str">
        <f ca="1">IFERROR(__xludf.DUMMYFUNCTION("GOOGLETRANSLATE(English!G625, ""en"", ""bg"")"),"помощ_за_домашно_изпълнение")</f>
        <v>помощ_за_домашно_изпълнение</v>
      </c>
      <c r="H625" s="1" t="str">
        <f ca="1">IFERROR(__xludf.DUMMYFUNCTION("GOOGLETRANSLATE(English!H625, ""en"", ""bg"")"),"помощ_за_домашно_задаване")</f>
        <v>помощ_за_домашно_задаване</v>
      </c>
    </row>
    <row r="626" spans="1:8" ht="13.2" x14ac:dyDescent="0.25">
      <c r="A626" s="1" t="str">
        <f ca="1">IFERROR(__xludf.DUMMYFUNCTION("GOOGLETRANSLATE(English!A626, ""en"", ""bg"")"),"conv_14507")</f>
        <v>conv_14507</v>
      </c>
      <c r="B626" s="1" t="str">
        <f ca="1">IFERROR(__xludf.DUMMYFUNCTION("GOOGLETRANSLATE(English!B626, ""en"", ""bg"")"),"биология")</f>
        <v>биология</v>
      </c>
      <c r="C626" s="1" t="str">
        <f ca="1">IFERROR(__xludf.DUMMYFUNCTION("GOOGLETRANSLATE(English!C626, ""en"", ""bg"")"),"елементарен")</f>
        <v>елементарен</v>
      </c>
      <c r="D626" s="1" t="str">
        <f ca="1">IFERROR(__xludf.DUMMYFUNCTION("GOOGLETRANSLATE(English!D626, ""en"", ""bg"")"),"жизнени цикли")</f>
        <v>жизнени цикли</v>
      </c>
      <c r="E626" s="1" t="str">
        <f ca="1">IFERROR(__xludf.DUMMYFUNCTION("GOOGLETRANSLATE(English!E626, ""en"", ""bg"")"),"Имам нужда от помощ с домашното си. Как работят жизнените цикли?")</f>
        <v>Имам нужда от помощ с домашното си. Как работят жизнените цикли?</v>
      </c>
      <c r="F626" s="1" t="str">
        <f ca="1">IFERROR(__xludf.DUMMYFUNCTION("GOOGLETRANSLATE(English!F626,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626" s="1" t="str">
        <f ca="1">IFERROR(__xludf.DUMMYFUNCTION("GOOGLETRANSLATE(English!G626, ""en"", ""bg"")"),"разговор")</f>
        <v>разговор</v>
      </c>
      <c r="H626" s="1" t="str">
        <f ca="1">IFERROR(__xludf.DUMMYFUNCTION("GOOGLETRANSLATE(English!H626, ""en"", ""bg"")"),"образователна_помощ")</f>
        <v>образователна_помощ</v>
      </c>
    </row>
    <row r="627" spans="1:8" ht="13.2" x14ac:dyDescent="0.25">
      <c r="A627" s="1" t="str">
        <f ca="1">IFERROR(__xludf.DUMMYFUNCTION("GOOGLETRANSLATE(English!A627, ""en"", ""bg"")"),"qa_07035")</f>
        <v>qa_07035</v>
      </c>
      <c r="B627" s="1" t="str">
        <f ca="1">IFERROR(__xludf.DUMMYFUNCTION("GOOGLETRANSLATE(English!B627, ""en"", ""bg"")"),"биология")</f>
        <v>биология</v>
      </c>
      <c r="C627" s="1" t="str">
        <f ca="1">IFERROR(__xludf.DUMMYFUNCTION("GOOGLETRANSLATE(English!C627, ""en"", ""bg"")"),"елементарен")</f>
        <v>елементарен</v>
      </c>
      <c r="D627" s="1" t="str">
        <f ca="1">IFERROR(__xludf.DUMMYFUNCTION("GOOGLETRANSLATE(English!D627, ""en"", ""bg"")"),"жизнени цикли")</f>
        <v>жизнени цикли</v>
      </c>
      <c r="E627" s="1" t="str">
        <f ca="1">IFERROR(__xludf.DUMMYFUNCTION("GOOGLETRANSLATE(English!E627, ""en"", ""bg"")"),"Можете ли да ми разкажете за жизнените цикли?")</f>
        <v>Можете ли да ми разкажете за жизнените цикли?</v>
      </c>
      <c r="F627" s="1" t="str">
        <f ca="1">IFERROR(__xludf.DUMMYFUNCTION("GOOGLETRANSLATE(English!F627,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627" s="1" t="str">
        <f ca="1">IFERROR(__xludf.DUMMYFUNCTION("GOOGLETRANSLATE(English!G627, ""en"", ""bg"")"),"direct_qa")</f>
        <v>direct_qa</v>
      </c>
      <c r="H627" s="1" t="str">
        <f ca="1">IFERROR(__xludf.DUMMYFUNCTION("GOOGLETRANSLATE(English!H627, ""en"", ""bg"")"),"заявка_за_знание")</f>
        <v>заявка_за_знание</v>
      </c>
    </row>
    <row r="628" spans="1:8" ht="13.2" x14ac:dyDescent="0.25">
      <c r="A628" s="1" t="str">
        <f ca="1">IFERROR(__xludf.DUMMYFUNCTION("GOOGLETRANSLATE(English!A628, ""en"", ""bg"")"),"conv_17596")</f>
        <v>conv_17596</v>
      </c>
      <c r="B628" s="1" t="str">
        <f ca="1">IFERROR(__xludf.DUMMYFUNCTION("GOOGLETRANSLATE(English!B628, ""en"", ""bg"")"),"физика")</f>
        <v>физика</v>
      </c>
      <c r="C628" s="1" t="str">
        <f ca="1">IFERROR(__xludf.DUMMYFUNCTION("GOOGLETRANSLATE(English!C628, ""en"", ""bg"")"),"елементарен")</f>
        <v>елементарен</v>
      </c>
      <c r="D628" s="1" t="str">
        <f ca="1">IFERROR(__xludf.DUMMYFUNCTION("GOOGLETRANSLATE(English!D628, ""en"", ""bg"")"),"прости машини")</f>
        <v>прости машини</v>
      </c>
      <c r="E628" s="1" t="str">
        <f ca="1">IFERROR(__xludf.DUMMYFUNCTION("GOOGLETRANSLATE(English!E628, ""en"", ""bg"")"),"Можете ли да ми помогнете? Можете ли да ми обясните прости машини?")</f>
        <v>Можете ли да ми помогнете? Можете ли да ми обясните прости машини?</v>
      </c>
      <c r="F628" s="1" t="str">
        <f ca="1">IFERROR(__xludf.DUMMYFUNCTION("GOOGLETRANSLATE(English!F628,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628" s="1" t="str">
        <f ca="1">IFERROR(__xludf.DUMMYFUNCTION("GOOGLETRANSLATE(English!G628, ""en"", ""bg"")"),"разговор")</f>
        <v>разговор</v>
      </c>
      <c r="H628" s="1" t="str">
        <f ca="1">IFERROR(__xludf.DUMMYFUNCTION("GOOGLETRANSLATE(English!H628, ""en"", ""bg"")"),"образователна_помощ")</f>
        <v>образователна_помощ</v>
      </c>
    </row>
    <row r="629" spans="1:8" ht="13.2" x14ac:dyDescent="0.25">
      <c r="A629" s="1" t="str">
        <f ca="1">IFERROR(__xludf.DUMMYFUNCTION("GOOGLETRANSLATE(English!A629, ""en"", ""bg"")"),"conv_19547")</f>
        <v>conv_19547</v>
      </c>
      <c r="B629" s="1" t="str">
        <f ca="1">IFERROR(__xludf.DUMMYFUNCTION("GOOGLETRANSLATE(English!B629, ""en"", ""bg"")"),"химия")</f>
        <v>химия</v>
      </c>
      <c r="C629" s="1" t="str">
        <f ca="1">IFERROR(__xludf.DUMMYFUNCTION("GOOGLETRANSLATE(English!C629, ""en"", ""bg"")"),"елементарен")</f>
        <v>елементарен</v>
      </c>
      <c r="D629" s="1" t="str">
        <f ca="1">IFERROR(__xludf.DUMMYFUNCTION("GOOGLETRANSLATE(English!D629, ""en"", ""bg"")"),"разтваряне")</f>
        <v>разтваряне</v>
      </c>
      <c r="E629" s="1" t="str">
        <f ca="1">IFERROR(__xludf.DUMMYFUNCTION("GOOGLETRANSLATE(English!E629, ""en"", ""bg"")"),"Помогнете ми да уча за теста. Защо е важно да се учи разтварянето?")</f>
        <v>Помогнете ми да уча за теста. Защо е важно да се учи разтварянето?</v>
      </c>
      <c r="F629" s="1" t="str">
        <f ca="1">IFERROR(__xludf.DUMMYFUNCTION("GOOGLETRANSLATE(English!F629,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629" s="1" t="str">
        <f ca="1">IFERROR(__xludf.DUMMYFUNCTION("GOOGLETRANSLATE(English!G629, ""en"", ""bg"")"),"разговор")</f>
        <v>разговор</v>
      </c>
      <c r="H629" s="1" t="str">
        <f ca="1">IFERROR(__xludf.DUMMYFUNCTION("GOOGLETRANSLATE(English!H629, ""en"", ""bg"")"),"образователна_помощ")</f>
        <v>образователна_помощ</v>
      </c>
    </row>
    <row r="630" spans="1:8" ht="13.2" x14ac:dyDescent="0.25">
      <c r="A630" s="1" t="str">
        <f ca="1">IFERROR(__xludf.DUMMYFUNCTION("GOOGLETRANSLATE(English!A630, ""en"", ""bg"")"),"hw_03127")</f>
        <v>hw_03127</v>
      </c>
      <c r="B630" s="1" t="str">
        <f ca="1">IFERROR(__xludf.DUMMYFUNCTION("GOOGLETRANSLATE(English!B630, ""en"", ""bg"")"),"биология")</f>
        <v>биология</v>
      </c>
      <c r="C630" s="1" t="str">
        <f ca="1">IFERROR(__xludf.DUMMYFUNCTION("GOOGLETRANSLATE(English!C630, ""en"", ""bg"")"),"средата")</f>
        <v>средата</v>
      </c>
      <c r="D630" s="1" t="str">
        <f ca="1">IFERROR(__xludf.DUMMYFUNCTION("GOOGLETRANSLATE(English!D630, ""en"", ""bg"")"),"дишане")</f>
        <v>дишане</v>
      </c>
      <c r="E630" s="1" t="str">
        <f ca="1">IFERROR(__xludf.DUMMYFUNCTION("GOOGLETRANSLATE(English!E630, ""en"", ""bg"")"),"Можете ли да обясните дишането за моя научен проект?")</f>
        <v>Можете ли да обясните дишането за моя научен проект?</v>
      </c>
      <c r="F630" s="1" t="str">
        <f ca="1">IFERROR(__xludf.DUMMYFUNCTION("GOOGLETRANSLATE(English!F630,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630" s="1" t="str">
        <f ca="1">IFERROR(__xludf.DUMMYFUNCTION("GOOGLETRANSLATE(English!G630, ""en"", ""bg"")"),"помощ_за_домашно_изпълнение")</f>
        <v>помощ_за_домашно_изпълнение</v>
      </c>
      <c r="H630" s="1" t="str">
        <f ca="1">IFERROR(__xludf.DUMMYFUNCTION("GOOGLETRANSLATE(English!H630, ""en"", ""bg"")"),"помощ_за_домашно_задаване")</f>
        <v>помощ_за_домашно_задаване</v>
      </c>
    </row>
    <row r="631" spans="1:8" ht="13.2" x14ac:dyDescent="0.25">
      <c r="A631" s="1" t="str">
        <f ca="1">IFERROR(__xludf.DUMMYFUNCTION("GOOGLETRANSLATE(English!A631, ""en"", ""bg"")"),"conv_11472")</f>
        <v>conv_11472</v>
      </c>
      <c r="B631" s="1" t="str">
        <f ca="1">IFERROR(__xludf.DUMMYFUNCTION("GOOGLETRANSLATE(English!B631, ""en"", ""bg"")"),"физика")</f>
        <v>физика</v>
      </c>
      <c r="C631" s="1" t="str">
        <f ca="1">IFERROR(__xludf.DUMMYFUNCTION("GOOGLETRANSLATE(English!C631, ""en"", ""bg"")"),"средата")</f>
        <v>средата</v>
      </c>
      <c r="D631" s="1" t="str">
        <f ca="1">IFERROR(__xludf.DUMMYFUNCTION("GOOGLETRANSLATE(English!D631, ""en"", ""bg"")"),"състояния на материята")</f>
        <v>състояния на материята</v>
      </c>
      <c r="E631" s="1" t="str">
        <f ca="1">IFERROR(__xludf.DUMMYFUNCTION("GOOGLETRANSLATE(English!E631, ""en"", ""bg"")"),"Помогни ми да уча за теста. Можеш ли да ми обясниш състоянията на материята?")</f>
        <v>Помогни ми да уча за теста. Можеш ли да ми обясниш състоянията на материята?</v>
      </c>
      <c r="F631" s="1" t="str">
        <f ca="1">IFERROR(__xludf.DUMMYFUNCTION("GOOGLETRANSLATE(English!F631,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631" s="1" t="str">
        <f ca="1">IFERROR(__xludf.DUMMYFUNCTION("GOOGLETRANSLATE(English!G631, ""en"", ""bg"")"),"разговор")</f>
        <v>разговор</v>
      </c>
      <c r="H631" s="1" t="str">
        <f ca="1">IFERROR(__xludf.DUMMYFUNCTION("GOOGLETRANSLATE(English!H631, ""en"", ""bg"")"),"образователна_помощ")</f>
        <v>образователна_помощ</v>
      </c>
    </row>
    <row r="632" spans="1:8" ht="13.2" x14ac:dyDescent="0.25">
      <c r="A632" s="1" t="str">
        <f ca="1">IFERROR(__xludf.DUMMYFUNCTION("GOOGLETRANSLATE(English!A632, ""en"", ""bg"")"),"conv_00065")</f>
        <v>conv_00065</v>
      </c>
      <c r="B632" s="1" t="str">
        <f ca="1">IFERROR(__xludf.DUMMYFUNCTION("GOOGLETRANSLATE(English!B632, ""en"", ""bg"")"),"физика")</f>
        <v>физика</v>
      </c>
      <c r="C632" s="1" t="str">
        <f ca="1">IFERROR(__xludf.DUMMYFUNCTION("GOOGLETRANSLATE(English!C632, ""en"", ""bg"")"),"елементарен")</f>
        <v>елементарен</v>
      </c>
      <c r="D632" s="1" t="str">
        <f ca="1">IFERROR(__xludf.DUMMYFUNCTION("GOOGLETRANSLATE(English!D632, ""en"", ""bg"")"),"магнити")</f>
        <v>магнити</v>
      </c>
      <c r="E632" s="1" t="str">
        <f ca="1">IFERROR(__xludf.DUMMYFUNCTION("GOOGLETRANSLATE(English!E632, ""en"", ""bg"")"),"Можете ли да ми обясните това? Кои са полюсите на магнита?")</f>
        <v>Можете ли да ми обясните това? Кои са полюсите на магнита?</v>
      </c>
      <c r="F632" s="1" t="str">
        <f ca="1">IFERROR(__xludf.DUMMYFUNCTION("GOOGLETRANSLATE(English!F632,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632" s="1" t="str">
        <f ca="1">IFERROR(__xludf.DUMMYFUNCTION("GOOGLETRANSLATE(English!G632, ""en"", ""bg"")"),"разговор")</f>
        <v>разговор</v>
      </c>
      <c r="H632" s="1" t="str">
        <f ca="1">IFERROR(__xludf.DUMMYFUNCTION("GOOGLETRANSLATE(English!H632, ""en"", ""bg"")"),"образователна_помощ")</f>
        <v>образователна_помощ</v>
      </c>
    </row>
    <row r="633" spans="1:8" ht="13.2" x14ac:dyDescent="0.25">
      <c r="A633" s="1" t="str">
        <f ca="1">IFERROR(__xludf.DUMMYFUNCTION("GOOGLETRANSLATE(English!A633, ""en"", ""bg"")"),"qa_05302")</f>
        <v>qa_05302</v>
      </c>
      <c r="B633" s="1" t="str">
        <f ca="1">IFERROR(__xludf.DUMMYFUNCTION("GOOGLETRANSLATE(English!B633, ""en"", ""bg"")"),"химия")</f>
        <v>химия</v>
      </c>
      <c r="C633" s="1" t="str">
        <f ca="1">IFERROR(__xludf.DUMMYFUNCTION("GOOGLETRANSLATE(English!C633, ""en"", ""bg"")"),"елементарен")</f>
        <v>елементарен</v>
      </c>
      <c r="D633" s="1" t="str">
        <f ca="1">IFERROR(__xludf.DUMMYFUNCTION("GOOGLETRANSLATE(English!D633, ""en"", ""bg"")"),"твърди вещества, течности, газове")</f>
        <v>твърди вещества, течности, газове</v>
      </c>
      <c r="E633" s="1" t="str">
        <f ca="1">IFERROR(__xludf.DUMMYFUNCTION("GOOGLETRANSLATE(English!E633, ""en"", ""bg"")"),"Защо ледът плава по водата?")</f>
        <v>Защо ледът плава по водата?</v>
      </c>
      <c r="F633" s="1" t="str">
        <f ca="1">IFERROR(__xludf.DUMMYFUNCTION("GOOGLETRANSLATE(English!F633,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633" s="1" t="str">
        <f ca="1">IFERROR(__xludf.DUMMYFUNCTION("GOOGLETRANSLATE(English!G633, ""en"", ""bg"")"),"direct_qa")</f>
        <v>direct_qa</v>
      </c>
      <c r="H633" s="1" t="str">
        <f ca="1">IFERROR(__xludf.DUMMYFUNCTION("GOOGLETRANSLATE(English!H633, ""en"", ""bg"")"),"заявка_за_знание")</f>
        <v>заявка_за_знание</v>
      </c>
    </row>
    <row r="634" spans="1:8" ht="13.2" x14ac:dyDescent="0.25">
      <c r="A634" s="1" t="str">
        <f ca="1">IFERROR(__xludf.DUMMYFUNCTION("GOOGLETRANSLATE(English!A634, ""en"", ""bg"")"),"qa_10277")</f>
        <v>qa_10277</v>
      </c>
      <c r="B634" s="1" t="str">
        <f ca="1">IFERROR(__xludf.DUMMYFUNCTION("GOOGLETRANSLATE(English!B634, ""en"", ""bg"")"),"биология")</f>
        <v>биология</v>
      </c>
      <c r="C634" s="1" t="str">
        <f ca="1">IFERROR(__xludf.DUMMYFUNCTION("GOOGLETRANSLATE(English!C634, ""en"", ""bg"")"),"средата")</f>
        <v>средата</v>
      </c>
      <c r="D634" s="1" t="str">
        <f ca="1">IFERROR(__xludf.DUMMYFUNCTION("GOOGLETRANSLATE(English!D634, ""en"", ""bg"")"),"класификация")</f>
        <v>класификация</v>
      </c>
      <c r="E634" s="1" t="str">
        <f ca="1">IFERROR(__xludf.DUMMYFUNCTION("GOOGLETRANSLATE(English!E634, ""en"", ""bg"")"),"Можете ли да ми кажете за класификацията?")</f>
        <v>Можете ли да ми кажете за класификацията?</v>
      </c>
      <c r="F634" s="1" t="str">
        <f ca="1">IFERROR(__xludf.DUMMYFUNCTION("GOOGLETRANSLATE(English!F634,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634" s="1" t="str">
        <f ca="1">IFERROR(__xludf.DUMMYFUNCTION("GOOGLETRANSLATE(English!G634, ""en"", ""bg"")"),"direct_qa")</f>
        <v>direct_qa</v>
      </c>
      <c r="H634" s="1" t="str">
        <f ca="1">IFERROR(__xludf.DUMMYFUNCTION("GOOGLETRANSLATE(English!H634, ""en"", ""bg"")"),"заявка_за_знание")</f>
        <v>заявка_за_знание</v>
      </c>
    </row>
    <row r="635" spans="1:8" ht="13.2" x14ac:dyDescent="0.25">
      <c r="A635" s="1" t="str">
        <f ca="1">IFERROR(__xludf.DUMMYFUNCTION("GOOGLETRANSLATE(English!A635, ""en"", ""bg"")"),"hw_12891")</f>
        <v>hw_12891</v>
      </c>
      <c r="B635" s="1" t="str">
        <f ca="1">IFERROR(__xludf.DUMMYFUNCTION("GOOGLETRANSLATE(English!B635, ""en"", ""bg"")"),"физика")</f>
        <v>физика</v>
      </c>
      <c r="C635" s="1" t="str">
        <f ca="1">IFERROR(__xludf.DUMMYFUNCTION("GOOGLETRANSLATE(English!C635, ""en"", ""bg"")"),"високо")</f>
        <v>високо</v>
      </c>
      <c r="D635" s="1" t="str">
        <f ca="1">IFERROR(__xludf.DUMMYFUNCTION("GOOGLETRANSLATE(English!D635, ""en"", ""bg"")"),"атомна структура")</f>
        <v>атомна структура</v>
      </c>
      <c r="E635" s="1" t="str">
        <f ca="1">IFERROR(__xludf.DUMMYFUNCTION("GOOGLETRANSLATE(English!E635, ""en"", ""bg"")"),"Трябва да разбера атомната структура за изпита си.")</f>
        <v>Трябва да разбера атомната структура за изпита си.</v>
      </c>
      <c r="F635" s="1" t="str">
        <f ca="1">IFERROR(__xludf.DUMMYFUNCTION("GOOGLETRANSLATE(English!F635,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635" s="1" t="str">
        <f ca="1">IFERROR(__xludf.DUMMYFUNCTION("GOOGLETRANSLATE(English!G635, ""en"", ""bg"")"),"помощ_за_домашно_изпълнение")</f>
        <v>помощ_за_домашно_изпълнение</v>
      </c>
      <c r="H635" s="1" t="str">
        <f ca="1">IFERROR(__xludf.DUMMYFUNCTION("GOOGLETRANSLATE(English!H635, ""en"", ""bg"")"),"помощ_за_домашно_задаване")</f>
        <v>помощ_за_домашно_задаване</v>
      </c>
    </row>
    <row r="636" spans="1:8" ht="13.2" x14ac:dyDescent="0.25">
      <c r="A636" s="1" t="str">
        <f ca="1">IFERROR(__xludf.DUMMYFUNCTION("GOOGLETRANSLATE(English!A636, ""en"", ""bg"")"),"conv_08939")</f>
        <v>conv_08939</v>
      </c>
      <c r="B636" s="1" t="str">
        <f ca="1">IFERROR(__xludf.DUMMYFUNCTION("GOOGLETRANSLATE(English!B636, ""en"", ""bg"")"),"химия")</f>
        <v>химия</v>
      </c>
      <c r="C636" s="1" t="str">
        <f ca="1">IFERROR(__xludf.DUMMYFUNCTION("GOOGLETRANSLATE(English!C636, ""en"", ""bg"")"),"средата")</f>
        <v>средата</v>
      </c>
      <c r="D636" s="1" t="str">
        <f ca="1">IFERROR(__xludf.DUMMYFUNCTION("GOOGLETRANSLATE(English!D636, ""en"", ""bg"")"),"съединения срещу елементи")</f>
        <v>съединения срещу елементи</v>
      </c>
      <c r="E636" s="1" t="str">
        <f ca="1">IFERROR(__xludf.DUMMYFUNCTION("GOOGLETRANSLATE(English!E636, ""en"", ""bg"")"),"Помогнете ми да уча за теста. Можете ли да ми помогнете да разбера по-добре съединенията спрямо елементите?")</f>
        <v>Помогнете ми да уча за теста. Можете ли да ми помогнете да разбера по-добре съединенията спрямо елементите?</v>
      </c>
      <c r="F636" s="1" t="str">
        <f ca="1">IFERROR(__xludf.DUMMYFUNCTION("GOOGLETRANSLATE(English!F636,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636" s="1" t="str">
        <f ca="1">IFERROR(__xludf.DUMMYFUNCTION("GOOGLETRANSLATE(English!G636, ""en"", ""bg"")"),"разговор")</f>
        <v>разговор</v>
      </c>
      <c r="H636" s="1" t="str">
        <f ca="1">IFERROR(__xludf.DUMMYFUNCTION("GOOGLETRANSLATE(English!H636, ""en"", ""bg"")"),"образователна_помощ")</f>
        <v>образователна_помощ</v>
      </c>
    </row>
    <row r="637" spans="1:8" ht="13.2" x14ac:dyDescent="0.25">
      <c r="A637" s="1" t="str">
        <f ca="1">IFERROR(__xludf.DUMMYFUNCTION("GOOGLETRANSLATE(English!A637, ""en"", ""bg"")"),"conv_11373")</f>
        <v>conv_11373</v>
      </c>
      <c r="B637" s="1" t="str">
        <f ca="1">IFERROR(__xludf.DUMMYFUNCTION("GOOGLETRANSLATE(English!B637, ""en"", ""bg"")"),"физика")</f>
        <v>физика</v>
      </c>
      <c r="C637" s="1" t="str">
        <f ca="1">IFERROR(__xludf.DUMMYFUNCTION("GOOGLETRANSLATE(English!C637, ""en"", ""bg"")"),"високо")</f>
        <v>високо</v>
      </c>
      <c r="D637" s="1" t="str">
        <f ca="1">IFERROR(__xludf.DUMMYFUNCTION("GOOGLETRANSLATE(English!D637, ""en"", ""bg"")"),"атомна структура")</f>
        <v>атомна структура</v>
      </c>
      <c r="E637" s="1" t="str">
        <f ca="1">IFERROR(__xludf.DUMMYFUNCTION("GOOGLETRANSLATE(English!E637, ""en"", ""bg"")"),"Имам нужда от помощ с домашното си. Какво трябва да знам за атомната структура?")</f>
        <v>Имам нужда от помощ с домашното си. Какво трябва да знам за атомната структура?</v>
      </c>
      <c r="F637" s="1" t="str">
        <f ca="1">IFERROR(__xludf.DUMMYFUNCTION("GOOGLETRANSLATE(English!F637,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637" s="1" t="str">
        <f ca="1">IFERROR(__xludf.DUMMYFUNCTION("GOOGLETRANSLATE(English!G637, ""en"", ""bg"")"),"разговор")</f>
        <v>разговор</v>
      </c>
      <c r="H637" s="1" t="str">
        <f ca="1">IFERROR(__xludf.DUMMYFUNCTION("GOOGLETRANSLATE(English!H637, ""en"", ""bg"")"),"образователна_помощ")</f>
        <v>образователна_помощ</v>
      </c>
    </row>
    <row r="638" spans="1:8" ht="13.2" x14ac:dyDescent="0.25">
      <c r="A638" s="1" t="str">
        <f ca="1">IFERROR(__xludf.DUMMYFUNCTION("GOOGLETRANSLATE(English!A638, ""en"", ""bg"")"),"conv_15250")</f>
        <v>conv_15250</v>
      </c>
      <c r="B638" s="1" t="str">
        <f ca="1">IFERROR(__xludf.DUMMYFUNCTION("GOOGLETRANSLATE(English!B638, ""en"", ""bg"")"),"биология")</f>
        <v>биология</v>
      </c>
      <c r="C638" s="1" t="str">
        <f ca="1">IFERROR(__xludf.DUMMYFUNCTION("GOOGLETRANSLATE(English!C638, ""en"", ""bg"")"),"високо")</f>
        <v>високо</v>
      </c>
      <c r="D638" s="1" t="str">
        <f ca="1">IFERROR(__xludf.DUMMYFUNCTION("GOOGLETRANSLATE(English!D638, ""en"", ""bg"")"),"клетъчно дишане")</f>
        <v>клетъчно дишане</v>
      </c>
      <c r="E638" s="1" t="str">
        <f ca="1">IFERROR(__xludf.DUMMYFUNCTION("GOOGLETRANSLATE(English!E638, ""en"", ""bg"")"),"Имам научен въпрос. Как работи клетъчното дишане?")</f>
        <v>Имам научен въпрос. Как работи клетъчното дишане?</v>
      </c>
      <c r="F638" s="1" t="str">
        <f ca="1">IFERROR(__xludf.DUMMYFUNCTION("GOOGLETRANSLATE(English!F638,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638" s="1" t="str">
        <f ca="1">IFERROR(__xludf.DUMMYFUNCTION("GOOGLETRANSLATE(English!G638, ""en"", ""bg"")"),"разговор")</f>
        <v>разговор</v>
      </c>
      <c r="H638" s="1" t="str">
        <f ca="1">IFERROR(__xludf.DUMMYFUNCTION("GOOGLETRANSLATE(English!H638, ""en"", ""bg"")"),"образователна_помощ")</f>
        <v>образователна_помощ</v>
      </c>
    </row>
    <row r="639" spans="1:8" ht="13.2" x14ac:dyDescent="0.25">
      <c r="A639" s="1" t="str">
        <f ca="1">IFERROR(__xludf.DUMMYFUNCTION("GOOGLETRANSLATE(English!A639, ""en"", ""bg"")"),"conv_03551")</f>
        <v>conv_03551</v>
      </c>
      <c r="B639" s="1" t="str">
        <f ca="1">IFERROR(__xludf.DUMMYFUNCTION("GOOGLETRANSLATE(English!B639, ""en"", ""bg"")"),"физика")</f>
        <v>физика</v>
      </c>
      <c r="C639" s="1" t="str">
        <f ca="1">IFERROR(__xludf.DUMMYFUNCTION("GOOGLETRANSLATE(English!C639, ""en"", ""bg"")"),"високо")</f>
        <v>високо</v>
      </c>
      <c r="D639" s="1" t="str">
        <f ca="1">IFERROR(__xludf.DUMMYFUNCTION("GOOGLETRANSLATE(English!D639, ""en"", ""bg"")"),"електромагнетизъм")</f>
        <v>електромагнетизъм</v>
      </c>
      <c r="E639" s="1" t="str">
        <f ca="1">IFERROR(__xludf.DUMMYFUNCTION("GOOGLETRANSLATE(English!E639, ""en"", ""bg"")"),"Имам научен въпрос. Как работи електромагнетизмът във физиката?")</f>
        <v>Имам научен въпрос. Как работи електромагнетизмът във физиката?</v>
      </c>
      <c r="F639" s="1" t="str">
        <f ca="1">IFERROR(__xludf.DUMMYFUNCTION("GOOGLETRANSLATE(English!F639,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639" s="1" t="str">
        <f ca="1">IFERROR(__xludf.DUMMYFUNCTION("GOOGLETRANSLATE(English!G639, ""en"", ""bg"")"),"разговор")</f>
        <v>разговор</v>
      </c>
      <c r="H639" s="1" t="str">
        <f ca="1">IFERROR(__xludf.DUMMYFUNCTION("GOOGLETRANSLATE(English!H639, ""en"", ""bg"")"),"образователна_помощ")</f>
        <v>образователна_помощ</v>
      </c>
    </row>
    <row r="640" spans="1:8" ht="13.2" x14ac:dyDescent="0.25">
      <c r="A640" s="1" t="str">
        <f ca="1">IFERROR(__xludf.DUMMYFUNCTION("GOOGLETRANSLATE(English!A640, ""en"", ""bg"")"),"conv_07325")</f>
        <v>conv_07325</v>
      </c>
      <c r="B640" s="1" t="str">
        <f ca="1">IFERROR(__xludf.DUMMYFUNCTION("GOOGLETRANSLATE(English!B640, ""en"", ""bg"")"),"физика")</f>
        <v>физика</v>
      </c>
      <c r="C640" s="1" t="str">
        <f ca="1">IFERROR(__xludf.DUMMYFUNCTION("GOOGLETRANSLATE(English!C640, ""en"", ""bg"")"),"високо")</f>
        <v>високо</v>
      </c>
      <c r="D640" s="1" t="str">
        <f ca="1">IFERROR(__xludf.DUMMYFUNCTION("GOOGLETRANSLATE(English!D640, ""en"", ""bg"")"),"атомна структура")</f>
        <v>атомна структура</v>
      </c>
      <c r="E640" s="1" t="str">
        <f ca="1">IFERROR(__xludf.DUMMYFUNCTION("GOOGLETRANSLATE(English!E640, ""en"", ""bg"")"),"Не разбирам тази тема. Какво трябва да знам за атомната структура?")</f>
        <v>Не разбирам тази тема. Какво трябва да знам за атомната структура?</v>
      </c>
      <c r="F640" s="1" t="str">
        <f ca="1">IFERROR(__xludf.DUMMYFUNCTION("GOOGLETRANSLATE(English!F640,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640" s="1" t="str">
        <f ca="1">IFERROR(__xludf.DUMMYFUNCTION("GOOGLETRANSLATE(English!G640, ""en"", ""bg"")"),"разговор")</f>
        <v>разговор</v>
      </c>
      <c r="H640" s="1" t="str">
        <f ca="1">IFERROR(__xludf.DUMMYFUNCTION("GOOGLETRANSLATE(English!H640, ""en"", ""bg"")"),"образователна_помощ")</f>
        <v>образователна_помощ</v>
      </c>
    </row>
    <row r="641" spans="1:8" ht="13.2" x14ac:dyDescent="0.25">
      <c r="A641" s="1" t="str">
        <f ca="1">IFERROR(__xludf.DUMMYFUNCTION("GOOGLETRANSLATE(English!A641, ""en"", ""bg"")"),"conv_09654")</f>
        <v>conv_09654</v>
      </c>
      <c r="B641" s="1" t="str">
        <f ca="1">IFERROR(__xludf.DUMMYFUNCTION("GOOGLETRANSLATE(English!B641, ""en"", ""bg"")"),"биология")</f>
        <v>биология</v>
      </c>
      <c r="C641" s="1" t="str">
        <f ca="1">IFERROR(__xludf.DUMMYFUNCTION("GOOGLETRANSLATE(English!C641, ""en"", ""bg"")"),"елементарен")</f>
        <v>елементарен</v>
      </c>
      <c r="D641" s="1" t="str">
        <f ca="1">IFERROR(__xludf.DUMMYFUNCTION("GOOGLETRANSLATE(English!D641, ""en"", ""bg"")"),"животни")</f>
        <v>животни</v>
      </c>
      <c r="E641" s="1" t="str">
        <f ca="1">IFERROR(__xludf.DUMMYFUNCTION("GOOGLETRANSLATE(English!E641, ""en"", ""bg"")"),"Имам научен въпрос. Как кучетата се грижат за бебетата си?")</f>
        <v>Имам научен въпрос. Как кучетата се грижат за бебетата си?</v>
      </c>
      <c r="F641" s="1" t="str">
        <f ca="1">IFERROR(__xludf.DUMMYFUNCTION("GOOGLETRANSLATE(English!F641,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641" s="1" t="str">
        <f ca="1">IFERROR(__xludf.DUMMYFUNCTION("GOOGLETRANSLATE(English!G641, ""en"", ""bg"")"),"разговор")</f>
        <v>разговор</v>
      </c>
      <c r="H641" s="1" t="str">
        <f ca="1">IFERROR(__xludf.DUMMYFUNCTION("GOOGLETRANSLATE(English!H641, ""en"", ""bg"")"),"образователна_помощ")</f>
        <v>образователна_помощ</v>
      </c>
    </row>
    <row r="642" spans="1:8" ht="13.2" x14ac:dyDescent="0.25">
      <c r="A642" s="1" t="str">
        <f ca="1">IFERROR(__xludf.DUMMYFUNCTION("GOOGLETRANSLATE(English!A642, ""en"", ""bg"")"),"hw_00216")</f>
        <v>hw_00216</v>
      </c>
      <c r="B642" s="1" t="str">
        <f ca="1">IFERROR(__xludf.DUMMYFUNCTION("GOOGLETRANSLATE(English!B642, ""en"", ""bg"")"),"биология")</f>
        <v>биология</v>
      </c>
      <c r="C642" s="1" t="str">
        <f ca="1">IFERROR(__xludf.DUMMYFUNCTION("GOOGLETRANSLATE(English!C642, ""en"", ""bg"")"),"средата")</f>
        <v>средата</v>
      </c>
      <c r="D642" s="1" t="str">
        <f ca="1">IFERROR(__xludf.DUMMYFUNCTION("GOOGLETRANSLATE(English!D642, ""en"", ""bg"")"),"размножаване")</f>
        <v>размножаване</v>
      </c>
      <c r="E642" s="1" t="str">
        <f ca="1">IFERROR(__xludf.DUMMYFUNCTION("GOOGLETRANSLATE(English!E642, ""en"", ""bg"")"),"Домашното ми пита за размножаването. Не го разбирам.")</f>
        <v>Домашното ми пита за размножаването. Не го разбирам.</v>
      </c>
      <c r="F642" s="1" t="str">
        <f ca="1">IFERROR(__xludf.DUMMYFUNCTION("GOOGLETRANSLATE(English!F642,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642" s="1" t="str">
        <f ca="1">IFERROR(__xludf.DUMMYFUNCTION("GOOGLETRANSLATE(English!G642, ""en"", ""bg"")"),"помощ_за_домашно_изпълнение")</f>
        <v>помощ_за_домашно_изпълнение</v>
      </c>
      <c r="H642" s="1" t="str">
        <f ca="1">IFERROR(__xludf.DUMMYFUNCTION("GOOGLETRANSLATE(English!H642, ""en"", ""bg"")"),"помощ_за_домашно_задаване")</f>
        <v>помощ_за_домашно_задаване</v>
      </c>
    </row>
    <row r="643" spans="1:8" ht="13.2" x14ac:dyDescent="0.25">
      <c r="A643" s="1" t="str">
        <f ca="1">IFERROR(__xludf.DUMMYFUNCTION("GOOGLETRANSLATE(English!A643, ""en"", ""bg"")"),"conv_09069")</f>
        <v>conv_09069</v>
      </c>
      <c r="B643" s="1" t="str">
        <f ca="1">IFERROR(__xludf.DUMMYFUNCTION("GOOGLETRANSLATE(English!B643, ""en"", ""bg"")"),"химия")</f>
        <v>химия</v>
      </c>
      <c r="C643" s="1" t="str">
        <f ca="1">IFERROR(__xludf.DUMMYFUNCTION("GOOGLETRANSLATE(English!C643, ""en"", ""bg"")"),"средата")</f>
        <v>средата</v>
      </c>
      <c r="D643" s="1" t="str">
        <f ca="1">IFERROR(__xludf.DUMMYFUNCTION("GOOGLETRANSLATE(English!D643, ""en"", ""bg"")"),"атоми и молекули")</f>
        <v>атоми и молекули</v>
      </c>
      <c r="E643" s="1" t="str">
        <f ca="1">IFERROR(__xludf.DUMMYFUNCTION("GOOGLETRANSLATE(English!E643, ""en"", ""bg"")"),"Здравей, преподавателю! Какво е атом?")</f>
        <v>Здравей, преподавателю! Какво е атом?</v>
      </c>
      <c r="F643" s="1" t="str">
        <f ca="1">IFERROR(__xludf.DUMMYFUNCTION("GOOGLETRANSLATE(English!F643,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643" s="1" t="str">
        <f ca="1">IFERROR(__xludf.DUMMYFUNCTION("GOOGLETRANSLATE(English!G643, ""en"", ""bg"")"),"разговор")</f>
        <v>разговор</v>
      </c>
      <c r="H643" s="1" t="str">
        <f ca="1">IFERROR(__xludf.DUMMYFUNCTION("GOOGLETRANSLATE(English!H643, ""en"", ""bg"")"),"образователна_помощ")</f>
        <v>образователна_помощ</v>
      </c>
    </row>
    <row r="644" spans="1:8" ht="13.2" x14ac:dyDescent="0.25">
      <c r="A644" s="1" t="str">
        <f ca="1">IFERROR(__xludf.DUMMYFUNCTION("GOOGLETRANSLATE(English!A644, ""en"", ""bg"")"),"conv_19918")</f>
        <v>conv_19918</v>
      </c>
      <c r="B644" s="1" t="str">
        <f ca="1">IFERROR(__xludf.DUMMYFUNCTION("GOOGLETRANSLATE(English!B644, ""en"", ""bg"")"),"химия")</f>
        <v>химия</v>
      </c>
      <c r="C644" s="1" t="str">
        <f ca="1">IFERROR(__xludf.DUMMYFUNCTION("GOOGLETRANSLATE(English!C644, ""en"", ""bg"")"),"високо")</f>
        <v>високо</v>
      </c>
      <c r="D644" s="1" t="str">
        <f ca="1">IFERROR(__xludf.DUMMYFUNCTION("GOOGLETRANSLATE(English!D644, ""en"", ""bg"")"),"електрохимия")</f>
        <v>електрохимия</v>
      </c>
      <c r="E644" s="1" t="str">
        <f ca="1">IFERROR(__xludf.DUMMYFUNCTION("GOOGLETRANSLATE(English!E644, ""en"", ""bg"")"),"Помогнете ми да уча за теста. Защо е важно да се учи електрохимия?")</f>
        <v>Помогнете ми да уча за теста. Защо е важно да се учи електрохимия?</v>
      </c>
      <c r="F644" s="1" t="str">
        <f ca="1">IFERROR(__xludf.DUMMYFUNCTION("GOOGLETRANSLATE(English!F644,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644" s="1" t="str">
        <f ca="1">IFERROR(__xludf.DUMMYFUNCTION("GOOGLETRANSLATE(English!G644, ""en"", ""bg"")"),"разговор")</f>
        <v>разговор</v>
      </c>
      <c r="H644" s="1" t="str">
        <f ca="1">IFERROR(__xludf.DUMMYFUNCTION("GOOGLETRANSLATE(English!H644, ""en"", ""bg"")"),"образователна_помощ")</f>
        <v>образователна_помощ</v>
      </c>
    </row>
    <row r="645" spans="1:8" ht="13.2" x14ac:dyDescent="0.25">
      <c r="A645" s="1" t="str">
        <f ca="1">IFERROR(__xludf.DUMMYFUNCTION("GOOGLETRANSLATE(English!A645, ""en"", ""bg"")"),"conv_17491")</f>
        <v>conv_17491</v>
      </c>
      <c r="B645" s="1" t="str">
        <f ca="1">IFERROR(__xludf.DUMMYFUNCTION("GOOGLETRANSLATE(English!B645, ""en"", ""bg"")"),"химия")</f>
        <v>химия</v>
      </c>
      <c r="C645" s="1" t="str">
        <f ca="1">IFERROR(__xludf.DUMMYFUNCTION("GOOGLETRANSLATE(English!C645, ""en"", ""bg"")"),"високо")</f>
        <v>високо</v>
      </c>
      <c r="D645" s="1" t="str">
        <f ca="1">IFERROR(__xludf.DUMMYFUNCTION("GOOGLETRANSLATE(English!D645, ""en"", ""bg"")"),"органична химия")</f>
        <v>органична химия</v>
      </c>
      <c r="E645" s="1" t="str">
        <f ca="1">IFERROR(__xludf.DUMMYFUNCTION("GOOGLETRANSLATE(English!E645, ""en"", ""bg"")"),"Помогнете ми да уча за теста. Какво представлява органичната химия?")</f>
        <v>Помогнете ми да уча за теста. Какво представлява органичната химия?</v>
      </c>
      <c r="F645" s="1" t="str">
        <f ca="1">IFERROR(__xludf.DUMMYFUNCTION("GOOGLETRANSLATE(English!F645,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645" s="1" t="str">
        <f ca="1">IFERROR(__xludf.DUMMYFUNCTION("GOOGLETRANSLATE(English!G645, ""en"", ""bg"")"),"разговор")</f>
        <v>разговор</v>
      </c>
      <c r="H645" s="1" t="str">
        <f ca="1">IFERROR(__xludf.DUMMYFUNCTION("GOOGLETRANSLATE(English!H645, ""en"", ""bg"")"),"образователна_помощ")</f>
        <v>образователна_помощ</v>
      </c>
    </row>
    <row r="646" spans="1:8" ht="13.2" x14ac:dyDescent="0.25">
      <c r="A646" s="1" t="str">
        <f ca="1">IFERROR(__xludf.DUMMYFUNCTION("GOOGLETRANSLATE(English!A646, ""en"", ""bg"")"),"hw_10360")</f>
        <v>hw_10360</v>
      </c>
      <c r="B646" s="1" t="str">
        <f ca="1">IFERROR(__xludf.DUMMYFUNCTION("GOOGLETRANSLATE(English!B646, ""en"", ""bg"")"),"биология")</f>
        <v>биология</v>
      </c>
      <c r="C646" s="1" t="str">
        <f ca="1">IFERROR(__xludf.DUMMYFUNCTION("GOOGLETRANSLATE(English!C646, ""en"", ""bg"")"),"високо")</f>
        <v>високо</v>
      </c>
      <c r="D646" s="1" t="str">
        <f ca="1">IFERROR(__xludf.DUMMYFUNCTION("GOOGLETRANSLATE(English!D646, ""en"", ""bg"")"),"модели на наследяване")</f>
        <v>модели на наследяване</v>
      </c>
      <c r="E646" s="1" t="str">
        <f ca="1">IFERROR(__xludf.DUMMYFUNCTION("GOOGLETRANSLATE(English!E646, ""en"", ""bg"")"),"Трябва да напиша доклад за моделите на наследяване. Можете ли да ми помогнете да започна?")</f>
        <v>Трябва да напиша доклад за моделите на наследяване. Можете ли да ми помогнете да започна?</v>
      </c>
      <c r="F646" s="1" t="str">
        <f ca="1">IFERROR(__xludf.DUMMYFUNCTION("GOOGLETRANSLATE(English!F646,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646" s="1" t="str">
        <f ca="1">IFERROR(__xludf.DUMMYFUNCTION("GOOGLETRANSLATE(English!G646, ""en"", ""bg"")"),"помощ_за_домашно_изпълнение")</f>
        <v>помощ_за_домашно_изпълнение</v>
      </c>
      <c r="H646" s="1" t="str">
        <f ca="1">IFERROR(__xludf.DUMMYFUNCTION("GOOGLETRANSLATE(English!H646, ""en"", ""bg"")"),"помощ_за_домашно_задаване")</f>
        <v>помощ_за_домашно_задаване</v>
      </c>
    </row>
    <row r="647" spans="1:8" ht="13.2" x14ac:dyDescent="0.25">
      <c r="A647" s="1" t="str">
        <f ca="1">IFERROR(__xludf.DUMMYFUNCTION("GOOGLETRANSLATE(English!A647, ""en"", ""bg"")"),"hw_07651")</f>
        <v>hw_07651</v>
      </c>
      <c r="B647" s="1" t="str">
        <f ca="1">IFERROR(__xludf.DUMMYFUNCTION("GOOGLETRANSLATE(English!B647, ""en"", ""bg"")"),"биология")</f>
        <v>биология</v>
      </c>
      <c r="C647" s="1" t="str">
        <f ca="1">IFERROR(__xludf.DUMMYFUNCTION("GOOGLETRANSLATE(English!C647, ""en"", ""bg"")"),"високо")</f>
        <v>високо</v>
      </c>
      <c r="D647" s="1" t="str">
        <f ca="1">IFERROR(__xludf.DUMMYFUNCTION("GOOGLETRANSLATE(English!D647, ""en"", ""bg"")"),"модели на наследяване")</f>
        <v>модели на наследяване</v>
      </c>
      <c r="E647" s="1" t="str">
        <f ca="1">IFERROR(__xludf.DUMMYFUNCTION("GOOGLETRANSLATE(English!E647,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647" s="1" t="str">
        <f ca="1">IFERROR(__xludf.DUMMYFUNCTION("GOOGLETRANSLATE(English!F647,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647" s="1" t="str">
        <f ca="1">IFERROR(__xludf.DUMMYFUNCTION("GOOGLETRANSLATE(English!G647, ""en"", ""bg"")"),"помощ_за_домашно_изпълнение")</f>
        <v>помощ_за_домашно_изпълнение</v>
      </c>
      <c r="H647" s="1" t="str">
        <f ca="1">IFERROR(__xludf.DUMMYFUNCTION("GOOGLETRANSLATE(English!H647, ""en"", ""bg"")"),"помощ_за_домашно_задаване")</f>
        <v>помощ_за_домашно_задаване</v>
      </c>
    </row>
    <row r="648" spans="1:8" ht="13.2" x14ac:dyDescent="0.25">
      <c r="A648" s="1" t="str">
        <f ca="1">IFERROR(__xludf.DUMMYFUNCTION("GOOGLETRANSLATE(English!A648, ""en"", ""bg"")"),"qa_07241")</f>
        <v>qa_07241</v>
      </c>
      <c r="B648" s="1" t="str">
        <f ca="1">IFERROR(__xludf.DUMMYFUNCTION("GOOGLETRANSLATE(English!B648, ""en"", ""bg"")"),"биология")</f>
        <v>биология</v>
      </c>
      <c r="C648" s="1" t="str">
        <f ca="1">IFERROR(__xludf.DUMMYFUNCTION("GOOGLETRANSLATE(English!C648, ""en"", ""bg"")"),"елементарен")</f>
        <v>елементарен</v>
      </c>
      <c r="D648" s="1" t="str">
        <f ca="1">IFERROR(__xludf.DUMMYFUNCTION("GOOGLETRANSLATE(English!D648, ""en"", ""bg"")"),"жизнени цикли")</f>
        <v>жизнени цикли</v>
      </c>
      <c r="E648" s="1" t="str">
        <f ca="1">IFERROR(__xludf.DUMMYFUNCTION("GOOGLETRANSLATE(English!E648, ""en"", ""bg"")"),"Можете ли да ми разкажете за жизнените цикли?")</f>
        <v>Можете ли да ми разкажете за жизнените цикли?</v>
      </c>
      <c r="F648" s="1" t="str">
        <f ca="1">IFERROR(__xludf.DUMMYFUNCTION("GOOGLETRANSLATE(English!F648,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648" s="1" t="str">
        <f ca="1">IFERROR(__xludf.DUMMYFUNCTION("GOOGLETRANSLATE(English!G648, ""en"", ""bg"")"),"direct_qa")</f>
        <v>direct_qa</v>
      </c>
      <c r="H648" s="1" t="str">
        <f ca="1">IFERROR(__xludf.DUMMYFUNCTION("GOOGLETRANSLATE(English!H648, ""en"", ""bg"")"),"заявка_за_знание")</f>
        <v>заявка_за_знание</v>
      </c>
    </row>
    <row r="649" spans="1:8" ht="13.2" x14ac:dyDescent="0.25">
      <c r="A649" s="1" t="str">
        <f ca="1">IFERROR(__xludf.DUMMYFUNCTION("GOOGLETRANSLATE(English!A649, ""en"", ""bg"")"),"conv_14838")</f>
        <v>conv_14838</v>
      </c>
      <c r="B649" s="1" t="str">
        <f ca="1">IFERROR(__xludf.DUMMYFUNCTION("GOOGLETRANSLATE(English!B649, ""en"", ""bg"")"),"физика")</f>
        <v>физика</v>
      </c>
      <c r="C649" s="1" t="str">
        <f ca="1">IFERROR(__xludf.DUMMYFUNCTION("GOOGLETRANSLATE(English!C649, ""en"", ""bg"")"),"елементарен")</f>
        <v>елементарен</v>
      </c>
      <c r="D649" s="1" t="str">
        <f ca="1">IFERROR(__xludf.DUMMYFUNCTION("GOOGLETRANSLATE(English!D649, ""en"", ""bg"")"),"звук")</f>
        <v>звук</v>
      </c>
      <c r="E649" s="1" t="str">
        <f ca="1">IFERROR(__xludf.DUMMYFUNCTION("GOOGLETRANSLATE(English!E649, ""en"", ""bg"")"),"Можете ли да ми обясните това? Как работи звукът във физиката?")</f>
        <v>Можете ли да ми обясните това? Как работи звукът във физиката?</v>
      </c>
      <c r="F649" s="1" t="str">
        <f ca="1">IFERROR(__xludf.DUMMYFUNCTION("GOOGLETRANSLATE(English!F649,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649" s="1" t="str">
        <f ca="1">IFERROR(__xludf.DUMMYFUNCTION("GOOGLETRANSLATE(English!G649, ""en"", ""bg"")"),"разговор")</f>
        <v>разговор</v>
      </c>
      <c r="H649" s="1" t="str">
        <f ca="1">IFERROR(__xludf.DUMMYFUNCTION("GOOGLETRANSLATE(English!H649, ""en"", ""bg"")"),"образователна_помощ")</f>
        <v>образователна_помощ</v>
      </c>
    </row>
    <row r="650" spans="1:8" ht="13.2" x14ac:dyDescent="0.25">
      <c r="A650" s="1" t="str">
        <f ca="1">IFERROR(__xludf.DUMMYFUNCTION("GOOGLETRANSLATE(English!A650, ""en"", ""bg"")"),"qa_08389")</f>
        <v>qa_08389</v>
      </c>
      <c r="B650" s="1" t="str">
        <f ca="1">IFERROR(__xludf.DUMMYFUNCTION("GOOGLETRANSLATE(English!B650, ""en"", ""bg"")"),"физика")</f>
        <v>физика</v>
      </c>
      <c r="C650" s="1" t="str">
        <f ca="1">IFERROR(__xludf.DUMMYFUNCTION("GOOGLETRANSLATE(English!C650, ""en"", ""bg"")"),"високо")</f>
        <v>високо</v>
      </c>
      <c r="D650" s="1" t="str">
        <f ca="1">IFERROR(__xludf.DUMMYFUNCTION("GOOGLETRANSLATE(English!D650, ""en"", ""bg"")"),"механика")</f>
        <v>механика</v>
      </c>
      <c r="E650" s="1" t="str">
        <f ca="1">IFERROR(__xludf.DUMMYFUNCTION("GOOGLETRANSLATE(English!E650, ""en"", ""bg"")"),"Как работи механиката във физиката?")</f>
        <v>Как работи механиката във физиката?</v>
      </c>
      <c r="F650" s="1" t="str">
        <f ca="1">IFERROR(__xludf.DUMMYFUNCTION("GOOGLETRANSLATE(English!F650,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650" s="1" t="str">
        <f ca="1">IFERROR(__xludf.DUMMYFUNCTION("GOOGLETRANSLATE(English!G650, ""en"", ""bg"")"),"direct_qa")</f>
        <v>direct_qa</v>
      </c>
      <c r="H650" s="1" t="str">
        <f ca="1">IFERROR(__xludf.DUMMYFUNCTION("GOOGLETRANSLATE(English!H650, ""en"", ""bg"")"),"заявка_за_знание")</f>
        <v>заявка_за_знание</v>
      </c>
    </row>
    <row r="651" spans="1:8" ht="13.2" x14ac:dyDescent="0.25">
      <c r="A651" s="1" t="str">
        <f ca="1">IFERROR(__xludf.DUMMYFUNCTION("GOOGLETRANSLATE(English!A651, ""en"", ""bg"")"),"conv_10101")</f>
        <v>conv_10101</v>
      </c>
      <c r="B651" s="1" t="str">
        <f ca="1">IFERROR(__xludf.DUMMYFUNCTION("GOOGLETRANSLATE(English!B651, ""en"", ""bg"")"),"химия")</f>
        <v>химия</v>
      </c>
      <c r="C651" s="1" t="str">
        <f ca="1">IFERROR(__xludf.DUMMYFUNCTION("GOOGLETRANSLATE(English!C651, ""en"", ""bg"")"),"високо")</f>
        <v>високо</v>
      </c>
      <c r="D651" s="1" t="str">
        <f ca="1">IFERROR(__xludf.DUMMYFUNCTION("GOOGLETRANSLATE(English!D651, ""en"", ""bg"")"),"скорости на реакция")</f>
        <v>скорости на реакция</v>
      </c>
      <c r="E651" s="1" t="str">
        <f ca="1">IFERROR(__xludf.DUMMYFUNCTION("GOOGLETRANSLATE(English!E651,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651" s="1" t="str">
        <f ca="1">IFERROR(__xludf.DUMMYFUNCTION("GOOGLETRANSLATE(English!F651,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651" s="1" t="str">
        <f ca="1">IFERROR(__xludf.DUMMYFUNCTION("GOOGLETRANSLATE(English!G651, ""en"", ""bg"")"),"разговор")</f>
        <v>разговор</v>
      </c>
      <c r="H651" s="1" t="str">
        <f ca="1">IFERROR(__xludf.DUMMYFUNCTION("GOOGLETRANSLATE(English!H651, ""en"", ""bg"")"),"образователна_помощ")</f>
        <v>образователна_помощ</v>
      </c>
    </row>
    <row r="652" spans="1:8" ht="13.2" x14ac:dyDescent="0.25">
      <c r="A652" s="1" t="str">
        <f ca="1">IFERROR(__xludf.DUMMYFUNCTION("GOOGLETRANSLATE(English!A652, ""en"", ""bg"")"),"conv_17425")</f>
        <v>conv_17425</v>
      </c>
      <c r="B652" s="1" t="str">
        <f ca="1">IFERROR(__xludf.DUMMYFUNCTION("GOOGLETRANSLATE(English!B652, ""en"", ""bg"")"),"физика")</f>
        <v>физика</v>
      </c>
      <c r="C652" s="1" t="str">
        <f ca="1">IFERROR(__xludf.DUMMYFUNCTION("GOOGLETRANSLATE(English!C652, ""en"", ""bg"")"),"средата")</f>
        <v>средата</v>
      </c>
      <c r="D652" s="1" t="str">
        <f ca="1">IFERROR(__xludf.DUMMYFUNCTION("GOOGLETRANSLATE(English!D652, ""en"", ""bg"")"),"прости схеми")</f>
        <v>прости схеми</v>
      </c>
      <c r="E652" s="1" t="str">
        <f ca="1">IFERROR(__xludf.DUMMYFUNCTION("GOOGLETRANSLATE(English!E652, ""en"", ""bg"")"),"Здравей, преподавателю! Какво трябва да знам за простите електрически вериги?")</f>
        <v>Здравей, преподавателю! Какво трябва да знам за простите електрически вериги?</v>
      </c>
      <c r="F652" s="1" t="str">
        <f ca="1">IFERROR(__xludf.DUMMYFUNCTION("GOOGLETRANSLATE(English!F652,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652" s="1" t="str">
        <f ca="1">IFERROR(__xludf.DUMMYFUNCTION("GOOGLETRANSLATE(English!G652, ""en"", ""bg"")"),"разговор")</f>
        <v>разговор</v>
      </c>
      <c r="H652" s="1" t="str">
        <f ca="1">IFERROR(__xludf.DUMMYFUNCTION("GOOGLETRANSLATE(English!H652, ""en"", ""bg"")"),"образователна_помощ")</f>
        <v>образователна_помощ</v>
      </c>
    </row>
    <row r="653" spans="1:8" ht="13.2" x14ac:dyDescent="0.25">
      <c r="A653" s="1" t="str">
        <f ca="1">IFERROR(__xludf.DUMMYFUNCTION("GOOGLETRANSLATE(English!A653, ""en"", ""bg"")"),"qa_00395")</f>
        <v>qa_00395</v>
      </c>
      <c r="B653" s="1" t="str">
        <f ca="1">IFERROR(__xludf.DUMMYFUNCTION("GOOGLETRANSLATE(English!B653, ""en"", ""bg"")"),"биология")</f>
        <v>биология</v>
      </c>
      <c r="C653" s="1" t="str">
        <f ca="1">IFERROR(__xludf.DUMMYFUNCTION("GOOGLETRANSLATE(English!C653, ""en"", ""bg"")"),"средата")</f>
        <v>средата</v>
      </c>
      <c r="D653" s="1" t="str">
        <f ca="1">IFERROR(__xludf.DUMMYFUNCTION("GOOGLETRANSLATE(English!D653, ""en"", ""bg"")"),"основи на еволюцията")</f>
        <v>основи на еволюцията</v>
      </c>
      <c r="E653" s="1" t="str">
        <f ca="1">IFERROR(__xludf.DUMMYFUNCTION("GOOGLETRANSLATE(English!E653, ""en"", ""bg"")"),"Какво е важно да знаем за основите на еволюцията?")</f>
        <v>Какво е важно да знаем за основите на еволюцията?</v>
      </c>
      <c r="F653" s="1" t="str">
        <f ca="1">IFERROR(__xludf.DUMMYFUNCTION("GOOGLETRANSLATE(English!F653,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653" s="1" t="str">
        <f ca="1">IFERROR(__xludf.DUMMYFUNCTION("GOOGLETRANSLATE(English!G653, ""en"", ""bg"")"),"direct_qa")</f>
        <v>direct_qa</v>
      </c>
      <c r="H653" s="1" t="str">
        <f ca="1">IFERROR(__xludf.DUMMYFUNCTION("GOOGLETRANSLATE(English!H653, ""en"", ""bg"")"),"заявка_за_знание")</f>
        <v>заявка_за_знание</v>
      </c>
    </row>
    <row r="654" spans="1:8" ht="13.2" x14ac:dyDescent="0.25">
      <c r="A654" s="1" t="str">
        <f ca="1">IFERROR(__xludf.DUMMYFUNCTION("GOOGLETRANSLATE(English!A654, ""en"", ""bg"")"),"conv_15536")</f>
        <v>conv_15536</v>
      </c>
      <c r="B654" s="1" t="str">
        <f ca="1">IFERROR(__xludf.DUMMYFUNCTION("GOOGLETRANSLATE(English!B654, ""en"", ""bg"")"),"физика")</f>
        <v>физика</v>
      </c>
      <c r="C654" s="1" t="str">
        <f ca="1">IFERROR(__xludf.DUMMYFUNCTION("GOOGLETRANSLATE(English!C654, ""en"", ""bg"")"),"високо")</f>
        <v>високо</v>
      </c>
      <c r="D654" s="1" t="str">
        <f ca="1">IFERROR(__xludf.DUMMYFUNCTION("GOOGLETRANSLATE(English!D654, ""en"", ""bg"")"),"термодинамика")</f>
        <v>термодинамика</v>
      </c>
      <c r="E654" s="1" t="str">
        <f ca="1">IFERROR(__xludf.DUMMYFUNCTION("GOOGLETRANSLATE(English!E654, ""en"", ""bg"")"),"Помогнете ми да уча за теста си. Как работи термодинамиката във физиката?")</f>
        <v>Помогнете ми да уча за теста си. Как работи термодинамиката във физиката?</v>
      </c>
      <c r="F654" s="1" t="str">
        <f ca="1">IFERROR(__xludf.DUMMYFUNCTION("GOOGLETRANSLATE(English!F654,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654" s="1" t="str">
        <f ca="1">IFERROR(__xludf.DUMMYFUNCTION("GOOGLETRANSLATE(English!G654, ""en"", ""bg"")"),"разговор")</f>
        <v>разговор</v>
      </c>
      <c r="H654" s="1" t="str">
        <f ca="1">IFERROR(__xludf.DUMMYFUNCTION("GOOGLETRANSLATE(English!H654, ""en"", ""bg"")"),"образователна_помощ")</f>
        <v>образователна_помощ</v>
      </c>
    </row>
    <row r="655" spans="1:8" ht="13.2" x14ac:dyDescent="0.25">
      <c r="A655" s="1" t="str">
        <f ca="1">IFERROR(__xludf.DUMMYFUNCTION("GOOGLETRANSLATE(English!A655, ""en"", ""bg"")"),"qa_07031")</f>
        <v>qa_07031</v>
      </c>
      <c r="B655" s="1" t="str">
        <f ca="1">IFERROR(__xludf.DUMMYFUNCTION("GOOGLETRANSLATE(English!B655, ""en"", ""bg"")"),"физика")</f>
        <v>физика</v>
      </c>
      <c r="C655" s="1" t="str">
        <f ca="1">IFERROR(__xludf.DUMMYFUNCTION("GOOGLETRANSLATE(English!C655, ""en"", ""bg"")"),"средата")</f>
        <v>средата</v>
      </c>
      <c r="D655" s="1" t="str">
        <f ca="1">IFERROR(__xludf.DUMMYFUNCTION("GOOGLETRANSLATE(English!D655, ""en"", ""bg"")"),"основи на електричеството")</f>
        <v>основи на електричеството</v>
      </c>
      <c r="E655" s="1" t="str">
        <f ca="1">IFERROR(__xludf.DUMMYFUNCTION("GOOGLETRANSLATE(English!E655, ""en"", ""bg"")"),"Можете ли да ми обясните основите на електричеството?")</f>
        <v>Можете ли да ми обясните основите на електричеството?</v>
      </c>
      <c r="F655" s="1" t="str">
        <f ca="1">IFERROR(__xludf.DUMMYFUNCTION("GOOGLETRANSLATE(English!F655,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655" s="1" t="str">
        <f ca="1">IFERROR(__xludf.DUMMYFUNCTION("GOOGLETRANSLATE(English!G655, ""en"", ""bg"")"),"direct_qa")</f>
        <v>direct_qa</v>
      </c>
      <c r="H655" s="1" t="str">
        <f ca="1">IFERROR(__xludf.DUMMYFUNCTION("GOOGLETRANSLATE(English!H655, ""en"", ""bg"")"),"заявка_за_знание")</f>
        <v>заявка_за_знание</v>
      </c>
    </row>
    <row r="656" spans="1:8" ht="13.2" x14ac:dyDescent="0.25">
      <c r="A656" s="1" t="str">
        <f ca="1">IFERROR(__xludf.DUMMYFUNCTION("GOOGLETRANSLATE(English!A656, ""en"", ""bg"")"),"hw_04253")</f>
        <v>hw_04253</v>
      </c>
      <c r="B656" s="1" t="str">
        <f ca="1">IFERROR(__xludf.DUMMYFUNCTION("GOOGLETRANSLATE(English!B656, ""en"", ""bg"")"),"физика")</f>
        <v>физика</v>
      </c>
      <c r="C656" s="1" t="str">
        <f ca="1">IFERROR(__xludf.DUMMYFUNCTION("GOOGLETRANSLATE(English!C656, ""en"", ""bg"")"),"високо")</f>
        <v>високо</v>
      </c>
      <c r="D656" s="1" t="str">
        <f ca="1">IFERROR(__xludf.DUMMYFUNCTION("GOOGLETRANSLATE(English!D656, ""en"", ""bg"")"),"атомна структура")</f>
        <v>атомна структура</v>
      </c>
      <c r="E656" s="1" t="str">
        <f ca="1">IFERROR(__xludf.DUMMYFUNCTION("GOOGLETRANSLATE(English!E656,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656" s="1" t="str">
        <f ca="1">IFERROR(__xludf.DUMMYFUNCTION("GOOGLETRANSLATE(English!F656,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656" s="1" t="str">
        <f ca="1">IFERROR(__xludf.DUMMYFUNCTION("GOOGLETRANSLATE(English!G656, ""en"", ""bg"")"),"помощ_за_домашно_изпълнение")</f>
        <v>помощ_за_домашно_изпълнение</v>
      </c>
      <c r="H656" s="1" t="str">
        <f ca="1">IFERROR(__xludf.DUMMYFUNCTION("GOOGLETRANSLATE(English!H656, ""en"", ""bg"")"),"помощ_за_домашно_задаване")</f>
        <v>помощ_за_домашно_задаване</v>
      </c>
    </row>
    <row r="657" spans="1:8" ht="13.2" x14ac:dyDescent="0.25">
      <c r="A657" s="1" t="str">
        <f ca="1">IFERROR(__xludf.DUMMYFUNCTION("GOOGLETRANSLATE(English!A657, ""en"", ""bg"")"),"conv_19118")</f>
        <v>conv_19118</v>
      </c>
      <c r="B657" s="1" t="str">
        <f ca="1">IFERROR(__xludf.DUMMYFUNCTION("GOOGLETRANSLATE(English!B657, ""en"", ""bg"")"),"биология")</f>
        <v>биология</v>
      </c>
      <c r="C657" s="1" t="str">
        <f ca="1">IFERROR(__xludf.DUMMYFUNCTION("GOOGLETRANSLATE(English!C657, ""en"", ""bg"")"),"елементарен")</f>
        <v>елементарен</v>
      </c>
      <c r="D657" s="1" t="str">
        <f ca="1">IFERROR(__xludf.DUMMYFUNCTION("GOOGLETRANSLATE(English!D657, ""en"", ""bg"")"),"местообитания")</f>
        <v>местообитания</v>
      </c>
      <c r="E657" s="1" t="str">
        <f ca="1">IFERROR(__xludf.DUMMYFUNCTION("GOOGLETRANSLATE(English!E657, ""en"", ""bg"")"),"Здравей, преподавателю! Как работят местообитанията?")</f>
        <v>Здравей, преподавателю! Как работят местообитанията?</v>
      </c>
      <c r="F657" s="1" t="str">
        <f ca="1">IFERROR(__xludf.DUMMYFUNCTION("GOOGLETRANSLATE(English!F657, ""en"", ""bg"")"),"Хабитатите функционират чрез естествени процеси, които учените изучават от много години.")</f>
        <v>Хабитатите функционират чрез естествени процеси, които учените изучават от много години.</v>
      </c>
      <c r="G657" s="1" t="str">
        <f ca="1">IFERROR(__xludf.DUMMYFUNCTION("GOOGLETRANSLATE(English!G657, ""en"", ""bg"")"),"разговор")</f>
        <v>разговор</v>
      </c>
      <c r="H657" s="1" t="str">
        <f ca="1">IFERROR(__xludf.DUMMYFUNCTION("GOOGLETRANSLATE(English!H657, ""en"", ""bg"")"),"образователна_помощ")</f>
        <v>образователна_помощ</v>
      </c>
    </row>
    <row r="658" spans="1:8" ht="13.2" x14ac:dyDescent="0.25">
      <c r="A658" s="1" t="str">
        <f ca="1">IFERROR(__xludf.DUMMYFUNCTION("GOOGLETRANSLATE(English!A658, ""en"", ""bg"")"),"hw_08897")</f>
        <v>hw_08897</v>
      </c>
      <c r="B658" s="1" t="str">
        <f ca="1">IFERROR(__xludf.DUMMYFUNCTION("GOOGLETRANSLATE(English!B658, ""en"", ""bg"")"),"физика")</f>
        <v>физика</v>
      </c>
      <c r="C658" s="1" t="str">
        <f ca="1">IFERROR(__xludf.DUMMYFUNCTION("GOOGLETRANSLATE(English!C658, ""en"", ""bg"")"),"елементарен")</f>
        <v>елементарен</v>
      </c>
      <c r="D658" s="1" t="str">
        <f ca="1">IFERROR(__xludf.DUMMYFUNCTION("GOOGLETRANSLATE(English!D658, ""en"", ""bg"")"),"звук")</f>
        <v>звук</v>
      </c>
      <c r="E658" s="1" t="str">
        <f ca="1">IFERROR(__xludf.DUMMYFUNCTION("GOOGLETRANSLATE(English!E658, ""en"", ""bg"")"),"Можете ли да решите този важен въпрос с мен?")</f>
        <v>Можете ли да решите този важен въпрос с мен?</v>
      </c>
      <c r="F658" s="1" t="str">
        <f ca="1">IFERROR(__xludf.DUMMYFUNCTION("GOOGLETRANSLATE(English!F658,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658" s="1" t="str">
        <f ca="1">IFERROR(__xludf.DUMMYFUNCTION("GOOGLETRANSLATE(English!G658, ""en"", ""bg"")"),"помощ_за_домашно_изпълнение")</f>
        <v>помощ_за_домашно_изпълнение</v>
      </c>
      <c r="H658" s="1" t="str">
        <f ca="1">IFERROR(__xludf.DUMMYFUNCTION("GOOGLETRANSLATE(English!H658, ""en"", ""bg"")"),"помощ_за_домашно_задаване")</f>
        <v>помощ_за_домашно_задаване</v>
      </c>
    </row>
    <row r="659" spans="1:8" ht="13.2" x14ac:dyDescent="0.25">
      <c r="A659" s="1" t="str">
        <f ca="1">IFERROR(__xludf.DUMMYFUNCTION("GOOGLETRANSLATE(English!A659, ""en"", ""bg"")"),"qa_03362")</f>
        <v>qa_03362</v>
      </c>
      <c r="B659" s="1" t="str">
        <f ca="1">IFERROR(__xludf.DUMMYFUNCTION("GOOGLETRANSLATE(English!B659, ""en"", ""bg"")"),"биология")</f>
        <v>биология</v>
      </c>
      <c r="C659" s="1" t="str">
        <f ca="1">IFERROR(__xludf.DUMMYFUNCTION("GOOGLETRANSLATE(English!C659, ""en"", ""bg"")"),"елементарен")</f>
        <v>елементарен</v>
      </c>
      <c r="D659" s="1" t="str">
        <f ca="1">IFERROR(__xludf.DUMMYFUNCTION("GOOGLETRANSLATE(English!D659, ""en"", ""bg"")"),"човешкото тяло")</f>
        <v>човешкото тяло</v>
      </c>
      <c r="E659" s="1" t="str">
        <f ca="1">IFERROR(__xludf.DUMMYFUNCTION("GOOGLETRANSLATE(English!E659, ""en"", ""bg"")"),"Как работи човешкото тяло?")</f>
        <v>Как работи човешкото тяло?</v>
      </c>
      <c r="F659" s="1" t="str">
        <f ca="1">IFERROR(__xludf.DUMMYFUNCTION("GOOGLETRANSLATE(English!F659,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659" s="1" t="str">
        <f ca="1">IFERROR(__xludf.DUMMYFUNCTION("GOOGLETRANSLATE(English!G659, ""en"", ""bg"")"),"direct_qa")</f>
        <v>direct_qa</v>
      </c>
      <c r="H659" s="1" t="str">
        <f ca="1">IFERROR(__xludf.DUMMYFUNCTION("GOOGLETRANSLATE(English!H659, ""en"", ""bg"")"),"заявка_за_знание")</f>
        <v>заявка_за_знание</v>
      </c>
    </row>
    <row r="660" spans="1:8" ht="13.2" x14ac:dyDescent="0.25">
      <c r="A660" s="1" t="str">
        <f ca="1">IFERROR(__xludf.DUMMYFUNCTION("GOOGLETRANSLATE(English!A660, ""en"", ""bg"")"),"hw_02721")</f>
        <v>hw_02721</v>
      </c>
      <c r="B660" s="1" t="str">
        <f ca="1">IFERROR(__xludf.DUMMYFUNCTION("GOOGLETRANSLATE(English!B660, ""en"", ""bg"")"),"биология")</f>
        <v>биология</v>
      </c>
      <c r="C660" s="1" t="str">
        <f ca="1">IFERROR(__xludf.DUMMYFUNCTION("GOOGLETRANSLATE(English!C660, ""en"", ""bg"")"),"високо")</f>
        <v>високо</v>
      </c>
      <c r="D660" s="1" t="str">
        <f ca="1">IFERROR(__xludf.DUMMYFUNCTION("GOOGLETRANSLATE(English!D660, ""en"", ""bg"")"),"клетъчно дишане")</f>
        <v>клетъчно дишане</v>
      </c>
      <c r="E660" s="1" t="str">
        <f ca="1">IFERROR(__xludf.DUMMYFUNCTION("GOOGLETRANSLATE(English!E660,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660" s="1" t="str">
        <f ca="1">IFERROR(__xludf.DUMMYFUNCTION("GOOGLETRANSLATE(English!F660,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660" s="1" t="str">
        <f ca="1">IFERROR(__xludf.DUMMYFUNCTION("GOOGLETRANSLATE(English!G660, ""en"", ""bg"")"),"помощ_за_домашно_изпълнение")</f>
        <v>помощ_за_домашно_изпълнение</v>
      </c>
      <c r="H660" s="1" t="str">
        <f ca="1">IFERROR(__xludf.DUMMYFUNCTION("GOOGLETRANSLATE(English!H660, ""en"", ""bg"")"),"помощ_за_домашно_задаване")</f>
        <v>помощ_за_домашно_задаване</v>
      </c>
    </row>
    <row r="661" spans="1:8" ht="13.2" x14ac:dyDescent="0.25">
      <c r="A661" s="1" t="str">
        <f ca="1">IFERROR(__xludf.DUMMYFUNCTION("GOOGLETRANSLATE(English!A661, ""en"", ""bg"")"),"qa_05109")</f>
        <v>qa_05109</v>
      </c>
      <c r="B661" s="1" t="str">
        <f ca="1">IFERROR(__xludf.DUMMYFUNCTION("GOOGLETRANSLATE(English!B661, ""en"", ""bg"")"),"биология")</f>
        <v>биология</v>
      </c>
      <c r="C661" s="1" t="str">
        <f ca="1">IFERROR(__xludf.DUMMYFUNCTION("GOOGLETRANSLATE(English!C661, ""en"", ""bg"")"),"елементарен")</f>
        <v>елементарен</v>
      </c>
      <c r="D661" s="1" t="str">
        <f ca="1">IFERROR(__xludf.DUMMYFUNCTION("GOOGLETRANSLATE(English!D661, ""en"", ""bg"")"),"сетива")</f>
        <v>сетива</v>
      </c>
      <c r="E661" s="1" t="str">
        <f ca="1">IFERROR(__xludf.DUMMYFUNCTION("GOOGLETRANSLATE(English!E661, ""en"", ""bg"")"),"Можете ли да ми разкажете за сетивата?")</f>
        <v>Можете ли да ми разкажете за сетивата?</v>
      </c>
      <c r="F661" s="1" t="str">
        <f ca="1">IFERROR(__xludf.DUMMYFUNCTION("GOOGLETRANSLATE(English!F661,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661" s="1" t="str">
        <f ca="1">IFERROR(__xludf.DUMMYFUNCTION("GOOGLETRANSLATE(English!G661, ""en"", ""bg"")"),"direct_qa")</f>
        <v>direct_qa</v>
      </c>
      <c r="H661" s="1" t="str">
        <f ca="1">IFERROR(__xludf.DUMMYFUNCTION("GOOGLETRANSLATE(English!H661, ""en"", ""bg"")"),"заявка_за_знание")</f>
        <v>заявка_за_знание</v>
      </c>
    </row>
    <row r="662" spans="1:8" ht="13.2" x14ac:dyDescent="0.25">
      <c r="A662" s="1" t="str">
        <f ca="1">IFERROR(__xludf.DUMMYFUNCTION("GOOGLETRANSLATE(English!A662, ""en"", ""bg"")"),"hw_10404")</f>
        <v>hw_10404</v>
      </c>
      <c r="B662" s="1" t="str">
        <f ca="1">IFERROR(__xludf.DUMMYFUNCTION("GOOGLETRANSLATE(English!B662, ""en"", ""bg"")"),"биология")</f>
        <v>биология</v>
      </c>
      <c r="C662" s="1" t="str">
        <f ca="1">IFERROR(__xludf.DUMMYFUNCTION("GOOGLETRANSLATE(English!C662, ""en"", ""bg"")"),"средата")</f>
        <v>средата</v>
      </c>
      <c r="D662" s="1" t="str">
        <f ca="1">IFERROR(__xludf.DUMMYFUNCTION("GOOGLETRANSLATE(English!D662, ""en"", ""bg"")"),"основи на генетиката")</f>
        <v>основи на генетиката</v>
      </c>
      <c r="E662" s="1" t="str">
        <f ca="1">IFERROR(__xludf.DUMMYFUNCTION("GOOGLETRANSLATE(English!E662, ""en"", ""bg"")"),"Можете ли да обясните основите на генетиката за моя научен проект?")</f>
        <v>Можете ли да обясните основите на генетиката за моя научен проект?</v>
      </c>
      <c r="F662" s="1" t="str">
        <f ca="1">IFERROR(__xludf.DUMMYFUNCTION("GOOGLETRANSLATE(English!F662,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662" s="1" t="str">
        <f ca="1">IFERROR(__xludf.DUMMYFUNCTION("GOOGLETRANSLATE(English!G662, ""en"", ""bg"")"),"помощ_за_домашно_изпълнение")</f>
        <v>помощ_за_домашно_изпълнение</v>
      </c>
      <c r="H662" s="1" t="str">
        <f ca="1">IFERROR(__xludf.DUMMYFUNCTION("GOOGLETRANSLATE(English!H662, ""en"", ""bg"")"),"помощ_за_домашно_задаване")</f>
        <v>помощ_за_домашно_задаване</v>
      </c>
    </row>
    <row r="663" spans="1:8" ht="13.2" x14ac:dyDescent="0.25">
      <c r="A663" s="1" t="str">
        <f ca="1">IFERROR(__xludf.DUMMYFUNCTION("GOOGLETRANSLATE(English!A663, ""en"", ""bg"")"),"hw_05716")</f>
        <v>hw_05716</v>
      </c>
      <c r="B663" s="1" t="str">
        <f ca="1">IFERROR(__xludf.DUMMYFUNCTION("GOOGLETRANSLATE(English!B663, ""en"", ""bg"")"),"биология")</f>
        <v>биология</v>
      </c>
      <c r="C663" s="1" t="str">
        <f ca="1">IFERROR(__xludf.DUMMYFUNCTION("GOOGLETRANSLATE(English!C663, ""en"", ""bg"")"),"високо")</f>
        <v>високо</v>
      </c>
      <c r="D663" s="1" t="str">
        <f ca="1">IFERROR(__xludf.DUMMYFUNCTION("GOOGLETRANSLATE(English!D663, ""en"", ""bg"")"),"модели на наследяване")</f>
        <v>модели на наследяване</v>
      </c>
      <c r="E663" s="1" t="str">
        <f ca="1">IFERROR(__xludf.DUMMYFUNCTION("GOOGLETRANSLATE(English!E663,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663" s="1" t="str">
        <f ca="1">IFERROR(__xludf.DUMMYFUNCTION("GOOGLETRANSLATE(English!F663,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663" s="1" t="str">
        <f ca="1">IFERROR(__xludf.DUMMYFUNCTION("GOOGLETRANSLATE(English!G663, ""en"", ""bg"")"),"помощ_за_домашно_изпълнение")</f>
        <v>помощ_за_домашно_изпълнение</v>
      </c>
      <c r="H663" s="1" t="str">
        <f ca="1">IFERROR(__xludf.DUMMYFUNCTION("GOOGLETRANSLATE(English!H663, ""en"", ""bg"")"),"помощ_за_домашно_задаване")</f>
        <v>помощ_за_домашно_задаване</v>
      </c>
    </row>
    <row r="664" spans="1:8" ht="13.2" x14ac:dyDescent="0.25">
      <c r="A664" s="1" t="str">
        <f ca="1">IFERROR(__xludf.DUMMYFUNCTION("GOOGLETRANSLATE(English!A664, ""en"", ""bg"")"),"hw_07519")</f>
        <v>hw_07519</v>
      </c>
      <c r="B664" s="1" t="str">
        <f ca="1">IFERROR(__xludf.DUMMYFUNCTION("GOOGLETRANSLATE(English!B664, ""en"", ""bg"")"),"химия")</f>
        <v>химия</v>
      </c>
      <c r="C664" s="1" t="str">
        <f ca="1">IFERROR(__xludf.DUMMYFUNCTION("GOOGLETRANSLATE(English!C664, ""en"", ""bg"")"),"елементарен")</f>
        <v>елементарен</v>
      </c>
      <c r="D664" s="1" t="str">
        <f ca="1">IFERROR(__xludf.DUMMYFUNCTION("GOOGLETRANSLATE(English!D664, ""en"", ""bg"")"),"разтваряне")</f>
        <v>разтваряне</v>
      </c>
      <c r="E664" s="1" t="str">
        <f ca="1">IFERROR(__xludf.DUMMYFUNCTION("GOOGLETRANSLATE(English!E664, ""en"", ""bg"")"),"Трудно ми е да се разсея в домашните си.")</f>
        <v>Трудно ми е да се разсея в домашните си.</v>
      </c>
      <c r="F664" s="1" t="str">
        <f ca="1">IFERROR(__xludf.DUMMYFUNCTION("GOOGLETRANSLATE(English!F664,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664" s="1" t="str">
        <f ca="1">IFERROR(__xludf.DUMMYFUNCTION("GOOGLETRANSLATE(English!G664, ""en"", ""bg"")"),"помощ_за_домашно_изпълнение")</f>
        <v>помощ_за_домашно_изпълнение</v>
      </c>
      <c r="H664" s="1" t="str">
        <f ca="1">IFERROR(__xludf.DUMMYFUNCTION("GOOGLETRANSLATE(English!H664, ""en"", ""bg"")"),"помощ_за_домашно_задаване")</f>
        <v>помощ_за_домашно_задаване</v>
      </c>
    </row>
    <row r="665" spans="1:8" ht="13.2" x14ac:dyDescent="0.25">
      <c r="A665" s="1" t="str">
        <f ca="1">IFERROR(__xludf.DUMMYFUNCTION("GOOGLETRANSLATE(English!A665, ""en"", ""bg"")"),"conv_16334")</f>
        <v>conv_16334</v>
      </c>
      <c r="B665" s="1" t="str">
        <f ca="1">IFERROR(__xludf.DUMMYFUNCTION("GOOGLETRANSLATE(English!B665, ""en"", ""bg"")"),"физика")</f>
        <v>физика</v>
      </c>
      <c r="C665" s="1" t="str">
        <f ca="1">IFERROR(__xludf.DUMMYFUNCTION("GOOGLETRANSLATE(English!C665, ""en"", ""bg"")"),"средата")</f>
        <v>средата</v>
      </c>
      <c r="D665" s="1" t="str">
        <f ca="1">IFERROR(__xludf.DUMMYFUNCTION("GOOGLETRANSLATE(English!D665, ""en"", ""bg"")"),"видове енергия")</f>
        <v>видове енергия</v>
      </c>
      <c r="E665" s="1" t="str">
        <f ca="1">IFERROR(__xludf.DUMMYFUNCTION("GOOGLETRANSLATE(English!E665, ""en"", ""bg"")"),"Помогнете ми да уча за теста си. Как се променя видът енергия?")</f>
        <v>Помогнете ми да уча за теста си. Как се променя видът енергия?</v>
      </c>
      <c r="F665" s="1" t="str">
        <f ca="1">IFERROR(__xludf.DUMMYFUNCTION("GOOGLETRANSLATE(English!F665,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665" s="1" t="str">
        <f ca="1">IFERROR(__xludf.DUMMYFUNCTION("GOOGLETRANSLATE(English!G665, ""en"", ""bg"")"),"разговор")</f>
        <v>разговор</v>
      </c>
      <c r="H665" s="1" t="str">
        <f ca="1">IFERROR(__xludf.DUMMYFUNCTION("GOOGLETRANSLATE(English!H665, ""en"", ""bg"")"),"образователна_помощ")</f>
        <v>образователна_помощ</v>
      </c>
    </row>
    <row r="666" spans="1:8" ht="13.2" x14ac:dyDescent="0.25">
      <c r="A666" s="1" t="str">
        <f ca="1">IFERROR(__xludf.DUMMYFUNCTION("GOOGLETRANSLATE(English!A666, ""en"", ""bg"")"),"qa_11047")</f>
        <v>qa_11047</v>
      </c>
      <c r="B666" s="1" t="str">
        <f ca="1">IFERROR(__xludf.DUMMYFUNCTION("GOOGLETRANSLATE(English!B666, ""en"", ""bg"")"),"физика")</f>
        <v>физика</v>
      </c>
      <c r="C666" s="1" t="str">
        <f ca="1">IFERROR(__xludf.DUMMYFUNCTION("GOOGLETRANSLATE(English!C666, ""en"", ""bg"")"),"средата")</f>
        <v>средата</v>
      </c>
      <c r="D666" s="1" t="str">
        <f ca="1">IFERROR(__xludf.DUMMYFUNCTION("GOOGLETRANSLATE(English!D666, ""en"", ""bg"")"),"сили и движение")</f>
        <v>сили и движение</v>
      </c>
      <c r="E666" s="1" t="str">
        <f ca="1">IFERROR(__xludf.DUMMYFUNCTION("GOOGLETRANSLATE(English!E666, ""en"", ""bg"")"),"Каква е разликата между скорост и ускорение?")</f>
        <v>Каква е разликата между скорост и ускорение?</v>
      </c>
      <c r="F666" s="1" t="str">
        <f ca="1">IFERROR(__xludf.DUMMYFUNCTION("GOOGLETRANSLATE(English!F666,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666" s="1" t="str">
        <f ca="1">IFERROR(__xludf.DUMMYFUNCTION("GOOGLETRANSLATE(English!G666, ""en"", ""bg"")"),"direct_qa")</f>
        <v>direct_qa</v>
      </c>
      <c r="H666" s="1" t="str">
        <f ca="1">IFERROR(__xludf.DUMMYFUNCTION("GOOGLETRANSLATE(English!H666, ""en"", ""bg"")"),"заявка_за_знание")</f>
        <v>заявка_за_знание</v>
      </c>
    </row>
    <row r="667" spans="1:8" ht="13.2" x14ac:dyDescent="0.25">
      <c r="A667" s="1" t="str">
        <f ca="1">IFERROR(__xludf.DUMMYFUNCTION("GOOGLETRANSLATE(English!A667, ""en"", ""bg"")"),"conv_15480")</f>
        <v>conv_15480</v>
      </c>
      <c r="B667" s="1" t="str">
        <f ca="1">IFERROR(__xludf.DUMMYFUNCTION("GOOGLETRANSLATE(English!B667, ""en"", ""bg"")"),"химия")</f>
        <v>химия</v>
      </c>
      <c r="C667" s="1" t="str">
        <f ca="1">IFERROR(__xludf.DUMMYFUNCTION("GOOGLETRANSLATE(English!C667, ""en"", ""bg"")"),"елементарен")</f>
        <v>елементарен</v>
      </c>
      <c r="D667" s="1" t="str">
        <f ca="1">IFERROR(__xludf.DUMMYFUNCTION("GOOGLETRANSLATE(English!D667, ""en"", ""bg"")"),"разтваряне")</f>
        <v>разтваряне</v>
      </c>
      <c r="E667" s="1" t="str">
        <f ca="1">IFERROR(__xludf.DUMMYFUNCTION("GOOGLETRANSLATE(English!E667, ""en"", ""bg"")"),"Не разбирам тази тема. Можете ли да ми помогнете да разбера разтварянето?")</f>
        <v>Не разбирам тази тема. Можете ли да ми помогнете да разбера разтварянето?</v>
      </c>
      <c r="F667" s="1" t="str">
        <f ca="1">IFERROR(__xludf.DUMMYFUNCTION("GOOGLETRANSLATE(English!F667,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667" s="1" t="str">
        <f ca="1">IFERROR(__xludf.DUMMYFUNCTION("GOOGLETRANSLATE(English!G667, ""en"", ""bg"")"),"разговор")</f>
        <v>разговор</v>
      </c>
      <c r="H667" s="1" t="str">
        <f ca="1">IFERROR(__xludf.DUMMYFUNCTION("GOOGLETRANSLATE(English!H667, ""en"", ""bg"")"),"образователна_помощ")</f>
        <v>образователна_помощ</v>
      </c>
    </row>
    <row r="668" spans="1:8" ht="13.2" x14ac:dyDescent="0.25">
      <c r="A668" s="1" t="str">
        <f ca="1">IFERROR(__xludf.DUMMYFUNCTION("GOOGLETRANSLATE(English!A668, ""en"", ""bg"")"),"conv_19204")</f>
        <v>conv_19204</v>
      </c>
      <c r="B668" s="1" t="str">
        <f ca="1">IFERROR(__xludf.DUMMYFUNCTION("GOOGLETRANSLATE(English!B668, ""en"", ""bg"")"),"физика")</f>
        <v>физика</v>
      </c>
      <c r="C668" s="1" t="str">
        <f ca="1">IFERROR(__xludf.DUMMYFUNCTION("GOOGLETRANSLATE(English!C668, ""en"", ""bg"")"),"високо")</f>
        <v>високо</v>
      </c>
      <c r="D668" s="1" t="str">
        <f ca="1">IFERROR(__xludf.DUMMYFUNCTION("GOOGLETRANSLATE(English!D668, ""en"", ""bg"")"),"атомна структура")</f>
        <v>атомна структура</v>
      </c>
      <c r="E668" s="1" t="str">
        <f ca="1">IFERROR(__xludf.DUMMYFUNCTION("GOOGLETRANSLATE(English!E668, ""en"", ""bg"")"),"Здравей, преподавателю! Можеш ли да ми обясниш структурата на атома?")</f>
        <v>Здравей, преподавателю! Можеш ли да ми обясниш структурата на атома?</v>
      </c>
      <c r="F668" s="1" t="str">
        <f ca="1">IFERROR(__xludf.DUMMYFUNCTION("GOOGLETRANSLATE(English!F668,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668" s="1" t="str">
        <f ca="1">IFERROR(__xludf.DUMMYFUNCTION("GOOGLETRANSLATE(English!G668, ""en"", ""bg"")"),"разговор")</f>
        <v>разговор</v>
      </c>
      <c r="H668" s="1" t="str">
        <f ca="1">IFERROR(__xludf.DUMMYFUNCTION("GOOGLETRANSLATE(English!H668, ""en"", ""bg"")"),"образователна_помощ")</f>
        <v>образователна_помощ</v>
      </c>
    </row>
    <row r="669" spans="1:8" ht="13.2" x14ac:dyDescent="0.25">
      <c r="A669" s="1" t="str">
        <f ca="1">IFERROR(__xludf.DUMMYFUNCTION("GOOGLETRANSLATE(English!A669, ""en"", ""bg"")"),"conv_03154")</f>
        <v>conv_03154</v>
      </c>
      <c r="B669" s="1" t="str">
        <f ca="1">IFERROR(__xludf.DUMMYFUNCTION("GOOGLETRANSLATE(English!B669, ""en"", ""bg"")"),"химия")</f>
        <v>химия</v>
      </c>
      <c r="C669" s="1" t="str">
        <f ca="1">IFERROR(__xludf.DUMMYFUNCTION("GOOGLETRANSLATE(English!C669, ""en"", ""bg"")"),"елементарен")</f>
        <v>елементарен</v>
      </c>
      <c r="D669" s="1" t="str">
        <f ca="1">IFERROR(__xludf.DUMMYFUNCTION("GOOGLETRANSLATE(English!D669, ""en"", ""bg"")"),"разтваряне")</f>
        <v>разтваряне</v>
      </c>
      <c r="E669" s="1" t="str">
        <f ca="1">IFERROR(__xludf.DUMMYFUNCTION("GOOGLETRANSLATE(English!E669, ""en"", ""bg"")"),"Здравей, преподавателю! Как протича разтварянето в химията?")</f>
        <v>Здравей, преподавателю! Как протича разтварянето в химията?</v>
      </c>
      <c r="F669" s="1" t="str">
        <f ca="1">IFERROR(__xludf.DUMMYFUNCTION("GOOGLETRANSLATE(English!F669,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669" s="1" t="str">
        <f ca="1">IFERROR(__xludf.DUMMYFUNCTION("GOOGLETRANSLATE(English!G669, ""en"", ""bg"")"),"разговор")</f>
        <v>разговор</v>
      </c>
      <c r="H669" s="1" t="str">
        <f ca="1">IFERROR(__xludf.DUMMYFUNCTION("GOOGLETRANSLATE(English!H669, ""en"", ""bg"")"),"образователна_помощ")</f>
        <v>образователна_помощ</v>
      </c>
    </row>
    <row r="670" spans="1:8" ht="13.2" x14ac:dyDescent="0.25">
      <c r="A670" s="1" t="str">
        <f ca="1">IFERROR(__xludf.DUMMYFUNCTION("GOOGLETRANSLATE(English!A670, ""en"", ""bg"")"),"conv_10735")</f>
        <v>conv_10735</v>
      </c>
      <c r="B670" s="1" t="str">
        <f ca="1">IFERROR(__xludf.DUMMYFUNCTION("GOOGLETRANSLATE(English!B670, ""en"", ""bg"")"),"физика")</f>
        <v>физика</v>
      </c>
      <c r="C670" s="1" t="str">
        <f ca="1">IFERROR(__xludf.DUMMYFUNCTION("GOOGLETRANSLATE(English!C670, ""en"", ""bg"")"),"елементарен")</f>
        <v>елементарен</v>
      </c>
      <c r="D670" s="1" t="str">
        <f ca="1">IFERROR(__xludf.DUMMYFUNCTION("GOOGLETRANSLATE(English!D670, ""en"", ""bg"")"),"светлина и сянка")</f>
        <v>светлина и сянка</v>
      </c>
      <c r="E670" s="1" t="str">
        <f ca="1">IFERROR(__xludf.DUMMYFUNCTION("GOOGLETRANSLATE(English!E670, ""en"", ""bg"")"),"Имам нужда от помощ с домашното. Какво е светлина?")</f>
        <v>Имам нужда от помощ с домашното. Какво е светлина?</v>
      </c>
      <c r="F670" s="1" t="str">
        <f ca="1">IFERROR(__xludf.DUMMYFUNCTION("GOOGLETRANSLATE(English!F670,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670" s="1" t="str">
        <f ca="1">IFERROR(__xludf.DUMMYFUNCTION("GOOGLETRANSLATE(English!G670, ""en"", ""bg"")"),"разговор")</f>
        <v>разговор</v>
      </c>
      <c r="H670" s="1" t="str">
        <f ca="1">IFERROR(__xludf.DUMMYFUNCTION("GOOGLETRANSLATE(English!H670, ""en"", ""bg"")"),"образователна_помощ")</f>
        <v>образователна_помощ</v>
      </c>
    </row>
    <row r="671" spans="1:8" ht="13.2" x14ac:dyDescent="0.25">
      <c r="A671" s="1" t="str">
        <f ca="1">IFERROR(__xludf.DUMMYFUNCTION("GOOGLETRANSLATE(English!A671, ""en"", ""bg"")"),"qa_01436")</f>
        <v>qa_01436</v>
      </c>
      <c r="B671" s="1" t="str">
        <f ca="1">IFERROR(__xludf.DUMMYFUNCTION("GOOGLETRANSLATE(English!B671, ""en"", ""bg"")"),"биология")</f>
        <v>биология</v>
      </c>
      <c r="C671" s="1" t="str">
        <f ca="1">IFERROR(__xludf.DUMMYFUNCTION("GOOGLETRANSLATE(English!C671, ""en"", ""bg"")"),"елементарен")</f>
        <v>елементарен</v>
      </c>
      <c r="D671" s="1" t="str">
        <f ca="1">IFERROR(__xludf.DUMMYFUNCTION("GOOGLETRANSLATE(English!D671, ""en"", ""bg"")"),"местообитания")</f>
        <v>местообитания</v>
      </c>
      <c r="E671" s="1" t="str">
        <f ca="1">IFERROR(__xludf.DUMMYFUNCTION("GOOGLETRANSLATE(English!E671, ""en"", ""bg"")"),"Защо местообитанията са важни в биологията?")</f>
        <v>Защо местообитанията са важни в биологията?</v>
      </c>
      <c r="F671" s="1" t="str">
        <f ca="1">IFERROR(__xludf.DUMMYFUNCTION("GOOGLETRANSLATE(English!F671,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671" s="1" t="str">
        <f ca="1">IFERROR(__xludf.DUMMYFUNCTION("GOOGLETRANSLATE(English!G671, ""en"", ""bg"")"),"direct_qa")</f>
        <v>direct_qa</v>
      </c>
      <c r="H671" s="1" t="str">
        <f ca="1">IFERROR(__xludf.DUMMYFUNCTION("GOOGLETRANSLATE(English!H671, ""en"", ""bg"")"),"заявка_за_знание")</f>
        <v>заявка_за_знание</v>
      </c>
    </row>
    <row r="672" spans="1:8" ht="13.2" x14ac:dyDescent="0.25">
      <c r="A672" s="1" t="str">
        <f ca="1">IFERROR(__xludf.DUMMYFUNCTION("GOOGLETRANSLATE(English!A672, ""en"", ""bg"")"),"qa_11159")</f>
        <v>qa_11159</v>
      </c>
      <c r="B672" s="1" t="str">
        <f ca="1">IFERROR(__xludf.DUMMYFUNCTION("GOOGLETRANSLATE(English!B672, ""en"", ""bg"")"),"биология")</f>
        <v>биология</v>
      </c>
      <c r="C672" s="1" t="str">
        <f ca="1">IFERROR(__xludf.DUMMYFUNCTION("GOOGLETRANSLATE(English!C672, ""en"", ""bg"")"),"средата")</f>
        <v>средата</v>
      </c>
      <c r="D672" s="1" t="str">
        <f ca="1">IFERROR(__xludf.DUMMYFUNCTION("GOOGLETRANSLATE(English!D672, ""en"", ""bg"")"),"основи на генетиката")</f>
        <v>основи на генетиката</v>
      </c>
      <c r="E672" s="1" t="str">
        <f ca="1">IFERROR(__xludf.DUMMYFUNCTION("GOOGLETRANSLATE(English!E672, ""en"", ""bg"")"),"Как работят основите на генетиката?")</f>
        <v>Как работят основите на генетиката?</v>
      </c>
      <c r="F672" s="1" t="str">
        <f ca="1">IFERROR(__xludf.DUMMYFUNCTION("GOOGLETRANSLATE(English!F672,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672" s="1" t="str">
        <f ca="1">IFERROR(__xludf.DUMMYFUNCTION("GOOGLETRANSLATE(English!G672, ""en"", ""bg"")"),"direct_qa")</f>
        <v>direct_qa</v>
      </c>
      <c r="H672" s="1" t="str">
        <f ca="1">IFERROR(__xludf.DUMMYFUNCTION("GOOGLETRANSLATE(English!H672, ""en"", ""bg"")"),"заявка_за_знание")</f>
        <v>заявка_за_знание</v>
      </c>
    </row>
    <row r="673" spans="1:8" ht="13.2" x14ac:dyDescent="0.25">
      <c r="A673" s="1" t="str">
        <f ca="1">IFERROR(__xludf.DUMMYFUNCTION("GOOGLETRANSLATE(English!A673, ""en"", ""bg"")"),"hw_10560")</f>
        <v>hw_10560</v>
      </c>
      <c r="B673" s="1" t="str">
        <f ca="1">IFERROR(__xludf.DUMMYFUNCTION("GOOGLETRANSLATE(English!B673, ""en"", ""bg"")"),"физика")</f>
        <v>физика</v>
      </c>
      <c r="C673" s="1" t="str">
        <f ca="1">IFERROR(__xludf.DUMMYFUNCTION("GOOGLETRANSLATE(English!C673, ""en"", ""bg"")"),"средата")</f>
        <v>средата</v>
      </c>
      <c r="D673" s="1" t="str">
        <f ca="1">IFERROR(__xludf.DUMMYFUNCTION("GOOGLETRANSLATE(English!D673, ""en"", ""bg"")"),"плътност")</f>
        <v>плътност</v>
      </c>
      <c r="E673" s="1" t="str">
        <f ca="1">IFERROR(__xludf.DUMMYFUNCTION("GOOGLETRANSLATE(English!E673,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673" s="1" t="str">
        <f ca="1">IFERROR(__xludf.DUMMYFUNCTION("GOOGLETRANSLATE(English!F673,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673" s="1" t="str">
        <f ca="1">IFERROR(__xludf.DUMMYFUNCTION("GOOGLETRANSLATE(English!G673, ""en"", ""bg"")"),"помощ_за_домашно_изпълнение")</f>
        <v>помощ_за_домашно_изпълнение</v>
      </c>
      <c r="H673" s="1" t="str">
        <f ca="1">IFERROR(__xludf.DUMMYFUNCTION("GOOGLETRANSLATE(English!H673, ""en"", ""bg"")"),"помощ_за_домашно_задаване")</f>
        <v>помощ_за_домашно_задаване</v>
      </c>
    </row>
    <row r="674" spans="1:8" ht="13.2" x14ac:dyDescent="0.25">
      <c r="A674" s="1" t="str">
        <f ca="1">IFERROR(__xludf.DUMMYFUNCTION("GOOGLETRANSLATE(English!A674, ""en"", ""bg"")"),"qa_13476")</f>
        <v>qa_13476</v>
      </c>
      <c r="B674" s="1" t="str">
        <f ca="1">IFERROR(__xludf.DUMMYFUNCTION("GOOGLETRANSLATE(English!B674, ""en"", ""bg"")"),"химия")</f>
        <v>химия</v>
      </c>
      <c r="C674" s="1" t="str">
        <f ca="1">IFERROR(__xludf.DUMMYFUNCTION("GOOGLETRANSLATE(English!C674, ""en"", ""bg"")"),"средата")</f>
        <v>средата</v>
      </c>
      <c r="D674" s="1" t="str">
        <f ca="1">IFERROR(__xludf.DUMMYFUNCTION("GOOGLETRANSLATE(English!D674, ""en"", ""bg"")"),"основи на периодичната таблица")</f>
        <v>основи на периодичната таблица</v>
      </c>
      <c r="E674" s="1" t="str">
        <f ca="1">IFERROR(__xludf.DUMMYFUNCTION("GOOGLETRANSLATE(English!E674, ""en"", ""bg"")"),"Какво представляват основите на периодичната таблица?")</f>
        <v>Какво представляват основите на периодичната таблица?</v>
      </c>
      <c r="F674" s="1" t="str">
        <f ca="1">IFERROR(__xludf.DUMMYFUNCTION("GOOGLETRANSLATE(English!F674,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674" s="1" t="str">
        <f ca="1">IFERROR(__xludf.DUMMYFUNCTION("GOOGLETRANSLATE(English!G674, ""en"", ""bg"")"),"direct_qa")</f>
        <v>direct_qa</v>
      </c>
      <c r="H674" s="1" t="str">
        <f ca="1">IFERROR(__xludf.DUMMYFUNCTION("GOOGLETRANSLATE(English!H674, ""en"", ""bg"")"),"заявка_за_знание")</f>
        <v>заявка_за_знание</v>
      </c>
    </row>
    <row r="675" spans="1:8" ht="13.2" x14ac:dyDescent="0.25">
      <c r="A675" s="1" t="str">
        <f ca="1">IFERROR(__xludf.DUMMYFUNCTION("GOOGLETRANSLATE(English!A675, ""en"", ""bg"")"),"conv_08134")</f>
        <v>conv_08134</v>
      </c>
      <c r="B675" s="1" t="str">
        <f ca="1">IFERROR(__xludf.DUMMYFUNCTION("GOOGLETRANSLATE(English!B675, ""en"", ""bg"")"),"физика")</f>
        <v>физика</v>
      </c>
      <c r="C675" s="1" t="str">
        <f ca="1">IFERROR(__xludf.DUMMYFUNCTION("GOOGLETRANSLATE(English!C675, ""en"", ""bg"")"),"елементарен")</f>
        <v>елементарен</v>
      </c>
      <c r="D675" s="1" t="str">
        <f ca="1">IFERROR(__xludf.DUMMYFUNCTION("GOOGLETRANSLATE(English!D675, ""en"", ""bg"")"),"плаващ и потъващ")</f>
        <v>плаващ и потъващ</v>
      </c>
      <c r="E675" s="1" t="str">
        <f ca="1">IFERROR(__xludf.DUMMYFUNCTION("GOOGLETRANSLATE(English!E675, ""en"", ""bg"")"),"Имам научен въпрос. Можете ли да ми обясните какво е плаване и потъване?")</f>
        <v>Имам научен въпрос. Можете ли да ми обясните какво е плаване и потъване?</v>
      </c>
      <c r="F675" s="1" t="str">
        <f ca="1">IFERROR(__xludf.DUMMYFUNCTION("GOOGLETRANSLATE(English!F675,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675" s="1" t="str">
        <f ca="1">IFERROR(__xludf.DUMMYFUNCTION("GOOGLETRANSLATE(English!G675, ""en"", ""bg"")"),"разговор")</f>
        <v>разговор</v>
      </c>
      <c r="H675" s="1" t="str">
        <f ca="1">IFERROR(__xludf.DUMMYFUNCTION("GOOGLETRANSLATE(English!H675, ""en"", ""bg"")"),"образователна_помощ")</f>
        <v>образователна_помощ</v>
      </c>
    </row>
    <row r="676" spans="1:8" ht="13.2" x14ac:dyDescent="0.25">
      <c r="A676" s="1" t="str">
        <f ca="1">IFERROR(__xludf.DUMMYFUNCTION("GOOGLETRANSLATE(English!A676, ""en"", ""bg"")"),"hw_11992")</f>
        <v>hw_11992</v>
      </c>
      <c r="B676" s="1" t="str">
        <f ca="1">IFERROR(__xludf.DUMMYFUNCTION("GOOGLETRANSLATE(English!B676, ""en"", ""bg"")"),"физика")</f>
        <v>физика</v>
      </c>
      <c r="C676" s="1" t="str">
        <f ca="1">IFERROR(__xludf.DUMMYFUNCTION("GOOGLETRANSLATE(English!C676, ""en"", ""bg"")"),"високо")</f>
        <v>високо</v>
      </c>
      <c r="D676" s="1" t="str">
        <f ca="1">IFERROR(__xludf.DUMMYFUNCTION("GOOGLETRANSLATE(English!D676, ""en"", ""bg"")"),"оптика")</f>
        <v>оптика</v>
      </c>
      <c r="E676" s="1" t="str">
        <f ca="1">IFERROR(__xludf.DUMMYFUNCTION("GOOGLETRANSLATE(English!E676, ""en"", ""bg"")"),"Трябва да разбирам оптиката за изпита си.")</f>
        <v>Трябва да разбирам оптиката за изпита си.</v>
      </c>
      <c r="F676" s="1" t="str">
        <f ca="1">IFERROR(__xludf.DUMMYFUNCTION("GOOGLETRANSLATE(English!F676,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676" s="1" t="str">
        <f ca="1">IFERROR(__xludf.DUMMYFUNCTION("GOOGLETRANSLATE(English!G676, ""en"", ""bg"")"),"помощ_за_домашно_изпълнение")</f>
        <v>помощ_за_домашно_изпълнение</v>
      </c>
      <c r="H676" s="1" t="str">
        <f ca="1">IFERROR(__xludf.DUMMYFUNCTION("GOOGLETRANSLATE(English!H676, ""en"", ""bg"")"),"помощ_за_домашно_задаване")</f>
        <v>помощ_за_домашно_задаване</v>
      </c>
    </row>
    <row r="677" spans="1:8" ht="13.2" x14ac:dyDescent="0.25">
      <c r="A677" s="1" t="str">
        <f ca="1">IFERROR(__xludf.DUMMYFUNCTION("GOOGLETRANSLATE(English!A677, ""en"", ""bg"")"),"hw_12384")</f>
        <v>hw_12384</v>
      </c>
      <c r="B677" s="1" t="str">
        <f ca="1">IFERROR(__xludf.DUMMYFUNCTION("GOOGLETRANSLATE(English!B677, ""en"", ""bg"")"),"физика")</f>
        <v>физика</v>
      </c>
      <c r="C677" s="1" t="str">
        <f ca="1">IFERROR(__xludf.DUMMYFUNCTION("GOOGLETRANSLATE(English!C677, ""en"", ""bg"")"),"елементарен")</f>
        <v>елементарен</v>
      </c>
      <c r="D677" s="1" t="str">
        <f ca="1">IFERROR(__xludf.DUMMYFUNCTION("GOOGLETRANSLATE(English!D677, ""en"", ""bg"")"),"звук")</f>
        <v>звук</v>
      </c>
      <c r="E677" s="1" t="str">
        <f ca="1">IFERROR(__xludf.DUMMYFUNCTION("GOOGLETRANSLATE(English!E677, ""en"", ""bg"")"),"Трябва да разбирам звука за изпита си.")</f>
        <v>Трябва да разбирам звука за изпита си.</v>
      </c>
      <c r="F677" s="1" t="str">
        <f ca="1">IFERROR(__xludf.DUMMYFUNCTION("GOOGLETRANSLATE(English!F677,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677" s="1" t="str">
        <f ca="1">IFERROR(__xludf.DUMMYFUNCTION("GOOGLETRANSLATE(English!G677, ""en"", ""bg"")"),"помощ_за_домашно_изпълнение")</f>
        <v>помощ_за_домашно_изпълнение</v>
      </c>
      <c r="H677" s="1" t="str">
        <f ca="1">IFERROR(__xludf.DUMMYFUNCTION("GOOGLETRANSLATE(English!H677, ""en"", ""bg"")"),"помощ_за_домашно_задаване")</f>
        <v>помощ_за_домашно_задаване</v>
      </c>
    </row>
    <row r="678" spans="1:8" ht="13.2" x14ac:dyDescent="0.25">
      <c r="A678" s="1" t="str">
        <f ca="1">IFERROR(__xludf.DUMMYFUNCTION("GOOGLETRANSLATE(English!A678, ""en"", ""bg"")"),"hw_06570")</f>
        <v>hw_06570</v>
      </c>
      <c r="B678" s="1" t="str">
        <f ca="1">IFERROR(__xludf.DUMMYFUNCTION("GOOGLETRANSLATE(English!B678, ""en"", ""bg"")"),"химия")</f>
        <v>химия</v>
      </c>
      <c r="C678" s="1" t="str">
        <f ca="1">IFERROR(__xludf.DUMMYFUNCTION("GOOGLETRANSLATE(English!C678, ""en"", ""bg"")"),"средата")</f>
        <v>средата</v>
      </c>
      <c r="D678" s="1" t="str">
        <f ca="1">IFERROR(__xludf.DUMMYFUNCTION("GOOGLETRANSLATE(English!D678, ""en"", ""bg"")"),"атоми и молекули")</f>
        <v>атоми и молекули</v>
      </c>
      <c r="E678" s="1" t="str">
        <f ca="1">IFERROR(__xludf.DUMMYFUNCTION("GOOGLETRANSLATE(English!E678,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678" s="1" t="str">
        <f ca="1">IFERROR(__xludf.DUMMYFUNCTION("GOOGLETRANSLATE(English!F678,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678" s="1" t="str">
        <f ca="1">IFERROR(__xludf.DUMMYFUNCTION("GOOGLETRANSLATE(English!G678, ""en"", ""bg"")"),"помощ_за_домашно_изпълнение")</f>
        <v>помощ_за_домашно_изпълнение</v>
      </c>
      <c r="H678" s="1" t="str">
        <f ca="1">IFERROR(__xludf.DUMMYFUNCTION("GOOGLETRANSLATE(English!H678, ""en"", ""bg"")"),"помощ_за_домашно_задаване")</f>
        <v>помощ_за_домашно_задаване</v>
      </c>
    </row>
    <row r="679" spans="1:8" ht="13.2" x14ac:dyDescent="0.25">
      <c r="A679" s="1" t="str">
        <f ca="1">IFERROR(__xludf.DUMMYFUNCTION("GOOGLETRANSLATE(English!A679, ""en"", ""bg"")"),"qa_08036")</f>
        <v>qa_08036</v>
      </c>
      <c r="B679" s="1" t="str">
        <f ca="1">IFERROR(__xludf.DUMMYFUNCTION("GOOGLETRANSLATE(English!B679, ""en"", ""bg"")"),"биология")</f>
        <v>биология</v>
      </c>
      <c r="C679" s="1" t="str">
        <f ca="1">IFERROR(__xludf.DUMMYFUNCTION("GOOGLETRANSLATE(English!C679, ""en"", ""bg"")"),"средата")</f>
        <v>средата</v>
      </c>
      <c r="D679" s="1" t="str">
        <f ca="1">IFERROR(__xludf.DUMMYFUNCTION("GOOGLETRANSLATE(English!D679, ""en"", ""bg"")"),"фотосинтеза")</f>
        <v>фотосинтеза</v>
      </c>
      <c r="E679" s="1" t="str">
        <f ca="1">IFERROR(__xludf.DUMMYFUNCTION("GOOGLETRANSLATE(English!E679, ""en"", ""bg"")"),"Можете ли да ми разкажете за фотосинтезата?")</f>
        <v>Можете ли да ми разкажете за фотосинтезата?</v>
      </c>
      <c r="F679" s="1" t="str">
        <f ca="1">IFERROR(__xludf.DUMMYFUNCTION("GOOGLETRANSLATE(English!F679,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679" s="1" t="str">
        <f ca="1">IFERROR(__xludf.DUMMYFUNCTION("GOOGLETRANSLATE(English!G679, ""en"", ""bg"")"),"direct_qa")</f>
        <v>direct_qa</v>
      </c>
      <c r="H679" s="1" t="str">
        <f ca="1">IFERROR(__xludf.DUMMYFUNCTION("GOOGLETRANSLATE(English!H679, ""en"", ""bg"")"),"заявка_за_знание")</f>
        <v>заявка_за_знание</v>
      </c>
    </row>
    <row r="680" spans="1:8" ht="13.2" x14ac:dyDescent="0.25">
      <c r="A680" s="1" t="str">
        <f ca="1">IFERROR(__xludf.DUMMYFUNCTION("GOOGLETRANSLATE(English!A680, ""en"", ""bg"")"),"hw_11265")</f>
        <v>hw_11265</v>
      </c>
      <c r="B680" s="1" t="str">
        <f ca="1">IFERROR(__xludf.DUMMYFUNCTION("GOOGLETRANSLATE(English!B680, ""en"", ""bg"")"),"физика")</f>
        <v>физика</v>
      </c>
      <c r="C680" s="1" t="str">
        <f ca="1">IFERROR(__xludf.DUMMYFUNCTION("GOOGLETRANSLATE(English!C680, ""en"", ""bg"")"),"високо")</f>
        <v>високо</v>
      </c>
      <c r="D680" s="1" t="str">
        <f ca="1">IFERROR(__xludf.DUMMYFUNCTION("GOOGLETRANSLATE(English!D680, ""en"", ""bg"")"),"оптика")</f>
        <v>оптика</v>
      </c>
      <c r="E680" s="1" t="str">
        <f ca="1">IFERROR(__xludf.DUMMYFUNCTION("GOOGLETRANSLATE(English!E680, ""en"", ""bg"")"),"Можете ли да решите този въпрос с оптиката с мен?")</f>
        <v>Можете ли да решите този въпрос с оптиката с мен?</v>
      </c>
      <c r="F680" s="1" t="str">
        <f ca="1">IFERROR(__xludf.DUMMYFUNCTION("GOOGLETRANSLATE(English!F680,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680" s="1" t="str">
        <f ca="1">IFERROR(__xludf.DUMMYFUNCTION("GOOGLETRANSLATE(English!G680, ""en"", ""bg"")"),"помощ_за_домашно_изпълнение")</f>
        <v>помощ_за_домашно_изпълнение</v>
      </c>
      <c r="H680" s="1" t="str">
        <f ca="1">IFERROR(__xludf.DUMMYFUNCTION("GOOGLETRANSLATE(English!H680, ""en"", ""bg"")"),"помощ_за_домашно_задаване")</f>
        <v>помощ_за_домашно_задаване</v>
      </c>
    </row>
    <row r="681" spans="1:8" ht="13.2" x14ac:dyDescent="0.25">
      <c r="A681" s="1" t="str">
        <f ca="1">IFERROR(__xludf.DUMMYFUNCTION("GOOGLETRANSLATE(English!A681, ""en"", ""bg"")"),"hw_14103")</f>
        <v>hw_14103</v>
      </c>
      <c r="B681" s="1" t="str">
        <f ca="1">IFERROR(__xludf.DUMMYFUNCTION("GOOGLETRANSLATE(English!B681, ""en"", ""bg"")"),"химия")</f>
        <v>химия</v>
      </c>
      <c r="C681" s="1" t="str">
        <f ca="1">IFERROR(__xludf.DUMMYFUNCTION("GOOGLETRANSLATE(English!C681, ""en"", ""bg"")"),"средата")</f>
        <v>средата</v>
      </c>
      <c r="D681" s="1" t="str">
        <f ca="1">IFERROR(__xludf.DUMMYFUNCTION("GOOGLETRANSLATE(English!D681, ""en"", ""bg"")"),"атоми и молекули")</f>
        <v>атоми и молекули</v>
      </c>
      <c r="E681" s="1" t="str">
        <f ca="1">IFERROR(__xludf.DUMMYFUNCTION("GOOGLETRANSLATE(English!E681,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681" s="1" t="str">
        <f ca="1">IFERROR(__xludf.DUMMYFUNCTION("GOOGLETRANSLATE(English!F681,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681" s="1" t="str">
        <f ca="1">IFERROR(__xludf.DUMMYFUNCTION("GOOGLETRANSLATE(English!G681, ""en"", ""bg"")"),"помощ_за_домашно_изпълнение")</f>
        <v>помощ_за_домашно_изпълнение</v>
      </c>
      <c r="H681" s="1" t="str">
        <f ca="1">IFERROR(__xludf.DUMMYFUNCTION("GOOGLETRANSLATE(English!H681, ""en"", ""bg"")"),"помощ_за_домашно_задаване")</f>
        <v>помощ_за_домашно_задаване</v>
      </c>
    </row>
    <row r="682" spans="1:8" ht="13.2" x14ac:dyDescent="0.25">
      <c r="A682" s="1" t="str">
        <f ca="1">IFERROR(__xludf.DUMMYFUNCTION("GOOGLETRANSLATE(English!A682, ""en"", ""bg"")"),"conv_05877")</f>
        <v>conv_05877</v>
      </c>
      <c r="B682" s="1" t="str">
        <f ca="1">IFERROR(__xludf.DUMMYFUNCTION("GOOGLETRANSLATE(English!B682, ""en"", ""bg"")"),"химия")</f>
        <v>химия</v>
      </c>
      <c r="C682" s="1" t="str">
        <f ca="1">IFERROR(__xludf.DUMMYFUNCTION("GOOGLETRANSLATE(English!C682, ""en"", ""bg"")"),"високо")</f>
        <v>високо</v>
      </c>
      <c r="D682" s="1" t="str">
        <f ca="1">IFERROR(__xludf.DUMMYFUNCTION("GOOGLETRANSLATE(English!D682, ""en"", ""bg"")"),"химическо свързване")</f>
        <v>химическо свързване</v>
      </c>
      <c r="E682" s="1" t="str">
        <f ca="1">IFERROR(__xludf.DUMMYFUNCTION("GOOGLETRANSLATE(English!E682, ""en"", ""bg"")"),"Имам нужда от помощ с домашното си. Как работи химическата връзка в химията?")</f>
        <v>Имам нужда от помощ с домашното си. Как работи химическата връзка в химията?</v>
      </c>
      <c r="F682" s="1" t="str">
        <f ca="1">IFERROR(__xludf.DUMMYFUNCTION("GOOGLETRANSLATE(English!F682,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682" s="1" t="str">
        <f ca="1">IFERROR(__xludf.DUMMYFUNCTION("GOOGLETRANSLATE(English!G682, ""en"", ""bg"")"),"разговор")</f>
        <v>разговор</v>
      </c>
      <c r="H682" s="1" t="str">
        <f ca="1">IFERROR(__xludf.DUMMYFUNCTION("GOOGLETRANSLATE(English!H682, ""en"", ""bg"")"),"образователна_помощ")</f>
        <v>образователна_помощ</v>
      </c>
    </row>
    <row r="683" spans="1:8" ht="13.2" x14ac:dyDescent="0.25">
      <c r="A683" s="1" t="str">
        <f ca="1">IFERROR(__xludf.DUMMYFUNCTION("GOOGLETRANSLATE(English!A683, ""en"", ""bg"")"),"qa_12204")</f>
        <v>qa_12204</v>
      </c>
      <c r="B683" s="1" t="str">
        <f ca="1">IFERROR(__xludf.DUMMYFUNCTION("GOOGLETRANSLATE(English!B683, ""en"", ""bg"")"),"химия")</f>
        <v>химия</v>
      </c>
      <c r="C683" s="1" t="str">
        <f ca="1">IFERROR(__xludf.DUMMYFUNCTION("GOOGLETRANSLATE(English!C683, ""en"", ""bg"")"),"елементарен")</f>
        <v>елементарен</v>
      </c>
      <c r="D683" s="1" t="str">
        <f ca="1">IFERROR(__xludf.DUMMYFUNCTION("GOOGLETRANSLATE(English!D683, ""en"", ""bg"")"),"твърди вещества, течности, газове")</f>
        <v>твърди вещества, течности, газове</v>
      </c>
      <c r="E683" s="1" t="str">
        <f ca="1">IFERROR(__xludf.DUMMYFUNCTION("GOOGLETRANSLATE(English!E683, ""en"", ""bg"")"),"Кои са трите състояния на материята?")</f>
        <v>Кои са трите състояния на материята?</v>
      </c>
      <c r="F683" s="1" t="str">
        <f ca="1">IFERROR(__xludf.DUMMYFUNCTION("GOOGLETRANSLATE(English!F683,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683" s="1" t="str">
        <f ca="1">IFERROR(__xludf.DUMMYFUNCTION("GOOGLETRANSLATE(English!G683, ""en"", ""bg"")"),"direct_qa")</f>
        <v>direct_qa</v>
      </c>
      <c r="H683" s="1" t="str">
        <f ca="1">IFERROR(__xludf.DUMMYFUNCTION("GOOGLETRANSLATE(English!H683, ""en"", ""bg"")"),"заявка_за_знание")</f>
        <v>заявка_за_знание</v>
      </c>
    </row>
    <row r="684" spans="1:8" ht="13.2" x14ac:dyDescent="0.25">
      <c r="A684" s="1" t="str">
        <f ca="1">IFERROR(__xludf.DUMMYFUNCTION("GOOGLETRANSLATE(English!A684, ""en"", ""bg"")"),"conv_19284")</f>
        <v>conv_19284</v>
      </c>
      <c r="B684" s="1" t="str">
        <f ca="1">IFERROR(__xludf.DUMMYFUNCTION("GOOGLETRANSLATE(English!B684, ""en"", ""bg"")"),"химия")</f>
        <v>химия</v>
      </c>
      <c r="C684" s="1" t="str">
        <f ca="1">IFERROR(__xludf.DUMMYFUNCTION("GOOGLETRANSLATE(English!C684, ""en"", ""bg"")"),"средата")</f>
        <v>средата</v>
      </c>
      <c r="D684" s="1" t="str">
        <f ca="1">IFERROR(__xludf.DUMMYFUNCTION("GOOGLETRANSLATE(English!D684, ""en"", ""bg"")"),"киселини и основи")</f>
        <v>киселини и основи</v>
      </c>
      <c r="E684" s="1" t="str">
        <f ca="1">IFERROR(__xludf.DUMMYFUNCTION("GOOGLETRANSLATE(English!E684, ""en"", ""bg"")"),"Можете ли да ми помогнете? Защо е важно да се изучават киселини и основи?")</f>
        <v>Можете ли да ми помогнете? Защо е важно да се изучават киселини и основи?</v>
      </c>
      <c r="F684" s="1" t="str">
        <f ca="1">IFERROR(__xludf.DUMMYFUNCTION("GOOGLETRANSLATE(English!F684,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684" s="1" t="str">
        <f ca="1">IFERROR(__xludf.DUMMYFUNCTION("GOOGLETRANSLATE(English!G684, ""en"", ""bg"")"),"разговор")</f>
        <v>разговор</v>
      </c>
      <c r="H684" s="1" t="str">
        <f ca="1">IFERROR(__xludf.DUMMYFUNCTION("GOOGLETRANSLATE(English!H684, ""en"", ""bg"")"),"образователна_помощ")</f>
        <v>образователна_помощ</v>
      </c>
    </row>
    <row r="685" spans="1:8" ht="13.2" x14ac:dyDescent="0.25">
      <c r="A685" s="1" t="str">
        <f ca="1">IFERROR(__xludf.DUMMYFUNCTION("GOOGLETRANSLATE(English!A685, ""en"", ""bg"")"),"hw_04498")</f>
        <v>hw_04498</v>
      </c>
      <c r="B685" s="1" t="str">
        <f ca="1">IFERROR(__xludf.DUMMYFUNCTION("GOOGLETRANSLATE(English!B685, ""en"", ""bg"")"),"физика")</f>
        <v>физика</v>
      </c>
      <c r="C685" s="1" t="str">
        <f ca="1">IFERROR(__xludf.DUMMYFUNCTION("GOOGLETRANSLATE(English!C685, ""en"", ""bg"")"),"високо")</f>
        <v>високо</v>
      </c>
      <c r="D685" s="1" t="str">
        <f ca="1">IFERROR(__xludf.DUMMYFUNCTION("GOOGLETRANSLATE(English!D685, ""en"", ""bg"")"),"оптика")</f>
        <v>оптика</v>
      </c>
      <c r="E685" s="1" t="str">
        <f ca="1">IFERROR(__xludf.DUMMYFUNCTION("GOOGLETRANSLATE(English!E685, ""en"", ""bg"")"),"Заседнал съм с този проблем с оптиката. Можете ли да помогнете?")</f>
        <v>Заседнал съм с този проблем с оптиката. Можете ли да помогнете?</v>
      </c>
      <c r="F685" s="1" t="str">
        <f ca="1">IFERROR(__xludf.DUMMYFUNCTION("GOOGLETRANSLATE(English!F685,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685" s="1" t="str">
        <f ca="1">IFERROR(__xludf.DUMMYFUNCTION("GOOGLETRANSLATE(English!G685, ""en"", ""bg"")"),"помощ_за_домашно_изпълнение")</f>
        <v>помощ_за_домашно_изпълнение</v>
      </c>
      <c r="H685" s="1" t="str">
        <f ca="1">IFERROR(__xludf.DUMMYFUNCTION("GOOGLETRANSLATE(English!H685, ""en"", ""bg"")"),"помощ_за_домашно_задаване")</f>
        <v>помощ_за_домашно_задаване</v>
      </c>
    </row>
    <row r="686" spans="1:8" ht="13.2" x14ac:dyDescent="0.25">
      <c r="A686" s="1" t="str">
        <f ca="1">IFERROR(__xludf.DUMMYFUNCTION("GOOGLETRANSLATE(English!A686, ""en"", ""bg"")"),"hw_01482")</f>
        <v>hw_01482</v>
      </c>
      <c r="B686" s="1" t="str">
        <f ca="1">IFERROR(__xludf.DUMMYFUNCTION("GOOGLETRANSLATE(English!B686, ""en"", ""bg"")"),"физика")</f>
        <v>физика</v>
      </c>
      <c r="C686" s="1" t="str">
        <f ca="1">IFERROR(__xludf.DUMMYFUNCTION("GOOGLETRANSLATE(English!C686, ""en"", ""bg"")"),"елементарен")</f>
        <v>елементарен</v>
      </c>
      <c r="D686" s="1" t="str">
        <f ca="1">IFERROR(__xludf.DUMMYFUNCTION("GOOGLETRANSLATE(English!D686, ""en"", ""bg"")"),"плаващ и потъващ")</f>
        <v>плаващ и потъващ</v>
      </c>
      <c r="E686" s="1" t="str">
        <f ca="1">IFERROR(__xludf.DUMMYFUNCTION("GOOGLETRANSLATE(English!E686,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686" s="1" t="str">
        <f ca="1">IFERROR(__xludf.DUMMYFUNCTION("GOOGLETRANSLATE(English!F686,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686" s="1" t="str">
        <f ca="1">IFERROR(__xludf.DUMMYFUNCTION("GOOGLETRANSLATE(English!G686, ""en"", ""bg"")"),"помощ_за_домашно_изпълнение")</f>
        <v>помощ_за_домашно_изпълнение</v>
      </c>
      <c r="H686" s="1" t="str">
        <f ca="1">IFERROR(__xludf.DUMMYFUNCTION("GOOGLETRANSLATE(English!H686, ""en"", ""bg"")"),"помощ_за_домашно_задаване")</f>
        <v>помощ_за_домашно_задаване</v>
      </c>
    </row>
    <row r="687" spans="1:8" ht="13.2" x14ac:dyDescent="0.25">
      <c r="A687" s="1" t="str">
        <f ca="1">IFERROR(__xludf.DUMMYFUNCTION("GOOGLETRANSLATE(English!A687, ""en"", ""bg"")"),"qa_10625")</f>
        <v>qa_10625</v>
      </c>
      <c r="B687" s="1" t="str">
        <f ca="1">IFERROR(__xludf.DUMMYFUNCTION("GOOGLETRANSLATE(English!B687, ""en"", ""bg"")"),"биология")</f>
        <v>биология</v>
      </c>
      <c r="C687" s="1" t="str">
        <f ca="1">IFERROR(__xludf.DUMMYFUNCTION("GOOGLETRANSLATE(English!C687, ""en"", ""bg"")"),"елементарен")</f>
        <v>елементарен</v>
      </c>
      <c r="D687" s="1" t="str">
        <f ca="1">IFERROR(__xludf.DUMMYFUNCTION("GOOGLETRANSLATE(English!D687, ""en"", ""bg"")"),"домашни любимци срещу диви животни")</f>
        <v>домашни любимци срещу диви животни</v>
      </c>
      <c r="E687" s="1" t="str">
        <f ca="1">IFERROR(__xludf.DUMMYFUNCTION("GOOGLETRANSLATE(English!E687, ""en"", ""bg"")"),"Можете ли да ми разкажете за домашните любимци спрямо дивите животни?")</f>
        <v>Можете ли да ми разкажете за домашните любимци спрямо дивите животни?</v>
      </c>
      <c r="F687" s="1" t="str">
        <f ca="1">IFERROR(__xludf.DUMMYFUNCTION("GOOGLETRANSLATE(English!F687, ""en"", ""bg"")"),"Домашни любимци срещу диви животни е завладяваща част от биологията! Тя ни помага да разберем как функционират живите същества.")</f>
        <v>Домашни любимци срещу диви животни е завладяваща част от биологията! Тя ни помага да разберем как функционират живите същества.</v>
      </c>
      <c r="G687" s="1" t="str">
        <f ca="1">IFERROR(__xludf.DUMMYFUNCTION("GOOGLETRANSLATE(English!G687, ""en"", ""bg"")"),"direct_qa")</f>
        <v>direct_qa</v>
      </c>
      <c r="H687" s="1" t="str">
        <f ca="1">IFERROR(__xludf.DUMMYFUNCTION("GOOGLETRANSLATE(English!H687, ""en"", ""bg"")"),"заявка_за_знание")</f>
        <v>заявка_за_знание</v>
      </c>
    </row>
    <row r="688" spans="1:8" ht="13.2" x14ac:dyDescent="0.25">
      <c r="A688" s="1" t="str">
        <f ca="1">IFERROR(__xludf.DUMMYFUNCTION("GOOGLETRANSLATE(English!A688, ""en"", ""bg"")"),"conv_00701")</f>
        <v>conv_00701</v>
      </c>
      <c r="B688" s="1" t="str">
        <f ca="1">IFERROR(__xludf.DUMMYFUNCTION("GOOGLETRANSLATE(English!B688, ""en"", ""bg"")"),"биология")</f>
        <v>биология</v>
      </c>
      <c r="C688" s="1" t="str">
        <f ca="1">IFERROR(__xludf.DUMMYFUNCTION("GOOGLETRANSLATE(English!C688, ""en"", ""bg"")"),"високо")</f>
        <v>високо</v>
      </c>
      <c r="D688" s="1" t="str">
        <f ca="1">IFERROR(__xludf.DUMMYFUNCTION("GOOGLETRANSLATE(English!D688, ""en"", ""bg"")"),"митоза и мейоза")</f>
        <v>митоза и мейоза</v>
      </c>
      <c r="E688" s="1" t="str">
        <f ca="1">IFERROR(__xludf.DUMMYFUNCTION("GOOGLETRANSLATE(English!E688, ""en"", ""bg"")"),"Не разбирам тази тема. Как протичат митозата и мейозата?")</f>
        <v>Не разбирам тази тема. Как протичат митозата и мейозата?</v>
      </c>
      <c r="F688" s="1" t="str">
        <f ca="1">IFERROR(__xludf.DUMMYFUNCTION("GOOGLETRANSLATE(English!F688,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688" s="1" t="str">
        <f ca="1">IFERROR(__xludf.DUMMYFUNCTION("GOOGLETRANSLATE(English!G688, ""en"", ""bg"")"),"разговор")</f>
        <v>разговор</v>
      </c>
      <c r="H688" s="1" t="str">
        <f ca="1">IFERROR(__xludf.DUMMYFUNCTION("GOOGLETRANSLATE(English!H688, ""en"", ""bg"")"),"образователна_помощ")</f>
        <v>образователна_помощ</v>
      </c>
    </row>
    <row r="689" spans="1:8" ht="13.2" x14ac:dyDescent="0.25">
      <c r="A689" s="1" t="str">
        <f ca="1">IFERROR(__xludf.DUMMYFUNCTION("GOOGLETRANSLATE(English!A689, ""en"", ""bg"")"),"hw_09734")</f>
        <v>hw_09734</v>
      </c>
      <c r="B689" s="1" t="str">
        <f ca="1">IFERROR(__xludf.DUMMYFUNCTION("GOOGLETRANSLATE(English!B689, ""en"", ""bg"")"),"биология")</f>
        <v>биология</v>
      </c>
      <c r="C689" s="1" t="str">
        <f ca="1">IFERROR(__xludf.DUMMYFUNCTION("GOOGLETRANSLATE(English!C689, ""en"", ""bg"")"),"високо")</f>
        <v>високо</v>
      </c>
      <c r="D689" s="1" t="str">
        <f ca="1">IFERROR(__xludf.DUMMYFUNCTION("GOOGLETRANSLATE(English!D689, ""en"", ""bg"")"),"модели на наследяване")</f>
        <v>модели на наследяване</v>
      </c>
      <c r="E689" s="1" t="str">
        <f ca="1">IFERROR(__xludf.DUMMYFUNCTION("GOOGLETRANSLATE(English!E689,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689" s="1" t="str">
        <f ca="1">IFERROR(__xludf.DUMMYFUNCTION("GOOGLETRANSLATE(English!F689,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689" s="1" t="str">
        <f ca="1">IFERROR(__xludf.DUMMYFUNCTION("GOOGLETRANSLATE(English!G689, ""en"", ""bg"")"),"помощ_за_домашно_изпълнение")</f>
        <v>помощ_за_домашно_изпълнение</v>
      </c>
      <c r="H689" s="1" t="str">
        <f ca="1">IFERROR(__xludf.DUMMYFUNCTION("GOOGLETRANSLATE(English!H689, ""en"", ""bg"")"),"помощ_за_домашно_задаване")</f>
        <v>помощ_за_домашно_задаване</v>
      </c>
    </row>
    <row r="690" spans="1:8" ht="13.2" x14ac:dyDescent="0.25">
      <c r="A690" s="1" t="str">
        <f ca="1">IFERROR(__xludf.DUMMYFUNCTION("GOOGLETRANSLATE(English!A690, ""en"", ""bg"")"),"qa_02140")</f>
        <v>qa_02140</v>
      </c>
      <c r="B690" s="1" t="str">
        <f ca="1">IFERROR(__xludf.DUMMYFUNCTION("GOOGLETRANSLATE(English!B690, ""en"", ""bg"")"),"физика")</f>
        <v>физика</v>
      </c>
      <c r="C690" s="1" t="str">
        <f ca="1">IFERROR(__xludf.DUMMYFUNCTION("GOOGLETRANSLATE(English!C690, ""en"", ""bg"")"),"средата")</f>
        <v>средата</v>
      </c>
      <c r="D690" s="1" t="str">
        <f ca="1">IFERROR(__xludf.DUMMYFUNCTION("GOOGLETRANSLATE(English!D690, ""en"", ""bg"")"),"сили и движение")</f>
        <v>сили и движение</v>
      </c>
      <c r="E690" s="1" t="str">
        <f ca="1">IFERROR(__xludf.DUMMYFUNCTION("GOOGLETRANSLATE(English!E690, ""en"", ""bg"")"),"Каква е разликата между скорост и ускорение?")</f>
        <v>Каква е разликата между скорост и ускорение?</v>
      </c>
      <c r="F690" s="1" t="str">
        <f ca="1">IFERROR(__xludf.DUMMYFUNCTION("GOOGLETRANSLATE(English!F690,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690" s="1" t="str">
        <f ca="1">IFERROR(__xludf.DUMMYFUNCTION("GOOGLETRANSLATE(English!G690, ""en"", ""bg"")"),"direct_qa")</f>
        <v>direct_qa</v>
      </c>
      <c r="H690" s="1" t="str">
        <f ca="1">IFERROR(__xludf.DUMMYFUNCTION("GOOGLETRANSLATE(English!H690, ""en"", ""bg"")"),"заявка_за_знание")</f>
        <v>заявка_за_знание</v>
      </c>
    </row>
    <row r="691" spans="1:8" ht="13.2" x14ac:dyDescent="0.25">
      <c r="A691" s="1" t="str">
        <f ca="1">IFERROR(__xludf.DUMMYFUNCTION("GOOGLETRANSLATE(English!A691, ""en"", ""bg"")"),"hw_02793")</f>
        <v>hw_02793</v>
      </c>
      <c r="B691" s="1" t="str">
        <f ca="1">IFERROR(__xludf.DUMMYFUNCTION("GOOGLETRANSLATE(English!B691, ""en"", ""bg"")"),"химия")</f>
        <v>химия</v>
      </c>
      <c r="C691" s="1" t="str">
        <f ca="1">IFERROR(__xludf.DUMMYFUNCTION("GOOGLETRANSLATE(English!C691, ""en"", ""bg"")"),"високо")</f>
        <v>високо</v>
      </c>
      <c r="D691" s="1" t="str">
        <f ca="1">IFERROR(__xludf.DUMMYFUNCTION("GOOGLETRANSLATE(English!D691, ""en"", ""bg"")"),"стехиометрия")</f>
        <v>стехиометрия</v>
      </c>
      <c r="E691" s="1" t="str">
        <f ca="1">IFERROR(__xludf.DUMMYFUNCTION("GOOGLETRANSLATE(English!E691, ""en"", ""bg"")"),"Докладът ми по химия е за стехиометрията. Помогнете ми да разбера.")</f>
        <v>Докладът ми по химия е за стехиометрията. Помогнете ми да разбера.</v>
      </c>
      <c r="F691" s="1" t="str">
        <f ca="1">IFERROR(__xludf.DUMMYFUNCTION("GOOGLETRANSLATE(English!F691,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691" s="1" t="str">
        <f ca="1">IFERROR(__xludf.DUMMYFUNCTION("GOOGLETRANSLATE(English!G691, ""en"", ""bg"")"),"помощ_за_домашно_изпълнение")</f>
        <v>помощ_за_домашно_изпълнение</v>
      </c>
      <c r="H691" s="1" t="str">
        <f ca="1">IFERROR(__xludf.DUMMYFUNCTION("GOOGLETRANSLATE(English!H691, ""en"", ""bg"")"),"помощ_за_домашно_задаване")</f>
        <v>помощ_за_домашно_задаване</v>
      </c>
    </row>
    <row r="692" spans="1:8" ht="13.2" x14ac:dyDescent="0.25">
      <c r="A692" s="1" t="str">
        <f ca="1">IFERROR(__xludf.DUMMYFUNCTION("GOOGLETRANSLATE(English!A692, ""en"", ""bg"")"),"conv_10964")</f>
        <v>conv_10964</v>
      </c>
      <c r="B692" s="1" t="str">
        <f ca="1">IFERROR(__xludf.DUMMYFUNCTION("GOOGLETRANSLATE(English!B692, ""en"", ""bg"")"),"химия")</f>
        <v>химия</v>
      </c>
      <c r="C692" s="1" t="str">
        <f ca="1">IFERROR(__xludf.DUMMYFUNCTION("GOOGLETRANSLATE(English!C692, ""en"", ""bg"")"),"елементарен")</f>
        <v>елементарен</v>
      </c>
      <c r="D692" s="1" t="str">
        <f ca="1">IFERROR(__xludf.DUMMYFUNCTION("GOOGLETRANSLATE(English!D692, ""en"", ""bg"")"),"смесване на материали")</f>
        <v>смесване на материали</v>
      </c>
      <c r="E692" s="1" t="str">
        <f ca="1">IFERROR(__xludf.DUMMYFUNCTION("GOOGLETRANSLATE(English!E692, ""en"", ""bg"")"),"Не разбирам тази тема. Какво е решение?")</f>
        <v>Не разбирам тази тема. Какво е решение?</v>
      </c>
      <c r="F692" s="1" t="str">
        <f ca="1">IFERROR(__xludf.DUMMYFUNCTION("GOOGLETRANSLATE(English!F692,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692" s="1" t="str">
        <f ca="1">IFERROR(__xludf.DUMMYFUNCTION("GOOGLETRANSLATE(English!G692, ""en"", ""bg"")"),"разговор")</f>
        <v>разговор</v>
      </c>
      <c r="H692" s="1" t="str">
        <f ca="1">IFERROR(__xludf.DUMMYFUNCTION("GOOGLETRANSLATE(English!H692, ""en"", ""bg"")"),"образователна_помощ")</f>
        <v>образователна_помощ</v>
      </c>
    </row>
    <row r="693" spans="1:8" ht="13.2" x14ac:dyDescent="0.25">
      <c r="A693" s="1" t="str">
        <f ca="1">IFERROR(__xludf.DUMMYFUNCTION("GOOGLETRANSLATE(English!A693, ""en"", ""bg"")"),"conv_00864")</f>
        <v>conv_00864</v>
      </c>
      <c r="B693" s="1" t="str">
        <f ca="1">IFERROR(__xludf.DUMMYFUNCTION("GOOGLETRANSLATE(English!B693, ""en"", ""bg"")"),"физика")</f>
        <v>физика</v>
      </c>
      <c r="C693" s="1" t="str">
        <f ca="1">IFERROR(__xludf.DUMMYFUNCTION("GOOGLETRANSLATE(English!C693, ""en"", ""bg"")"),"високо")</f>
        <v>високо</v>
      </c>
      <c r="D693" s="1" t="str">
        <f ca="1">IFERROR(__xludf.DUMMYFUNCTION("GOOGLETRANSLATE(English!D693, ""en"", ""bg"")"),"радиоактивност")</f>
        <v>радиоактивност</v>
      </c>
      <c r="E693" s="1" t="str">
        <f ca="1">IFERROR(__xludf.DUMMYFUNCTION("GOOGLETRANSLATE(English!E693, ""en"", ""bg"")"),"Не разбирам тази тема. Защо радиоактивността е важна?")</f>
        <v>Не разбирам тази тема. Защо радиоактивността е важна?</v>
      </c>
      <c r="F693" s="1" t="str">
        <f ca="1">IFERROR(__xludf.DUMMYFUNCTION("GOOGLETRANSLATE(English!F693,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693" s="1" t="str">
        <f ca="1">IFERROR(__xludf.DUMMYFUNCTION("GOOGLETRANSLATE(English!G693, ""en"", ""bg"")"),"разговор")</f>
        <v>разговор</v>
      </c>
      <c r="H693" s="1" t="str">
        <f ca="1">IFERROR(__xludf.DUMMYFUNCTION("GOOGLETRANSLATE(English!H693, ""en"", ""bg"")"),"образователна_помощ")</f>
        <v>образователна_помощ</v>
      </c>
    </row>
    <row r="694" spans="1:8" ht="13.2" x14ac:dyDescent="0.25">
      <c r="A694" s="1" t="str">
        <f ca="1">IFERROR(__xludf.DUMMYFUNCTION("GOOGLETRANSLATE(English!A694, ""en"", ""bg"")"),"qa_01545")</f>
        <v>qa_01545</v>
      </c>
      <c r="B694" s="1" t="str">
        <f ca="1">IFERROR(__xludf.DUMMYFUNCTION("GOOGLETRANSLATE(English!B694, ""en"", ""bg"")"),"физика")</f>
        <v>физика</v>
      </c>
      <c r="C694" s="1" t="str">
        <f ca="1">IFERROR(__xludf.DUMMYFUNCTION("GOOGLETRANSLATE(English!C694, ""en"", ""bg"")"),"високо")</f>
        <v>високо</v>
      </c>
      <c r="D694" s="1" t="str">
        <f ca="1">IFERROR(__xludf.DUMMYFUNCTION("GOOGLETRANSLATE(English!D694, ""en"", ""bg"")"),"термодинамика")</f>
        <v>термодинамика</v>
      </c>
      <c r="E694" s="1" t="str">
        <f ca="1">IFERROR(__xludf.DUMMYFUNCTION("GOOGLETRANSLATE(English!E694, ""en"", ""bg"")"),"Как работи термодинамиката във физиката?")</f>
        <v>Как работи термодинамиката във физиката?</v>
      </c>
      <c r="F694" s="1" t="str">
        <f ca="1">IFERROR(__xludf.DUMMYFUNCTION("GOOGLETRANSLATE(English!F694,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694" s="1" t="str">
        <f ca="1">IFERROR(__xludf.DUMMYFUNCTION("GOOGLETRANSLATE(English!G694, ""en"", ""bg"")"),"direct_qa")</f>
        <v>direct_qa</v>
      </c>
      <c r="H694" s="1" t="str">
        <f ca="1">IFERROR(__xludf.DUMMYFUNCTION("GOOGLETRANSLATE(English!H694, ""en"", ""bg"")"),"заявка_за_знание")</f>
        <v>заявка_за_знание</v>
      </c>
    </row>
    <row r="695" spans="1:8" ht="13.2" x14ac:dyDescent="0.25">
      <c r="A695" s="1" t="str">
        <f ca="1">IFERROR(__xludf.DUMMYFUNCTION("GOOGLETRANSLATE(English!A695, ""en"", ""bg"")"),"qa_14834")</f>
        <v>qa_14834</v>
      </c>
      <c r="B695" s="1" t="str">
        <f ca="1">IFERROR(__xludf.DUMMYFUNCTION("GOOGLETRANSLATE(English!B695, ""en"", ""bg"")"),"химия")</f>
        <v>химия</v>
      </c>
      <c r="C695" s="1" t="str">
        <f ca="1">IFERROR(__xludf.DUMMYFUNCTION("GOOGLETRANSLATE(English!C695, ""en"", ""bg"")"),"високо")</f>
        <v>високо</v>
      </c>
      <c r="D695" s="1" t="str">
        <f ca="1">IFERROR(__xludf.DUMMYFUNCTION("GOOGLETRANSLATE(English!D695, ""en"", ""bg"")"),"стехиометрия")</f>
        <v>стехиометрия</v>
      </c>
      <c r="E695" s="1" t="str">
        <f ca="1">IFERROR(__xludf.DUMMYFUNCTION("GOOGLETRANSLATE(English!E695, ""en"", ""bg"")"),"Какво е стехиометрията?")</f>
        <v>Какво е стехиометрията?</v>
      </c>
      <c r="F695" s="1" t="str">
        <f ca="1">IFERROR(__xludf.DUMMYFUNCTION("GOOGLETRANSLATE(English!F695,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695" s="1" t="str">
        <f ca="1">IFERROR(__xludf.DUMMYFUNCTION("GOOGLETRANSLATE(English!G695, ""en"", ""bg"")"),"direct_qa")</f>
        <v>direct_qa</v>
      </c>
      <c r="H695" s="1" t="str">
        <f ca="1">IFERROR(__xludf.DUMMYFUNCTION("GOOGLETRANSLATE(English!H695, ""en"", ""bg"")"),"заявка_за_знание")</f>
        <v>заявка_за_знание</v>
      </c>
    </row>
    <row r="696" spans="1:8" ht="13.2" x14ac:dyDescent="0.25">
      <c r="A696" s="1" t="str">
        <f ca="1">IFERROR(__xludf.DUMMYFUNCTION("GOOGLETRANSLATE(English!A696, ""en"", ""bg"")"),"qa_01713")</f>
        <v>qa_01713</v>
      </c>
      <c r="B696" s="1" t="str">
        <f ca="1">IFERROR(__xludf.DUMMYFUNCTION("GOOGLETRANSLATE(English!B696, ""en"", ""bg"")"),"биология")</f>
        <v>биология</v>
      </c>
      <c r="C696" s="1" t="str">
        <f ca="1">IFERROR(__xludf.DUMMYFUNCTION("GOOGLETRANSLATE(English!C696, ""en"", ""bg"")"),"високо")</f>
        <v>високо</v>
      </c>
      <c r="D696" s="1" t="str">
        <f ca="1">IFERROR(__xludf.DUMMYFUNCTION("GOOGLETRANSLATE(English!D696, ""en"", ""bg"")"),"модели на наследяване")</f>
        <v>модели на наследяване</v>
      </c>
      <c r="E696" s="1" t="str">
        <f ca="1">IFERROR(__xludf.DUMMYFUNCTION("GOOGLETRANSLATE(English!E696, ""en"", ""bg"")"),"Как работят моделите на наследяване?")</f>
        <v>Как работят моделите на наследяване?</v>
      </c>
      <c r="F696" s="1" t="str">
        <f ca="1">IFERROR(__xludf.DUMMYFUNCTION("GOOGLETRANSLATE(English!F696,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696" s="1" t="str">
        <f ca="1">IFERROR(__xludf.DUMMYFUNCTION("GOOGLETRANSLATE(English!G696, ""en"", ""bg"")"),"direct_qa")</f>
        <v>direct_qa</v>
      </c>
      <c r="H696" s="1" t="str">
        <f ca="1">IFERROR(__xludf.DUMMYFUNCTION("GOOGLETRANSLATE(English!H696, ""en"", ""bg"")"),"заявка_за_знание")</f>
        <v>заявка_за_знание</v>
      </c>
    </row>
    <row r="697" spans="1:8" ht="13.2" x14ac:dyDescent="0.25">
      <c r="A697" s="1" t="str">
        <f ca="1">IFERROR(__xludf.DUMMYFUNCTION("GOOGLETRANSLATE(English!A697, ""en"", ""bg"")"),"hw_08783")</f>
        <v>hw_08783</v>
      </c>
      <c r="B697" s="1" t="str">
        <f ca="1">IFERROR(__xludf.DUMMYFUNCTION("GOOGLETRANSLATE(English!B697, ""en"", ""bg"")"),"биология")</f>
        <v>биология</v>
      </c>
      <c r="C697" s="1" t="str">
        <f ca="1">IFERROR(__xludf.DUMMYFUNCTION("GOOGLETRANSLATE(English!C697, ""en"", ""bg"")"),"елементарен")</f>
        <v>елементарен</v>
      </c>
      <c r="D697" s="1" t="str">
        <f ca="1">IFERROR(__xludf.DUMMYFUNCTION("GOOGLETRANSLATE(English!D697, ""en"", ""bg"")"),"човешкото тяло")</f>
        <v>човешкото тяло</v>
      </c>
      <c r="E697" s="1" t="str">
        <f ca="1">IFERROR(__xludf.DUMMYFUNCTION("GOOGLETRANSLATE(English!E697, ""en"", ""bg"")"),"Домашното ми пита за човешкото тяло. Не го разбирам.")</f>
        <v>Домашното ми пита за човешкото тяло. Не го разбирам.</v>
      </c>
      <c r="F697" s="1" t="str">
        <f ca="1">IFERROR(__xludf.DUMMYFUNCTION("GOOGLETRANSLATE(English!F697,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697" s="1" t="str">
        <f ca="1">IFERROR(__xludf.DUMMYFUNCTION("GOOGLETRANSLATE(English!G697, ""en"", ""bg"")"),"помощ_за_домашно_изпълнение")</f>
        <v>помощ_за_домашно_изпълнение</v>
      </c>
      <c r="H697" s="1" t="str">
        <f ca="1">IFERROR(__xludf.DUMMYFUNCTION("GOOGLETRANSLATE(English!H697, ""en"", ""bg"")"),"помощ_за_домашно_задаване")</f>
        <v>помощ_за_домашно_задаване</v>
      </c>
    </row>
    <row r="698" spans="1:8" ht="13.2" x14ac:dyDescent="0.25">
      <c r="A698" s="1" t="str">
        <f ca="1">IFERROR(__xludf.DUMMYFUNCTION("GOOGLETRANSLATE(English!A698, ""en"", ""bg"")"),"conv_03244")</f>
        <v>conv_03244</v>
      </c>
      <c r="B698" s="1" t="str">
        <f ca="1">IFERROR(__xludf.DUMMYFUNCTION("GOOGLETRANSLATE(English!B698, ""en"", ""bg"")"),"физика")</f>
        <v>физика</v>
      </c>
      <c r="C698" s="1" t="str">
        <f ca="1">IFERROR(__xludf.DUMMYFUNCTION("GOOGLETRANSLATE(English!C698, ""en"", ""bg"")"),"средата")</f>
        <v>средата</v>
      </c>
      <c r="D698" s="1" t="str">
        <f ca="1">IFERROR(__xludf.DUMMYFUNCTION("GOOGLETRANSLATE(English!D698, ""en"", ""bg"")"),"сили и движение")</f>
        <v>сили и движение</v>
      </c>
      <c r="E698" s="1" t="str">
        <f ca="1">IFERROR(__xludf.DUMMYFUNCTION("GOOGLETRANSLATE(English!E698, ""en"", ""bg"")"),"Можете ли да ми помогнете? Каква е разликата между скорост и скорост?")</f>
        <v>Можете ли да ми помогнете? Каква е разликата между скорост и скорост?</v>
      </c>
      <c r="F698" s="1" t="str">
        <f ca="1">IFERROR(__xludf.DUMMYFUNCTION("GOOGLETRANSLATE(English!F698,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698" s="1" t="str">
        <f ca="1">IFERROR(__xludf.DUMMYFUNCTION("GOOGLETRANSLATE(English!G698, ""en"", ""bg"")"),"разговор")</f>
        <v>разговор</v>
      </c>
      <c r="H698" s="1" t="str">
        <f ca="1">IFERROR(__xludf.DUMMYFUNCTION("GOOGLETRANSLATE(English!H698, ""en"", ""bg"")"),"образователна_помощ")</f>
        <v>образователна_помощ</v>
      </c>
    </row>
    <row r="699" spans="1:8" ht="13.2" x14ac:dyDescent="0.25">
      <c r="A699" s="1" t="str">
        <f ca="1">IFERROR(__xludf.DUMMYFUNCTION("GOOGLETRANSLATE(English!A699, ""en"", ""bg"")"),"conv_18928")</f>
        <v>conv_18928</v>
      </c>
      <c r="B699" s="1" t="str">
        <f ca="1">IFERROR(__xludf.DUMMYFUNCTION("GOOGLETRANSLATE(English!B699, ""en"", ""bg"")"),"физика")</f>
        <v>физика</v>
      </c>
      <c r="C699" s="1" t="str">
        <f ca="1">IFERROR(__xludf.DUMMYFUNCTION("GOOGLETRANSLATE(English!C699, ""en"", ""bg"")"),"високо")</f>
        <v>високо</v>
      </c>
      <c r="D699" s="1" t="str">
        <f ca="1">IFERROR(__xludf.DUMMYFUNCTION("GOOGLETRANSLATE(English!D699, ""en"", ""bg"")"),"оптика")</f>
        <v>оптика</v>
      </c>
      <c r="E699" s="1" t="str">
        <f ca="1">IFERROR(__xludf.DUMMYFUNCTION("GOOGLETRANSLATE(English!E699, ""en"", ""bg"")"),"Не разбирам тази тема. Защо оптиката е важна?")</f>
        <v>Не разбирам тази тема. Защо оптиката е важна?</v>
      </c>
      <c r="F699" s="1" t="str">
        <f ca="1">IFERROR(__xludf.DUMMYFUNCTION("GOOGLETRANSLATE(English!F699,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699" s="1" t="str">
        <f ca="1">IFERROR(__xludf.DUMMYFUNCTION("GOOGLETRANSLATE(English!G699, ""en"", ""bg"")"),"разговор")</f>
        <v>разговор</v>
      </c>
      <c r="H699" s="1" t="str">
        <f ca="1">IFERROR(__xludf.DUMMYFUNCTION("GOOGLETRANSLATE(English!H699, ""en"", ""bg"")"),"образователна_помощ")</f>
        <v>образователна_помощ</v>
      </c>
    </row>
    <row r="700" spans="1:8" ht="13.2" x14ac:dyDescent="0.25">
      <c r="A700" s="1" t="str">
        <f ca="1">IFERROR(__xludf.DUMMYFUNCTION("GOOGLETRANSLATE(English!A700, ""en"", ""bg"")"),"conv_09295")</f>
        <v>conv_09295</v>
      </c>
      <c r="B700" s="1" t="str">
        <f ca="1">IFERROR(__xludf.DUMMYFUNCTION("GOOGLETRANSLATE(English!B700, ""en"", ""bg"")"),"химия")</f>
        <v>химия</v>
      </c>
      <c r="C700" s="1" t="str">
        <f ca="1">IFERROR(__xludf.DUMMYFUNCTION("GOOGLETRANSLATE(English!C700, ""en"", ""bg"")"),"средата")</f>
        <v>средата</v>
      </c>
      <c r="D700" s="1" t="str">
        <f ca="1">IFERROR(__xludf.DUMMYFUNCTION("GOOGLETRANSLATE(English!D700, ""en"", ""bg"")"),"съединения срещу елементи")</f>
        <v>съединения срещу елементи</v>
      </c>
      <c r="E700" s="1" t="str">
        <f ca="1">IFERROR(__xludf.DUMMYFUNCTION("GOOGLETRANSLATE(English!E700, ""en"", ""bg"")"),"Имам нужда от помощ с домашното. Как взаимодействат съединенията и елементите в химията?")</f>
        <v>Имам нужда от помощ с домашното. Как взаимодействат съединенията и елементите в химията?</v>
      </c>
      <c r="F700" s="1" t="str">
        <f ca="1">IFERROR(__xludf.DUMMYFUNCTION("GOOGLETRANSLATE(English!F700,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700" s="1" t="str">
        <f ca="1">IFERROR(__xludf.DUMMYFUNCTION("GOOGLETRANSLATE(English!G700, ""en"", ""bg"")"),"разговор")</f>
        <v>разговор</v>
      </c>
      <c r="H700" s="1" t="str">
        <f ca="1">IFERROR(__xludf.DUMMYFUNCTION("GOOGLETRANSLATE(English!H700, ""en"", ""bg"")"),"образователна_помощ")</f>
        <v>образователна_помощ</v>
      </c>
    </row>
    <row r="701" spans="1:8" ht="13.2" x14ac:dyDescent="0.25">
      <c r="A701" s="1" t="str">
        <f ca="1">IFERROR(__xludf.DUMMYFUNCTION("GOOGLETRANSLATE(English!A701, ""en"", ""bg"")"),"qa_14547")</f>
        <v>qa_14547</v>
      </c>
      <c r="B701" s="1" t="str">
        <f ca="1">IFERROR(__xludf.DUMMYFUNCTION("GOOGLETRANSLATE(English!B701, ""en"", ""bg"")"),"биология")</f>
        <v>биология</v>
      </c>
      <c r="C701" s="1" t="str">
        <f ca="1">IFERROR(__xludf.DUMMYFUNCTION("GOOGLETRANSLATE(English!C701, ""en"", ""bg"")"),"високо")</f>
        <v>високо</v>
      </c>
      <c r="D701" s="1" t="str">
        <f ca="1">IFERROR(__xludf.DUMMYFUNCTION("GOOGLETRANSLATE(English!D701, ""en"", ""bg"")"),"митоза и мейоза")</f>
        <v>митоза и мейоза</v>
      </c>
      <c r="E701" s="1" t="str">
        <f ca="1">IFERROR(__xludf.DUMMYFUNCTION("GOOGLETRANSLATE(English!E701, ""en"", ""bg"")"),"Как протичат митозата и мейозата?")</f>
        <v>Как протичат митозата и мейозата?</v>
      </c>
      <c r="F701" s="1" t="str">
        <f ca="1">IFERROR(__xludf.DUMMYFUNCTION("GOOGLETRANSLATE(English!F701,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701" s="1" t="str">
        <f ca="1">IFERROR(__xludf.DUMMYFUNCTION("GOOGLETRANSLATE(English!G701, ""en"", ""bg"")"),"direct_qa")</f>
        <v>direct_qa</v>
      </c>
      <c r="H701" s="1" t="str">
        <f ca="1">IFERROR(__xludf.DUMMYFUNCTION("GOOGLETRANSLATE(English!H701, ""en"", ""bg"")"),"заявка_за_знание")</f>
        <v>заявка_за_знание</v>
      </c>
    </row>
    <row r="702" spans="1:8" ht="13.2" x14ac:dyDescent="0.25">
      <c r="A702" s="1" t="str">
        <f ca="1">IFERROR(__xludf.DUMMYFUNCTION("GOOGLETRANSLATE(English!A702, ""en"", ""bg"")"),"qa_09232")</f>
        <v>qa_09232</v>
      </c>
      <c r="B702" s="1" t="str">
        <f ca="1">IFERROR(__xludf.DUMMYFUNCTION("GOOGLETRANSLATE(English!B702, ""en"", ""bg"")"),"физика")</f>
        <v>физика</v>
      </c>
      <c r="C702" s="1" t="str">
        <f ca="1">IFERROR(__xludf.DUMMYFUNCTION("GOOGLETRANSLATE(English!C702, ""en"", ""bg"")"),"средата")</f>
        <v>средата</v>
      </c>
      <c r="D702" s="1" t="str">
        <f ca="1">IFERROR(__xludf.DUMMYFUNCTION("GOOGLETRANSLATE(English!D702, ""en"", ""bg"")"),"прости схеми")</f>
        <v>прости схеми</v>
      </c>
      <c r="E702" s="1" t="str">
        <f ca="1">IFERROR(__xludf.DUMMYFUNCTION("GOOGLETRANSLATE(English!E702, ""en"", ""bg"")"),"Защо простите електрически вериги са важни?")</f>
        <v>Защо простите електрически вериги са важни?</v>
      </c>
      <c r="F702" s="1" t="str">
        <f ca="1">IFERROR(__xludf.DUMMYFUNCTION("GOOGLETRANSLATE(English!F702,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702" s="1" t="str">
        <f ca="1">IFERROR(__xludf.DUMMYFUNCTION("GOOGLETRANSLATE(English!G702, ""en"", ""bg"")"),"direct_qa")</f>
        <v>direct_qa</v>
      </c>
      <c r="H702" s="1" t="str">
        <f ca="1">IFERROR(__xludf.DUMMYFUNCTION("GOOGLETRANSLATE(English!H702, ""en"", ""bg"")"),"заявка_за_знание")</f>
        <v>заявка_за_знание</v>
      </c>
    </row>
    <row r="703" spans="1:8" ht="13.2" x14ac:dyDescent="0.25">
      <c r="A703" s="1" t="str">
        <f ca="1">IFERROR(__xludf.DUMMYFUNCTION("GOOGLETRANSLATE(English!A703, ""en"", ""bg"")"),"conv_06293")</f>
        <v>conv_06293</v>
      </c>
      <c r="B703" s="1" t="str">
        <f ca="1">IFERROR(__xludf.DUMMYFUNCTION("GOOGLETRANSLATE(English!B703, ""en"", ""bg"")"),"химия")</f>
        <v>химия</v>
      </c>
      <c r="C703" s="1" t="str">
        <f ca="1">IFERROR(__xludf.DUMMYFUNCTION("GOOGLETRANSLATE(English!C703, ""en"", ""bg"")"),"елементарен")</f>
        <v>елементарен</v>
      </c>
      <c r="D703" s="1" t="str">
        <f ca="1">IFERROR(__xludf.DUMMYFUNCTION("GOOGLETRANSLATE(English!D703, ""en"", ""bg"")"),"разтваряне")</f>
        <v>разтваряне</v>
      </c>
      <c r="E703" s="1" t="str">
        <f ca="1">IFERROR(__xludf.DUMMYFUNCTION("GOOGLETRANSLATE(English!E703, ""en"", ""bg"")"),"Помогнете ми да уча за теста. Какво представлява разтварянето?")</f>
        <v>Помогнете ми да уча за теста. Какво представлява разтварянето?</v>
      </c>
      <c r="F703" s="1" t="str">
        <f ca="1">IFERROR(__xludf.DUMMYFUNCTION("GOOGLETRANSLATE(English!F703,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703" s="1" t="str">
        <f ca="1">IFERROR(__xludf.DUMMYFUNCTION("GOOGLETRANSLATE(English!G703, ""en"", ""bg"")"),"разговор")</f>
        <v>разговор</v>
      </c>
      <c r="H703" s="1" t="str">
        <f ca="1">IFERROR(__xludf.DUMMYFUNCTION("GOOGLETRANSLATE(English!H703, ""en"", ""bg"")"),"образователна_помощ")</f>
        <v>образователна_помощ</v>
      </c>
    </row>
    <row r="704" spans="1:8" ht="13.2" x14ac:dyDescent="0.25">
      <c r="A704" s="1" t="str">
        <f ca="1">IFERROR(__xludf.DUMMYFUNCTION("GOOGLETRANSLATE(English!A704, ""en"", ""bg"")"),"qa_08114")</f>
        <v>qa_08114</v>
      </c>
      <c r="B704" s="1" t="str">
        <f ca="1">IFERROR(__xludf.DUMMYFUNCTION("GOOGLETRANSLATE(English!B704, ""en"", ""bg"")"),"химия")</f>
        <v>химия</v>
      </c>
      <c r="C704" s="1" t="str">
        <f ca="1">IFERROR(__xludf.DUMMYFUNCTION("GOOGLETRANSLATE(English!C704, ""en"", ""bg"")"),"високо")</f>
        <v>високо</v>
      </c>
      <c r="D704" s="1" t="str">
        <f ca="1">IFERROR(__xludf.DUMMYFUNCTION("GOOGLETRANSLATE(English!D704, ""en"", ""bg"")"),"електрохимия")</f>
        <v>електрохимия</v>
      </c>
      <c r="E704" s="1" t="str">
        <f ca="1">IFERROR(__xludf.DUMMYFUNCTION("GOOGLETRANSLATE(English!E704, ""en"", ""bg"")"),"Защо е важно да се учи електрохимия?")</f>
        <v>Защо е важно да се учи електрохимия?</v>
      </c>
      <c r="F704" s="1" t="str">
        <f ca="1">IFERROR(__xludf.DUMMYFUNCTION("GOOGLETRANSLATE(English!F704,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704" s="1" t="str">
        <f ca="1">IFERROR(__xludf.DUMMYFUNCTION("GOOGLETRANSLATE(English!G704, ""en"", ""bg"")"),"direct_qa")</f>
        <v>direct_qa</v>
      </c>
      <c r="H704" s="1" t="str">
        <f ca="1">IFERROR(__xludf.DUMMYFUNCTION("GOOGLETRANSLATE(English!H704, ""en"", ""bg"")"),"заявка_за_знание")</f>
        <v>заявка_за_знание</v>
      </c>
    </row>
    <row r="705" spans="1:8" ht="13.2" x14ac:dyDescent="0.25">
      <c r="A705" s="1" t="str">
        <f ca="1">IFERROR(__xludf.DUMMYFUNCTION("GOOGLETRANSLATE(English!A705, ""en"", ""bg"")"),"conv_13014")</f>
        <v>conv_13014</v>
      </c>
      <c r="B705" s="1" t="str">
        <f ca="1">IFERROR(__xludf.DUMMYFUNCTION("GOOGLETRANSLATE(English!B705, ""en"", ""bg"")"),"биология")</f>
        <v>биология</v>
      </c>
      <c r="C705" s="1" t="str">
        <f ca="1">IFERROR(__xludf.DUMMYFUNCTION("GOOGLETRANSLATE(English!C705, ""en"", ""bg"")"),"високо")</f>
        <v>високо</v>
      </c>
      <c r="D705" s="1" t="str">
        <f ca="1">IFERROR(__xludf.DUMMYFUNCTION("GOOGLETRANSLATE(English!D705, ""en"", ""bg"")"),"митоза и мейоза")</f>
        <v>митоза и мейоза</v>
      </c>
      <c r="E705" s="1" t="str">
        <f ca="1">IFERROR(__xludf.DUMMYFUNCTION("GOOGLETRANSLATE(English!E705, ""en"", ""bg"")"),"Имам научен въпрос. Как протичат митозата и мейозата?")</f>
        <v>Имам научен въпрос. Как протичат митозата и мейозата?</v>
      </c>
      <c r="F705" s="1" t="str">
        <f ca="1">IFERROR(__xludf.DUMMYFUNCTION("GOOGLETRANSLATE(English!F705,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705" s="1" t="str">
        <f ca="1">IFERROR(__xludf.DUMMYFUNCTION("GOOGLETRANSLATE(English!G705, ""en"", ""bg"")"),"разговор")</f>
        <v>разговор</v>
      </c>
      <c r="H705" s="1" t="str">
        <f ca="1">IFERROR(__xludf.DUMMYFUNCTION("GOOGLETRANSLATE(English!H705, ""en"", ""bg"")"),"образователна_помощ")</f>
        <v>образователна_помощ</v>
      </c>
    </row>
    <row r="706" spans="1:8" ht="13.2" x14ac:dyDescent="0.25">
      <c r="A706" s="1" t="str">
        <f ca="1">IFERROR(__xludf.DUMMYFUNCTION("GOOGLETRANSLATE(English!A706, ""en"", ""bg"")"),"conv_09572")</f>
        <v>conv_09572</v>
      </c>
      <c r="B706" s="1" t="str">
        <f ca="1">IFERROR(__xludf.DUMMYFUNCTION("GOOGLETRANSLATE(English!B706, ""en"", ""bg"")"),"химия")</f>
        <v>химия</v>
      </c>
      <c r="C706" s="1" t="str">
        <f ca="1">IFERROR(__xludf.DUMMYFUNCTION("GOOGLETRANSLATE(English!C706, ""en"", ""bg"")"),"средата")</f>
        <v>средата</v>
      </c>
      <c r="D706" s="1" t="str">
        <f ca="1">IFERROR(__xludf.DUMMYFUNCTION("GOOGLETRANSLATE(English!D706, ""en"", ""bg"")"),"химични реакции")</f>
        <v>химични реакции</v>
      </c>
      <c r="E706" s="1" t="str">
        <f ca="1">IFERROR(__xludf.DUMMYFUNCTION("GOOGLETRANSLATE(English!E706, ""en"", ""bg"")"),"Можете ли да ми обясните това? Какво представляват реагентите и продуктите?")</f>
        <v>Можете ли да ми обясните това? Какво представляват реагентите и продуктите?</v>
      </c>
      <c r="F706" s="1" t="str">
        <f ca="1">IFERROR(__xludf.DUMMYFUNCTION("GOOGLETRANSLATE(English!F706,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706" s="1" t="str">
        <f ca="1">IFERROR(__xludf.DUMMYFUNCTION("GOOGLETRANSLATE(English!G706, ""en"", ""bg"")"),"разговор")</f>
        <v>разговор</v>
      </c>
      <c r="H706" s="1" t="str">
        <f ca="1">IFERROR(__xludf.DUMMYFUNCTION("GOOGLETRANSLATE(English!H706, ""en"", ""bg"")"),"образователна_помощ")</f>
        <v>образователна_помощ</v>
      </c>
    </row>
    <row r="707" spans="1:8" ht="13.2" x14ac:dyDescent="0.25">
      <c r="A707" s="1" t="str">
        <f ca="1">IFERROR(__xludf.DUMMYFUNCTION("GOOGLETRANSLATE(English!A707, ""en"", ""bg"")"),"qa_05123")</f>
        <v>qa_05123</v>
      </c>
      <c r="B707" s="1" t="str">
        <f ca="1">IFERROR(__xludf.DUMMYFUNCTION("GOOGLETRANSLATE(English!B707, ""en"", ""bg"")"),"химия")</f>
        <v>химия</v>
      </c>
      <c r="C707" s="1" t="str">
        <f ca="1">IFERROR(__xludf.DUMMYFUNCTION("GOOGLETRANSLATE(English!C707, ""en"", ""bg"")"),"елементарен")</f>
        <v>елементарен</v>
      </c>
      <c r="D707" s="1" t="str">
        <f ca="1">IFERROR(__xludf.DUMMYFUNCTION("GOOGLETRANSLATE(English!D707, ""en"", ""bg"")"),"ежедневни химикали")</f>
        <v>ежедневни химикали</v>
      </c>
      <c r="E707" s="1" t="str">
        <f ca="1">IFERROR(__xludf.DUMMYFUNCTION("GOOGLETRANSLATE(English!E707, ""en"", ""bg"")"),"Защо е важно да се изучават ежедневните химикали?")</f>
        <v>Защо е важно да се изучават ежедневните химикали?</v>
      </c>
      <c r="F707" s="1" t="str">
        <f ca="1">IFERROR(__xludf.DUMMYFUNCTION("GOOGLETRANSLATE(English!F707,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707" s="1" t="str">
        <f ca="1">IFERROR(__xludf.DUMMYFUNCTION("GOOGLETRANSLATE(English!G707, ""en"", ""bg"")"),"direct_qa")</f>
        <v>direct_qa</v>
      </c>
      <c r="H707" s="1" t="str">
        <f ca="1">IFERROR(__xludf.DUMMYFUNCTION("GOOGLETRANSLATE(English!H707, ""en"", ""bg"")"),"заявка_за_знание")</f>
        <v>заявка_за_знание</v>
      </c>
    </row>
    <row r="708" spans="1:8" ht="13.2" x14ac:dyDescent="0.25">
      <c r="A708" s="1" t="str">
        <f ca="1">IFERROR(__xludf.DUMMYFUNCTION("GOOGLETRANSLATE(English!A708, ""en"", ""bg"")"),"hw_07459")</f>
        <v>hw_07459</v>
      </c>
      <c r="B708" s="1" t="str">
        <f ca="1">IFERROR(__xludf.DUMMYFUNCTION("GOOGLETRANSLATE(English!B708, ""en"", ""bg"")"),"физика")</f>
        <v>физика</v>
      </c>
      <c r="C708" s="1" t="str">
        <f ca="1">IFERROR(__xludf.DUMMYFUNCTION("GOOGLETRANSLATE(English!C708, ""en"", ""bg"")"),"високо")</f>
        <v>високо</v>
      </c>
      <c r="D708" s="1" t="str">
        <f ca="1">IFERROR(__xludf.DUMMYFUNCTION("GOOGLETRANSLATE(English!D708, ""en"", ""bg"")"),"атомна структура")</f>
        <v>атомна структура</v>
      </c>
      <c r="E708" s="1" t="str">
        <f ca="1">IFERROR(__xludf.DUMMYFUNCTION("GOOGLETRANSLATE(English!E708, ""en"", ""bg"")"),"Домашното ми по физика е за атомната структура. Объркващо е!")</f>
        <v>Домашното ми по физика е за атомната структура. Объркващо е!</v>
      </c>
      <c r="F708" s="1" t="str">
        <f ca="1">IFERROR(__xludf.DUMMYFUNCTION("GOOGLETRANSLATE(English!F708,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708" s="1" t="str">
        <f ca="1">IFERROR(__xludf.DUMMYFUNCTION("GOOGLETRANSLATE(English!G708, ""en"", ""bg"")"),"помощ_за_домашно_изпълнение")</f>
        <v>помощ_за_домашно_изпълнение</v>
      </c>
      <c r="H708" s="1" t="str">
        <f ca="1">IFERROR(__xludf.DUMMYFUNCTION("GOOGLETRANSLATE(English!H708, ""en"", ""bg"")"),"помощ_за_домашно_задаване")</f>
        <v>помощ_за_домашно_задаване</v>
      </c>
    </row>
    <row r="709" spans="1:8" ht="13.2" x14ac:dyDescent="0.25">
      <c r="A709" s="1" t="str">
        <f ca="1">IFERROR(__xludf.DUMMYFUNCTION("GOOGLETRANSLATE(English!A709, ""en"", ""bg"")"),"hw_04432")</f>
        <v>hw_04432</v>
      </c>
      <c r="B709" s="1" t="str">
        <f ca="1">IFERROR(__xludf.DUMMYFUNCTION("GOOGLETRANSLATE(English!B709, ""en"", ""bg"")"),"физика")</f>
        <v>физика</v>
      </c>
      <c r="C709" s="1" t="str">
        <f ca="1">IFERROR(__xludf.DUMMYFUNCTION("GOOGLETRANSLATE(English!C709, ""en"", ""bg"")"),"високо")</f>
        <v>високо</v>
      </c>
      <c r="D709" s="1" t="str">
        <f ca="1">IFERROR(__xludf.DUMMYFUNCTION("GOOGLETRANSLATE(English!D709, ""en"", ""bg"")"),"електромагнетизъм")</f>
        <v>електромагнетизъм</v>
      </c>
      <c r="E709" s="1" t="str">
        <f ca="1">IFERROR(__xludf.DUMMYFUNCTION("GOOGLETRANSLATE(English!E709, ""en"", ""bg"")"),"Домашното ми по физика е за електромагнетизъм. Объркващо е!")</f>
        <v>Домашното ми по физика е за електромагнетизъм. Объркващо е!</v>
      </c>
      <c r="F709" s="1" t="str">
        <f ca="1">IFERROR(__xludf.DUMMYFUNCTION("GOOGLETRANSLATE(English!F709,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709" s="1" t="str">
        <f ca="1">IFERROR(__xludf.DUMMYFUNCTION("GOOGLETRANSLATE(English!G709, ""en"", ""bg"")"),"помощ_за_домашно_изпълнение")</f>
        <v>помощ_за_домашно_изпълнение</v>
      </c>
      <c r="H709" s="1" t="str">
        <f ca="1">IFERROR(__xludf.DUMMYFUNCTION("GOOGLETRANSLATE(English!H709, ""en"", ""bg"")"),"помощ_за_домашно_задаване")</f>
        <v>помощ_за_домашно_задаване</v>
      </c>
    </row>
    <row r="710" spans="1:8" ht="13.2" x14ac:dyDescent="0.25">
      <c r="A710" s="1" t="str">
        <f ca="1">IFERROR(__xludf.DUMMYFUNCTION("GOOGLETRANSLATE(English!A710, ""en"", ""bg"")"),"hw_00633")</f>
        <v>hw_00633</v>
      </c>
      <c r="B710" s="1" t="str">
        <f ca="1">IFERROR(__xludf.DUMMYFUNCTION("GOOGLETRANSLATE(English!B710, ""en"", ""bg"")"),"химия")</f>
        <v>химия</v>
      </c>
      <c r="C710" s="1" t="str">
        <f ca="1">IFERROR(__xludf.DUMMYFUNCTION("GOOGLETRANSLATE(English!C710, ""en"", ""bg"")"),"високо")</f>
        <v>високо</v>
      </c>
      <c r="D710" s="1" t="str">
        <f ca="1">IFERROR(__xludf.DUMMYFUNCTION("GOOGLETRANSLATE(English!D710, ""en"", ""bg"")"),"стехиометрия")</f>
        <v>стехиометрия</v>
      </c>
      <c r="E710" s="1" t="str">
        <f ca="1">IFERROR(__xludf.DUMMYFUNCTION("GOOGLETRANSLATE(English!E710, ""en"", ""bg"")"),"Докладът ми по химия е за стехиометрията. Помогнете ми да разбера.")</f>
        <v>Докладът ми по химия е за стехиометрията. Помогнете ми да разбера.</v>
      </c>
      <c r="F710" s="1" t="str">
        <f ca="1">IFERROR(__xludf.DUMMYFUNCTION("GOOGLETRANSLATE(English!F710,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710" s="1" t="str">
        <f ca="1">IFERROR(__xludf.DUMMYFUNCTION("GOOGLETRANSLATE(English!G710, ""en"", ""bg"")"),"помощ_за_домашно_изпълнение")</f>
        <v>помощ_за_домашно_изпълнение</v>
      </c>
      <c r="H710" s="1" t="str">
        <f ca="1">IFERROR(__xludf.DUMMYFUNCTION("GOOGLETRANSLATE(English!H710, ""en"", ""bg"")"),"помощ_за_домашно_задаване")</f>
        <v>помощ_за_домашно_задаване</v>
      </c>
    </row>
    <row r="711" spans="1:8" ht="13.2" x14ac:dyDescent="0.25">
      <c r="A711" s="1" t="str">
        <f ca="1">IFERROR(__xludf.DUMMYFUNCTION("GOOGLETRANSLATE(English!A711, ""en"", ""bg"")"),"hw_04374")</f>
        <v>hw_04374</v>
      </c>
      <c r="B711" s="1" t="str">
        <f ca="1">IFERROR(__xludf.DUMMYFUNCTION("GOOGLETRANSLATE(English!B711, ""en"", ""bg"")"),"химия")</f>
        <v>химия</v>
      </c>
      <c r="C711" s="1" t="str">
        <f ca="1">IFERROR(__xludf.DUMMYFUNCTION("GOOGLETRANSLATE(English!C711, ""en"", ""bg"")"),"елементарен")</f>
        <v>елементарен</v>
      </c>
      <c r="D711" s="1" t="str">
        <f ca="1">IFERROR(__xludf.DUMMYFUNCTION("GOOGLETRANSLATE(English!D711, ""en"", ""bg"")"),"ежедневни химикали")</f>
        <v>ежедневни химикали</v>
      </c>
      <c r="E711" s="1" t="str">
        <f ca="1">IFERROR(__xludf.DUMMYFUNCTION("GOOGLETRANSLATE(English!E711, ""en"", ""bg"")"),"Моят доклад по химия е за ежедневни химикали. Помогнете ми да разбера.")</f>
        <v>Моят доклад по химия е за ежедневни химикали. Помогнете ми да разбера.</v>
      </c>
      <c r="F711" s="1" t="str">
        <f ca="1">IFERROR(__xludf.DUMMYFUNCTION("GOOGLETRANSLATE(English!F711,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711" s="1" t="str">
        <f ca="1">IFERROR(__xludf.DUMMYFUNCTION("GOOGLETRANSLATE(English!G711, ""en"", ""bg"")"),"помощ_за_домашно_изпълнение")</f>
        <v>помощ_за_домашно_изпълнение</v>
      </c>
      <c r="H711" s="1" t="str">
        <f ca="1">IFERROR(__xludf.DUMMYFUNCTION("GOOGLETRANSLATE(English!H711, ""en"", ""bg"")"),"помощ_за_домашно_задаване")</f>
        <v>помощ_за_домашно_задаване</v>
      </c>
    </row>
    <row r="712" spans="1:8" ht="13.2" x14ac:dyDescent="0.25">
      <c r="A712" s="1" t="str">
        <f ca="1">IFERROR(__xludf.DUMMYFUNCTION("GOOGLETRANSLATE(English!A712, ""en"", ""bg"")"),"conv_09887")</f>
        <v>conv_09887</v>
      </c>
      <c r="B712" s="1" t="str">
        <f ca="1">IFERROR(__xludf.DUMMYFUNCTION("GOOGLETRANSLATE(English!B712, ""en"", ""bg"")"),"физика")</f>
        <v>физика</v>
      </c>
      <c r="C712" s="1" t="str">
        <f ca="1">IFERROR(__xludf.DUMMYFUNCTION("GOOGLETRANSLATE(English!C712, ""en"", ""bg"")"),"елементарен")</f>
        <v>елементарен</v>
      </c>
      <c r="D712" s="1" t="str">
        <f ca="1">IFERROR(__xludf.DUMMYFUNCTION("GOOGLETRANSLATE(English!D712, ""en"", ""bg"")"),"прости машини")</f>
        <v>прости машини</v>
      </c>
      <c r="E712" s="1" t="str">
        <f ca="1">IFERROR(__xludf.DUMMYFUNCTION("GOOGLETRANSLATE(English!E712, ""en"", ""bg"")"),"Помогнете ми да уча за теста. Можете ли да ми обясните прости машини?")</f>
        <v>Помогнете ми да уча за теста. Можете ли да ми обясните прости машини?</v>
      </c>
      <c r="F712" s="1" t="str">
        <f ca="1">IFERROR(__xludf.DUMMYFUNCTION("GOOGLETRANSLATE(English!F712,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712" s="1" t="str">
        <f ca="1">IFERROR(__xludf.DUMMYFUNCTION("GOOGLETRANSLATE(English!G712, ""en"", ""bg"")"),"разговор")</f>
        <v>разговор</v>
      </c>
      <c r="H712" s="1" t="str">
        <f ca="1">IFERROR(__xludf.DUMMYFUNCTION("GOOGLETRANSLATE(English!H712, ""en"", ""bg"")"),"образователна_помощ")</f>
        <v>образователна_помощ</v>
      </c>
    </row>
    <row r="713" spans="1:8" ht="13.2" x14ac:dyDescent="0.25">
      <c r="A713" s="1" t="str">
        <f ca="1">IFERROR(__xludf.DUMMYFUNCTION("GOOGLETRANSLATE(English!A713, ""en"", ""bg"")"),"hw_05316")</f>
        <v>hw_05316</v>
      </c>
      <c r="B713" s="1" t="str">
        <f ca="1">IFERROR(__xludf.DUMMYFUNCTION("GOOGLETRANSLATE(English!B713, ""en"", ""bg"")"),"биология")</f>
        <v>биология</v>
      </c>
      <c r="C713" s="1" t="str">
        <f ca="1">IFERROR(__xludf.DUMMYFUNCTION("GOOGLETRANSLATE(English!C713, ""en"", ""bg"")"),"средата")</f>
        <v>средата</v>
      </c>
      <c r="D713" s="1" t="str">
        <f ca="1">IFERROR(__xludf.DUMMYFUNCTION("GOOGLETRANSLATE(English!D713, ""en"", ""bg"")"),"размножаване")</f>
        <v>размножаване</v>
      </c>
      <c r="E713" s="1" t="str">
        <f ca="1">IFERROR(__xludf.DUMMYFUNCTION("GOOGLETRANSLATE(English!E713, ""en"", ""bg"")"),"Домашното ми пита за размножаването. Не го разбирам.")</f>
        <v>Домашното ми пита за размножаването. Не го разбирам.</v>
      </c>
      <c r="F713" s="1" t="str">
        <f ca="1">IFERROR(__xludf.DUMMYFUNCTION("GOOGLETRANSLATE(English!F713,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713" s="1" t="str">
        <f ca="1">IFERROR(__xludf.DUMMYFUNCTION("GOOGLETRANSLATE(English!G713, ""en"", ""bg"")"),"помощ_за_домашно_изпълнение")</f>
        <v>помощ_за_домашно_изпълнение</v>
      </c>
      <c r="H713" s="1" t="str">
        <f ca="1">IFERROR(__xludf.DUMMYFUNCTION("GOOGLETRANSLATE(English!H713, ""en"", ""bg"")"),"помощ_за_домашно_задаване")</f>
        <v>помощ_за_домашно_задаване</v>
      </c>
    </row>
    <row r="714" spans="1:8" ht="13.2" x14ac:dyDescent="0.25">
      <c r="A714" s="1" t="str">
        <f ca="1">IFERROR(__xludf.DUMMYFUNCTION("GOOGLETRANSLATE(English!A714, ""en"", ""bg"")"),"conv_04395")</f>
        <v>conv_04395</v>
      </c>
      <c r="B714" s="1" t="str">
        <f ca="1">IFERROR(__xludf.DUMMYFUNCTION("GOOGLETRANSLATE(English!B714, ""en"", ""bg"")"),"биология")</f>
        <v>биология</v>
      </c>
      <c r="C714" s="1" t="str">
        <f ca="1">IFERROR(__xludf.DUMMYFUNCTION("GOOGLETRANSLATE(English!C714, ""en"", ""bg"")"),"високо")</f>
        <v>високо</v>
      </c>
      <c r="D714" s="1" t="str">
        <f ca="1">IFERROR(__xludf.DUMMYFUNCTION("GOOGLETRANSLATE(English!D714, ""en"", ""bg"")"),"синтез на протеини")</f>
        <v>синтез на протеини</v>
      </c>
      <c r="E714" s="1" t="str">
        <f ca="1">IFERROR(__xludf.DUMMYFUNCTION("GOOGLETRANSLATE(English!E714, ""en"", ""bg"")"),"Не разбирам тази тема. Защо синтезът на протеини е важен в биологията?")</f>
        <v>Не разбирам тази тема. Защо синтезът на протеини е важен в биологията?</v>
      </c>
      <c r="F714" s="1" t="str">
        <f ca="1">IFERROR(__xludf.DUMMYFUNCTION("GOOGLETRANSLATE(English!F714,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714" s="1" t="str">
        <f ca="1">IFERROR(__xludf.DUMMYFUNCTION("GOOGLETRANSLATE(English!G714, ""en"", ""bg"")"),"разговор")</f>
        <v>разговор</v>
      </c>
      <c r="H714" s="1" t="str">
        <f ca="1">IFERROR(__xludf.DUMMYFUNCTION("GOOGLETRANSLATE(English!H714, ""en"", ""bg"")"),"образователна_помощ")</f>
        <v>образователна_помощ</v>
      </c>
    </row>
    <row r="715" spans="1:8" ht="13.2" x14ac:dyDescent="0.25">
      <c r="A715" s="1" t="str">
        <f ca="1">IFERROR(__xludf.DUMMYFUNCTION("GOOGLETRANSLATE(English!A715, ""en"", ""bg"")"),"qa_00691")</f>
        <v>qa_00691</v>
      </c>
      <c r="B715" s="1" t="str">
        <f ca="1">IFERROR(__xludf.DUMMYFUNCTION("GOOGLETRANSLATE(English!B715, ""en"", ""bg"")"),"физика")</f>
        <v>физика</v>
      </c>
      <c r="C715" s="1" t="str">
        <f ca="1">IFERROR(__xludf.DUMMYFUNCTION("GOOGLETRANSLATE(English!C715, ""en"", ""bg"")"),"средата")</f>
        <v>средата</v>
      </c>
      <c r="D715" s="1" t="str">
        <f ca="1">IFERROR(__xludf.DUMMYFUNCTION("GOOGLETRANSLATE(English!D715, ""en"", ""bg"")"),"основи на електричеството")</f>
        <v>основи на електричеството</v>
      </c>
      <c r="E715" s="1" t="str">
        <f ca="1">IFERROR(__xludf.DUMMYFUNCTION("GOOGLETRANSLATE(English!E715, ""en"", ""bg"")"),"Как работят основите на електричеството във физиката?")</f>
        <v>Как работят основите на електричеството във физиката?</v>
      </c>
      <c r="F715" s="1" t="str">
        <f ca="1">IFERROR(__xludf.DUMMYFUNCTION("GOOGLETRANSLATE(English!F715,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715" s="1" t="str">
        <f ca="1">IFERROR(__xludf.DUMMYFUNCTION("GOOGLETRANSLATE(English!G715, ""en"", ""bg"")"),"direct_qa")</f>
        <v>direct_qa</v>
      </c>
      <c r="H715" s="1" t="str">
        <f ca="1">IFERROR(__xludf.DUMMYFUNCTION("GOOGLETRANSLATE(English!H715, ""en"", ""bg"")"),"заявка_за_знание")</f>
        <v>заявка_за_знание</v>
      </c>
    </row>
    <row r="716" spans="1:8" ht="13.2" x14ac:dyDescent="0.25">
      <c r="A716" s="1" t="str">
        <f ca="1">IFERROR(__xludf.DUMMYFUNCTION("GOOGLETRANSLATE(English!A716, ""en"", ""bg"")"),"conv_08517")</f>
        <v>conv_08517</v>
      </c>
      <c r="B716" s="1" t="str">
        <f ca="1">IFERROR(__xludf.DUMMYFUNCTION("GOOGLETRANSLATE(English!B716, ""en"", ""bg"")"),"биология")</f>
        <v>биология</v>
      </c>
      <c r="C716" s="1" t="str">
        <f ca="1">IFERROR(__xludf.DUMMYFUNCTION("GOOGLETRANSLATE(English!C716, ""en"", ""bg"")"),"елементарен")</f>
        <v>елементарен</v>
      </c>
      <c r="D716" s="1" t="str">
        <f ca="1">IFERROR(__xludf.DUMMYFUNCTION("GOOGLETRANSLATE(English!D716, ""en"", ""bg"")"),"домашни любимци срещу диви животни")</f>
        <v>домашни любимци срещу диви животни</v>
      </c>
      <c r="E716" s="1" t="str">
        <f ca="1">IFERROR(__xludf.DUMMYFUNCTION("GOOGLETRANSLATE(English!E716, ""en"", ""bg"")"),"Имам научен въпрос. Какво е важно да знаем за домашните любимци спрямо дивите животни?")</f>
        <v>Имам научен въпрос. Какво е важно да знаем за домашните любимци спрямо дивите животни?</v>
      </c>
      <c r="F716" s="1" t="str">
        <f ca="1">IFERROR(__xludf.DUMMYFUNCTION("GOOGLETRANSLATE(English!F716,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716" s="1" t="str">
        <f ca="1">IFERROR(__xludf.DUMMYFUNCTION("GOOGLETRANSLATE(English!G716, ""en"", ""bg"")"),"разговор")</f>
        <v>разговор</v>
      </c>
      <c r="H716" s="1" t="str">
        <f ca="1">IFERROR(__xludf.DUMMYFUNCTION("GOOGLETRANSLATE(English!H716, ""en"", ""bg"")"),"образователна_помощ")</f>
        <v>образователна_помощ</v>
      </c>
    </row>
    <row r="717" spans="1:8" ht="13.2" x14ac:dyDescent="0.25">
      <c r="A717" s="1" t="str">
        <f ca="1">IFERROR(__xludf.DUMMYFUNCTION("GOOGLETRANSLATE(English!A717, ""en"", ""bg"")"),"qa_12303")</f>
        <v>qa_12303</v>
      </c>
      <c r="B717" s="1" t="str">
        <f ca="1">IFERROR(__xludf.DUMMYFUNCTION("GOOGLETRANSLATE(English!B717, ""en"", ""bg"")"),"химия")</f>
        <v>химия</v>
      </c>
      <c r="C717" s="1" t="str">
        <f ca="1">IFERROR(__xludf.DUMMYFUNCTION("GOOGLETRANSLATE(English!C717, ""en"", ""bg"")"),"средата")</f>
        <v>средата</v>
      </c>
      <c r="D717" s="1" t="str">
        <f ca="1">IFERROR(__xludf.DUMMYFUNCTION("GOOGLETRANSLATE(English!D717, ""en"", ""bg"")"),"атоми и молекули")</f>
        <v>атоми и молекули</v>
      </c>
      <c r="E717" s="1" t="str">
        <f ca="1">IFERROR(__xludf.DUMMYFUNCTION("GOOGLETRANSLATE(English!E717, ""en"", ""bg"")"),"Какво е атом?")</f>
        <v>Какво е атом?</v>
      </c>
      <c r="F717" s="1" t="str">
        <f ca="1">IFERROR(__xludf.DUMMYFUNCTION("GOOGLETRANSLATE(English!F717,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717" s="1" t="str">
        <f ca="1">IFERROR(__xludf.DUMMYFUNCTION("GOOGLETRANSLATE(English!G717, ""en"", ""bg"")"),"direct_qa")</f>
        <v>direct_qa</v>
      </c>
      <c r="H717" s="1" t="str">
        <f ca="1">IFERROR(__xludf.DUMMYFUNCTION("GOOGLETRANSLATE(English!H717, ""en"", ""bg"")"),"заявка_за_знание")</f>
        <v>заявка_за_знание</v>
      </c>
    </row>
    <row r="718" spans="1:8" ht="13.2" x14ac:dyDescent="0.25">
      <c r="A718" s="1" t="str">
        <f ca="1">IFERROR(__xludf.DUMMYFUNCTION("GOOGLETRANSLATE(English!A718, ""en"", ""bg"")"),"qa_05444")</f>
        <v>qa_05444</v>
      </c>
      <c r="B718" s="1" t="str">
        <f ca="1">IFERROR(__xludf.DUMMYFUNCTION("GOOGLETRANSLATE(English!B718, ""en"", ""bg"")"),"физика")</f>
        <v>физика</v>
      </c>
      <c r="C718" s="1" t="str">
        <f ca="1">IFERROR(__xludf.DUMMYFUNCTION("GOOGLETRANSLATE(English!C718, ""en"", ""bg"")"),"средата")</f>
        <v>средата</v>
      </c>
      <c r="D718" s="1" t="str">
        <f ca="1">IFERROR(__xludf.DUMMYFUNCTION("GOOGLETRANSLATE(English!D718, ""en"", ""bg"")"),"основи на електричеството")</f>
        <v>основи на електричеството</v>
      </c>
      <c r="E718" s="1" t="str">
        <f ca="1">IFERROR(__xludf.DUMMYFUNCTION("GOOGLETRANSLATE(English!E718, ""en"", ""bg"")"),"Можете ли да ми обясните основите на електричеството?")</f>
        <v>Можете ли да ми обясните основите на електричеството?</v>
      </c>
      <c r="F718" s="1" t="str">
        <f ca="1">IFERROR(__xludf.DUMMYFUNCTION("GOOGLETRANSLATE(English!F718,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718" s="1" t="str">
        <f ca="1">IFERROR(__xludf.DUMMYFUNCTION("GOOGLETRANSLATE(English!G718, ""en"", ""bg"")"),"direct_qa")</f>
        <v>direct_qa</v>
      </c>
      <c r="H718" s="1" t="str">
        <f ca="1">IFERROR(__xludf.DUMMYFUNCTION("GOOGLETRANSLATE(English!H718, ""en"", ""bg"")"),"заявка_за_знание")</f>
        <v>заявка_за_знание</v>
      </c>
    </row>
    <row r="719" spans="1:8" ht="13.2" x14ac:dyDescent="0.25">
      <c r="A719" s="1" t="str">
        <f ca="1">IFERROR(__xludf.DUMMYFUNCTION("GOOGLETRANSLATE(English!A719, ""en"", ""bg"")"),"conv_04171")</f>
        <v>conv_04171</v>
      </c>
      <c r="B719" s="1" t="str">
        <f ca="1">IFERROR(__xludf.DUMMYFUNCTION("GOOGLETRANSLATE(English!B719, ""en"", ""bg"")"),"биология")</f>
        <v>биология</v>
      </c>
      <c r="C719" s="1" t="str">
        <f ca="1">IFERROR(__xludf.DUMMYFUNCTION("GOOGLETRANSLATE(English!C719, ""en"", ""bg"")"),"високо")</f>
        <v>високо</v>
      </c>
      <c r="D719" s="1" t="str">
        <f ca="1">IFERROR(__xludf.DUMMYFUNCTION("GOOGLETRANSLATE(English!D719, ""en"", ""bg"")"),"молекулярна биология")</f>
        <v>молекулярна биология</v>
      </c>
      <c r="E719" s="1" t="str">
        <f ca="1">IFERROR(__xludf.DUMMYFUNCTION("GOOGLETRANSLATE(English!E719, ""en"", ""bg"")"),"Можете ли да ми обясните това? Защо молекулярната биология е важна в биологията?")</f>
        <v>Можете ли да ми обясните това? Защо молекулярната биология е важна в биологията?</v>
      </c>
      <c r="F719" s="1" t="str">
        <f ca="1">IFERROR(__xludf.DUMMYFUNCTION("GOOGLETRANSLATE(English!F719,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719" s="1" t="str">
        <f ca="1">IFERROR(__xludf.DUMMYFUNCTION("GOOGLETRANSLATE(English!G719, ""en"", ""bg"")"),"разговор")</f>
        <v>разговор</v>
      </c>
      <c r="H719" s="1" t="str">
        <f ca="1">IFERROR(__xludf.DUMMYFUNCTION("GOOGLETRANSLATE(English!H719, ""en"", ""bg"")"),"образователна_помощ")</f>
        <v>образователна_помощ</v>
      </c>
    </row>
    <row r="720" spans="1:8" ht="13.2" x14ac:dyDescent="0.25">
      <c r="A720" s="1" t="str">
        <f ca="1">IFERROR(__xludf.DUMMYFUNCTION("GOOGLETRANSLATE(English!A720, ""en"", ""bg"")"),"hw_02579")</f>
        <v>hw_02579</v>
      </c>
      <c r="B720" s="1" t="str">
        <f ca="1">IFERROR(__xludf.DUMMYFUNCTION("GOOGLETRANSLATE(English!B720, ""en"", ""bg"")"),"биология")</f>
        <v>биология</v>
      </c>
      <c r="C720" s="1" t="str">
        <f ca="1">IFERROR(__xludf.DUMMYFUNCTION("GOOGLETRANSLATE(English!C720, ""en"", ""bg"")"),"средата")</f>
        <v>средата</v>
      </c>
      <c r="D720" s="1" t="str">
        <f ca="1">IFERROR(__xludf.DUMMYFUNCTION("GOOGLETRANSLATE(English!D720, ""en"", ""bg"")"),"размножаване")</f>
        <v>размножаване</v>
      </c>
      <c r="E720" s="1" t="str">
        <f ca="1">IFERROR(__xludf.DUMMYFUNCTION("GOOGLETRANSLATE(English!E720,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720" s="1" t="str">
        <f ca="1">IFERROR(__xludf.DUMMYFUNCTION("GOOGLETRANSLATE(English!F720,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720" s="1" t="str">
        <f ca="1">IFERROR(__xludf.DUMMYFUNCTION("GOOGLETRANSLATE(English!G720, ""en"", ""bg"")"),"помощ_за_домашно_изпълнение")</f>
        <v>помощ_за_домашно_изпълнение</v>
      </c>
      <c r="H720" s="1" t="str">
        <f ca="1">IFERROR(__xludf.DUMMYFUNCTION("GOOGLETRANSLATE(English!H720, ""en"", ""bg"")"),"помощ_за_домашно_задаване")</f>
        <v>помощ_за_домашно_задаване</v>
      </c>
    </row>
    <row r="721" spans="1:8" ht="13.2" x14ac:dyDescent="0.25">
      <c r="A721" s="1" t="str">
        <f ca="1">IFERROR(__xludf.DUMMYFUNCTION("GOOGLETRANSLATE(English!A721, ""en"", ""bg"")"),"qa_11914")</f>
        <v>qa_11914</v>
      </c>
      <c r="B721" s="1" t="str">
        <f ca="1">IFERROR(__xludf.DUMMYFUNCTION("GOOGLETRANSLATE(English!B721, ""en"", ""bg"")"),"химия")</f>
        <v>химия</v>
      </c>
      <c r="C721" s="1" t="str">
        <f ca="1">IFERROR(__xludf.DUMMYFUNCTION("GOOGLETRANSLATE(English!C721, ""en"", ""bg"")"),"елементарен")</f>
        <v>елементарен</v>
      </c>
      <c r="D721" s="1" t="str">
        <f ca="1">IFERROR(__xludf.DUMMYFUNCTION("GOOGLETRANSLATE(English!D721, ""en"", ""bg"")"),"разтваряне")</f>
        <v>разтваряне</v>
      </c>
      <c r="E721" s="1" t="str">
        <f ca="1">IFERROR(__xludf.DUMMYFUNCTION("GOOGLETRANSLATE(English!E721, ""en"", ""bg"")"),"Можете ли да ми помогнете да разбера разтварянето?")</f>
        <v>Можете ли да ми помогнете да разбера разтварянето?</v>
      </c>
      <c r="F721" s="1" t="str">
        <f ca="1">IFERROR(__xludf.DUMMYFUNCTION("GOOGLETRANSLATE(English!F721,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721" s="1" t="str">
        <f ca="1">IFERROR(__xludf.DUMMYFUNCTION("GOOGLETRANSLATE(English!G721, ""en"", ""bg"")"),"direct_qa")</f>
        <v>direct_qa</v>
      </c>
      <c r="H721" s="1" t="str">
        <f ca="1">IFERROR(__xludf.DUMMYFUNCTION("GOOGLETRANSLATE(English!H721, ""en"", ""bg"")"),"заявка_за_знание")</f>
        <v>заявка_за_знание</v>
      </c>
    </row>
    <row r="722" spans="1:8" ht="13.2" x14ac:dyDescent="0.25">
      <c r="A722" s="1" t="str">
        <f ca="1">IFERROR(__xludf.DUMMYFUNCTION("GOOGLETRANSLATE(English!A722, ""en"", ""bg"")"),"conv_18478")</f>
        <v>conv_18478</v>
      </c>
      <c r="B722" s="1" t="str">
        <f ca="1">IFERROR(__xludf.DUMMYFUNCTION("GOOGLETRANSLATE(English!B722, ""en"", ""bg"")"),"химия")</f>
        <v>химия</v>
      </c>
      <c r="C722" s="1" t="str">
        <f ca="1">IFERROR(__xludf.DUMMYFUNCTION("GOOGLETRANSLATE(English!C722, ""en"", ""bg"")"),"високо")</f>
        <v>високо</v>
      </c>
      <c r="D722" s="1" t="str">
        <f ca="1">IFERROR(__xludf.DUMMYFUNCTION("GOOGLETRANSLATE(English!D722, ""en"", ""bg"")"),"органична химия")</f>
        <v>органична химия</v>
      </c>
      <c r="E722" s="1" t="str">
        <f ca="1">IFERROR(__xludf.DUMMYFUNCTION("GOOGLETRANSLATE(English!E722, ""en"", ""bg"")"),"Имам нужда от помощ с домашното. Можете ли да ми помогнете да разбера органичната химия?")</f>
        <v>Имам нужда от помощ с домашното. Можете ли да ми помогнете да разбера органичната химия?</v>
      </c>
      <c r="F722" s="1" t="str">
        <f ca="1">IFERROR(__xludf.DUMMYFUNCTION("GOOGLETRANSLATE(English!F722,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722" s="1" t="str">
        <f ca="1">IFERROR(__xludf.DUMMYFUNCTION("GOOGLETRANSLATE(English!G722, ""en"", ""bg"")"),"разговор")</f>
        <v>разговор</v>
      </c>
      <c r="H722" s="1" t="str">
        <f ca="1">IFERROR(__xludf.DUMMYFUNCTION("GOOGLETRANSLATE(English!H722, ""en"", ""bg"")"),"образователна_помощ")</f>
        <v>образователна_помощ</v>
      </c>
    </row>
    <row r="723" spans="1:8" ht="13.2" x14ac:dyDescent="0.25">
      <c r="A723" s="1" t="str">
        <f ca="1">IFERROR(__xludf.DUMMYFUNCTION("GOOGLETRANSLATE(English!A723, ""en"", ""bg"")"),"conv_10930")</f>
        <v>conv_10930</v>
      </c>
      <c r="B723" s="1" t="str">
        <f ca="1">IFERROR(__xludf.DUMMYFUNCTION("GOOGLETRANSLATE(English!B723, ""en"", ""bg"")"),"биология")</f>
        <v>биология</v>
      </c>
      <c r="C723" s="1" t="str">
        <f ca="1">IFERROR(__xludf.DUMMYFUNCTION("GOOGLETRANSLATE(English!C723, ""en"", ""bg"")"),"средата")</f>
        <v>средата</v>
      </c>
      <c r="D723" s="1" t="str">
        <f ca="1">IFERROR(__xludf.DUMMYFUNCTION("GOOGLETRANSLATE(English!D723, ""en"", ""bg"")"),"дишане")</f>
        <v>дишане</v>
      </c>
      <c r="E723" s="1" t="str">
        <f ca="1">IFERROR(__xludf.DUMMYFUNCTION("GOOGLETRANSLATE(English!E723, ""en"", ""bg"")"),"Можете ли да ми помогнете? Как работи дишането?")</f>
        <v>Можете ли да ми помогнете? Как работи дишането?</v>
      </c>
      <c r="F723" s="1" t="str">
        <f ca="1">IFERROR(__xludf.DUMMYFUNCTION("GOOGLETRANSLATE(English!F723,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723" s="1" t="str">
        <f ca="1">IFERROR(__xludf.DUMMYFUNCTION("GOOGLETRANSLATE(English!G723, ""en"", ""bg"")"),"разговор")</f>
        <v>разговор</v>
      </c>
      <c r="H723" s="1" t="str">
        <f ca="1">IFERROR(__xludf.DUMMYFUNCTION("GOOGLETRANSLATE(English!H723, ""en"", ""bg"")"),"образователна_помощ")</f>
        <v>образователна_помощ</v>
      </c>
    </row>
    <row r="724" spans="1:8" ht="13.2" x14ac:dyDescent="0.25">
      <c r="A724" s="1" t="str">
        <f ca="1">IFERROR(__xludf.DUMMYFUNCTION("GOOGLETRANSLATE(English!A724, ""en"", ""bg"")"),"conv_08329")</f>
        <v>conv_08329</v>
      </c>
      <c r="B724" s="1" t="str">
        <f ca="1">IFERROR(__xludf.DUMMYFUNCTION("GOOGLETRANSLATE(English!B724, ""en"", ""bg"")"),"биология")</f>
        <v>биология</v>
      </c>
      <c r="C724" s="1" t="str">
        <f ca="1">IFERROR(__xludf.DUMMYFUNCTION("GOOGLETRANSLATE(English!C724, ""en"", ""bg"")"),"средата")</f>
        <v>средата</v>
      </c>
      <c r="D724" s="1" t="str">
        <f ca="1">IFERROR(__xludf.DUMMYFUNCTION("GOOGLETRANSLATE(English!D724, ""en"", ""bg"")"),"класификация")</f>
        <v>класификация</v>
      </c>
      <c r="E724" s="1" t="str">
        <f ca="1">IFERROR(__xludf.DUMMYFUNCTION("GOOGLETRANSLATE(English!E724, ""en"", ""bg"")"),"Можете ли да ми помогнете? Можете ли да ми разкажете за класификацията?")</f>
        <v>Можете ли да ми помогнете? Можете ли да ми разкажете за класификацията?</v>
      </c>
      <c r="F724" s="1" t="str">
        <f ca="1">IFERROR(__xludf.DUMMYFUNCTION("GOOGLETRANSLATE(English!F724,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724" s="1" t="str">
        <f ca="1">IFERROR(__xludf.DUMMYFUNCTION("GOOGLETRANSLATE(English!G724, ""en"", ""bg"")"),"разговор")</f>
        <v>разговор</v>
      </c>
      <c r="H724" s="1" t="str">
        <f ca="1">IFERROR(__xludf.DUMMYFUNCTION("GOOGLETRANSLATE(English!H724, ""en"", ""bg"")"),"образователна_помощ")</f>
        <v>образователна_помощ</v>
      </c>
    </row>
    <row r="725" spans="1:8" ht="13.2" x14ac:dyDescent="0.25">
      <c r="A725" s="1" t="str">
        <f ca="1">IFERROR(__xludf.DUMMYFUNCTION("GOOGLETRANSLATE(English!A725, ""en"", ""bg"")"),"conv_17128")</f>
        <v>conv_17128</v>
      </c>
      <c r="B725" s="1" t="str">
        <f ca="1">IFERROR(__xludf.DUMMYFUNCTION("GOOGLETRANSLATE(English!B725, ""en"", ""bg"")"),"химия")</f>
        <v>химия</v>
      </c>
      <c r="C725" s="1" t="str">
        <f ca="1">IFERROR(__xludf.DUMMYFUNCTION("GOOGLETRANSLATE(English!C725, ""en"", ""bg"")"),"елементарен")</f>
        <v>елементарен</v>
      </c>
      <c r="D725" s="1" t="str">
        <f ca="1">IFERROR(__xludf.DUMMYFUNCTION("GOOGLETRANSLATE(English!D725, ""en"", ""bg"")"),"промени в материалите")</f>
        <v>промени в материалите</v>
      </c>
      <c r="E725" s="1" t="str">
        <f ca="1">IFERROR(__xludf.DUMMYFUNCTION("GOOGLETRANSLATE(English!E725, ""en"", ""bg"")"),"Можете ли да ми обясните това? Можете ли да ми помогнете да разбера промените в материалите?")</f>
        <v>Можете ли да ми обясните това? Можете ли да ми помогнете да разбера промените в материалите?</v>
      </c>
      <c r="F725" s="1" t="str">
        <f ca="1">IFERROR(__xludf.DUMMYFUNCTION("GOOGLETRANSLATE(English!F725,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725" s="1" t="str">
        <f ca="1">IFERROR(__xludf.DUMMYFUNCTION("GOOGLETRANSLATE(English!G725, ""en"", ""bg"")"),"разговор")</f>
        <v>разговор</v>
      </c>
      <c r="H725" s="1" t="str">
        <f ca="1">IFERROR(__xludf.DUMMYFUNCTION("GOOGLETRANSLATE(English!H725, ""en"", ""bg"")"),"образователна_помощ")</f>
        <v>образователна_помощ</v>
      </c>
    </row>
    <row r="726" spans="1:8" ht="13.2" x14ac:dyDescent="0.25">
      <c r="A726" s="1" t="str">
        <f ca="1">IFERROR(__xludf.DUMMYFUNCTION("GOOGLETRANSLATE(English!A726, ""en"", ""bg"")"),"qa_12748")</f>
        <v>qa_12748</v>
      </c>
      <c r="B726" s="1" t="str">
        <f ca="1">IFERROR(__xludf.DUMMYFUNCTION("GOOGLETRANSLATE(English!B726, ""en"", ""bg"")"),"химия")</f>
        <v>химия</v>
      </c>
      <c r="C726" s="1" t="str">
        <f ca="1">IFERROR(__xludf.DUMMYFUNCTION("GOOGLETRANSLATE(English!C726, ""en"", ""bg"")"),"високо")</f>
        <v>високо</v>
      </c>
      <c r="D726" s="1" t="str">
        <f ca="1">IFERROR(__xludf.DUMMYFUNCTION("GOOGLETRANSLATE(English!D726, ""en"", ""bg"")"),"скорости на реакция")</f>
        <v>скорости на реакция</v>
      </c>
      <c r="E726" s="1" t="str">
        <f ca="1">IFERROR(__xludf.DUMMYFUNCTION("GOOGLETRANSLATE(English!E726, ""en"", ""bg"")"),"Как работят скоростите на реакциите в химията?")</f>
        <v>Как работят скоростите на реакциите в химията?</v>
      </c>
      <c r="F726" s="1" t="str">
        <f ca="1">IFERROR(__xludf.DUMMYFUNCTION("GOOGLETRANSLATE(English!F726,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726" s="1" t="str">
        <f ca="1">IFERROR(__xludf.DUMMYFUNCTION("GOOGLETRANSLATE(English!G726, ""en"", ""bg"")"),"direct_qa")</f>
        <v>direct_qa</v>
      </c>
      <c r="H726" s="1" t="str">
        <f ca="1">IFERROR(__xludf.DUMMYFUNCTION("GOOGLETRANSLATE(English!H726, ""en"", ""bg"")"),"заявка_за_знание")</f>
        <v>заявка_за_знание</v>
      </c>
    </row>
    <row r="727" spans="1:8" ht="13.2" x14ac:dyDescent="0.25">
      <c r="A727" s="1" t="str">
        <f ca="1">IFERROR(__xludf.DUMMYFUNCTION("GOOGLETRANSLATE(English!A727, ""en"", ""bg"")"),"conv_12426")</f>
        <v>conv_12426</v>
      </c>
      <c r="B727" s="1" t="str">
        <f ca="1">IFERROR(__xludf.DUMMYFUNCTION("GOOGLETRANSLATE(English!B727, ""en"", ""bg"")"),"физика")</f>
        <v>физика</v>
      </c>
      <c r="C727" s="1" t="str">
        <f ca="1">IFERROR(__xludf.DUMMYFUNCTION("GOOGLETRANSLATE(English!C727, ""en"", ""bg"")"),"елементарен")</f>
        <v>елементарен</v>
      </c>
      <c r="D727" s="1" t="str">
        <f ca="1">IFERROR(__xludf.DUMMYFUNCTION("GOOGLETRANSLATE(English!D727, ""en"", ""bg"")"),"магнити")</f>
        <v>магнити</v>
      </c>
      <c r="E727" s="1" t="str">
        <f ca="1">IFERROR(__xludf.DUMMYFUNCTION("GOOGLETRANSLATE(English!E727, ""en"", ""bg"")"),"Не разбирам тази тема. Как работят магнитите?")</f>
        <v>Не разбирам тази тема. Как работят магнитите?</v>
      </c>
      <c r="F727" s="1" t="str">
        <f ca="1">IFERROR(__xludf.DUMMYFUNCTION("GOOGLETRANSLATE(English!F727,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727" s="1" t="str">
        <f ca="1">IFERROR(__xludf.DUMMYFUNCTION("GOOGLETRANSLATE(English!G727, ""en"", ""bg"")"),"разговор")</f>
        <v>разговор</v>
      </c>
      <c r="H727" s="1" t="str">
        <f ca="1">IFERROR(__xludf.DUMMYFUNCTION("GOOGLETRANSLATE(English!H727, ""en"", ""bg"")"),"образователна_помощ")</f>
        <v>образователна_помощ</v>
      </c>
    </row>
    <row r="728" spans="1:8" ht="13.2" x14ac:dyDescent="0.25">
      <c r="A728" s="1" t="str">
        <f ca="1">IFERROR(__xludf.DUMMYFUNCTION("GOOGLETRANSLATE(English!A728, ""en"", ""bg"")"),"qa_02529")</f>
        <v>qa_02529</v>
      </c>
      <c r="B728" s="1" t="str">
        <f ca="1">IFERROR(__xludf.DUMMYFUNCTION("GOOGLETRANSLATE(English!B728, ""en"", ""bg"")"),"химия")</f>
        <v>химия</v>
      </c>
      <c r="C728" s="1" t="str">
        <f ca="1">IFERROR(__xludf.DUMMYFUNCTION("GOOGLETRANSLATE(English!C728, ""en"", ""bg"")"),"средата")</f>
        <v>средата</v>
      </c>
      <c r="D728" s="1" t="str">
        <f ca="1">IFERROR(__xludf.DUMMYFUNCTION("GOOGLETRANSLATE(English!D728, ""en"", ""bg"")"),"киселини и основи")</f>
        <v>киселини и основи</v>
      </c>
      <c r="E728" s="1" t="str">
        <f ca="1">IFERROR(__xludf.DUMMYFUNCTION("GOOGLETRANSLATE(English!E728, ""en"", ""bg"")"),"Можете ли да ми помогнете да разбера понятията киселини и основи?")</f>
        <v>Можете ли да ми помогнете да разбера понятията киселини и основи?</v>
      </c>
      <c r="F728" s="1" t="str">
        <f ca="1">IFERROR(__xludf.DUMMYFUNCTION("GOOGLETRANSLATE(English!F728,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728" s="1" t="str">
        <f ca="1">IFERROR(__xludf.DUMMYFUNCTION("GOOGLETRANSLATE(English!G728, ""en"", ""bg"")"),"direct_qa")</f>
        <v>direct_qa</v>
      </c>
      <c r="H728" s="1" t="str">
        <f ca="1">IFERROR(__xludf.DUMMYFUNCTION("GOOGLETRANSLATE(English!H728, ""en"", ""bg"")"),"заявка_за_знание")</f>
        <v>заявка_за_знание</v>
      </c>
    </row>
    <row r="729" spans="1:8" ht="13.2" x14ac:dyDescent="0.25">
      <c r="A729" s="1" t="str">
        <f ca="1">IFERROR(__xludf.DUMMYFUNCTION("GOOGLETRANSLATE(English!A729, ""en"", ""bg"")"),"hw_08045")</f>
        <v>hw_08045</v>
      </c>
      <c r="B729" s="1" t="str">
        <f ca="1">IFERROR(__xludf.DUMMYFUNCTION("GOOGLETRANSLATE(English!B729, ""en"", ""bg"")"),"химия")</f>
        <v>химия</v>
      </c>
      <c r="C729" s="1" t="str">
        <f ca="1">IFERROR(__xludf.DUMMYFUNCTION("GOOGLETRANSLATE(English!C729, ""en"", ""bg"")"),"елементарен")</f>
        <v>елементарен</v>
      </c>
      <c r="D729" s="1" t="str">
        <f ca="1">IFERROR(__xludf.DUMMYFUNCTION("GOOGLETRANSLATE(English!D729, ""en"", ""bg"")"),"безопасност")</f>
        <v>безопасност</v>
      </c>
      <c r="E729" s="1" t="str">
        <f ca="1">IFERROR(__xludf.DUMMYFUNCTION("GOOGLETRANSLATE(English!E729,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729" s="1" t="str">
        <f ca="1">IFERROR(__xludf.DUMMYFUNCTION("GOOGLETRANSLATE(English!F729,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729" s="1" t="str">
        <f ca="1">IFERROR(__xludf.DUMMYFUNCTION("GOOGLETRANSLATE(English!G729, ""en"", ""bg"")"),"помощ_за_домашно_изпълнение")</f>
        <v>помощ_за_домашно_изпълнение</v>
      </c>
      <c r="H729" s="1" t="str">
        <f ca="1">IFERROR(__xludf.DUMMYFUNCTION("GOOGLETRANSLATE(English!H729, ""en"", ""bg"")"),"помощ_за_домашно_задаване")</f>
        <v>помощ_за_домашно_задаване</v>
      </c>
    </row>
    <row r="730" spans="1:8" ht="13.2" x14ac:dyDescent="0.25">
      <c r="A730" s="1" t="str">
        <f ca="1">IFERROR(__xludf.DUMMYFUNCTION("GOOGLETRANSLATE(English!A730, ""en"", ""bg"")"),"qa_01810")</f>
        <v>qa_01810</v>
      </c>
      <c r="B730" s="1" t="str">
        <f ca="1">IFERROR(__xludf.DUMMYFUNCTION("GOOGLETRANSLATE(English!B730, ""en"", ""bg"")"),"физика")</f>
        <v>физика</v>
      </c>
      <c r="C730" s="1" t="str">
        <f ca="1">IFERROR(__xludf.DUMMYFUNCTION("GOOGLETRANSLATE(English!C730, ""en"", ""bg"")"),"средата")</f>
        <v>средата</v>
      </c>
      <c r="D730" s="1" t="str">
        <f ca="1">IFERROR(__xludf.DUMMYFUNCTION("GOOGLETRANSLATE(English!D730, ""en"", ""bg"")"),"видове енергия")</f>
        <v>видове енергия</v>
      </c>
      <c r="E730" s="1" t="str">
        <f ca="1">IFERROR(__xludf.DUMMYFUNCTION("GOOGLETRANSLATE(English!E730, ""en"", ""bg"")"),"Какво е кинетична енергия?")</f>
        <v>Какво е кинетична енергия?</v>
      </c>
      <c r="F730" s="1" t="str">
        <f ca="1">IFERROR(__xludf.DUMMYFUNCTION("GOOGLETRANSLATE(English!F730,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730" s="1" t="str">
        <f ca="1">IFERROR(__xludf.DUMMYFUNCTION("GOOGLETRANSLATE(English!G730, ""en"", ""bg"")"),"direct_qa")</f>
        <v>direct_qa</v>
      </c>
      <c r="H730" s="1" t="str">
        <f ca="1">IFERROR(__xludf.DUMMYFUNCTION("GOOGLETRANSLATE(English!H730, ""en"", ""bg"")"),"заявка_за_знание")</f>
        <v>заявка_за_знание</v>
      </c>
    </row>
    <row r="731" spans="1:8" ht="13.2" x14ac:dyDescent="0.25">
      <c r="A731" s="1" t="str">
        <f ca="1">IFERROR(__xludf.DUMMYFUNCTION("GOOGLETRANSLATE(English!A731, ""en"", ""bg"")"),"conv_08317")</f>
        <v>conv_08317</v>
      </c>
      <c r="B731" s="1" t="str">
        <f ca="1">IFERROR(__xludf.DUMMYFUNCTION("GOOGLETRANSLATE(English!B731, ""en"", ""bg"")"),"химия")</f>
        <v>химия</v>
      </c>
      <c r="C731" s="1" t="str">
        <f ca="1">IFERROR(__xludf.DUMMYFUNCTION("GOOGLETRANSLATE(English!C731, ""en"", ""bg"")"),"средата")</f>
        <v>средата</v>
      </c>
      <c r="D731" s="1" t="str">
        <f ca="1">IFERROR(__xludf.DUMMYFUNCTION("GOOGLETRANSLATE(English!D731, ""en"", ""bg"")"),"химични реакции")</f>
        <v>химични реакции</v>
      </c>
      <c r="E731" s="1" t="str">
        <f ca="1">IFERROR(__xludf.DUMMYFUNCTION("GOOGLETRANSLATE(English!E731, ""en"", ""bg"")"),"Помогнете ми да уча за теста си. Какво е химична реакция?")</f>
        <v>Помогнете ми да уча за теста си. Какво е химична реакция?</v>
      </c>
      <c r="F731" s="1" t="str">
        <f ca="1">IFERROR(__xludf.DUMMYFUNCTION("GOOGLETRANSLATE(English!F731,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731" s="1" t="str">
        <f ca="1">IFERROR(__xludf.DUMMYFUNCTION("GOOGLETRANSLATE(English!G731, ""en"", ""bg"")"),"разговор")</f>
        <v>разговор</v>
      </c>
      <c r="H731" s="1" t="str">
        <f ca="1">IFERROR(__xludf.DUMMYFUNCTION("GOOGLETRANSLATE(English!H731, ""en"", ""bg"")"),"образователна_помощ")</f>
        <v>образователна_помощ</v>
      </c>
    </row>
    <row r="732" spans="1:8" ht="13.2" x14ac:dyDescent="0.25">
      <c r="A732" s="1" t="str">
        <f ca="1">IFERROR(__xludf.DUMMYFUNCTION("GOOGLETRANSLATE(English!A732, ""en"", ""bg"")"),"conv_08525")</f>
        <v>conv_08525</v>
      </c>
      <c r="B732" s="1" t="str">
        <f ca="1">IFERROR(__xludf.DUMMYFUNCTION("GOOGLETRANSLATE(English!B732, ""en"", ""bg"")"),"биология")</f>
        <v>биология</v>
      </c>
      <c r="C732" s="1" t="str">
        <f ca="1">IFERROR(__xludf.DUMMYFUNCTION("GOOGLETRANSLATE(English!C732, ""en"", ""bg"")"),"елементарен")</f>
        <v>елементарен</v>
      </c>
      <c r="D732" s="1" t="str">
        <f ca="1">IFERROR(__xludf.DUMMYFUNCTION("GOOGLETRANSLATE(English!D732, ""en"", ""bg"")"),"сетива")</f>
        <v>сетива</v>
      </c>
      <c r="E732" s="1" t="str">
        <f ca="1">IFERROR(__xludf.DUMMYFUNCTION("GOOGLETRANSLATE(English!E732, ""en"", ""bg"")"),"Можете ли да ми обясните това? Как работят сетивата?")</f>
        <v>Можете ли да ми обясните това? Как работят сетивата?</v>
      </c>
      <c r="F732" s="1" t="str">
        <f ca="1">IFERROR(__xludf.DUMMYFUNCTION("GOOGLETRANSLATE(English!F732,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732" s="1" t="str">
        <f ca="1">IFERROR(__xludf.DUMMYFUNCTION("GOOGLETRANSLATE(English!G732, ""en"", ""bg"")"),"разговор")</f>
        <v>разговор</v>
      </c>
      <c r="H732" s="1" t="str">
        <f ca="1">IFERROR(__xludf.DUMMYFUNCTION("GOOGLETRANSLATE(English!H732, ""en"", ""bg"")"),"образователна_помощ")</f>
        <v>образователна_помощ</v>
      </c>
    </row>
    <row r="733" spans="1:8" ht="13.2" x14ac:dyDescent="0.25">
      <c r="A733" s="1" t="str">
        <f ca="1">IFERROR(__xludf.DUMMYFUNCTION("GOOGLETRANSLATE(English!A733, ""en"", ""bg"")"),"hw_01963")</f>
        <v>hw_01963</v>
      </c>
      <c r="B733" s="1" t="str">
        <f ca="1">IFERROR(__xludf.DUMMYFUNCTION("GOOGLETRANSLATE(English!B733, ""en"", ""bg"")"),"химия")</f>
        <v>химия</v>
      </c>
      <c r="C733" s="1" t="str">
        <f ca="1">IFERROR(__xludf.DUMMYFUNCTION("GOOGLETRANSLATE(English!C733, ""en"", ""bg"")"),"елементарен")</f>
        <v>елементарен</v>
      </c>
      <c r="D733" s="1" t="str">
        <f ca="1">IFERROR(__xludf.DUMMYFUNCTION("GOOGLETRANSLATE(English!D733, ""en"", ""bg"")"),"смесване на материали")</f>
        <v>смесване на материали</v>
      </c>
      <c r="E733" s="1" t="str">
        <f ca="1">IFERROR(__xludf.DUMMYFUNCTION("GOOGLETRANSLATE(English!E733, ""en"", ""bg"")"),"Можете ли да ми помогнете с изчисленията за смесване на материали?")</f>
        <v>Можете ли да ми помогнете с изчисленията за смесване на материали?</v>
      </c>
      <c r="F733" s="1" t="str">
        <f ca="1">IFERROR(__xludf.DUMMYFUNCTION("GOOGLETRANSLATE(English!F733,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733" s="1" t="str">
        <f ca="1">IFERROR(__xludf.DUMMYFUNCTION("GOOGLETRANSLATE(English!G733, ""en"", ""bg"")"),"помощ_за_домашно_изпълнение")</f>
        <v>помощ_за_домашно_изпълнение</v>
      </c>
      <c r="H733" s="1" t="str">
        <f ca="1">IFERROR(__xludf.DUMMYFUNCTION("GOOGLETRANSLATE(English!H733, ""en"", ""bg"")"),"помощ_за_домашно_задаване")</f>
        <v>помощ_за_домашно_задаване</v>
      </c>
    </row>
    <row r="734" spans="1:8" ht="13.2" x14ac:dyDescent="0.25">
      <c r="A734" s="1" t="str">
        <f ca="1">IFERROR(__xludf.DUMMYFUNCTION("GOOGLETRANSLATE(English!A734, ""en"", ""bg"")"),"conv_08153")</f>
        <v>conv_08153</v>
      </c>
      <c r="B734" s="1" t="str">
        <f ca="1">IFERROR(__xludf.DUMMYFUNCTION("GOOGLETRANSLATE(English!B734, ""en"", ""bg"")"),"биология")</f>
        <v>биология</v>
      </c>
      <c r="C734" s="1" t="str">
        <f ca="1">IFERROR(__xludf.DUMMYFUNCTION("GOOGLETRANSLATE(English!C734, ""en"", ""bg"")"),"високо")</f>
        <v>високо</v>
      </c>
      <c r="D734" s="1" t="str">
        <f ca="1">IFERROR(__xludf.DUMMYFUNCTION("GOOGLETRANSLATE(English!D734, ""en"", ""bg"")"),"модели на наследяване")</f>
        <v>модели на наследяване</v>
      </c>
      <c r="E734" s="1" t="str">
        <f ca="1">IFERROR(__xludf.DUMMYFUNCTION("GOOGLETRANSLATE(English!E734, ""en"", ""bg"")"),"Можете ли да ми помогнете? Можете ли да ми разкажете за моделите на наследяване?")</f>
        <v>Можете ли да ми помогнете? Можете ли да ми разкажете за моделите на наследяване?</v>
      </c>
      <c r="F734" s="1" t="str">
        <f ca="1">IFERROR(__xludf.DUMMYFUNCTION("GOOGLETRANSLATE(English!F734,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734" s="1" t="str">
        <f ca="1">IFERROR(__xludf.DUMMYFUNCTION("GOOGLETRANSLATE(English!G734, ""en"", ""bg"")"),"разговор")</f>
        <v>разговор</v>
      </c>
      <c r="H734" s="1" t="str">
        <f ca="1">IFERROR(__xludf.DUMMYFUNCTION("GOOGLETRANSLATE(English!H734, ""en"", ""bg"")"),"образователна_помощ")</f>
        <v>образователна_помощ</v>
      </c>
    </row>
    <row r="735" spans="1:8" ht="13.2" x14ac:dyDescent="0.25">
      <c r="A735" s="1" t="str">
        <f ca="1">IFERROR(__xludf.DUMMYFUNCTION("GOOGLETRANSLATE(English!A735, ""en"", ""bg"")"),"hw_11404")</f>
        <v>hw_11404</v>
      </c>
      <c r="B735" s="1" t="str">
        <f ca="1">IFERROR(__xludf.DUMMYFUNCTION("GOOGLETRANSLATE(English!B735, ""en"", ""bg"")"),"биология")</f>
        <v>биология</v>
      </c>
      <c r="C735" s="1" t="str">
        <f ca="1">IFERROR(__xludf.DUMMYFUNCTION("GOOGLETRANSLATE(English!C735, ""en"", ""bg"")"),"средата")</f>
        <v>средата</v>
      </c>
      <c r="D735" s="1" t="str">
        <f ca="1">IFERROR(__xludf.DUMMYFUNCTION("GOOGLETRANSLATE(English!D735, ""en"", ""bg"")"),"класификация")</f>
        <v>класификация</v>
      </c>
      <c r="E735" s="1" t="str">
        <f ca="1">IFERROR(__xludf.DUMMYFUNCTION("GOOGLETRANSLATE(English!E735, ""en"", ""bg"")"),"Можете ли да обясните класификацията за моя научен проект?")</f>
        <v>Можете ли да обясните класификацията за моя научен проект?</v>
      </c>
      <c r="F735" s="1" t="str">
        <f ca="1">IFERROR(__xludf.DUMMYFUNCTION("GOOGLETRANSLATE(English!F735,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735" s="1" t="str">
        <f ca="1">IFERROR(__xludf.DUMMYFUNCTION("GOOGLETRANSLATE(English!G735, ""en"", ""bg"")"),"помощ_за_домашно_изпълнение")</f>
        <v>помощ_за_домашно_изпълнение</v>
      </c>
      <c r="H735" s="1" t="str">
        <f ca="1">IFERROR(__xludf.DUMMYFUNCTION("GOOGLETRANSLATE(English!H735, ""en"", ""bg"")"),"помощ_за_домашно_задаване")</f>
        <v>помощ_за_домашно_задаване</v>
      </c>
    </row>
    <row r="736" spans="1:8" ht="13.2" x14ac:dyDescent="0.25">
      <c r="A736" s="1" t="str">
        <f ca="1">IFERROR(__xludf.DUMMYFUNCTION("GOOGLETRANSLATE(English!A736, ""en"", ""bg"")"),"hw_04161")</f>
        <v>hw_04161</v>
      </c>
      <c r="B736" s="1" t="str">
        <f ca="1">IFERROR(__xludf.DUMMYFUNCTION("GOOGLETRANSLATE(English!B736, ""en"", ""bg"")"),"физика")</f>
        <v>физика</v>
      </c>
      <c r="C736" s="1" t="str">
        <f ca="1">IFERROR(__xludf.DUMMYFUNCTION("GOOGLETRANSLATE(English!C736, ""en"", ""bg"")"),"високо")</f>
        <v>високо</v>
      </c>
      <c r="D736" s="1" t="str">
        <f ca="1">IFERROR(__xludf.DUMMYFUNCTION("GOOGLETRANSLATE(English!D736, ""en"", ""bg"")"),"механика")</f>
        <v>механика</v>
      </c>
      <c r="E736" s="1" t="str">
        <f ca="1">IFERROR(__xludf.DUMMYFUNCTION("GOOGLETRANSLATE(English!E736, ""en"", ""bg"")"),"Можеш ли да решиш този механичен въпрос с мен?")</f>
        <v>Можеш ли да решиш този механичен въпрос с мен?</v>
      </c>
      <c r="F736" s="1" t="str">
        <f ca="1">IFERROR(__xludf.DUMMYFUNCTION("GOOGLETRANSLATE(English!F736,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736" s="1" t="str">
        <f ca="1">IFERROR(__xludf.DUMMYFUNCTION("GOOGLETRANSLATE(English!G736, ""en"", ""bg"")"),"помощ_за_домашно_изпълнение")</f>
        <v>помощ_за_домашно_изпълнение</v>
      </c>
      <c r="H736" s="1" t="str">
        <f ca="1">IFERROR(__xludf.DUMMYFUNCTION("GOOGLETRANSLATE(English!H736, ""en"", ""bg"")"),"помощ_за_домашно_задаване")</f>
        <v>помощ_за_домашно_задаване</v>
      </c>
    </row>
    <row r="737" spans="1:8" ht="13.2" x14ac:dyDescent="0.25">
      <c r="A737" s="1" t="str">
        <f ca="1">IFERROR(__xludf.DUMMYFUNCTION("GOOGLETRANSLATE(English!A737, ""en"", ""bg"")"),"hw_14299")</f>
        <v>hw_14299</v>
      </c>
      <c r="B737" s="1" t="str">
        <f ca="1">IFERROR(__xludf.DUMMYFUNCTION("GOOGLETRANSLATE(English!B737, ""en"", ""bg"")"),"физика")</f>
        <v>физика</v>
      </c>
      <c r="C737" s="1" t="str">
        <f ca="1">IFERROR(__xludf.DUMMYFUNCTION("GOOGLETRANSLATE(English!C737, ""en"", ""bg"")"),"високо")</f>
        <v>високо</v>
      </c>
      <c r="D737" s="1" t="str">
        <f ca="1">IFERROR(__xludf.DUMMYFUNCTION("GOOGLETRANSLATE(English!D737, ""en"", ""bg"")"),"оптика")</f>
        <v>оптика</v>
      </c>
      <c r="E737" s="1" t="str">
        <f ca="1">IFERROR(__xludf.DUMMYFUNCTION("GOOGLETRANSLATE(English!E737, ""en"", ""bg"")"),"Трябва да разбирам оптиката за изпита си.")</f>
        <v>Трябва да разбирам оптиката за изпита си.</v>
      </c>
      <c r="F737" s="1" t="str">
        <f ca="1">IFERROR(__xludf.DUMMYFUNCTION("GOOGLETRANSLATE(English!F737,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737" s="1" t="str">
        <f ca="1">IFERROR(__xludf.DUMMYFUNCTION("GOOGLETRANSLATE(English!G737, ""en"", ""bg"")"),"помощ_за_домашно_изпълнение")</f>
        <v>помощ_за_домашно_изпълнение</v>
      </c>
      <c r="H737" s="1" t="str">
        <f ca="1">IFERROR(__xludf.DUMMYFUNCTION("GOOGLETRANSLATE(English!H737, ""en"", ""bg"")"),"помощ_за_домашно_задаване")</f>
        <v>помощ_за_домашно_задаване</v>
      </c>
    </row>
    <row r="738" spans="1:8" ht="13.2" x14ac:dyDescent="0.25">
      <c r="A738" s="1" t="str">
        <f ca="1">IFERROR(__xludf.DUMMYFUNCTION("GOOGLETRANSLATE(English!A738, ""en"", ""bg"")"),"conv_07794")</f>
        <v>conv_07794</v>
      </c>
      <c r="B738" s="1" t="str">
        <f ca="1">IFERROR(__xludf.DUMMYFUNCTION("GOOGLETRANSLATE(English!B738, ""en"", ""bg"")"),"физика")</f>
        <v>физика</v>
      </c>
      <c r="C738" s="1" t="str">
        <f ca="1">IFERROR(__xludf.DUMMYFUNCTION("GOOGLETRANSLATE(English!C738, ""en"", ""bg"")"),"средата")</f>
        <v>средата</v>
      </c>
      <c r="D738" s="1" t="str">
        <f ca="1">IFERROR(__xludf.DUMMYFUNCTION("GOOGLETRANSLATE(English!D738, ""en"", ""bg"")"),"вълни")</f>
        <v>вълни</v>
      </c>
      <c r="E738" s="1" t="str">
        <f ca="1">IFERROR(__xludf.DUMMYFUNCTION("GOOGLETRANSLATE(English!E738, ""en"", ""bg"")"),"Можете ли да ми помогнете? Защо вълните са важни?")</f>
        <v>Можете ли да ми помогнете? Защо вълните са важни?</v>
      </c>
      <c r="F738" s="1" t="str">
        <f ca="1">IFERROR(__xludf.DUMMYFUNCTION("GOOGLETRANSLATE(English!F738,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738" s="1" t="str">
        <f ca="1">IFERROR(__xludf.DUMMYFUNCTION("GOOGLETRANSLATE(English!G738, ""en"", ""bg"")"),"разговор")</f>
        <v>разговор</v>
      </c>
      <c r="H738" s="1" t="str">
        <f ca="1">IFERROR(__xludf.DUMMYFUNCTION("GOOGLETRANSLATE(English!H738, ""en"", ""bg"")"),"образователна_помощ")</f>
        <v>образователна_помощ</v>
      </c>
    </row>
    <row r="739" spans="1:8" ht="13.2" x14ac:dyDescent="0.25">
      <c r="A739" s="1" t="str">
        <f ca="1">IFERROR(__xludf.DUMMYFUNCTION("GOOGLETRANSLATE(English!A739, ""en"", ""bg"")"),"qa_11279")</f>
        <v>qa_11279</v>
      </c>
      <c r="B739" s="1" t="str">
        <f ca="1">IFERROR(__xludf.DUMMYFUNCTION("GOOGLETRANSLATE(English!B739, ""en"", ""bg"")"),"биология")</f>
        <v>биология</v>
      </c>
      <c r="C739" s="1" t="str">
        <f ca="1">IFERROR(__xludf.DUMMYFUNCTION("GOOGLETRANSLATE(English!C739, ""en"", ""bg"")"),"елементарен")</f>
        <v>елементарен</v>
      </c>
      <c r="D739" s="1" t="str">
        <f ca="1">IFERROR(__xludf.DUMMYFUNCTION("GOOGLETRANSLATE(English!D739, ""en"", ""bg"")"),"жизнени цикли")</f>
        <v>жизнени цикли</v>
      </c>
      <c r="E739" s="1" t="str">
        <f ca="1">IFERROR(__xludf.DUMMYFUNCTION("GOOGLETRANSLATE(English!E739, ""en"", ""bg"")"),"Какво е важно да знаем за жизнените цикли?")</f>
        <v>Какво е важно да знаем за жизнените цикли?</v>
      </c>
      <c r="F739" s="1" t="str">
        <f ca="1">IFERROR(__xludf.DUMMYFUNCTION("GOOGLETRANSLATE(English!F739,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739" s="1" t="str">
        <f ca="1">IFERROR(__xludf.DUMMYFUNCTION("GOOGLETRANSLATE(English!G739, ""en"", ""bg"")"),"direct_qa")</f>
        <v>direct_qa</v>
      </c>
      <c r="H739" s="1" t="str">
        <f ca="1">IFERROR(__xludf.DUMMYFUNCTION("GOOGLETRANSLATE(English!H739, ""en"", ""bg"")"),"заявка_за_знание")</f>
        <v>заявка_за_знание</v>
      </c>
    </row>
    <row r="740" spans="1:8" ht="13.2" x14ac:dyDescent="0.25">
      <c r="A740" s="1" t="str">
        <f ca="1">IFERROR(__xludf.DUMMYFUNCTION("GOOGLETRANSLATE(English!A740, ""en"", ""bg"")"),"hw_10381")</f>
        <v>hw_10381</v>
      </c>
      <c r="B740" s="1" t="str">
        <f ca="1">IFERROR(__xludf.DUMMYFUNCTION("GOOGLETRANSLATE(English!B740, ""en"", ""bg"")"),"физика")</f>
        <v>физика</v>
      </c>
      <c r="C740" s="1" t="str">
        <f ca="1">IFERROR(__xludf.DUMMYFUNCTION("GOOGLETRANSLATE(English!C740, ""en"", ""bg"")"),"средата")</f>
        <v>средата</v>
      </c>
      <c r="D740" s="1" t="str">
        <f ca="1">IFERROR(__xludf.DUMMYFUNCTION("GOOGLETRANSLATE(English!D740, ""en"", ""bg"")"),"основи на електричеството")</f>
        <v>основи на електричеството</v>
      </c>
      <c r="E740" s="1" t="str">
        <f ca="1">IFERROR(__xludf.DUMMYFUNCTION("GOOGLETRANSLATE(English!E740,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740" s="1" t="str">
        <f ca="1">IFERROR(__xludf.DUMMYFUNCTION("GOOGLETRANSLATE(English!F740,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740" s="1" t="str">
        <f ca="1">IFERROR(__xludf.DUMMYFUNCTION("GOOGLETRANSLATE(English!G740, ""en"", ""bg"")"),"помощ_за_домашно_изпълнение")</f>
        <v>помощ_за_домашно_изпълнение</v>
      </c>
      <c r="H740" s="1" t="str">
        <f ca="1">IFERROR(__xludf.DUMMYFUNCTION("GOOGLETRANSLATE(English!H740, ""en"", ""bg"")"),"помощ_за_домашно_задаване")</f>
        <v>помощ_за_домашно_задаване</v>
      </c>
    </row>
    <row r="741" spans="1:8" ht="13.2" x14ac:dyDescent="0.25">
      <c r="A741" s="1" t="str">
        <f ca="1">IFERROR(__xludf.DUMMYFUNCTION("GOOGLETRANSLATE(English!A741, ""en"", ""bg"")"),"hw_14516")</f>
        <v>hw_14516</v>
      </c>
      <c r="B741" s="1" t="str">
        <f ca="1">IFERROR(__xludf.DUMMYFUNCTION("GOOGLETRANSLATE(English!B741, ""en"", ""bg"")"),"физика")</f>
        <v>физика</v>
      </c>
      <c r="C741" s="1" t="str">
        <f ca="1">IFERROR(__xludf.DUMMYFUNCTION("GOOGLETRANSLATE(English!C741, ""en"", ""bg"")"),"средата")</f>
        <v>средата</v>
      </c>
      <c r="D741" s="1" t="str">
        <f ca="1">IFERROR(__xludf.DUMMYFUNCTION("GOOGLETRANSLATE(English!D741, ""en"", ""bg"")"),"видове енергия")</f>
        <v>видове енергия</v>
      </c>
      <c r="E741" s="1" t="str">
        <f ca="1">IFERROR(__xludf.DUMMYFUNCTION("GOOGLETRANSLATE(English!E741, ""en"", ""bg"")"),"Можете ли да решите този въпрос за видовете енергия с мен?")</f>
        <v>Можете ли да решите този въпрос за видовете енергия с мен?</v>
      </c>
      <c r="F741" s="1" t="str">
        <f ca="1">IFERROR(__xludf.DUMMYFUNCTION("GOOGLETRANSLATE(English!F741,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741" s="1" t="str">
        <f ca="1">IFERROR(__xludf.DUMMYFUNCTION("GOOGLETRANSLATE(English!G741, ""en"", ""bg"")"),"помощ_за_домашно_изпълнение")</f>
        <v>помощ_за_домашно_изпълнение</v>
      </c>
      <c r="H741" s="1" t="str">
        <f ca="1">IFERROR(__xludf.DUMMYFUNCTION("GOOGLETRANSLATE(English!H741, ""en"", ""bg"")"),"помощ_за_домашно_задаване")</f>
        <v>помощ_за_домашно_задаване</v>
      </c>
    </row>
    <row r="742" spans="1:8" ht="13.2" x14ac:dyDescent="0.25">
      <c r="A742" s="1" t="str">
        <f ca="1">IFERROR(__xludf.DUMMYFUNCTION("GOOGLETRANSLATE(English!A742, ""en"", ""bg"")"),"conv_16891")</f>
        <v>conv_16891</v>
      </c>
      <c r="B742" s="1" t="str">
        <f ca="1">IFERROR(__xludf.DUMMYFUNCTION("GOOGLETRANSLATE(English!B742, ""en"", ""bg"")"),"физика")</f>
        <v>физика</v>
      </c>
      <c r="C742" s="1" t="str">
        <f ca="1">IFERROR(__xludf.DUMMYFUNCTION("GOOGLETRANSLATE(English!C742, ""en"", ""bg"")"),"средата")</f>
        <v>средата</v>
      </c>
      <c r="D742" s="1" t="str">
        <f ca="1">IFERROR(__xludf.DUMMYFUNCTION("GOOGLETRANSLATE(English!D742, ""en"", ""bg"")"),"състояния на материята")</f>
        <v>състояния на материята</v>
      </c>
      <c r="E742" s="1" t="str">
        <f ca="1">IFERROR(__xludf.DUMMYFUNCTION("GOOGLETRANSLATE(English!E742, ""en"", ""bg"")"),"Не разбирам тази тема. Какво трябва да знам за състоянията на материята?")</f>
        <v>Не разбирам тази тема. Какво трябва да знам за състоянията на материята?</v>
      </c>
      <c r="F742" s="1" t="str">
        <f ca="1">IFERROR(__xludf.DUMMYFUNCTION("GOOGLETRANSLATE(English!F742,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742" s="1" t="str">
        <f ca="1">IFERROR(__xludf.DUMMYFUNCTION("GOOGLETRANSLATE(English!G742, ""en"", ""bg"")"),"разговор")</f>
        <v>разговор</v>
      </c>
      <c r="H742" s="1" t="str">
        <f ca="1">IFERROR(__xludf.DUMMYFUNCTION("GOOGLETRANSLATE(English!H742, ""en"", ""bg"")"),"образователна_помощ")</f>
        <v>образователна_помощ</v>
      </c>
    </row>
    <row r="743" spans="1:8" ht="13.2" x14ac:dyDescent="0.25">
      <c r="A743" s="1" t="str">
        <f ca="1">IFERROR(__xludf.DUMMYFUNCTION("GOOGLETRANSLATE(English!A743, ""en"", ""bg"")"),"hw_03325")</f>
        <v>hw_03325</v>
      </c>
      <c r="B743" s="1" t="str">
        <f ca="1">IFERROR(__xludf.DUMMYFUNCTION("GOOGLETRANSLATE(English!B743, ""en"", ""bg"")"),"биология")</f>
        <v>биология</v>
      </c>
      <c r="C743" s="1" t="str">
        <f ca="1">IFERROR(__xludf.DUMMYFUNCTION("GOOGLETRANSLATE(English!C743, ""en"", ""bg"")"),"елементарен")</f>
        <v>елементарен</v>
      </c>
      <c r="D743" s="1" t="str">
        <f ca="1">IFERROR(__xludf.DUMMYFUNCTION("GOOGLETRANSLATE(English!D743, ""en"", ""bg"")"),"хранителни вериги")</f>
        <v>хранителни вериги</v>
      </c>
      <c r="E743" s="1" t="str">
        <f ca="1">IFERROR(__xludf.DUMMYFUNCTION("GOOGLETRANSLATE(English!E743, ""en"", ""bg"")"),"Трябва да напиша доклад за хранителните вериги. Можете ли да ми помогнете да започна?")</f>
        <v>Трябва да напиша доклад за хранителните вериги. Можете ли да ми помогнете да започна?</v>
      </c>
      <c r="F743" s="1" t="str">
        <f ca="1">IFERROR(__xludf.DUMMYFUNCTION("GOOGLETRANSLATE(English!F743,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743" s="1" t="str">
        <f ca="1">IFERROR(__xludf.DUMMYFUNCTION("GOOGLETRANSLATE(English!G743, ""en"", ""bg"")"),"помощ_за_домашно_изпълнение")</f>
        <v>помощ_за_домашно_изпълнение</v>
      </c>
      <c r="H743" s="1" t="str">
        <f ca="1">IFERROR(__xludf.DUMMYFUNCTION("GOOGLETRANSLATE(English!H743, ""en"", ""bg"")"),"помощ_за_домашно_задаване")</f>
        <v>помощ_за_домашно_задаване</v>
      </c>
    </row>
    <row r="744" spans="1:8" ht="13.2" x14ac:dyDescent="0.25">
      <c r="A744" s="1" t="str">
        <f ca="1">IFERROR(__xludf.DUMMYFUNCTION("GOOGLETRANSLATE(English!A744, ""en"", ""bg"")"),"conv_17555")</f>
        <v>conv_17555</v>
      </c>
      <c r="B744" s="1" t="str">
        <f ca="1">IFERROR(__xludf.DUMMYFUNCTION("GOOGLETRANSLATE(English!B744, ""en"", ""bg"")"),"химия")</f>
        <v>химия</v>
      </c>
      <c r="C744" s="1" t="str">
        <f ca="1">IFERROR(__xludf.DUMMYFUNCTION("GOOGLETRANSLATE(English!C744, ""en"", ""bg"")"),"високо")</f>
        <v>високо</v>
      </c>
      <c r="D744" s="1" t="str">
        <f ca="1">IFERROR(__xludf.DUMMYFUNCTION("GOOGLETRANSLATE(English!D744, ""en"", ""bg"")"),"равновесие")</f>
        <v>равновесие</v>
      </c>
      <c r="E744" s="1" t="str">
        <f ca="1">IFERROR(__xludf.DUMMYFUNCTION("GOOGLETRANSLATE(English!E744, ""en"", ""bg"")"),"Имам научен въпрос. Как работи равновесието в химията?")</f>
        <v>Имам научен въпрос. Как работи равновесието в химията?</v>
      </c>
      <c r="F744" s="1" t="str">
        <f ca="1">IFERROR(__xludf.DUMMYFUNCTION("GOOGLETRANSLATE(English!F744,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744" s="1" t="str">
        <f ca="1">IFERROR(__xludf.DUMMYFUNCTION("GOOGLETRANSLATE(English!G744, ""en"", ""bg"")"),"разговор")</f>
        <v>разговор</v>
      </c>
      <c r="H744" s="1" t="str">
        <f ca="1">IFERROR(__xludf.DUMMYFUNCTION("GOOGLETRANSLATE(English!H744, ""en"", ""bg"")"),"образователна_помощ")</f>
        <v>образователна_помощ</v>
      </c>
    </row>
    <row r="745" spans="1:8" ht="13.2" x14ac:dyDescent="0.25">
      <c r="A745" s="1" t="str">
        <f ca="1">IFERROR(__xludf.DUMMYFUNCTION("GOOGLETRANSLATE(English!A745, ""en"", ""bg"")"),"hw_01407")</f>
        <v>hw_01407</v>
      </c>
      <c r="B745" s="1" t="str">
        <f ca="1">IFERROR(__xludf.DUMMYFUNCTION("GOOGLETRANSLATE(English!B745, ""en"", ""bg"")"),"биология")</f>
        <v>биология</v>
      </c>
      <c r="C745" s="1" t="str">
        <f ca="1">IFERROR(__xludf.DUMMYFUNCTION("GOOGLETRANSLATE(English!C745, ""en"", ""bg"")"),"високо")</f>
        <v>високо</v>
      </c>
      <c r="D745" s="1" t="str">
        <f ca="1">IFERROR(__xludf.DUMMYFUNCTION("GOOGLETRANSLATE(English!D745, ""en"", ""bg"")"),"Структура на ДНК")</f>
        <v>Структура на ДНК</v>
      </c>
      <c r="E745" s="1" t="str">
        <f ca="1">IFERROR(__xludf.DUMMYFUNCTION("GOOGLETRANSLATE(English!E745,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745" s="1" t="str">
        <f ca="1">IFERROR(__xludf.DUMMYFUNCTION("GOOGLETRANSLATE(English!F745,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745" s="1" t="str">
        <f ca="1">IFERROR(__xludf.DUMMYFUNCTION("GOOGLETRANSLATE(English!G745, ""en"", ""bg"")"),"помощ_за_домашно_изпълнение")</f>
        <v>помощ_за_домашно_изпълнение</v>
      </c>
      <c r="H745" s="1" t="str">
        <f ca="1">IFERROR(__xludf.DUMMYFUNCTION("GOOGLETRANSLATE(English!H745, ""en"", ""bg"")"),"помощ_за_домашно_задаване")</f>
        <v>помощ_за_домашно_задаване</v>
      </c>
    </row>
    <row r="746" spans="1:8" ht="13.2" x14ac:dyDescent="0.25">
      <c r="A746" s="1" t="str">
        <f ca="1">IFERROR(__xludf.DUMMYFUNCTION("GOOGLETRANSLATE(English!A746, ""en"", ""bg"")"),"conv_03590")</f>
        <v>conv_03590</v>
      </c>
      <c r="B746" s="1" t="str">
        <f ca="1">IFERROR(__xludf.DUMMYFUNCTION("GOOGLETRANSLATE(English!B746, ""en"", ""bg"")"),"химия")</f>
        <v>химия</v>
      </c>
      <c r="C746" s="1" t="str">
        <f ca="1">IFERROR(__xludf.DUMMYFUNCTION("GOOGLETRANSLATE(English!C746, ""en"", ""bg"")"),"средата")</f>
        <v>средата</v>
      </c>
      <c r="D746" s="1" t="str">
        <f ca="1">IFERROR(__xludf.DUMMYFUNCTION("GOOGLETRANSLATE(English!D746, ""en"", ""bg"")"),"атоми и молекули")</f>
        <v>атоми и молекули</v>
      </c>
      <c r="E746" s="1" t="str">
        <f ca="1">IFERROR(__xludf.DUMMYFUNCTION("GOOGLETRANSLATE(English!E746, ""en"", ""bg"")"),"Имам научен въпрос: Какво е атом?")</f>
        <v>Имам научен въпрос: Какво е атом?</v>
      </c>
      <c r="F746" s="1" t="str">
        <f ca="1">IFERROR(__xludf.DUMMYFUNCTION("GOOGLETRANSLATE(English!F746,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746" s="1" t="str">
        <f ca="1">IFERROR(__xludf.DUMMYFUNCTION("GOOGLETRANSLATE(English!G746, ""en"", ""bg"")"),"разговор")</f>
        <v>разговор</v>
      </c>
      <c r="H746" s="1" t="str">
        <f ca="1">IFERROR(__xludf.DUMMYFUNCTION("GOOGLETRANSLATE(English!H746, ""en"", ""bg"")"),"образователна_помощ")</f>
        <v>образователна_помощ</v>
      </c>
    </row>
    <row r="747" spans="1:8" ht="13.2" x14ac:dyDescent="0.25">
      <c r="A747" s="1" t="str">
        <f ca="1">IFERROR(__xludf.DUMMYFUNCTION("GOOGLETRANSLATE(English!A747, ""en"", ""bg"")"),"hw_00914")</f>
        <v>hw_00914</v>
      </c>
      <c r="B747" s="1" t="str">
        <f ca="1">IFERROR(__xludf.DUMMYFUNCTION("GOOGLETRANSLATE(English!B747, ""en"", ""bg"")"),"химия")</f>
        <v>химия</v>
      </c>
      <c r="C747" s="1" t="str">
        <f ca="1">IFERROR(__xludf.DUMMYFUNCTION("GOOGLETRANSLATE(English!C747, ""en"", ""bg"")"),"средата")</f>
        <v>средата</v>
      </c>
      <c r="D747" s="1" t="str">
        <f ca="1">IFERROR(__xludf.DUMMYFUNCTION("GOOGLETRANSLATE(English!D747, ""en"", ""bg"")"),"киселини и основи")</f>
        <v>киселини и основи</v>
      </c>
      <c r="E747" s="1" t="str">
        <f ca="1">IFERROR(__xludf.DUMMYFUNCTION("GOOGLETRANSLATE(English!E747, ""en"", ""bg"")"),"Не разбирам тази концепция за киселини и основи. Моля, обяснете!")</f>
        <v>Не разбирам тази концепция за киселини и основи. Моля, обяснете!</v>
      </c>
      <c r="F747" s="1" t="str">
        <f ca="1">IFERROR(__xludf.DUMMYFUNCTION("GOOGLETRANSLATE(English!F747,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747" s="1" t="str">
        <f ca="1">IFERROR(__xludf.DUMMYFUNCTION("GOOGLETRANSLATE(English!G747, ""en"", ""bg"")"),"помощ_за_домашно_изпълнение")</f>
        <v>помощ_за_домашно_изпълнение</v>
      </c>
      <c r="H747" s="1" t="str">
        <f ca="1">IFERROR(__xludf.DUMMYFUNCTION("GOOGLETRANSLATE(English!H747, ""en"", ""bg"")"),"помощ_за_домашно_задаване")</f>
        <v>помощ_за_домашно_задаване</v>
      </c>
    </row>
    <row r="748" spans="1:8" ht="13.2" x14ac:dyDescent="0.25">
      <c r="A748" s="1" t="str">
        <f ca="1">IFERROR(__xludf.DUMMYFUNCTION("GOOGLETRANSLATE(English!A748, ""en"", ""bg"")"),"conv_13311")</f>
        <v>conv_13311</v>
      </c>
      <c r="B748" s="1" t="str">
        <f ca="1">IFERROR(__xludf.DUMMYFUNCTION("GOOGLETRANSLATE(English!B748, ""en"", ""bg"")"),"химия")</f>
        <v>химия</v>
      </c>
      <c r="C748" s="1" t="str">
        <f ca="1">IFERROR(__xludf.DUMMYFUNCTION("GOOGLETRANSLATE(English!C748, ""en"", ""bg"")"),"елементарен")</f>
        <v>елементарен</v>
      </c>
      <c r="D748" s="1" t="str">
        <f ca="1">IFERROR(__xludf.DUMMYFUNCTION("GOOGLETRANSLATE(English!D748, ""en"", ""bg"")"),"безопасност")</f>
        <v>безопасност</v>
      </c>
      <c r="E748" s="1" t="str">
        <f ca="1">IFERROR(__xludf.DUMMYFUNCTION("GOOGLETRANSLATE(English!E748, ""en"", ""bg"")"),"Помогнете ми да уча за теста си. Какво е безопасността?")</f>
        <v>Помогнете ми да уча за теста си. Какво е безопасността?</v>
      </c>
      <c r="F748" s="1" t="str">
        <f ca="1">IFERROR(__xludf.DUMMYFUNCTION("GOOGLETRANSLATE(English!F748,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748" s="1" t="str">
        <f ca="1">IFERROR(__xludf.DUMMYFUNCTION("GOOGLETRANSLATE(English!G748, ""en"", ""bg"")"),"разговор")</f>
        <v>разговор</v>
      </c>
      <c r="H748" s="1" t="str">
        <f ca="1">IFERROR(__xludf.DUMMYFUNCTION("GOOGLETRANSLATE(English!H748, ""en"", ""bg"")"),"образователна_помощ")</f>
        <v>образователна_помощ</v>
      </c>
    </row>
    <row r="749" spans="1:8" ht="13.2" x14ac:dyDescent="0.25">
      <c r="A749" s="1" t="str">
        <f ca="1">IFERROR(__xludf.DUMMYFUNCTION("GOOGLETRANSLATE(English!A749, ""en"", ""bg"")"),"qa_01101")</f>
        <v>qa_01101</v>
      </c>
      <c r="B749" s="1" t="str">
        <f ca="1">IFERROR(__xludf.DUMMYFUNCTION("GOOGLETRANSLATE(English!B749, ""en"", ""bg"")"),"физика")</f>
        <v>физика</v>
      </c>
      <c r="C749" s="1" t="str">
        <f ca="1">IFERROR(__xludf.DUMMYFUNCTION("GOOGLETRANSLATE(English!C749, ""en"", ""bg"")"),"високо")</f>
        <v>високо</v>
      </c>
      <c r="D749" s="1" t="str">
        <f ca="1">IFERROR(__xludf.DUMMYFUNCTION("GOOGLETRANSLATE(English!D749, ""en"", ""bg"")"),"радиоактивност")</f>
        <v>радиоактивност</v>
      </c>
      <c r="E749" s="1" t="str">
        <f ca="1">IFERROR(__xludf.DUMMYFUNCTION("GOOGLETRANSLATE(English!E749, ""en"", ""bg"")"),"Как работи радиоактивността във физиката?")</f>
        <v>Как работи радиоактивността във физиката?</v>
      </c>
      <c r="F749" s="1" t="str">
        <f ca="1">IFERROR(__xludf.DUMMYFUNCTION("GOOGLETRANSLATE(English!F749,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749" s="1" t="str">
        <f ca="1">IFERROR(__xludf.DUMMYFUNCTION("GOOGLETRANSLATE(English!G749, ""en"", ""bg"")"),"direct_qa")</f>
        <v>direct_qa</v>
      </c>
      <c r="H749" s="1" t="str">
        <f ca="1">IFERROR(__xludf.DUMMYFUNCTION("GOOGLETRANSLATE(English!H749, ""en"", ""bg"")"),"заявка_за_знание")</f>
        <v>заявка_за_знание</v>
      </c>
    </row>
    <row r="750" spans="1:8" ht="13.2" x14ac:dyDescent="0.25">
      <c r="A750" s="1" t="str">
        <f ca="1">IFERROR(__xludf.DUMMYFUNCTION("GOOGLETRANSLATE(English!A750, ""en"", ""bg"")"),"conv_13023")</f>
        <v>conv_13023</v>
      </c>
      <c r="B750" s="1" t="str">
        <f ca="1">IFERROR(__xludf.DUMMYFUNCTION("GOOGLETRANSLATE(English!B750, ""en"", ""bg"")"),"физика")</f>
        <v>физика</v>
      </c>
      <c r="C750" s="1" t="str">
        <f ca="1">IFERROR(__xludf.DUMMYFUNCTION("GOOGLETRANSLATE(English!C750, ""en"", ""bg"")"),"елементарен")</f>
        <v>елементарен</v>
      </c>
      <c r="D750" s="1" t="str">
        <f ca="1">IFERROR(__xludf.DUMMYFUNCTION("GOOGLETRANSLATE(English!D750, ""en"", ""bg"")"),"звук")</f>
        <v>звук</v>
      </c>
      <c r="E750" s="1" t="str">
        <f ca="1">IFERROR(__xludf.DUMMYFUNCTION("GOOGLETRANSLATE(English!E750, ""en"", ""bg"")"),"Можете ли да ми помогнете? Какво трябва да знам за звука?")</f>
        <v>Можете ли да ми помогнете? Какво трябва да знам за звука?</v>
      </c>
      <c r="F750" s="1" t="str">
        <f ca="1">IFERROR(__xludf.DUMMYFUNCTION("GOOGLETRANSLATE(English!F750,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750" s="1" t="str">
        <f ca="1">IFERROR(__xludf.DUMMYFUNCTION("GOOGLETRANSLATE(English!G750, ""en"", ""bg"")"),"разговор")</f>
        <v>разговор</v>
      </c>
      <c r="H750" s="1" t="str">
        <f ca="1">IFERROR(__xludf.DUMMYFUNCTION("GOOGLETRANSLATE(English!H750, ""en"", ""bg"")"),"образователна_помощ")</f>
        <v>образователна_помощ</v>
      </c>
    </row>
    <row r="751" spans="1:8" ht="13.2" x14ac:dyDescent="0.25">
      <c r="A751" s="1" t="str">
        <f ca="1">IFERROR(__xludf.DUMMYFUNCTION("GOOGLETRANSLATE(English!A751, ""en"", ""bg"")"),"hw_01039")</f>
        <v>hw_01039</v>
      </c>
      <c r="B751" s="1" t="str">
        <f ca="1">IFERROR(__xludf.DUMMYFUNCTION("GOOGLETRANSLATE(English!B751, ""en"", ""bg"")"),"физика")</f>
        <v>физика</v>
      </c>
      <c r="C751" s="1" t="str">
        <f ca="1">IFERROR(__xludf.DUMMYFUNCTION("GOOGLETRANSLATE(English!C751, ""en"", ""bg"")"),"високо")</f>
        <v>високо</v>
      </c>
      <c r="D751" s="1" t="str">
        <f ca="1">IFERROR(__xludf.DUMMYFUNCTION("GOOGLETRANSLATE(English!D751, ""en"", ""bg"")"),"оптика")</f>
        <v>оптика</v>
      </c>
      <c r="E751" s="1" t="str">
        <f ca="1">IFERROR(__xludf.DUMMYFUNCTION("GOOGLETRANSLATE(English!E751, ""en"", ""bg"")"),"Можете ли да решите този въпрос с оптиката с мен?")</f>
        <v>Можете ли да решите този въпрос с оптиката с мен?</v>
      </c>
      <c r="F751" s="1" t="str">
        <f ca="1">IFERROR(__xludf.DUMMYFUNCTION("GOOGLETRANSLATE(English!F751,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751" s="1" t="str">
        <f ca="1">IFERROR(__xludf.DUMMYFUNCTION("GOOGLETRANSLATE(English!G751, ""en"", ""bg"")"),"помощ_за_домашно_изпълнение")</f>
        <v>помощ_за_домашно_изпълнение</v>
      </c>
      <c r="H751" s="1" t="str">
        <f ca="1">IFERROR(__xludf.DUMMYFUNCTION("GOOGLETRANSLATE(English!H751, ""en"", ""bg"")"),"помощ_за_домашно_задаване")</f>
        <v>помощ_за_домашно_задаване</v>
      </c>
    </row>
    <row r="752" spans="1:8" ht="13.2" x14ac:dyDescent="0.25">
      <c r="A752" s="1" t="str">
        <f ca="1">IFERROR(__xludf.DUMMYFUNCTION("GOOGLETRANSLATE(English!A752, ""en"", ""bg"")"),"qa_12690")</f>
        <v>qa_12690</v>
      </c>
      <c r="B752" s="1" t="str">
        <f ca="1">IFERROR(__xludf.DUMMYFUNCTION("GOOGLETRANSLATE(English!B752, ""en"", ""bg"")"),"физика")</f>
        <v>физика</v>
      </c>
      <c r="C752" s="1" t="str">
        <f ca="1">IFERROR(__xludf.DUMMYFUNCTION("GOOGLETRANSLATE(English!C752, ""en"", ""bg"")"),"средата")</f>
        <v>средата</v>
      </c>
      <c r="D752" s="1" t="str">
        <f ca="1">IFERROR(__xludf.DUMMYFUNCTION("GOOGLETRANSLATE(English!D752, ""en"", ""bg"")"),"сили и движение")</f>
        <v>сили и движение</v>
      </c>
      <c r="E752" s="1" t="str">
        <f ca="1">IFERROR(__xludf.DUMMYFUNCTION("GOOGLETRANSLATE(English!E752, ""en"", ""bg"")"),"Как триенето влияе на движението?")</f>
        <v>Как триенето влияе на движението?</v>
      </c>
      <c r="F752" s="1" t="str">
        <f ca="1">IFERROR(__xludf.DUMMYFUNCTION("GOOGLETRANSLATE(English!F752,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752" s="1" t="str">
        <f ca="1">IFERROR(__xludf.DUMMYFUNCTION("GOOGLETRANSLATE(English!G752, ""en"", ""bg"")"),"direct_qa")</f>
        <v>direct_qa</v>
      </c>
      <c r="H752" s="1" t="str">
        <f ca="1">IFERROR(__xludf.DUMMYFUNCTION("GOOGLETRANSLATE(English!H752, ""en"", ""bg"")"),"заявка_за_знание")</f>
        <v>заявка_за_знание</v>
      </c>
    </row>
    <row r="753" spans="1:8" ht="13.2" x14ac:dyDescent="0.25">
      <c r="A753" s="1" t="str">
        <f ca="1">IFERROR(__xludf.DUMMYFUNCTION("GOOGLETRANSLATE(English!A753, ""en"", ""bg"")"),"conv_07501")</f>
        <v>conv_07501</v>
      </c>
      <c r="B753" s="1" t="str">
        <f ca="1">IFERROR(__xludf.DUMMYFUNCTION("GOOGLETRANSLATE(English!B753, ""en"", ""bg"")"),"химия")</f>
        <v>химия</v>
      </c>
      <c r="C753" s="1" t="str">
        <f ca="1">IFERROR(__xludf.DUMMYFUNCTION("GOOGLETRANSLATE(English!C753, ""en"", ""bg"")"),"средата")</f>
        <v>средата</v>
      </c>
      <c r="D753" s="1" t="str">
        <f ca="1">IFERROR(__xludf.DUMMYFUNCTION("GOOGLETRANSLATE(English!D753, ""en"", ""bg"")"),"химични промени")</f>
        <v>химични промени</v>
      </c>
      <c r="E753" s="1" t="str">
        <f ca="1">IFERROR(__xludf.DUMMYFUNCTION("GOOGLETRANSLATE(English!E753, ""en"", ""bg"")"),"Можете ли да ми помогнете? Какво представляват химичните промени?")</f>
        <v>Можете ли да ми помогнете? Какво представляват химичните промени?</v>
      </c>
      <c r="F753" s="1" t="str">
        <f ca="1">IFERROR(__xludf.DUMMYFUNCTION("GOOGLETRANSLATE(English!F753,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753" s="1" t="str">
        <f ca="1">IFERROR(__xludf.DUMMYFUNCTION("GOOGLETRANSLATE(English!G753, ""en"", ""bg"")"),"разговор")</f>
        <v>разговор</v>
      </c>
      <c r="H753" s="1" t="str">
        <f ca="1">IFERROR(__xludf.DUMMYFUNCTION("GOOGLETRANSLATE(English!H753, ""en"", ""bg"")"),"образователна_помощ")</f>
        <v>образователна_помощ</v>
      </c>
    </row>
    <row r="754" spans="1:8" ht="13.2" x14ac:dyDescent="0.25">
      <c r="A754" s="1" t="str">
        <f ca="1">IFERROR(__xludf.DUMMYFUNCTION("GOOGLETRANSLATE(English!A754, ""en"", ""bg"")"),"qa_05853")</f>
        <v>qa_05853</v>
      </c>
      <c r="B754" s="1" t="str">
        <f ca="1">IFERROR(__xludf.DUMMYFUNCTION("GOOGLETRANSLATE(English!B754, ""en"", ""bg"")"),"физика")</f>
        <v>физика</v>
      </c>
      <c r="C754" s="1" t="str">
        <f ca="1">IFERROR(__xludf.DUMMYFUNCTION("GOOGLETRANSLATE(English!C754, ""en"", ""bg"")"),"високо")</f>
        <v>високо</v>
      </c>
      <c r="D754" s="1" t="str">
        <f ca="1">IFERROR(__xludf.DUMMYFUNCTION("GOOGLETRANSLATE(English!D754, ""en"", ""bg"")"),"атомна структура")</f>
        <v>атомна структура</v>
      </c>
      <c r="E754" s="1" t="str">
        <f ca="1">IFERROR(__xludf.DUMMYFUNCTION("GOOGLETRANSLATE(English!E754, ""en"", ""bg"")"),"Защо атомната структура е важна?")</f>
        <v>Защо атомната структура е важна?</v>
      </c>
      <c r="F754" s="1" t="str">
        <f ca="1">IFERROR(__xludf.DUMMYFUNCTION("GOOGLETRANSLATE(English!F754,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754" s="1" t="str">
        <f ca="1">IFERROR(__xludf.DUMMYFUNCTION("GOOGLETRANSLATE(English!G754, ""en"", ""bg"")"),"direct_qa")</f>
        <v>direct_qa</v>
      </c>
      <c r="H754" s="1" t="str">
        <f ca="1">IFERROR(__xludf.DUMMYFUNCTION("GOOGLETRANSLATE(English!H754, ""en"", ""bg"")"),"заявка_за_знание")</f>
        <v>заявка_за_знание</v>
      </c>
    </row>
    <row r="755" spans="1:8" ht="13.2" x14ac:dyDescent="0.25">
      <c r="A755" s="1" t="str">
        <f ca="1">IFERROR(__xludf.DUMMYFUNCTION("GOOGLETRANSLATE(English!A755, ""en"", ""bg"")"),"conv_08697")</f>
        <v>conv_08697</v>
      </c>
      <c r="B755" s="1" t="str">
        <f ca="1">IFERROR(__xludf.DUMMYFUNCTION("GOOGLETRANSLATE(English!B755, ""en"", ""bg"")"),"физика")</f>
        <v>физика</v>
      </c>
      <c r="C755" s="1" t="str">
        <f ca="1">IFERROR(__xludf.DUMMYFUNCTION("GOOGLETRANSLATE(English!C755, ""en"", ""bg"")"),"високо")</f>
        <v>високо</v>
      </c>
      <c r="D755" s="1" t="str">
        <f ca="1">IFERROR(__xludf.DUMMYFUNCTION("GOOGLETRANSLATE(English!D755, ""en"", ""bg"")"),"радиоактивност")</f>
        <v>радиоактивност</v>
      </c>
      <c r="E755" s="1" t="str">
        <f ca="1">IFERROR(__xludf.DUMMYFUNCTION("GOOGLETRANSLATE(English!E755, ""en"", ""bg"")"),"Имам научен въпрос. Какво трябва да знам за радиоактивността?")</f>
        <v>Имам научен въпрос. Какво трябва да знам за радиоактивността?</v>
      </c>
      <c r="F755" s="1" t="str">
        <f ca="1">IFERROR(__xludf.DUMMYFUNCTION("GOOGLETRANSLATE(English!F755,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755" s="1" t="str">
        <f ca="1">IFERROR(__xludf.DUMMYFUNCTION("GOOGLETRANSLATE(English!G755, ""en"", ""bg"")"),"разговор")</f>
        <v>разговор</v>
      </c>
      <c r="H755" s="1" t="str">
        <f ca="1">IFERROR(__xludf.DUMMYFUNCTION("GOOGLETRANSLATE(English!H755, ""en"", ""bg"")"),"образователна_помощ")</f>
        <v>образователна_помощ</v>
      </c>
    </row>
    <row r="756" spans="1:8" ht="13.2" x14ac:dyDescent="0.25">
      <c r="A756" s="1" t="str">
        <f ca="1">IFERROR(__xludf.DUMMYFUNCTION("GOOGLETRANSLATE(English!A756, ""en"", ""bg"")"),"conv_06630")</f>
        <v>conv_06630</v>
      </c>
      <c r="B756" s="1" t="str">
        <f ca="1">IFERROR(__xludf.DUMMYFUNCTION("GOOGLETRANSLATE(English!B756, ""en"", ""bg"")"),"химия")</f>
        <v>химия</v>
      </c>
      <c r="C756" s="1" t="str">
        <f ca="1">IFERROR(__xludf.DUMMYFUNCTION("GOOGLETRANSLATE(English!C756, ""en"", ""bg"")"),"високо")</f>
        <v>високо</v>
      </c>
      <c r="D756" s="1" t="str">
        <f ca="1">IFERROR(__xludf.DUMMYFUNCTION("GOOGLETRANSLATE(English!D756, ""en"", ""bg"")"),"електрохимия")</f>
        <v>електрохимия</v>
      </c>
      <c r="E756" s="1" t="str">
        <f ca="1">IFERROR(__xludf.DUMMYFUNCTION("GOOGLETRANSLATE(English!E756, ""en"", ""bg"")"),"Помогнете ми да уча за теста. Какво е електрохимия?")</f>
        <v>Помогнете ми да уча за теста. Какво е електрохимия?</v>
      </c>
      <c r="F756" s="1" t="str">
        <f ca="1">IFERROR(__xludf.DUMMYFUNCTION("GOOGLETRANSLATE(English!F756,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756" s="1" t="str">
        <f ca="1">IFERROR(__xludf.DUMMYFUNCTION("GOOGLETRANSLATE(English!G756, ""en"", ""bg"")"),"разговор")</f>
        <v>разговор</v>
      </c>
      <c r="H756" s="1" t="str">
        <f ca="1">IFERROR(__xludf.DUMMYFUNCTION("GOOGLETRANSLATE(English!H756, ""en"", ""bg"")"),"образователна_помощ")</f>
        <v>образователна_помощ</v>
      </c>
    </row>
    <row r="757" spans="1:8" ht="13.2" x14ac:dyDescent="0.25">
      <c r="A757" s="1" t="str">
        <f ca="1">IFERROR(__xludf.DUMMYFUNCTION("GOOGLETRANSLATE(English!A757, ""en"", ""bg"")"),"conv_05500")</f>
        <v>conv_05500</v>
      </c>
      <c r="B757" s="1" t="str">
        <f ca="1">IFERROR(__xludf.DUMMYFUNCTION("GOOGLETRANSLATE(English!B757, ""en"", ""bg"")"),"физика")</f>
        <v>физика</v>
      </c>
      <c r="C757" s="1" t="str">
        <f ca="1">IFERROR(__xludf.DUMMYFUNCTION("GOOGLETRANSLATE(English!C757, ""en"", ""bg"")"),"високо")</f>
        <v>високо</v>
      </c>
      <c r="D757" s="1" t="str">
        <f ca="1">IFERROR(__xludf.DUMMYFUNCTION("GOOGLETRANSLATE(English!D757, ""en"", ""bg"")"),"атомна структура")</f>
        <v>атомна структура</v>
      </c>
      <c r="E757" s="1" t="str">
        <f ca="1">IFERROR(__xludf.DUMMYFUNCTION("GOOGLETRANSLATE(English!E757, ""en"", ""bg"")"),"Помогнете ми да уча за теста си. Как работи атомната структура във физиката?")</f>
        <v>Помогнете ми да уча за теста си. Как работи атомната структура във физиката?</v>
      </c>
      <c r="F757" s="1" t="str">
        <f ca="1">IFERROR(__xludf.DUMMYFUNCTION("GOOGLETRANSLATE(English!F757,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757" s="1" t="str">
        <f ca="1">IFERROR(__xludf.DUMMYFUNCTION("GOOGLETRANSLATE(English!G757, ""en"", ""bg"")"),"разговор")</f>
        <v>разговор</v>
      </c>
      <c r="H757" s="1" t="str">
        <f ca="1">IFERROR(__xludf.DUMMYFUNCTION("GOOGLETRANSLATE(English!H757, ""en"", ""bg"")"),"образователна_помощ")</f>
        <v>образователна_помощ</v>
      </c>
    </row>
    <row r="758" spans="1:8" ht="13.2" x14ac:dyDescent="0.25">
      <c r="A758" s="1" t="str">
        <f ca="1">IFERROR(__xludf.DUMMYFUNCTION("GOOGLETRANSLATE(English!A758, ""en"", ""bg"")"),"conv_00739")</f>
        <v>conv_00739</v>
      </c>
      <c r="B758" s="1" t="str">
        <f ca="1">IFERROR(__xludf.DUMMYFUNCTION("GOOGLETRANSLATE(English!B758, ""en"", ""bg"")"),"физика")</f>
        <v>физика</v>
      </c>
      <c r="C758" s="1" t="str">
        <f ca="1">IFERROR(__xludf.DUMMYFUNCTION("GOOGLETRANSLATE(English!C758, ""en"", ""bg"")"),"високо")</f>
        <v>високо</v>
      </c>
      <c r="D758" s="1" t="str">
        <f ca="1">IFERROR(__xludf.DUMMYFUNCTION("GOOGLETRANSLATE(English!D758, ""en"", ""bg"")"),"радиоактивност")</f>
        <v>радиоактивност</v>
      </c>
      <c r="E758" s="1" t="str">
        <f ca="1">IFERROR(__xludf.DUMMYFUNCTION("GOOGLETRANSLATE(English!E758, ""en"", ""bg"")"),"Можете ли да ми помогнете? Можете ли да ми обясните радиоактивността?")</f>
        <v>Можете ли да ми помогнете? Можете ли да ми обясните радиоактивността?</v>
      </c>
      <c r="F758" s="1" t="str">
        <f ca="1">IFERROR(__xludf.DUMMYFUNCTION("GOOGLETRANSLATE(English!F758,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758" s="1" t="str">
        <f ca="1">IFERROR(__xludf.DUMMYFUNCTION("GOOGLETRANSLATE(English!G758, ""en"", ""bg"")"),"разговор")</f>
        <v>разговор</v>
      </c>
      <c r="H758" s="1" t="str">
        <f ca="1">IFERROR(__xludf.DUMMYFUNCTION("GOOGLETRANSLATE(English!H758, ""en"", ""bg"")"),"образователна_помощ")</f>
        <v>образователна_помощ</v>
      </c>
    </row>
    <row r="759" spans="1:8" ht="13.2" x14ac:dyDescent="0.25">
      <c r="A759" s="1" t="str">
        <f ca="1">IFERROR(__xludf.DUMMYFUNCTION("GOOGLETRANSLATE(English!A759, ""en"", ""bg"")"),"hw_04602")</f>
        <v>hw_04602</v>
      </c>
      <c r="B759" s="1" t="str">
        <f ca="1">IFERROR(__xludf.DUMMYFUNCTION("GOOGLETRANSLATE(English!B759, ""en"", ""bg"")"),"физика")</f>
        <v>физика</v>
      </c>
      <c r="C759" s="1" t="str">
        <f ca="1">IFERROR(__xludf.DUMMYFUNCTION("GOOGLETRANSLATE(English!C759, ""en"", ""bg"")"),"елементарен")</f>
        <v>елементарен</v>
      </c>
      <c r="D759" s="1" t="str">
        <f ca="1">IFERROR(__xludf.DUMMYFUNCTION("GOOGLETRANSLATE(English!D759, ""en"", ""bg"")"),"плаващ и потъващ")</f>
        <v>плаващ и потъващ</v>
      </c>
      <c r="E759" s="1" t="str">
        <f ca="1">IFERROR(__xludf.DUMMYFUNCTION("GOOGLETRANSLATE(English!E759, ""en"", ""bg"")"),"Трябва да разбера плаването и потъването за изпита си.")</f>
        <v>Трябва да разбера плаването и потъването за изпита си.</v>
      </c>
      <c r="F759" s="1" t="str">
        <f ca="1">IFERROR(__xludf.DUMMYFUNCTION("GOOGLETRANSLATE(English!F759,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759" s="1" t="str">
        <f ca="1">IFERROR(__xludf.DUMMYFUNCTION("GOOGLETRANSLATE(English!G759, ""en"", ""bg"")"),"помощ_за_домашно_изпълнение")</f>
        <v>помощ_за_домашно_изпълнение</v>
      </c>
      <c r="H759" s="1" t="str">
        <f ca="1">IFERROR(__xludf.DUMMYFUNCTION("GOOGLETRANSLATE(English!H759, ""en"", ""bg"")"),"помощ_за_домашно_задаване")</f>
        <v>помощ_за_домашно_задаване</v>
      </c>
    </row>
    <row r="760" spans="1:8" ht="13.2" x14ac:dyDescent="0.25">
      <c r="A760" s="1" t="str">
        <f ca="1">IFERROR(__xludf.DUMMYFUNCTION("GOOGLETRANSLATE(English!A760, ""en"", ""bg"")"),"conv_12296")</f>
        <v>conv_12296</v>
      </c>
      <c r="B760" s="1" t="str">
        <f ca="1">IFERROR(__xludf.DUMMYFUNCTION("GOOGLETRANSLATE(English!B760, ""en"", ""bg"")"),"физика")</f>
        <v>физика</v>
      </c>
      <c r="C760" s="1" t="str">
        <f ca="1">IFERROR(__xludf.DUMMYFUNCTION("GOOGLETRANSLATE(English!C760, ""en"", ""bg"")"),"високо")</f>
        <v>високо</v>
      </c>
      <c r="D760" s="1" t="str">
        <f ca="1">IFERROR(__xludf.DUMMYFUNCTION("GOOGLETRANSLATE(English!D760, ""en"", ""bg"")"),"радиоактивност")</f>
        <v>радиоактивност</v>
      </c>
      <c r="E760" s="1" t="str">
        <f ca="1">IFERROR(__xludf.DUMMYFUNCTION("GOOGLETRANSLATE(English!E760, ""en"", ""bg"")"),"Помогнете ми да уча за теста си. Защо радиоактивността е важна?")</f>
        <v>Помогнете ми да уча за теста си. Защо радиоактивността е важна?</v>
      </c>
      <c r="F760" s="1" t="str">
        <f ca="1">IFERROR(__xludf.DUMMYFUNCTION("GOOGLETRANSLATE(English!F760,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760" s="1" t="str">
        <f ca="1">IFERROR(__xludf.DUMMYFUNCTION("GOOGLETRANSLATE(English!G760, ""en"", ""bg"")"),"разговор")</f>
        <v>разговор</v>
      </c>
      <c r="H760" s="1" t="str">
        <f ca="1">IFERROR(__xludf.DUMMYFUNCTION("GOOGLETRANSLATE(English!H760, ""en"", ""bg"")"),"образователна_помощ")</f>
        <v>образователна_помощ</v>
      </c>
    </row>
    <row r="761" spans="1:8" ht="13.2" x14ac:dyDescent="0.25">
      <c r="A761" s="1" t="str">
        <f ca="1">IFERROR(__xludf.DUMMYFUNCTION("GOOGLETRANSLATE(English!A761, ""en"", ""bg"")"),"hw_07155")</f>
        <v>hw_07155</v>
      </c>
      <c r="B761" s="1" t="str">
        <f ca="1">IFERROR(__xludf.DUMMYFUNCTION("GOOGLETRANSLATE(English!B761, ""en"", ""bg"")"),"физика")</f>
        <v>физика</v>
      </c>
      <c r="C761" s="1" t="str">
        <f ca="1">IFERROR(__xludf.DUMMYFUNCTION("GOOGLETRANSLATE(English!C761, ""en"", ""bg"")"),"средата")</f>
        <v>средата</v>
      </c>
      <c r="D761" s="1" t="str">
        <f ca="1">IFERROR(__xludf.DUMMYFUNCTION("GOOGLETRANSLATE(English!D761, ""en"", ""bg"")"),"вълни")</f>
        <v>вълни</v>
      </c>
      <c r="E761" s="1" t="str">
        <f ca="1">IFERROR(__xludf.DUMMYFUNCTION("GOOGLETRANSLATE(English!E761, ""en"", ""bg"")"),"Домашното ми по физика е за вълни. Объркващо е!")</f>
        <v>Домашното ми по физика е за вълни. Объркващо е!</v>
      </c>
      <c r="F761" s="1" t="str">
        <f ca="1">IFERROR(__xludf.DUMMYFUNCTION("GOOGLETRANSLATE(English!F761,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761" s="1" t="str">
        <f ca="1">IFERROR(__xludf.DUMMYFUNCTION("GOOGLETRANSLATE(English!G761, ""en"", ""bg"")"),"помощ_за_домашно_изпълнение")</f>
        <v>помощ_за_домашно_изпълнение</v>
      </c>
      <c r="H761" s="1" t="str">
        <f ca="1">IFERROR(__xludf.DUMMYFUNCTION("GOOGLETRANSLATE(English!H761, ""en"", ""bg"")"),"помощ_за_домашно_задаване")</f>
        <v>помощ_за_домашно_задаване</v>
      </c>
    </row>
    <row r="762" spans="1:8" ht="13.2" x14ac:dyDescent="0.25">
      <c r="A762" s="1" t="str">
        <f ca="1">IFERROR(__xludf.DUMMYFUNCTION("GOOGLETRANSLATE(English!A762, ""en"", ""bg"")"),"qa_00268")</f>
        <v>qa_00268</v>
      </c>
      <c r="B762" s="1" t="str">
        <f ca="1">IFERROR(__xludf.DUMMYFUNCTION("GOOGLETRANSLATE(English!B762, ""en"", ""bg"")"),"биология")</f>
        <v>биология</v>
      </c>
      <c r="C762" s="1" t="str">
        <f ca="1">IFERROR(__xludf.DUMMYFUNCTION("GOOGLETRANSLATE(English!C762, ""en"", ""bg"")"),"средата")</f>
        <v>средата</v>
      </c>
      <c r="D762" s="1" t="str">
        <f ca="1">IFERROR(__xludf.DUMMYFUNCTION("GOOGLETRANSLATE(English!D762, ""en"", ""bg"")"),"фотосинтеза")</f>
        <v>фотосинтеза</v>
      </c>
      <c r="E762" s="1" t="str">
        <f ca="1">IFERROR(__xludf.DUMMYFUNCTION("GOOGLETRANSLATE(English!E762, ""en"", ""bg"")"),"Можете ли да ми разкажете за фотосинтезата?")</f>
        <v>Можете ли да ми разкажете за фотосинтезата?</v>
      </c>
      <c r="F762" s="1" t="str">
        <f ca="1">IFERROR(__xludf.DUMMYFUNCTION("GOOGLETRANSLATE(English!F762,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762" s="1" t="str">
        <f ca="1">IFERROR(__xludf.DUMMYFUNCTION("GOOGLETRANSLATE(English!G762, ""en"", ""bg"")"),"direct_qa")</f>
        <v>direct_qa</v>
      </c>
      <c r="H762" s="1" t="str">
        <f ca="1">IFERROR(__xludf.DUMMYFUNCTION("GOOGLETRANSLATE(English!H762, ""en"", ""bg"")"),"заявка_за_знание")</f>
        <v>заявка_за_знание</v>
      </c>
    </row>
    <row r="763" spans="1:8" ht="13.2" x14ac:dyDescent="0.25">
      <c r="A763" s="1" t="str">
        <f ca="1">IFERROR(__xludf.DUMMYFUNCTION("GOOGLETRANSLATE(English!A763, ""en"", ""bg"")"),"conv_01091")</f>
        <v>conv_01091</v>
      </c>
      <c r="B763" s="1" t="str">
        <f ca="1">IFERROR(__xludf.DUMMYFUNCTION("GOOGLETRANSLATE(English!B763, ""en"", ""bg"")"),"химия")</f>
        <v>химия</v>
      </c>
      <c r="C763" s="1" t="str">
        <f ca="1">IFERROR(__xludf.DUMMYFUNCTION("GOOGLETRANSLATE(English!C763, ""en"", ""bg"")"),"средата")</f>
        <v>средата</v>
      </c>
      <c r="D763" s="1" t="str">
        <f ca="1">IFERROR(__xludf.DUMMYFUNCTION("GOOGLETRANSLATE(English!D763, ""en"", ""bg"")"),"съединения срещу елементи")</f>
        <v>съединения срещу елементи</v>
      </c>
      <c r="E763" s="1" t="str">
        <f ca="1">IFERROR(__xludf.DUMMYFUNCTION("GOOGLETRANSLATE(English!E763, ""en"", ""bg"")"),"Имам нужда от помощ с домашното. Защо е важно да се учи разликата между съединения и елементи?")</f>
        <v>Имам нужда от помощ с домашното. Защо е важно да се учи разликата между съединения и елементи?</v>
      </c>
      <c r="F763" s="1" t="str">
        <f ca="1">IFERROR(__xludf.DUMMYFUNCTION("GOOGLETRANSLATE(English!F763,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763" s="1" t="str">
        <f ca="1">IFERROR(__xludf.DUMMYFUNCTION("GOOGLETRANSLATE(English!G763, ""en"", ""bg"")"),"разговор")</f>
        <v>разговор</v>
      </c>
      <c r="H763" s="1" t="str">
        <f ca="1">IFERROR(__xludf.DUMMYFUNCTION("GOOGLETRANSLATE(English!H763, ""en"", ""bg"")"),"образователна_помощ")</f>
        <v>образователна_помощ</v>
      </c>
    </row>
    <row r="764" spans="1:8" ht="13.2" x14ac:dyDescent="0.25">
      <c r="A764" s="1" t="str">
        <f ca="1">IFERROR(__xludf.DUMMYFUNCTION("GOOGLETRANSLATE(English!A764, ""en"", ""bg"")"),"conv_18798")</f>
        <v>conv_18798</v>
      </c>
      <c r="B764" s="1" t="str">
        <f ca="1">IFERROR(__xludf.DUMMYFUNCTION("GOOGLETRANSLATE(English!B764, ""en"", ""bg"")"),"физика")</f>
        <v>физика</v>
      </c>
      <c r="C764" s="1" t="str">
        <f ca="1">IFERROR(__xludf.DUMMYFUNCTION("GOOGLETRANSLATE(English!C764, ""en"", ""bg"")"),"елементарен")</f>
        <v>елементарен</v>
      </c>
      <c r="D764" s="1" t="str">
        <f ca="1">IFERROR(__xludf.DUMMYFUNCTION("GOOGLETRANSLATE(English!D764, ""en"", ""bg"")"),"горещо и студено")</f>
        <v>горещо и студено</v>
      </c>
      <c r="E764" s="1" t="str">
        <f ca="1">IFERROR(__xludf.DUMMYFUNCTION("GOOGLETRANSLATE(English!E764, ""en"", ""bg"")"),"Имам нужда от помощ с домашното. Защо топлото и студеното са важни?")</f>
        <v>Имам нужда от помощ с домашното. Защо топлото и студеното са важни?</v>
      </c>
      <c r="F764" s="1" t="str">
        <f ca="1">IFERROR(__xludf.DUMMYFUNCTION("GOOGLETRANSLATE(English!F764,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764" s="1" t="str">
        <f ca="1">IFERROR(__xludf.DUMMYFUNCTION("GOOGLETRANSLATE(English!G764, ""en"", ""bg"")"),"разговор")</f>
        <v>разговор</v>
      </c>
      <c r="H764" s="1" t="str">
        <f ca="1">IFERROR(__xludf.DUMMYFUNCTION("GOOGLETRANSLATE(English!H764, ""en"", ""bg"")"),"образователна_помощ")</f>
        <v>образователна_помощ</v>
      </c>
    </row>
    <row r="765" spans="1:8" ht="13.2" x14ac:dyDescent="0.25">
      <c r="A765" s="1" t="str">
        <f ca="1">IFERROR(__xludf.DUMMYFUNCTION("GOOGLETRANSLATE(English!A765, ""en"", ""bg"")"),"hw_10871")</f>
        <v>hw_10871</v>
      </c>
      <c r="B765" s="1" t="str">
        <f ca="1">IFERROR(__xludf.DUMMYFUNCTION("GOOGLETRANSLATE(English!B765, ""en"", ""bg"")"),"биология")</f>
        <v>биология</v>
      </c>
      <c r="C765" s="1" t="str">
        <f ca="1">IFERROR(__xludf.DUMMYFUNCTION("GOOGLETRANSLATE(English!C765, ""en"", ""bg"")"),"високо")</f>
        <v>високо</v>
      </c>
      <c r="D765" s="1" t="str">
        <f ca="1">IFERROR(__xludf.DUMMYFUNCTION("GOOGLETRANSLATE(English!D765, ""en"", ""bg"")"),"клетъчно дишане")</f>
        <v>клетъчно дишане</v>
      </c>
      <c r="E765" s="1" t="str">
        <f ca="1">IFERROR(__xludf.DUMMYFUNCTION("GOOGLETRANSLATE(English!E765,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765" s="1" t="str">
        <f ca="1">IFERROR(__xludf.DUMMYFUNCTION("GOOGLETRANSLATE(English!F765,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765" s="1" t="str">
        <f ca="1">IFERROR(__xludf.DUMMYFUNCTION("GOOGLETRANSLATE(English!G765, ""en"", ""bg"")"),"помощ_за_домашно_изпълнение")</f>
        <v>помощ_за_домашно_изпълнение</v>
      </c>
      <c r="H765" s="1" t="str">
        <f ca="1">IFERROR(__xludf.DUMMYFUNCTION("GOOGLETRANSLATE(English!H765, ""en"", ""bg"")"),"помощ_за_домашно_задаване")</f>
        <v>помощ_за_домашно_задаване</v>
      </c>
    </row>
    <row r="766" spans="1:8" ht="13.2" x14ac:dyDescent="0.25">
      <c r="A766" s="1" t="str">
        <f ca="1">IFERROR(__xludf.DUMMYFUNCTION("GOOGLETRANSLATE(English!A766, ""en"", ""bg"")"),"conv_18583")</f>
        <v>conv_18583</v>
      </c>
      <c r="B766" s="1" t="str">
        <f ca="1">IFERROR(__xludf.DUMMYFUNCTION("GOOGLETRANSLATE(English!B766, ""en"", ""bg"")"),"химия")</f>
        <v>химия</v>
      </c>
      <c r="C766" s="1" t="str">
        <f ca="1">IFERROR(__xludf.DUMMYFUNCTION("GOOGLETRANSLATE(English!C766, ""en"", ""bg"")"),"средата")</f>
        <v>средата</v>
      </c>
      <c r="D766" s="1" t="str">
        <f ca="1">IFERROR(__xludf.DUMMYFUNCTION("GOOGLETRANSLATE(English!D766, ""en"", ""bg"")"),"атоми и молекули")</f>
        <v>атоми и молекули</v>
      </c>
      <c r="E766" s="1" t="str">
        <f ca="1">IFERROR(__xludf.DUMMYFUNCTION("GOOGLETRANSLATE(English!E766, ""en"", ""bg"")"),"Здравей, преподавателю! От какви части се състои атомът?")</f>
        <v>Здравей, преподавателю! От какви части се състои атомът?</v>
      </c>
      <c r="F766" s="1" t="str">
        <f ca="1">IFERROR(__xludf.DUMMYFUNCTION("GOOGLETRANSLATE(English!F766,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766" s="1" t="str">
        <f ca="1">IFERROR(__xludf.DUMMYFUNCTION("GOOGLETRANSLATE(English!G766, ""en"", ""bg"")"),"разговор")</f>
        <v>разговор</v>
      </c>
      <c r="H766" s="1" t="str">
        <f ca="1">IFERROR(__xludf.DUMMYFUNCTION("GOOGLETRANSLATE(English!H766, ""en"", ""bg"")"),"образователна_помощ")</f>
        <v>образователна_помощ</v>
      </c>
    </row>
    <row r="767" spans="1:8" ht="13.2" x14ac:dyDescent="0.25">
      <c r="A767" s="1" t="str">
        <f ca="1">IFERROR(__xludf.DUMMYFUNCTION("GOOGLETRANSLATE(English!A767, ""en"", ""bg"")"),"qa_10413")</f>
        <v>qa_10413</v>
      </c>
      <c r="B767" s="1" t="str">
        <f ca="1">IFERROR(__xludf.DUMMYFUNCTION("GOOGLETRANSLATE(English!B767, ""en"", ""bg"")"),"физика")</f>
        <v>физика</v>
      </c>
      <c r="C767" s="1" t="str">
        <f ca="1">IFERROR(__xludf.DUMMYFUNCTION("GOOGLETRANSLATE(English!C767, ""en"", ""bg"")"),"средата")</f>
        <v>средата</v>
      </c>
      <c r="D767" s="1" t="str">
        <f ca="1">IFERROR(__xludf.DUMMYFUNCTION("GOOGLETRANSLATE(English!D767, ""en"", ""bg"")"),"плътност")</f>
        <v>плътност</v>
      </c>
      <c r="E767" s="1" t="str">
        <f ca="1">IFERROR(__xludf.DUMMYFUNCTION("GOOGLETRANSLATE(English!E767, ""en"", ""bg"")"),"Защо плътността е важна?")</f>
        <v>Защо плътността е важна?</v>
      </c>
      <c r="F767" s="1" t="str">
        <f ca="1">IFERROR(__xludf.DUMMYFUNCTION("GOOGLETRANSLATE(English!F767,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767" s="1" t="str">
        <f ca="1">IFERROR(__xludf.DUMMYFUNCTION("GOOGLETRANSLATE(English!G767, ""en"", ""bg"")"),"direct_qa")</f>
        <v>direct_qa</v>
      </c>
      <c r="H767" s="1" t="str">
        <f ca="1">IFERROR(__xludf.DUMMYFUNCTION("GOOGLETRANSLATE(English!H767, ""en"", ""bg"")"),"заявка_за_знание")</f>
        <v>заявка_за_знание</v>
      </c>
    </row>
    <row r="768" spans="1:8" ht="13.2" x14ac:dyDescent="0.25">
      <c r="A768" s="1" t="str">
        <f ca="1">IFERROR(__xludf.DUMMYFUNCTION("GOOGLETRANSLATE(English!A768, ""en"", ""bg"")"),"conv_05531")</f>
        <v>conv_05531</v>
      </c>
      <c r="B768" s="1" t="str">
        <f ca="1">IFERROR(__xludf.DUMMYFUNCTION("GOOGLETRANSLATE(English!B768, ""en"", ""bg"")"),"химия")</f>
        <v>химия</v>
      </c>
      <c r="C768" s="1" t="str">
        <f ca="1">IFERROR(__xludf.DUMMYFUNCTION("GOOGLETRANSLATE(English!C768, ""en"", ""bg"")"),"средата")</f>
        <v>средата</v>
      </c>
      <c r="D768" s="1" t="str">
        <f ca="1">IFERROR(__xludf.DUMMYFUNCTION("GOOGLETRANSLATE(English!D768, ""en"", ""bg"")"),"атоми и молекули")</f>
        <v>атоми и молекули</v>
      </c>
      <c r="E768" s="1" t="str">
        <f ca="1">IFERROR(__xludf.DUMMYFUNCTION("GOOGLETRANSLATE(English!E768, ""en"", ""bg"")"),"Имам нужда от помощ с домашното си. Коя е най-малката част от един елемент?")</f>
        <v>Имам нужда от помощ с домашното си. Коя е най-малката част от един елемент?</v>
      </c>
      <c r="F768" s="1" t="str">
        <f ca="1">IFERROR(__xludf.DUMMYFUNCTION("GOOGLETRANSLATE(English!F768,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768" s="1" t="str">
        <f ca="1">IFERROR(__xludf.DUMMYFUNCTION("GOOGLETRANSLATE(English!G768, ""en"", ""bg"")"),"разговор")</f>
        <v>разговор</v>
      </c>
      <c r="H768" s="1" t="str">
        <f ca="1">IFERROR(__xludf.DUMMYFUNCTION("GOOGLETRANSLATE(English!H768, ""en"", ""bg"")"),"образователна_помощ")</f>
        <v>образователна_помощ</v>
      </c>
    </row>
    <row r="769" spans="1:8" ht="13.2" x14ac:dyDescent="0.25">
      <c r="A769" s="1" t="str">
        <f ca="1">IFERROR(__xludf.DUMMYFUNCTION("GOOGLETRANSLATE(English!A769, ""en"", ""bg"")"),"conv_09046")</f>
        <v>conv_09046</v>
      </c>
      <c r="B769" s="1" t="str">
        <f ca="1">IFERROR(__xludf.DUMMYFUNCTION("GOOGLETRANSLATE(English!B769, ""en"", ""bg"")"),"химия")</f>
        <v>химия</v>
      </c>
      <c r="C769" s="1" t="str">
        <f ca="1">IFERROR(__xludf.DUMMYFUNCTION("GOOGLETRANSLATE(English!C769, ""en"", ""bg"")"),"високо")</f>
        <v>високо</v>
      </c>
      <c r="D769" s="1" t="str">
        <f ca="1">IFERROR(__xludf.DUMMYFUNCTION("GOOGLETRANSLATE(English!D769, ""en"", ""bg"")"),"органична химия")</f>
        <v>органична химия</v>
      </c>
      <c r="E769" s="1" t="str">
        <f ca="1">IFERROR(__xludf.DUMMYFUNCTION("GOOGLETRANSLATE(English!E769, ""en"", ""bg"")"),"Имам нужда от помощ с домашното. Какво представлява органичната химия?")</f>
        <v>Имам нужда от помощ с домашното. Какво представлява органичната химия?</v>
      </c>
      <c r="F769" s="1" t="str">
        <f ca="1">IFERROR(__xludf.DUMMYFUNCTION("GOOGLETRANSLATE(English!F769,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769" s="1" t="str">
        <f ca="1">IFERROR(__xludf.DUMMYFUNCTION("GOOGLETRANSLATE(English!G769, ""en"", ""bg"")"),"разговор")</f>
        <v>разговор</v>
      </c>
      <c r="H769" s="1" t="str">
        <f ca="1">IFERROR(__xludf.DUMMYFUNCTION("GOOGLETRANSLATE(English!H769, ""en"", ""bg"")"),"образователна_помощ")</f>
        <v>образователна_помощ</v>
      </c>
    </row>
    <row r="770" spans="1:8" ht="13.2" x14ac:dyDescent="0.25">
      <c r="A770" s="1" t="str">
        <f ca="1">IFERROR(__xludf.DUMMYFUNCTION("GOOGLETRANSLATE(English!A770, ""en"", ""bg"")"),"conv_00526")</f>
        <v>conv_00526</v>
      </c>
      <c r="B770" s="1" t="str">
        <f ca="1">IFERROR(__xludf.DUMMYFUNCTION("GOOGLETRANSLATE(English!B770, ""en"", ""bg"")"),"физика")</f>
        <v>физика</v>
      </c>
      <c r="C770" s="1" t="str">
        <f ca="1">IFERROR(__xludf.DUMMYFUNCTION("GOOGLETRANSLATE(English!C770, ""en"", ""bg"")"),"средата")</f>
        <v>средата</v>
      </c>
      <c r="D770" s="1" t="str">
        <f ca="1">IFERROR(__xludf.DUMMYFUNCTION("GOOGLETRANSLATE(English!D770, ""en"", ""bg"")"),"прости схеми")</f>
        <v>прости схеми</v>
      </c>
      <c r="E770" s="1" t="str">
        <f ca="1">IFERROR(__xludf.DUMMYFUNCTION("GOOGLETRANSLATE(English!E770, ""en"", ""bg"")"),"Не разбирам тази тема. Как работят прости електрически вериги във физиката?")</f>
        <v>Не разбирам тази тема. Как работят прости електрически вериги във физиката?</v>
      </c>
      <c r="F770" s="1" t="str">
        <f ca="1">IFERROR(__xludf.DUMMYFUNCTION("GOOGLETRANSLATE(English!F770,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770" s="1" t="str">
        <f ca="1">IFERROR(__xludf.DUMMYFUNCTION("GOOGLETRANSLATE(English!G770, ""en"", ""bg"")"),"разговор")</f>
        <v>разговор</v>
      </c>
      <c r="H770" s="1" t="str">
        <f ca="1">IFERROR(__xludf.DUMMYFUNCTION("GOOGLETRANSLATE(English!H770, ""en"", ""bg"")"),"образователна_помощ")</f>
        <v>образователна_помощ</v>
      </c>
    </row>
    <row r="771" spans="1:8" ht="13.2" x14ac:dyDescent="0.25">
      <c r="A771" s="1" t="str">
        <f ca="1">IFERROR(__xludf.DUMMYFUNCTION("GOOGLETRANSLATE(English!A771, ""en"", ""bg"")"),"conv_09335")</f>
        <v>conv_09335</v>
      </c>
      <c r="B771" s="1" t="str">
        <f ca="1">IFERROR(__xludf.DUMMYFUNCTION("GOOGLETRANSLATE(English!B771, ""en"", ""bg"")"),"химия")</f>
        <v>химия</v>
      </c>
      <c r="C771" s="1" t="str">
        <f ca="1">IFERROR(__xludf.DUMMYFUNCTION("GOOGLETRANSLATE(English!C771, ""en"", ""bg"")"),"средата")</f>
        <v>средата</v>
      </c>
      <c r="D771" s="1" t="str">
        <f ca="1">IFERROR(__xludf.DUMMYFUNCTION("GOOGLETRANSLATE(English!D771, ""en"", ""bg"")"),"киселини и основи")</f>
        <v>киселини и основи</v>
      </c>
      <c r="E771" s="1" t="str">
        <f ca="1">IFERROR(__xludf.DUMMYFUNCTION("GOOGLETRANSLATE(English!E771, ""en"", ""bg"")"),"Можете ли да ми обясните това? Как действат киселините и основите в химията?")</f>
        <v>Можете ли да ми обясните това? Как действат киселините и основите в химията?</v>
      </c>
      <c r="F771" s="1" t="str">
        <f ca="1">IFERROR(__xludf.DUMMYFUNCTION("GOOGLETRANSLATE(English!F771,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771" s="1" t="str">
        <f ca="1">IFERROR(__xludf.DUMMYFUNCTION("GOOGLETRANSLATE(English!G771, ""en"", ""bg"")"),"разговор")</f>
        <v>разговор</v>
      </c>
      <c r="H771" s="1" t="str">
        <f ca="1">IFERROR(__xludf.DUMMYFUNCTION("GOOGLETRANSLATE(English!H771, ""en"", ""bg"")"),"образователна_помощ")</f>
        <v>образователна_помощ</v>
      </c>
    </row>
    <row r="772" spans="1:8" ht="13.2" x14ac:dyDescent="0.25">
      <c r="A772" s="1" t="str">
        <f ca="1">IFERROR(__xludf.DUMMYFUNCTION("GOOGLETRANSLATE(English!A772, ""en"", ""bg"")"),"qa_13245")</f>
        <v>qa_13245</v>
      </c>
      <c r="B772" s="1" t="str">
        <f ca="1">IFERROR(__xludf.DUMMYFUNCTION("GOOGLETRANSLATE(English!B772, ""en"", ""bg"")"),"химия")</f>
        <v>химия</v>
      </c>
      <c r="C772" s="1" t="str">
        <f ca="1">IFERROR(__xludf.DUMMYFUNCTION("GOOGLETRANSLATE(English!C772, ""en"", ""bg"")"),"елементарен")</f>
        <v>елементарен</v>
      </c>
      <c r="D772" s="1" t="str">
        <f ca="1">IFERROR(__xludf.DUMMYFUNCTION("GOOGLETRANSLATE(English!D772, ""en"", ""bg"")"),"разтваряне")</f>
        <v>разтваряне</v>
      </c>
      <c r="E772" s="1" t="str">
        <f ca="1">IFERROR(__xludf.DUMMYFUNCTION("GOOGLETRANSLATE(English!E772, ""en"", ""bg"")"),"Какво е разтварянето?")</f>
        <v>Какво е разтварянето?</v>
      </c>
      <c r="F772" s="1" t="str">
        <f ca="1">IFERROR(__xludf.DUMMYFUNCTION("GOOGLETRANSLATE(English!F772,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772" s="1" t="str">
        <f ca="1">IFERROR(__xludf.DUMMYFUNCTION("GOOGLETRANSLATE(English!G772, ""en"", ""bg"")"),"direct_qa")</f>
        <v>direct_qa</v>
      </c>
      <c r="H772" s="1" t="str">
        <f ca="1">IFERROR(__xludf.DUMMYFUNCTION("GOOGLETRANSLATE(English!H772, ""en"", ""bg"")"),"заявка_за_знание")</f>
        <v>заявка_за_знание</v>
      </c>
    </row>
    <row r="773" spans="1:8" ht="13.2" x14ac:dyDescent="0.25">
      <c r="A773" s="1" t="str">
        <f ca="1">IFERROR(__xludf.DUMMYFUNCTION("GOOGLETRANSLATE(English!A773, ""en"", ""bg"")"),"conv_18870")</f>
        <v>conv_18870</v>
      </c>
      <c r="B773" s="1" t="str">
        <f ca="1">IFERROR(__xludf.DUMMYFUNCTION("GOOGLETRANSLATE(English!B773, ""en"", ""bg"")"),"биология")</f>
        <v>биология</v>
      </c>
      <c r="C773" s="1" t="str">
        <f ca="1">IFERROR(__xludf.DUMMYFUNCTION("GOOGLETRANSLATE(English!C773, ""en"", ""bg"")"),"елементарен")</f>
        <v>елементарен</v>
      </c>
      <c r="D773" s="1" t="str">
        <f ca="1">IFERROR(__xludf.DUMMYFUNCTION("GOOGLETRANSLATE(English!D773, ""en"", ""bg"")"),"хранителни вериги")</f>
        <v>хранителни вериги</v>
      </c>
      <c r="E773" s="1" t="str">
        <f ca="1">IFERROR(__xludf.DUMMYFUNCTION("GOOGLETRANSLATE(English!E773, ""en"", ""bg"")"),"Не разбирам тази тема. Как работят хранителните вериги?")</f>
        <v>Не разбирам тази тема. Как работят хранителните вериги?</v>
      </c>
      <c r="F773" s="1" t="str">
        <f ca="1">IFERROR(__xludf.DUMMYFUNCTION("GOOGLETRANSLATE(English!F773,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773" s="1" t="str">
        <f ca="1">IFERROR(__xludf.DUMMYFUNCTION("GOOGLETRANSLATE(English!G773, ""en"", ""bg"")"),"разговор")</f>
        <v>разговор</v>
      </c>
      <c r="H773" s="1" t="str">
        <f ca="1">IFERROR(__xludf.DUMMYFUNCTION("GOOGLETRANSLATE(English!H773, ""en"", ""bg"")"),"образователна_помощ")</f>
        <v>образователна_помощ</v>
      </c>
    </row>
    <row r="774" spans="1:8" ht="13.2" x14ac:dyDescent="0.25">
      <c r="A774" s="1" t="str">
        <f ca="1">IFERROR(__xludf.DUMMYFUNCTION("GOOGLETRANSLATE(English!A774, ""en"", ""bg"")"),"qa_10840")</f>
        <v>qa_10840</v>
      </c>
      <c r="B774" s="1" t="str">
        <f ca="1">IFERROR(__xludf.DUMMYFUNCTION("GOOGLETRANSLATE(English!B774, ""en"", ""bg"")"),"химия")</f>
        <v>химия</v>
      </c>
      <c r="C774" s="1" t="str">
        <f ca="1">IFERROR(__xludf.DUMMYFUNCTION("GOOGLETRANSLATE(English!C774, ""en"", ""bg"")"),"високо")</f>
        <v>високо</v>
      </c>
      <c r="D774" s="1" t="str">
        <f ca="1">IFERROR(__xludf.DUMMYFUNCTION("GOOGLETRANSLATE(English!D774, ""en"", ""bg"")"),"стехиометрия")</f>
        <v>стехиометрия</v>
      </c>
      <c r="E774" s="1" t="str">
        <f ca="1">IFERROR(__xludf.DUMMYFUNCTION("GOOGLETRANSLATE(English!E774, ""en"", ""bg"")"),"Какво е стехиометрията?")</f>
        <v>Какво е стехиометрията?</v>
      </c>
      <c r="F774" s="1" t="str">
        <f ca="1">IFERROR(__xludf.DUMMYFUNCTION("GOOGLETRANSLATE(English!F774,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774" s="1" t="str">
        <f ca="1">IFERROR(__xludf.DUMMYFUNCTION("GOOGLETRANSLATE(English!G774, ""en"", ""bg"")"),"direct_qa")</f>
        <v>direct_qa</v>
      </c>
      <c r="H774" s="1" t="str">
        <f ca="1">IFERROR(__xludf.DUMMYFUNCTION("GOOGLETRANSLATE(English!H774, ""en"", ""bg"")"),"заявка_за_знание")</f>
        <v>заявка_за_знание</v>
      </c>
    </row>
    <row r="775" spans="1:8" ht="13.2" x14ac:dyDescent="0.25">
      <c r="A775" s="1" t="str">
        <f ca="1">IFERROR(__xludf.DUMMYFUNCTION("GOOGLETRANSLATE(English!A775, ""en"", ""bg"")"),"conv_19202")</f>
        <v>conv_19202</v>
      </c>
      <c r="B775" s="1" t="str">
        <f ca="1">IFERROR(__xludf.DUMMYFUNCTION("GOOGLETRANSLATE(English!B775, ""en"", ""bg"")"),"физика")</f>
        <v>физика</v>
      </c>
      <c r="C775" s="1" t="str">
        <f ca="1">IFERROR(__xludf.DUMMYFUNCTION("GOOGLETRANSLATE(English!C775, ""en"", ""bg"")"),"елементарен")</f>
        <v>елементарен</v>
      </c>
      <c r="D775" s="1" t="str">
        <f ca="1">IFERROR(__xludf.DUMMYFUNCTION("GOOGLETRANSLATE(English!D775, ""en"", ""bg"")"),"светлина и сянка")</f>
        <v>светлина и сянка</v>
      </c>
      <c r="E775" s="1" t="str">
        <f ca="1">IFERROR(__xludf.DUMMYFUNCTION("GOOGLETRANSLATE(English!E775, ""en"", ""bg"")"),"Можете ли да ми обясните това? Как се правят сенките?")</f>
        <v>Можете ли да ми обясните това? Как се правят сенките?</v>
      </c>
      <c r="F775" s="1" t="str">
        <f ca="1">IFERROR(__xludf.DUMMYFUNCTION("GOOGLETRANSLATE(English!F775,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775" s="1" t="str">
        <f ca="1">IFERROR(__xludf.DUMMYFUNCTION("GOOGLETRANSLATE(English!G775, ""en"", ""bg"")"),"разговор")</f>
        <v>разговор</v>
      </c>
      <c r="H775" s="1" t="str">
        <f ca="1">IFERROR(__xludf.DUMMYFUNCTION("GOOGLETRANSLATE(English!H775, ""en"", ""bg"")"),"образователна_помощ")</f>
        <v>образователна_помощ</v>
      </c>
    </row>
    <row r="776" spans="1:8" ht="13.2" x14ac:dyDescent="0.25">
      <c r="A776" s="1" t="str">
        <f ca="1">IFERROR(__xludf.DUMMYFUNCTION("GOOGLETRANSLATE(English!A776, ""en"", ""bg"")"),"hw_12854")</f>
        <v>hw_12854</v>
      </c>
      <c r="B776" s="1" t="str">
        <f ca="1">IFERROR(__xludf.DUMMYFUNCTION("GOOGLETRANSLATE(English!B776, ""en"", ""bg"")"),"химия")</f>
        <v>химия</v>
      </c>
      <c r="C776" s="1" t="str">
        <f ca="1">IFERROR(__xludf.DUMMYFUNCTION("GOOGLETRANSLATE(English!C776, ""en"", ""bg"")"),"високо")</f>
        <v>високо</v>
      </c>
      <c r="D776" s="1" t="str">
        <f ca="1">IFERROR(__xludf.DUMMYFUNCTION("GOOGLETRANSLATE(English!D776, ""en"", ""bg"")"),"скорости на реакция")</f>
        <v>скорости на реакция</v>
      </c>
      <c r="E776" s="1" t="str">
        <f ca="1">IFERROR(__xludf.DUMMYFUNCTION("GOOGLETRANSLATE(English!E776,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776" s="1" t="str">
        <f ca="1">IFERROR(__xludf.DUMMYFUNCTION("GOOGLETRANSLATE(English!F776,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776" s="1" t="str">
        <f ca="1">IFERROR(__xludf.DUMMYFUNCTION("GOOGLETRANSLATE(English!G776, ""en"", ""bg"")"),"помощ_за_домашно_изпълнение")</f>
        <v>помощ_за_домашно_изпълнение</v>
      </c>
      <c r="H776" s="1" t="str">
        <f ca="1">IFERROR(__xludf.DUMMYFUNCTION("GOOGLETRANSLATE(English!H776, ""en"", ""bg"")"),"помощ_за_домашно_задаване")</f>
        <v>помощ_за_домашно_задаване</v>
      </c>
    </row>
    <row r="777" spans="1:8" ht="13.2" x14ac:dyDescent="0.25">
      <c r="A777" s="1" t="str">
        <f ca="1">IFERROR(__xludf.DUMMYFUNCTION("GOOGLETRANSLATE(English!A777, ""en"", ""bg"")"),"hw_05750")</f>
        <v>hw_05750</v>
      </c>
      <c r="B777" s="1" t="str">
        <f ca="1">IFERROR(__xludf.DUMMYFUNCTION("GOOGLETRANSLATE(English!B777, ""en"", ""bg"")"),"физика")</f>
        <v>физика</v>
      </c>
      <c r="C777" s="1" t="str">
        <f ca="1">IFERROR(__xludf.DUMMYFUNCTION("GOOGLETRANSLATE(English!C777, ""en"", ""bg"")"),"високо")</f>
        <v>високо</v>
      </c>
      <c r="D777" s="1" t="str">
        <f ca="1">IFERROR(__xludf.DUMMYFUNCTION("GOOGLETRANSLATE(English!D777, ""en"", ""bg"")"),"термодинамика")</f>
        <v>термодинамика</v>
      </c>
      <c r="E777" s="1" t="str">
        <f ca="1">IFERROR(__xludf.DUMMYFUNCTION("GOOGLETRANSLATE(English!E777, ""en"", ""bg"")"),"Домашното ми по физика е за термодинамика. Объркващо е!")</f>
        <v>Домашното ми по физика е за термодинамика. Объркващо е!</v>
      </c>
      <c r="F777" s="1" t="str">
        <f ca="1">IFERROR(__xludf.DUMMYFUNCTION("GOOGLETRANSLATE(English!F777,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777" s="1" t="str">
        <f ca="1">IFERROR(__xludf.DUMMYFUNCTION("GOOGLETRANSLATE(English!G777, ""en"", ""bg"")"),"помощ_за_домашно_изпълнение")</f>
        <v>помощ_за_домашно_изпълнение</v>
      </c>
      <c r="H777" s="1" t="str">
        <f ca="1">IFERROR(__xludf.DUMMYFUNCTION("GOOGLETRANSLATE(English!H777, ""en"", ""bg"")"),"помощ_за_домашно_задаване")</f>
        <v>помощ_за_домашно_задаване</v>
      </c>
    </row>
    <row r="778" spans="1:8" ht="13.2" x14ac:dyDescent="0.25">
      <c r="A778" s="1" t="str">
        <f ca="1">IFERROR(__xludf.DUMMYFUNCTION("GOOGLETRANSLATE(English!A778, ""en"", ""bg"")"),"hw_14426")</f>
        <v>hw_14426</v>
      </c>
      <c r="B778" s="1" t="str">
        <f ca="1">IFERROR(__xludf.DUMMYFUNCTION("GOOGLETRANSLATE(English!B778, ""en"", ""bg"")"),"физика")</f>
        <v>физика</v>
      </c>
      <c r="C778" s="1" t="str">
        <f ca="1">IFERROR(__xludf.DUMMYFUNCTION("GOOGLETRANSLATE(English!C778, ""en"", ""bg"")"),"високо")</f>
        <v>високо</v>
      </c>
      <c r="D778" s="1" t="str">
        <f ca="1">IFERROR(__xludf.DUMMYFUNCTION("GOOGLETRANSLATE(English!D778, ""en"", ""bg"")"),"термодинамика")</f>
        <v>термодинамика</v>
      </c>
      <c r="E778" s="1" t="str">
        <f ca="1">IFERROR(__xludf.DUMMYFUNCTION("GOOGLETRANSLATE(English!E778, ""en"", ""bg"")"),"Заседнал съм с този термодинамичен проблем. Можете ли да помогнете?")</f>
        <v>Заседнал съм с този термодинамичен проблем. Можете ли да помогнете?</v>
      </c>
      <c r="F778" s="1" t="str">
        <f ca="1">IFERROR(__xludf.DUMMYFUNCTION("GOOGLETRANSLATE(English!F778,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778" s="1" t="str">
        <f ca="1">IFERROR(__xludf.DUMMYFUNCTION("GOOGLETRANSLATE(English!G778, ""en"", ""bg"")"),"помощ_за_домашно_изпълнение")</f>
        <v>помощ_за_домашно_изпълнение</v>
      </c>
      <c r="H778" s="1" t="str">
        <f ca="1">IFERROR(__xludf.DUMMYFUNCTION("GOOGLETRANSLATE(English!H778, ""en"", ""bg"")"),"помощ_за_домашно_задаване")</f>
        <v>помощ_за_домашно_задаване</v>
      </c>
    </row>
    <row r="779" spans="1:8" ht="13.2" x14ac:dyDescent="0.25">
      <c r="A779" s="1" t="str">
        <f ca="1">IFERROR(__xludf.DUMMYFUNCTION("GOOGLETRANSLATE(English!A779, ""en"", ""bg"")"),"qa_08441")</f>
        <v>qa_08441</v>
      </c>
      <c r="B779" s="1" t="str">
        <f ca="1">IFERROR(__xludf.DUMMYFUNCTION("GOOGLETRANSLATE(English!B779, ""en"", ""bg"")"),"биология")</f>
        <v>биология</v>
      </c>
      <c r="C779" s="1" t="str">
        <f ca="1">IFERROR(__xludf.DUMMYFUNCTION("GOOGLETRANSLATE(English!C779, ""en"", ""bg"")"),"високо")</f>
        <v>високо</v>
      </c>
      <c r="D779" s="1" t="str">
        <f ca="1">IFERROR(__xludf.DUMMYFUNCTION("GOOGLETRANSLATE(English!D779, ""en"", ""bg"")"),"Структура на ДНК")</f>
        <v>Структура на ДНК</v>
      </c>
      <c r="E779" s="1" t="str">
        <f ca="1">IFERROR(__xludf.DUMMYFUNCTION("GOOGLETRANSLATE(English!E779, ""en"", ""bg"")"),"Какво е важно да знаем за структурата на ДНК?")</f>
        <v>Какво е важно да знаем за структурата на ДНК?</v>
      </c>
      <c r="F779" s="1" t="str">
        <f ca="1">IFERROR(__xludf.DUMMYFUNCTION("GOOGLETRANSLATE(English!F779,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779" s="1" t="str">
        <f ca="1">IFERROR(__xludf.DUMMYFUNCTION("GOOGLETRANSLATE(English!G779, ""en"", ""bg"")"),"direct_qa")</f>
        <v>direct_qa</v>
      </c>
      <c r="H779" s="1" t="str">
        <f ca="1">IFERROR(__xludf.DUMMYFUNCTION("GOOGLETRANSLATE(English!H779, ""en"", ""bg"")"),"заявка_за_знание")</f>
        <v>заявка_за_знание</v>
      </c>
    </row>
    <row r="780" spans="1:8" ht="13.2" x14ac:dyDescent="0.25">
      <c r="A780" s="1" t="str">
        <f ca="1">IFERROR(__xludf.DUMMYFUNCTION("GOOGLETRANSLATE(English!A780, ""en"", ""bg"")"),"conv_08915")</f>
        <v>conv_08915</v>
      </c>
      <c r="B780" s="1" t="str">
        <f ca="1">IFERROR(__xludf.DUMMYFUNCTION("GOOGLETRANSLATE(English!B780, ""en"", ""bg"")"),"физика")</f>
        <v>физика</v>
      </c>
      <c r="C780" s="1" t="str">
        <f ca="1">IFERROR(__xludf.DUMMYFUNCTION("GOOGLETRANSLATE(English!C780, ""en"", ""bg"")"),"елементарен")</f>
        <v>елементарен</v>
      </c>
      <c r="D780" s="1" t="str">
        <f ca="1">IFERROR(__xludf.DUMMYFUNCTION("GOOGLETRANSLATE(English!D780, ""en"", ""bg"")"),"звук")</f>
        <v>звук</v>
      </c>
      <c r="E780" s="1" t="str">
        <f ca="1">IFERROR(__xludf.DUMMYFUNCTION("GOOGLETRANSLATE(English!E780, ""en"", ""bg"")"),"Не разбирам тази тема. Какво трябва да знам за звука?")</f>
        <v>Не разбирам тази тема. Какво трябва да знам за звука?</v>
      </c>
      <c r="F780" s="1" t="str">
        <f ca="1">IFERROR(__xludf.DUMMYFUNCTION("GOOGLETRANSLATE(English!F780,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780" s="1" t="str">
        <f ca="1">IFERROR(__xludf.DUMMYFUNCTION("GOOGLETRANSLATE(English!G780, ""en"", ""bg"")"),"разговор")</f>
        <v>разговор</v>
      </c>
      <c r="H780" s="1" t="str">
        <f ca="1">IFERROR(__xludf.DUMMYFUNCTION("GOOGLETRANSLATE(English!H780, ""en"", ""bg"")"),"образователна_помощ")</f>
        <v>образователна_помощ</v>
      </c>
    </row>
    <row r="781" spans="1:8" ht="13.2" x14ac:dyDescent="0.25">
      <c r="A781" s="1" t="str">
        <f ca="1">IFERROR(__xludf.DUMMYFUNCTION("GOOGLETRANSLATE(English!A781, ""en"", ""bg"")"),"hw_09070")</f>
        <v>hw_09070</v>
      </c>
      <c r="B781" s="1" t="str">
        <f ca="1">IFERROR(__xludf.DUMMYFUNCTION("GOOGLETRANSLATE(English!B781, ""en"", ""bg"")"),"биология")</f>
        <v>биология</v>
      </c>
      <c r="C781" s="1" t="str">
        <f ca="1">IFERROR(__xludf.DUMMYFUNCTION("GOOGLETRANSLATE(English!C781, ""en"", ""bg"")"),"средата")</f>
        <v>средата</v>
      </c>
      <c r="D781" s="1" t="str">
        <f ca="1">IFERROR(__xludf.DUMMYFUNCTION("GOOGLETRANSLATE(English!D781, ""en"", ""bg"")"),"екосистеми")</f>
        <v>екосистеми</v>
      </c>
      <c r="E781" s="1" t="str">
        <f ca="1">IFERROR(__xludf.DUMMYFUNCTION("GOOGLETRANSLATE(English!E781, ""en"", ""bg"")"),"Трябва да напиша доклад за екосистемите. Можете ли да ми помогнете да започна?")</f>
        <v>Трябва да напиша доклад за екосистемите. Можете ли да ми помогнете да започна?</v>
      </c>
      <c r="F781" s="1" t="str">
        <f ca="1">IFERROR(__xludf.DUMMYFUNCTION("GOOGLETRANSLATE(English!F781,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781" s="1" t="str">
        <f ca="1">IFERROR(__xludf.DUMMYFUNCTION("GOOGLETRANSLATE(English!G781, ""en"", ""bg"")"),"помощ_за_домашно_изпълнение")</f>
        <v>помощ_за_домашно_изпълнение</v>
      </c>
      <c r="H781" s="1" t="str">
        <f ca="1">IFERROR(__xludf.DUMMYFUNCTION("GOOGLETRANSLATE(English!H781, ""en"", ""bg"")"),"помощ_за_домашно_задаване")</f>
        <v>помощ_за_домашно_задаване</v>
      </c>
    </row>
    <row r="782" spans="1:8" ht="13.2" x14ac:dyDescent="0.25">
      <c r="A782" s="1" t="str">
        <f ca="1">IFERROR(__xludf.DUMMYFUNCTION("GOOGLETRANSLATE(English!A782, ""en"", ""bg"")"),"hw_01099")</f>
        <v>hw_01099</v>
      </c>
      <c r="B782" s="1" t="str">
        <f ca="1">IFERROR(__xludf.DUMMYFUNCTION("GOOGLETRANSLATE(English!B782, ""en"", ""bg"")"),"химия")</f>
        <v>химия</v>
      </c>
      <c r="C782" s="1" t="str">
        <f ca="1">IFERROR(__xludf.DUMMYFUNCTION("GOOGLETRANSLATE(English!C782, ""en"", ""bg"")"),"средата")</f>
        <v>средата</v>
      </c>
      <c r="D782" s="1" t="str">
        <f ca="1">IFERROR(__xludf.DUMMYFUNCTION("GOOGLETRANSLATE(English!D782, ""en"", ""bg"")"),"съединения срещу елементи")</f>
        <v>съединения срещу елементи</v>
      </c>
      <c r="E782" s="1" t="str">
        <f ca="1">IFERROR(__xludf.DUMMYFUNCTION("GOOGLETRANSLATE(English!E782,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782" s="1" t="str">
        <f ca="1">IFERROR(__xludf.DUMMYFUNCTION("GOOGLETRANSLATE(English!F782,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782" s="1" t="str">
        <f ca="1">IFERROR(__xludf.DUMMYFUNCTION("GOOGLETRANSLATE(English!G782, ""en"", ""bg"")"),"помощ_за_домашно_изпълнение")</f>
        <v>помощ_за_домашно_изпълнение</v>
      </c>
      <c r="H782" s="1" t="str">
        <f ca="1">IFERROR(__xludf.DUMMYFUNCTION("GOOGLETRANSLATE(English!H782, ""en"", ""bg"")"),"помощ_за_домашно_задаване")</f>
        <v>помощ_за_домашно_задаване</v>
      </c>
    </row>
    <row r="783" spans="1:8" ht="13.2" x14ac:dyDescent="0.25">
      <c r="A783" s="1" t="str">
        <f ca="1">IFERROR(__xludf.DUMMYFUNCTION("GOOGLETRANSLATE(English!A783, ""en"", ""bg"")"),"conv_03049")</f>
        <v>conv_03049</v>
      </c>
      <c r="B783" s="1" t="str">
        <f ca="1">IFERROR(__xludf.DUMMYFUNCTION("GOOGLETRANSLATE(English!B783, ""en"", ""bg"")"),"физика")</f>
        <v>физика</v>
      </c>
      <c r="C783" s="1" t="str">
        <f ca="1">IFERROR(__xludf.DUMMYFUNCTION("GOOGLETRANSLATE(English!C783, ""en"", ""bg"")"),"високо")</f>
        <v>високо</v>
      </c>
      <c r="D783" s="1" t="str">
        <f ca="1">IFERROR(__xludf.DUMMYFUNCTION("GOOGLETRANSLATE(English!D783, ""en"", ""bg"")"),"радиоактивност")</f>
        <v>радиоактивност</v>
      </c>
      <c r="E783" s="1" t="str">
        <f ca="1">IFERROR(__xludf.DUMMYFUNCTION("GOOGLETRANSLATE(English!E783, ""en"", ""bg"")"),"Можете ли да ми помогнете? Защо радиоактивността е важна?")</f>
        <v>Можете ли да ми помогнете? Защо радиоактивността е важна?</v>
      </c>
      <c r="F783" s="1" t="str">
        <f ca="1">IFERROR(__xludf.DUMMYFUNCTION("GOOGLETRANSLATE(English!F783,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783" s="1" t="str">
        <f ca="1">IFERROR(__xludf.DUMMYFUNCTION("GOOGLETRANSLATE(English!G783, ""en"", ""bg"")"),"разговор")</f>
        <v>разговор</v>
      </c>
      <c r="H783" s="1" t="str">
        <f ca="1">IFERROR(__xludf.DUMMYFUNCTION("GOOGLETRANSLATE(English!H783, ""en"", ""bg"")"),"образователна_помощ")</f>
        <v>образователна_помощ</v>
      </c>
    </row>
    <row r="784" spans="1:8" ht="13.2" x14ac:dyDescent="0.25">
      <c r="A784" s="1" t="str">
        <f ca="1">IFERROR(__xludf.DUMMYFUNCTION("GOOGLETRANSLATE(English!A784, ""en"", ""bg"")"),"hw_05166")</f>
        <v>hw_05166</v>
      </c>
      <c r="B784" s="1" t="str">
        <f ca="1">IFERROR(__xludf.DUMMYFUNCTION("GOOGLETRANSLATE(English!B784, ""en"", ""bg"")"),"химия")</f>
        <v>химия</v>
      </c>
      <c r="C784" s="1" t="str">
        <f ca="1">IFERROR(__xludf.DUMMYFUNCTION("GOOGLETRANSLATE(English!C784, ""en"", ""bg"")"),"елементарен")</f>
        <v>елементарен</v>
      </c>
      <c r="D784" s="1" t="str">
        <f ca="1">IFERROR(__xludf.DUMMYFUNCTION("GOOGLETRANSLATE(English!D784, ""en"", ""bg"")"),"ежедневни химикали")</f>
        <v>ежедневни химикали</v>
      </c>
      <c r="E784" s="1" t="str">
        <f ca="1">IFERROR(__xludf.DUMMYFUNCTION("GOOGLETRANSLATE(English!E784, ""en"", ""bg"")"),"Можете ли да ми помогнете с ежедневните изчисления на химикали?")</f>
        <v>Можете ли да ми помогнете с ежедневните изчисления на химикали?</v>
      </c>
      <c r="F784" s="1" t="str">
        <f ca="1">IFERROR(__xludf.DUMMYFUNCTION("GOOGLETRANSLATE(English!F784,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784" s="1" t="str">
        <f ca="1">IFERROR(__xludf.DUMMYFUNCTION("GOOGLETRANSLATE(English!G784, ""en"", ""bg"")"),"помощ_за_домашно_изпълнение")</f>
        <v>помощ_за_домашно_изпълнение</v>
      </c>
      <c r="H784" s="1" t="str">
        <f ca="1">IFERROR(__xludf.DUMMYFUNCTION("GOOGLETRANSLATE(English!H784, ""en"", ""bg"")"),"помощ_за_домашно_задаване")</f>
        <v>помощ_за_домашно_задаване</v>
      </c>
    </row>
    <row r="785" spans="1:8" ht="13.2" x14ac:dyDescent="0.25">
      <c r="A785" s="1" t="str">
        <f ca="1">IFERROR(__xludf.DUMMYFUNCTION("GOOGLETRANSLATE(English!A785, ""en"", ""bg"")"),"qa_06014")</f>
        <v>qa_06014</v>
      </c>
      <c r="B785" s="1" t="str">
        <f ca="1">IFERROR(__xludf.DUMMYFUNCTION("GOOGLETRANSLATE(English!B785, ""en"", ""bg"")"),"химия")</f>
        <v>химия</v>
      </c>
      <c r="C785" s="1" t="str">
        <f ca="1">IFERROR(__xludf.DUMMYFUNCTION("GOOGLETRANSLATE(English!C785, ""en"", ""bg"")"),"високо")</f>
        <v>високо</v>
      </c>
      <c r="D785" s="1" t="str">
        <f ca="1">IFERROR(__xludf.DUMMYFUNCTION("GOOGLETRANSLATE(English!D785, ""en"", ""bg"")"),"химическо свързване")</f>
        <v>химическо свързване</v>
      </c>
      <c r="E785" s="1" t="str">
        <f ca="1">IFERROR(__xludf.DUMMYFUNCTION("GOOGLETRANSLATE(English!E785, ""en"", ""bg"")"),"Как работи химическата връзка в химията?")</f>
        <v>Как работи химическата връзка в химията?</v>
      </c>
      <c r="F785" s="1" t="str">
        <f ca="1">IFERROR(__xludf.DUMMYFUNCTION("GOOGLETRANSLATE(English!F785,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785" s="1" t="str">
        <f ca="1">IFERROR(__xludf.DUMMYFUNCTION("GOOGLETRANSLATE(English!G785, ""en"", ""bg"")"),"direct_qa")</f>
        <v>direct_qa</v>
      </c>
      <c r="H785" s="1" t="str">
        <f ca="1">IFERROR(__xludf.DUMMYFUNCTION("GOOGLETRANSLATE(English!H785, ""en"", ""bg"")"),"заявка_за_знание")</f>
        <v>заявка_за_знание</v>
      </c>
    </row>
    <row r="786" spans="1:8" ht="13.2" x14ac:dyDescent="0.25">
      <c r="A786" s="1" t="str">
        <f ca="1">IFERROR(__xludf.DUMMYFUNCTION("GOOGLETRANSLATE(English!A786, ""en"", ""bg"")"),"hw_01058")</f>
        <v>hw_01058</v>
      </c>
      <c r="B786" s="1" t="str">
        <f ca="1">IFERROR(__xludf.DUMMYFUNCTION("GOOGLETRANSLATE(English!B786, ""en"", ""bg"")"),"физика")</f>
        <v>физика</v>
      </c>
      <c r="C786" s="1" t="str">
        <f ca="1">IFERROR(__xludf.DUMMYFUNCTION("GOOGLETRANSLATE(English!C786, ""en"", ""bg"")"),"високо")</f>
        <v>високо</v>
      </c>
      <c r="D786" s="1" t="str">
        <f ca="1">IFERROR(__xludf.DUMMYFUNCTION("GOOGLETRANSLATE(English!D786, ""en"", ""bg"")"),"електромагнетизъм")</f>
        <v>електромагнетизъм</v>
      </c>
      <c r="E786" s="1" t="str">
        <f ca="1">IFERROR(__xludf.DUMMYFUNCTION("GOOGLETRANSLATE(English!E786, ""en"", ""bg"")"),"Можете ли да решите този въпрос по електромагнетизъм с мен?")</f>
        <v>Можете ли да решите този въпрос по електромагнетизъм с мен?</v>
      </c>
      <c r="F786" s="1" t="str">
        <f ca="1">IFERROR(__xludf.DUMMYFUNCTION("GOOGLETRANSLATE(English!F786,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786" s="1" t="str">
        <f ca="1">IFERROR(__xludf.DUMMYFUNCTION("GOOGLETRANSLATE(English!G786, ""en"", ""bg"")"),"помощ_за_домашно_изпълнение")</f>
        <v>помощ_за_домашно_изпълнение</v>
      </c>
      <c r="H786" s="1" t="str">
        <f ca="1">IFERROR(__xludf.DUMMYFUNCTION("GOOGLETRANSLATE(English!H786, ""en"", ""bg"")"),"помощ_за_домашно_задаване")</f>
        <v>помощ_за_домашно_задаване</v>
      </c>
    </row>
    <row r="787" spans="1:8" ht="13.2" x14ac:dyDescent="0.25">
      <c r="A787" s="1" t="str">
        <f ca="1">IFERROR(__xludf.DUMMYFUNCTION("GOOGLETRANSLATE(English!A787, ""en"", ""bg"")"),"hw_12288")</f>
        <v>hw_12288</v>
      </c>
      <c r="B787" s="1" t="str">
        <f ca="1">IFERROR(__xludf.DUMMYFUNCTION("GOOGLETRANSLATE(English!B787, ""en"", ""bg"")"),"физика")</f>
        <v>физика</v>
      </c>
      <c r="C787" s="1" t="str">
        <f ca="1">IFERROR(__xludf.DUMMYFUNCTION("GOOGLETRANSLATE(English!C787, ""en"", ""bg"")"),"високо")</f>
        <v>високо</v>
      </c>
      <c r="D787" s="1" t="str">
        <f ca="1">IFERROR(__xludf.DUMMYFUNCTION("GOOGLETRANSLATE(English!D787, ""en"", ""bg"")"),"електромагнетизъм")</f>
        <v>електромагнетизъм</v>
      </c>
      <c r="E787" s="1" t="str">
        <f ca="1">IFERROR(__xludf.DUMMYFUNCTION("GOOGLETRANSLATE(English!E787, ""en"", ""bg"")"),"Домашното ми по физика е за електромагнетизъм. Объркващо е!")</f>
        <v>Домашното ми по физика е за електромагнетизъм. Объркващо е!</v>
      </c>
      <c r="F787" s="1" t="str">
        <f ca="1">IFERROR(__xludf.DUMMYFUNCTION("GOOGLETRANSLATE(English!F787,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787" s="1" t="str">
        <f ca="1">IFERROR(__xludf.DUMMYFUNCTION("GOOGLETRANSLATE(English!G787, ""en"", ""bg"")"),"помощ_за_домашно_изпълнение")</f>
        <v>помощ_за_домашно_изпълнение</v>
      </c>
      <c r="H787" s="1" t="str">
        <f ca="1">IFERROR(__xludf.DUMMYFUNCTION("GOOGLETRANSLATE(English!H787, ""en"", ""bg"")"),"помощ_за_домашно_задаване")</f>
        <v>помощ_за_домашно_задаване</v>
      </c>
    </row>
    <row r="788" spans="1:8" ht="13.2" x14ac:dyDescent="0.25">
      <c r="A788" s="1" t="str">
        <f ca="1">IFERROR(__xludf.DUMMYFUNCTION("GOOGLETRANSLATE(English!A788, ""en"", ""bg"")"),"hw_10139")</f>
        <v>hw_10139</v>
      </c>
      <c r="B788" s="1" t="str">
        <f ca="1">IFERROR(__xludf.DUMMYFUNCTION("GOOGLETRANSLATE(English!B788, ""en"", ""bg"")"),"биология")</f>
        <v>биология</v>
      </c>
      <c r="C788" s="1" t="str">
        <f ca="1">IFERROR(__xludf.DUMMYFUNCTION("GOOGLETRANSLATE(English!C788, ""en"", ""bg"")"),"средата")</f>
        <v>средата</v>
      </c>
      <c r="D788" s="1" t="str">
        <f ca="1">IFERROR(__xludf.DUMMYFUNCTION("GOOGLETRANSLATE(English!D788, ""en"", ""bg"")"),"размножаване")</f>
        <v>размножаване</v>
      </c>
      <c r="E788" s="1" t="str">
        <f ca="1">IFERROR(__xludf.DUMMYFUNCTION("GOOGLETRANSLATE(English!E788, ""en"", ""bg"")"),"Домашното ми пита за размножаването. Не го разбирам.")</f>
        <v>Домашното ми пита за размножаването. Не го разбирам.</v>
      </c>
      <c r="F788" s="1" t="str">
        <f ca="1">IFERROR(__xludf.DUMMYFUNCTION("GOOGLETRANSLATE(English!F788,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788" s="1" t="str">
        <f ca="1">IFERROR(__xludf.DUMMYFUNCTION("GOOGLETRANSLATE(English!G788, ""en"", ""bg"")"),"помощ_за_домашно_изпълнение")</f>
        <v>помощ_за_домашно_изпълнение</v>
      </c>
      <c r="H788" s="1" t="str">
        <f ca="1">IFERROR(__xludf.DUMMYFUNCTION("GOOGLETRANSLATE(English!H788, ""en"", ""bg"")"),"помощ_за_домашно_задаване")</f>
        <v>помощ_за_домашно_задаване</v>
      </c>
    </row>
    <row r="789" spans="1:8" ht="13.2" x14ac:dyDescent="0.25">
      <c r="A789" s="1" t="str">
        <f ca="1">IFERROR(__xludf.DUMMYFUNCTION("GOOGLETRANSLATE(English!A789, ""en"", ""bg"")"),"qa_07183")</f>
        <v>qa_07183</v>
      </c>
      <c r="B789" s="1" t="str">
        <f ca="1">IFERROR(__xludf.DUMMYFUNCTION("GOOGLETRANSLATE(English!B789, ""en"", ""bg"")"),"биология")</f>
        <v>биология</v>
      </c>
      <c r="C789" s="1" t="str">
        <f ca="1">IFERROR(__xludf.DUMMYFUNCTION("GOOGLETRANSLATE(English!C789, ""en"", ""bg"")"),"елементарен")</f>
        <v>елементарен</v>
      </c>
      <c r="D789" s="1" t="str">
        <f ca="1">IFERROR(__xludf.DUMMYFUNCTION("GOOGLETRANSLATE(English!D789, ""en"", ""bg"")"),"основни нужди")</f>
        <v>основни нужди</v>
      </c>
      <c r="E789" s="1" t="str">
        <f ca="1">IFERROR(__xludf.DUMMYFUNCTION("GOOGLETRANSLATE(English!E789, ""en"", ""bg"")"),"Защо основните потребности са важни в биологията?")</f>
        <v>Защо основните потребности са важни в биологията?</v>
      </c>
      <c r="F789" s="1" t="str">
        <f ca="1">IFERROR(__xludf.DUMMYFUNCTION("GOOGLETRANSLATE(English!F789, ""en"", ""bg"")"),"Основните потребности са важни, защото ни помагат да разберем живота и как живите същества оцеляват.")</f>
        <v>Основните потребности са важни, защото ни помагат да разберем живота и как живите същества оцеляват.</v>
      </c>
      <c r="G789" s="1" t="str">
        <f ca="1">IFERROR(__xludf.DUMMYFUNCTION("GOOGLETRANSLATE(English!G789, ""en"", ""bg"")"),"direct_qa")</f>
        <v>direct_qa</v>
      </c>
      <c r="H789" s="1" t="str">
        <f ca="1">IFERROR(__xludf.DUMMYFUNCTION("GOOGLETRANSLATE(English!H789, ""en"", ""bg"")"),"заявка_за_знание")</f>
        <v>заявка_за_знание</v>
      </c>
    </row>
    <row r="790" spans="1:8" ht="13.2" x14ac:dyDescent="0.25">
      <c r="A790" s="1" t="str">
        <f ca="1">IFERROR(__xludf.DUMMYFUNCTION("GOOGLETRANSLATE(English!A790, ""en"", ""bg"")"),"qa_04168")</f>
        <v>qa_04168</v>
      </c>
      <c r="B790" s="1" t="str">
        <f ca="1">IFERROR(__xludf.DUMMYFUNCTION("GOOGLETRANSLATE(English!B790, ""en"", ""bg"")"),"химия")</f>
        <v>химия</v>
      </c>
      <c r="C790" s="1" t="str">
        <f ca="1">IFERROR(__xludf.DUMMYFUNCTION("GOOGLETRANSLATE(English!C790, ""en"", ""bg"")"),"средата")</f>
        <v>средата</v>
      </c>
      <c r="D790" s="1" t="str">
        <f ca="1">IFERROR(__xludf.DUMMYFUNCTION("GOOGLETRANSLATE(English!D790, ""en"", ""bg"")"),"киселини и основи")</f>
        <v>киселини и основи</v>
      </c>
      <c r="E790" s="1" t="str">
        <f ca="1">IFERROR(__xludf.DUMMYFUNCTION("GOOGLETRANSLATE(English!E790, ""en"", ""bg"")"),"Какво представляват киселините и основите?")</f>
        <v>Какво представляват киселините и основите?</v>
      </c>
      <c r="F790" s="1" t="str">
        <f ca="1">IFERROR(__xludf.DUMMYFUNCTION("GOOGLETRANSLATE(English!F790,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790" s="1" t="str">
        <f ca="1">IFERROR(__xludf.DUMMYFUNCTION("GOOGLETRANSLATE(English!G790, ""en"", ""bg"")"),"direct_qa")</f>
        <v>direct_qa</v>
      </c>
      <c r="H790" s="1" t="str">
        <f ca="1">IFERROR(__xludf.DUMMYFUNCTION("GOOGLETRANSLATE(English!H790, ""en"", ""bg"")"),"заявка_за_знание")</f>
        <v>заявка_за_знание</v>
      </c>
    </row>
    <row r="791" spans="1:8" ht="13.2" x14ac:dyDescent="0.25">
      <c r="A791" s="1" t="str">
        <f ca="1">IFERROR(__xludf.DUMMYFUNCTION("GOOGLETRANSLATE(English!A791, ""en"", ""bg"")"),"hw_01120")</f>
        <v>hw_01120</v>
      </c>
      <c r="B791" s="1" t="str">
        <f ca="1">IFERROR(__xludf.DUMMYFUNCTION("GOOGLETRANSLATE(English!B791, ""en"", ""bg"")"),"физика")</f>
        <v>физика</v>
      </c>
      <c r="C791" s="1" t="str">
        <f ca="1">IFERROR(__xludf.DUMMYFUNCTION("GOOGLETRANSLATE(English!C791, ""en"", ""bg"")"),"елементарен")</f>
        <v>елементарен</v>
      </c>
      <c r="D791" s="1" t="str">
        <f ca="1">IFERROR(__xludf.DUMMYFUNCTION("GOOGLETRANSLATE(English!D791, ""en"", ""bg"")"),"бутане и дърпане")</f>
        <v>бутане и дърпане</v>
      </c>
      <c r="E791" s="1" t="str">
        <f ca="1">IFERROR(__xludf.DUMMYFUNCTION("GOOGLETRANSLATE(English!E791, ""en"", ""bg"")"),"Можеш ли да решиш тази задача с бутане и дърпане с мен?")</f>
        <v>Можеш ли да решиш тази задача с бутане и дърпане с мен?</v>
      </c>
      <c r="F791" s="1" t="str">
        <f ca="1">IFERROR(__xludf.DUMMYFUNCTION("GOOGLETRANSLATE(English!F791,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791" s="1" t="str">
        <f ca="1">IFERROR(__xludf.DUMMYFUNCTION("GOOGLETRANSLATE(English!G791, ""en"", ""bg"")"),"помощ_за_домашно_изпълнение")</f>
        <v>помощ_за_домашно_изпълнение</v>
      </c>
      <c r="H791" s="1" t="str">
        <f ca="1">IFERROR(__xludf.DUMMYFUNCTION("GOOGLETRANSLATE(English!H791, ""en"", ""bg"")"),"помощ_за_домашно_задаване")</f>
        <v>помощ_за_домашно_задаване</v>
      </c>
    </row>
    <row r="792" spans="1:8" ht="13.2" x14ac:dyDescent="0.25">
      <c r="A792" s="1" t="str">
        <f ca="1">IFERROR(__xludf.DUMMYFUNCTION("GOOGLETRANSLATE(English!A792, ""en"", ""bg"")"),"qa_14284")</f>
        <v>qa_14284</v>
      </c>
      <c r="B792" s="1" t="str">
        <f ca="1">IFERROR(__xludf.DUMMYFUNCTION("GOOGLETRANSLATE(English!B792, ""en"", ""bg"")"),"биология")</f>
        <v>биология</v>
      </c>
      <c r="C792" s="1" t="str">
        <f ca="1">IFERROR(__xludf.DUMMYFUNCTION("GOOGLETRANSLATE(English!C792, ""en"", ""bg"")"),"средата")</f>
        <v>средата</v>
      </c>
      <c r="D792" s="1" t="str">
        <f ca="1">IFERROR(__xludf.DUMMYFUNCTION("GOOGLETRANSLATE(English!D792, ""en"", ""bg"")"),"клетки")</f>
        <v>клетки</v>
      </c>
      <c r="E792" s="1" t="str">
        <f ca="1">IFERROR(__xludf.DUMMYFUNCTION("GOOGLETRANSLATE(English!E792, ""en"", ""bg"")"),"Кои са основните части на клетката?")</f>
        <v>Кои са основните части на клетката?</v>
      </c>
      <c r="F792" s="1" t="str">
        <f ca="1">IFERROR(__xludf.DUMMYFUNCTION("GOOGLETRANSLATE(English!F792,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792" s="1" t="str">
        <f ca="1">IFERROR(__xludf.DUMMYFUNCTION("GOOGLETRANSLATE(English!G792, ""en"", ""bg"")"),"direct_qa")</f>
        <v>direct_qa</v>
      </c>
      <c r="H792" s="1" t="str">
        <f ca="1">IFERROR(__xludf.DUMMYFUNCTION("GOOGLETRANSLATE(English!H792, ""en"", ""bg"")"),"заявка_за_знание")</f>
        <v>заявка_за_знание</v>
      </c>
    </row>
    <row r="793" spans="1:8" ht="13.2" x14ac:dyDescent="0.25">
      <c r="A793" s="1" t="str">
        <f ca="1">IFERROR(__xludf.DUMMYFUNCTION("GOOGLETRANSLATE(English!A793, ""en"", ""bg"")"),"qa_14007")</f>
        <v>qa_14007</v>
      </c>
      <c r="B793" s="1" t="str">
        <f ca="1">IFERROR(__xludf.DUMMYFUNCTION("GOOGLETRANSLATE(English!B793, ""en"", ""bg"")"),"биология")</f>
        <v>биология</v>
      </c>
      <c r="C793" s="1" t="str">
        <f ca="1">IFERROR(__xludf.DUMMYFUNCTION("GOOGLETRANSLATE(English!C793, ""en"", ""bg"")"),"средата")</f>
        <v>средата</v>
      </c>
      <c r="D793" s="1" t="str">
        <f ca="1">IFERROR(__xludf.DUMMYFUNCTION("GOOGLETRANSLATE(English!D793, ""en"", ""bg"")"),"дишане")</f>
        <v>дишане</v>
      </c>
      <c r="E793" s="1" t="str">
        <f ca="1">IFERROR(__xludf.DUMMYFUNCTION("GOOGLETRANSLATE(English!E793, ""en"", ""bg"")"),"Какво е важно да знаем за дишането?")</f>
        <v>Какво е важно да знаем за дишането?</v>
      </c>
      <c r="F793" s="1" t="str">
        <f ca="1">IFERROR(__xludf.DUMMYFUNCTION("GOOGLETRANSLATE(English!F793,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793" s="1" t="str">
        <f ca="1">IFERROR(__xludf.DUMMYFUNCTION("GOOGLETRANSLATE(English!G793, ""en"", ""bg"")"),"direct_qa")</f>
        <v>direct_qa</v>
      </c>
      <c r="H793" s="1" t="str">
        <f ca="1">IFERROR(__xludf.DUMMYFUNCTION("GOOGLETRANSLATE(English!H793, ""en"", ""bg"")"),"заявка_за_знание")</f>
        <v>заявка_за_знание</v>
      </c>
    </row>
    <row r="794" spans="1:8" ht="13.2" x14ac:dyDescent="0.25">
      <c r="A794" s="1" t="str">
        <f ca="1">IFERROR(__xludf.DUMMYFUNCTION("GOOGLETRANSLATE(English!A794, ""en"", ""bg"")"),"qa_12211")</f>
        <v>qa_12211</v>
      </c>
      <c r="B794" s="1" t="str">
        <f ca="1">IFERROR(__xludf.DUMMYFUNCTION("GOOGLETRANSLATE(English!B794, ""en"", ""bg"")"),"физика")</f>
        <v>физика</v>
      </c>
      <c r="C794" s="1" t="str">
        <f ca="1">IFERROR(__xludf.DUMMYFUNCTION("GOOGLETRANSLATE(English!C794, ""en"", ""bg"")"),"средата")</f>
        <v>средата</v>
      </c>
      <c r="D794" s="1" t="str">
        <f ca="1">IFERROR(__xludf.DUMMYFUNCTION("GOOGLETRANSLATE(English!D794, ""en"", ""bg"")"),"основи на електричеството")</f>
        <v>основи на електричеството</v>
      </c>
      <c r="E794" s="1" t="str">
        <f ca="1">IFERROR(__xludf.DUMMYFUNCTION("GOOGLETRANSLATE(English!E794, ""en"", ""bg"")"),"Как работят основите на електричеството във физиката?")</f>
        <v>Как работят основите на електричеството във физиката?</v>
      </c>
      <c r="F794" s="1" t="str">
        <f ca="1">IFERROR(__xludf.DUMMYFUNCTION("GOOGLETRANSLATE(English!F794,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794" s="1" t="str">
        <f ca="1">IFERROR(__xludf.DUMMYFUNCTION("GOOGLETRANSLATE(English!G794, ""en"", ""bg"")"),"direct_qa")</f>
        <v>direct_qa</v>
      </c>
      <c r="H794" s="1" t="str">
        <f ca="1">IFERROR(__xludf.DUMMYFUNCTION("GOOGLETRANSLATE(English!H794, ""en"", ""bg"")"),"заявка_за_знание")</f>
        <v>заявка_за_знание</v>
      </c>
    </row>
    <row r="795" spans="1:8" ht="13.2" x14ac:dyDescent="0.25">
      <c r="A795" s="1" t="str">
        <f ca="1">IFERROR(__xludf.DUMMYFUNCTION("GOOGLETRANSLATE(English!A795, ""en"", ""bg"")"),"conv_03225")</f>
        <v>conv_03225</v>
      </c>
      <c r="B795" s="1" t="str">
        <f ca="1">IFERROR(__xludf.DUMMYFUNCTION("GOOGLETRANSLATE(English!B795, ""en"", ""bg"")"),"химия")</f>
        <v>химия</v>
      </c>
      <c r="C795" s="1" t="str">
        <f ca="1">IFERROR(__xludf.DUMMYFUNCTION("GOOGLETRANSLATE(English!C795, ""en"", ""bg"")"),"елементарен")</f>
        <v>елементарен</v>
      </c>
      <c r="D795" s="1" t="str">
        <f ca="1">IFERROR(__xludf.DUMMYFUNCTION("GOOGLETRANSLATE(English!D795, ""en"", ""bg"")"),"ежедневни химикали")</f>
        <v>ежедневни химикали</v>
      </c>
      <c r="E795" s="1" t="str">
        <f ca="1">IFERROR(__xludf.DUMMYFUNCTION("GOOGLETRANSLATE(English!E795, ""en"", ""bg"")"),"Помогнете ми да уча за теста си. Как действат ежедневните химикали в химията?")</f>
        <v>Помогнете ми да уча за теста си. Как действат ежедневните химикали в химията?</v>
      </c>
      <c r="F795" s="1" t="str">
        <f ca="1">IFERROR(__xludf.DUMMYFUNCTION("GOOGLETRANSLATE(English!F795,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795" s="1" t="str">
        <f ca="1">IFERROR(__xludf.DUMMYFUNCTION("GOOGLETRANSLATE(English!G795, ""en"", ""bg"")"),"разговор")</f>
        <v>разговор</v>
      </c>
      <c r="H795" s="1" t="str">
        <f ca="1">IFERROR(__xludf.DUMMYFUNCTION("GOOGLETRANSLATE(English!H795, ""en"", ""bg"")"),"образователна_помощ")</f>
        <v>образователна_помощ</v>
      </c>
    </row>
    <row r="796" spans="1:8" ht="13.2" x14ac:dyDescent="0.25">
      <c r="A796" s="1" t="str">
        <f ca="1">IFERROR(__xludf.DUMMYFUNCTION("GOOGLETRANSLATE(English!A796, ""en"", ""bg"")"),"qa_01018")</f>
        <v>qa_01018</v>
      </c>
      <c r="B796" s="1" t="str">
        <f ca="1">IFERROR(__xludf.DUMMYFUNCTION("GOOGLETRANSLATE(English!B796, ""en"", ""bg"")"),"биология")</f>
        <v>биология</v>
      </c>
      <c r="C796" s="1" t="str">
        <f ca="1">IFERROR(__xludf.DUMMYFUNCTION("GOOGLETRANSLATE(English!C796, ""en"", ""bg"")"),"високо")</f>
        <v>високо</v>
      </c>
      <c r="D796" s="1" t="str">
        <f ca="1">IFERROR(__xludf.DUMMYFUNCTION("GOOGLETRANSLATE(English!D796, ""en"", ""bg"")"),"молекулярна биология")</f>
        <v>молекулярна биология</v>
      </c>
      <c r="E796" s="1" t="str">
        <f ca="1">IFERROR(__xludf.DUMMYFUNCTION("GOOGLETRANSLATE(English!E796, ""en"", ""bg"")"),"Можете ли да ми разкажете за молекулярната биология?")</f>
        <v>Можете ли да ми разкажете за молекулярната биология?</v>
      </c>
      <c r="F796" s="1" t="str">
        <f ca="1">IFERROR(__xludf.DUMMYFUNCTION("GOOGLETRANSLATE(English!F796,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796" s="1" t="str">
        <f ca="1">IFERROR(__xludf.DUMMYFUNCTION("GOOGLETRANSLATE(English!G796, ""en"", ""bg"")"),"direct_qa")</f>
        <v>direct_qa</v>
      </c>
      <c r="H796" s="1" t="str">
        <f ca="1">IFERROR(__xludf.DUMMYFUNCTION("GOOGLETRANSLATE(English!H796, ""en"", ""bg"")"),"заявка_за_знание")</f>
        <v>заявка_за_знание</v>
      </c>
    </row>
    <row r="797" spans="1:8" ht="13.2" x14ac:dyDescent="0.25">
      <c r="A797" s="1" t="str">
        <f ca="1">IFERROR(__xludf.DUMMYFUNCTION("GOOGLETRANSLATE(English!A797, ""en"", ""bg"")"),"qa_06832")</f>
        <v>qa_06832</v>
      </c>
      <c r="B797" s="1" t="str">
        <f ca="1">IFERROR(__xludf.DUMMYFUNCTION("GOOGLETRANSLATE(English!B797, ""en"", ""bg"")"),"физика")</f>
        <v>физика</v>
      </c>
      <c r="C797" s="1" t="str">
        <f ca="1">IFERROR(__xludf.DUMMYFUNCTION("GOOGLETRANSLATE(English!C797, ""en"", ""bg"")"),"елементарен")</f>
        <v>елементарен</v>
      </c>
      <c r="D797" s="1" t="str">
        <f ca="1">IFERROR(__xludf.DUMMYFUNCTION("GOOGLETRANSLATE(English!D797, ""en"", ""bg"")"),"прости машини")</f>
        <v>прости машини</v>
      </c>
      <c r="E797" s="1" t="str">
        <f ca="1">IFERROR(__xludf.DUMMYFUNCTION("GOOGLETRANSLATE(English!E797, ""en"", ""bg"")"),"Защо простите машини са важни?")</f>
        <v>Защо простите машини са важни?</v>
      </c>
      <c r="F797" s="1" t="str">
        <f ca="1">IFERROR(__xludf.DUMMYFUNCTION("GOOGLETRANSLATE(English!F797,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797" s="1" t="str">
        <f ca="1">IFERROR(__xludf.DUMMYFUNCTION("GOOGLETRANSLATE(English!G797, ""en"", ""bg"")"),"direct_qa")</f>
        <v>direct_qa</v>
      </c>
      <c r="H797" s="1" t="str">
        <f ca="1">IFERROR(__xludf.DUMMYFUNCTION("GOOGLETRANSLATE(English!H797, ""en"", ""bg"")"),"заявка_за_знание")</f>
        <v>заявка_за_знание</v>
      </c>
    </row>
    <row r="798" spans="1:8" ht="13.2" x14ac:dyDescent="0.25">
      <c r="A798" s="1" t="str">
        <f ca="1">IFERROR(__xludf.DUMMYFUNCTION("GOOGLETRANSLATE(English!A798, ""en"", ""bg"")"),"hw_08850")</f>
        <v>hw_08850</v>
      </c>
      <c r="B798" s="1" t="str">
        <f ca="1">IFERROR(__xludf.DUMMYFUNCTION("GOOGLETRANSLATE(English!B798, ""en"", ""bg"")"),"физика")</f>
        <v>физика</v>
      </c>
      <c r="C798" s="1" t="str">
        <f ca="1">IFERROR(__xludf.DUMMYFUNCTION("GOOGLETRANSLATE(English!C798, ""en"", ""bg"")"),"средата")</f>
        <v>средата</v>
      </c>
      <c r="D798" s="1" t="str">
        <f ca="1">IFERROR(__xludf.DUMMYFUNCTION("GOOGLETRANSLATE(English!D798, ""en"", ""bg"")"),"плътност")</f>
        <v>плътност</v>
      </c>
      <c r="E798" s="1" t="str">
        <f ca="1">IFERROR(__xludf.DUMMYFUNCTION("GOOGLETRANSLATE(English!E798,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798" s="1" t="str">
        <f ca="1">IFERROR(__xludf.DUMMYFUNCTION("GOOGLETRANSLATE(English!F798,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798" s="1" t="str">
        <f ca="1">IFERROR(__xludf.DUMMYFUNCTION("GOOGLETRANSLATE(English!G798, ""en"", ""bg"")"),"помощ_за_домашно_изпълнение")</f>
        <v>помощ_за_домашно_изпълнение</v>
      </c>
      <c r="H798" s="1" t="str">
        <f ca="1">IFERROR(__xludf.DUMMYFUNCTION("GOOGLETRANSLATE(English!H798, ""en"", ""bg"")"),"помощ_за_домашно_задаване")</f>
        <v>помощ_за_домашно_задаване</v>
      </c>
    </row>
    <row r="799" spans="1:8" ht="13.2" x14ac:dyDescent="0.25">
      <c r="A799" s="1" t="str">
        <f ca="1">IFERROR(__xludf.DUMMYFUNCTION("GOOGLETRANSLATE(English!A799, ""en"", ""bg"")"),"conv_09530")</f>
        <v>conv_09530</v>
      </c>
      <c r="B799" s="1" t="str">
        <f ca="1">IFERROR(__xludf.DUMMYFUNCTION("GOOGLETRANSLATE(English!B799, ""en"", ""bg"")"),"физика")</f>
        <v>физика</v>
      </c>
      <c r="C799" s="1" t="str">
        <f ca="1">IFERROR(__xludf.DUMMYFUNCTION("GOOGLETRANSLATE(English!C799, ""en"", ""bg"")"),"средата")</f>
        <v>средата</v>
      </c>
      <c r="D799" s="1" t="str">
        <f ca="1">IFERROR(__xludf.DUMMYFUNCTION("GOOGLETRANSLATE(English!D799, ""en"", ""bg"")"),"плътност")</f>
        <v>плътност</v>
      </c>
      <c r="E799" s="1" t="str">
        <f ca="1">IFERROR(__xludf.DUMMYFUNCTION("GOOGLETRANSLATE(English!E799, ""en"", ""bg"")"),"Помогнете ми да уча за теста си. Как работи плътността във физиката?")</f>
        <v>Помогнете ми да уча за теста си. Как работи плътността във физиката?</v>
      </c>
      <c r="F799" s="1" t="str">
        <f ca="1">IFERROR(__xludf.DUMMYFUNCTION("GOOGLETRANSLATE(English!F799,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799" s="1" t="str">
        <f ca="1">IFERROR(__xludf.DUMMYFUNCTION("GOOGLETRANSLATE(English!G799, ""en"", ""bg"")"),"разговор")</f>
        <v>разговор</v>
      </c>
      <c r="H799" s="1" t="str">
        <f ca="1">IFERROR(__xludf.DUMMYFUNCTION("GOOGLETRANSLATE(English!H799, ""en"", ""bg"")"),"образователна_помощ")</f>
        <v>образователна_помощ</v>
      </c>
    </row>
    <row r="800" spans="1:8" ht="13.2" x14ac:dyDescent="0.25">
      <c r="A800" s="1" t="str">
        <f ca="1">IFERROR(__xludf.DUMMYFUNCTION("GOOGLETRANSLATE(English!A800, ""en"", ""bg"")"),"hw_06505")</f>
        <v>hw_06505</v>
      </c>
      <c r="B800" s="1" t="str">
        <f ca="1">IFERROR(__xludf.DUMMYFUNCTION("GOOGLETRANSLATE(English!B800, ""en"", ""bg"")"),"химия")</f>
        <v>химия</v>
      </c>
      <c r="C800" s="1" t="str">
        <f ca="1">IFERROR(__xludf.DUMMYFUNCTION("GOOGLETRANSLATE(English!C800, ""en"", ""bg"")"),"елементарен")</f>
        <v>елементарен</v>
      </c>
      <c r="D800" s="1" t="str">
        <f ca="1">IFERROR(__xludf.DUMMYFUNCTION("GOOGLETRANSLATE(English!D800, ""en"", ""bg"")"),"безопасност")</f>
        <v>безопасност</v>
      </c>
      <c r="E800" s="1" t="str">
        <f ca="1">IFERROR(__xludf.DUMMYFUNCTION("GOOGLETRANSLATE(English!E800, ""en"", ""bg"")"),"Не разбирам тази концепция за безопасност. Моля, обяснете!")</f>
        <v>Не разбирам тази концепция за безопасност. Моля, обяснете!</v>
      </c>
      <c r="F800" s="1" t="str">
        <f ca="1">IFERROR(__xludf.DUMMYFUNCTION("GOOGLETRANSLATE(English!F800,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800" s="1" t="str">
        <f ca="1">IFERROR(__xludf.DUMMYFUNCTION("GOOGLETRANSLATE(English!G800, ""en"", ""bg"")"),"помощ_за_домашно_изпълнение")</f>
        <v>помощ_за_домашно_изпълнение</v>
      </c>
      <c r="H800" s="1" t="str">
        <f ca="1">IFERROR(__xludf.DUMMYFUNCTION("GOOGLETRANSLATE(English!H800, ""en"", ""bg"")"),"помощ_за_домашно_задаване")</f>
        <v>помощ_за_домашно_задаване</v>
      </c>
    </row>
    <row r="801" spans="1:8" ht="13.2" x14ac:dyDescent="0.25">
      <c r="A801" s="1" t="str">
        <f ca="1">IFERROR(__xludf.DUMMYFUNCTION("GOOGLETRANSLATE(English!A801, ""en"", ""bg"")"),"conv_06961")</f>
        <v>conv_06961</v>
      </c>
      <c r="B801" s="1" t="str">
        <f ca="1">IFERROR(__xludf.DUMMYFUNCTION("GOOGLETRANSLATE(English!B801, ""en"", ""bg"")"),"биология")</f>
        <v>биология</v>
      </c>
      <c r="C801" s="1" t="str">
        <f ca="1">IFERROR(__xludf.DUMMYFUNCTION("GOOGLETRANSLATE(English!C801, ""en"", ""bg"")"),"средата")</f>
        <v>средата</v>
      </c>
      <c r="D801" s="1" t="str">
        <f ca="1">IFERROR(__xludf.DUMMYFUNCTION("GOOGLETRANSLATE(English!D801, ""en"", ""bg"")"),"фотосинтеза")</f>
        <v>фотосинтеза</v>
      </c>
      <c r="E801" s="1" t="str">
        <f ca="1">IFERROR(__xludf.DUMMYFUNCTION("GOOGLETRANSLATE(English!E801, ""en"", ""bg"")"),"Здравей, преподавателю! Как работи фотосинтезата?")</f>
        <v>Здравей, преподавателю! Как работи фотосинтезата?</v>
      </c>
      <c r="F801" s="1" t="str">
        <f ca="1">IFERROR(__xludf.DUMMYFUNCTION("GOOGLETRANSLATE(English!F801,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801" s="1" t="str">
        <f ca="1">IFERROR(__xludf.DUMMYFUNCTION("GOOGLETRANSLATE(English!G801, ""en"", ""bg"")"),"разговор")</f>
        <v>разговор</v>
      </c>
      <c r="H801" s="1" t="str">
        <f ca="1">IFERROR(__xludf.DUMMYFUNCTION("GOOGLETRANSLATE(English!H801, ""en"", ""bg"")"),"образователна_помощ")</f>
        <v>образователна_помощ</v>
      </c>
    </row>
    <row r="802" spans="1:8" ht="13.2" x14ac:dyDescent="0.25">
      <c r="A802" s="1" t="str">
        <f ca="1">IFERROR(__xludf.DUMMYFUNCTION("GOOGLETRANSLATE(English!A802, ""en"", ""bg"")"),"hw_01897")</f>
        <v>hw_01897</v>
      </c>
      <c r="B802" s="1" t="str">
        <f ca="1">IFERROR(__xludf.DUMMYFUNCTION("GOOGLETRANSLATE(English!B802, ""en"", ""bg"")"),"физика")</f>
        <v>физика</v>
      </c>
      <c r="C802" s="1" t="str">
        <f ca="1">IFERROR(__xludf.DUMMYFUNCTION("GOOGLETRANSLATE(English!C802, ""en"", ""bg"")"),"елементарен")</f>
        <v>елементарен</v>
      </c>
      <c r="D802" s="1" t="str">
        <f ca="1">IFERROR(__xludf.DUMMYFUNCTION("GOOGLETRANSLATE(English!D802, ""en"", ""bg"")"),"бутане и дърпане")</f>
        <v>бутане и дърпане</v>
      </c>
      <c r="E802" s="1" t="str">
        <f ca="1">IFERROR(__xludf.DUMMYFUNCTION("GOOGLETRANSLATE(English!E802, ""en"", ""bg"")"),"Можеш ли да решиш тази задача с бутане и дърпане с мен?")</f>
        <v>Можеш ли да решиш тази задача с бутане и дърпане с мен?</v>
      </c>
      <c r="F802" s="1" t="str">
        <f ca="1">IFERROR(__xludf.DUMMYFUNCTION("GOOGLETRANSLATE(English!F802,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802" s="1" t="str">
        <f ca="1">IFERROR(__xludf.DUMMYFUNCTION("GOOGLETRANSLATE(English!G802, ""en"", ""bg"")"),"помощ_за_домашно_изпълнение")</f>
        <v>помощ_за_домашно_изпълнение</v>
      </c>
      <c r="H802" s="1" t="str">
        <f ca="1">IFERROR(__xludf.DUMMYFUNCTION("GOOGLETRANSLATE(English!H802, ""en"", ""bg"")"),"помощ_за_домашно_задаване")</f>
        <v>помощ_за_домашно_задаване</v>
      </c>
    </row>
    <row r="803" spans="1:8" ht="13.2" x14ac:dyDescent="0.25">
      <c r="A803" s="1" t="str">
        <f ca="1">IFERROR(__xludf.DUMMYFUNCTION("GOOGLETRANSLATE(English!A803, ""en"", ""bg"")"),"hw_13284")</f>
        <v>hw_13284</v>
      </c>
      <c r="B803" s="1" t="str">
        <f ca="1">IFERROR(__xludf.DUMMYFUNCTION("GOOGLETRANSLATE(English!B803, ""en"", ""bg"")"),"биология")</f>
        <v>биология</v>
      </c>
      <c r="C803" s="1" t="str">
        <f ca="1">IFERROR(__xludf.DUMMYFUNCTION("GOOGLETRANSLATE(English!C803, ""en"", ""bg"")"),"високо")</f>
        <v>високо</v>
      </c>
      <c r="D803" s="1" t="str">
        <f ca="1">IFERROR(__xludf.DUMMYFUNCTION("GOOGLETRANSLATE(English!D803, ""en"", ""bg"")"),"модели на наследяване")</f>
        <v>модели на наследяване</v>
      </c>
      <c r="E803" s="1" t="str">
        <f ca="1">IFERROR(__xludf.DUMMYFUNCTION("GOOGLETRANSLATE(English!E803,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803" s="1" t="str">
        <f ca="1">IFERROR(__xludf.DUMMYFUNCTION("GOOGLETRANSLATE(English!F803,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803" s="1" t="str">
        <f ca="1">IFERROR(__xludf.DUMMYFUNCTION("GOOGLETRANSLATE(English!G803, ""en"", ""bg"")"),"помощ_за_домашно_изпълнение")</f>
        <v>помощ_за_домашно_изпълнение</v>
      </c>
      <c r="H803" s="1" t="str">
        <f ca="1">IFERROR(__xludf.DUMMYFUNCTION("GOOGLETRANSLATE(English!H803, ""en"", ""bg"")"),"помощ_за_домашно_задаване")</f>
        <v>помощ_за_домашно_задаване</v>
      </c>
    </row>
    <row r="804" spans="1:8" ht="13.2" x14ac:dyDescent="0.25">
      <c r="A804" s="1" t="str">
        <f ca="1">IFERROR(__xludf.DUMMYFUNCTION("GOOGLETRANSLATE(English!A804, ""en"", ""bg"")"),"conv_00770")</f>
        <v>conv_00770</v>
      </c>
      <c r="B804" s="1" t="str">
        <f ca="1">IFERROR(__xludf.DUMMYFUNCTION("GOOGLETRANSLATE(English!B804, ""en"", ""bg"")"),"химия")</f>
        <v>химия</v>
      </c>
      <c r="C804" s="1" t="str">
        <f ca="1">IFERROR(__xludf.DUMMYFUNCTION("GOOGLETRANSLATE(English!C804, ""en"", ""bg"")"),"средата")</f>
        <v>средата</v>
      </c>
      <c r="D804" s="1" t="str">
        <f ca="1">IFERROR(__xludf.DUMMYFUNCTION("GOOGLETRANSLATE(English!D804, ""en"", ""bg"")"),"атоми и молекули")</f>
        <v>атоми и молекули</v>
      </c>
      <c r="E804" s="1" t="str">
        <f ca="1">IFERROR(__xludf.DUMMYFUNCTION("GOOGLETRANSLATE(English!E804, ""en"", ""bg"")"),"Не разбирам тази тема. Защо атомите се свързват?")</f>
        <v>Не разбирам тази тема. Защо атомите се свързват?</v>
      </c>
      <c r="F804" s="1" t="str">
        <f ca="1">IFERROR(__xludf.DUMMYFUNCTION("GOOGLETRANSLATE(English!F804,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804" s="1" t="str">
        <f ca="1">IFERROR(__xludf.DUMMYFUNCTION("GOOGLETRANSLATE(English!G804, ""en"", ""bg"")"),"разговор")</f>
        <v>разговор</v>
      </c>
      <c r="H804" s="1" t="str">
        <f ca="1">IFERROR(__xludf.DUMMYFUNCTION("GOOGLETRANSLATE(English!H804, ""en"", ""bg"")"),"образователна_помощ")</f>
        <v>образователна_помощ</v>
      </c>
    </row>
    <row r="805" spans="1:8" ht="13.2" x14ac:dyDescent="0.25">
      <c r="A805" s="1" t="str">
        <f ca="1">IFERROR(__xludf.DUMMYFUNCTION("GOOGLETRANSLATE(English!A805, ""en"", ""bg"")"),"hw_12487")</f>
        <v>hw_12487</v>
      </c>
      <c r="B805" s="1" t="str">
        <f ca="1">IFERROR(__xludf.DUMMYFUNCTION("GOOGLETRANSLATE(English!B805, ""en"", ""bg"")"),"физика")</f>
        <v>физика</v>
      </c>
      <c r="C805" s="1" t="str">
        <f ca="1">IFERROR(__xludf.DUMMYFUNCTION("GOOGLETRANSLATE(English!C805, ""en"", ""bg"")"),"средата")</f>
        <v>средата</v>
      </c>
      <c r="D805" s="1" t="str">
        <f ca="1">IFERROR(__xludf.DUMMYFUNCTION("GOOGLETRANSLATE(English!D805, ""en"", ""bg"")"),"основи на електричеството")</f>
        <v>основи на електричеството</v>
      </c>
      <c r="E805" s="1" t="str">
        <f ca="1">IFERROR(__xludf.DUMMYFUNCTION("GOOGLETRANSLATE(English!E805, ""en"", ""bg"")"),"Заседнал съм с този проблем с основите на електричеството. Можете ли да помогнете?")</f>
        <v>Заседнал съм с този проблем с основите на електричеството. Можете ли да помогнете?</v>
      </c>
      <c r="F805" s="1" t="str">
        <f ca="1">IFERROR(__xludf.DUMMYFUNCTION("GOOGLETRANSLATE(English!F805,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805" s="1" t="str">
        <f ca="1">IFERROR(__xludf.DUMMYFUNCTION("GOOGLETRANSLATE(English!G805, ""en"", ""bg"")"),"помощ_за_домашно_изпълнение")</f>
        <v>помощ_за_домашно_изпълнение</v>
      </c>
      <c r="H805" s="1" t="str">
        <f ca="1">IFERROR(__xludf.DUMMYFUNCTION("GOOGLETRANSLATE(English!H805, ""en"", ""bg"")"),"помощ_за_домашно_задаване")</f>
        <v>помощ_за_домашно_задаване</v>
      </c>
    </row>
    <row r="806" spans="1:8" ht="13.2" x14ac:dyDescent="0.25">
      <c r="A806" s="1" t="str">
        <f ca="1">IFERROR(__xludf.DUMMYFUNCTION("GOOGLETRANSLATE(English!A806, ""en"", ""bg"")"),"hw_10664")</f>
        <v>hw_10664</v>
      </c>
      <c r="B806" s="1" t="str">
        <f ca="1">IFERROR(__xludf.DUMMYFUNCTION("GOOGLETRANSLATE(English!B806, ""en"", ""bg"")"),"химия")</f>
        <v>химия</v>
      </c>
      <c r="C806" s="1" t="str">
        <f ca="1">IFERROR(__xludf.DUMMYFUNCTION("GOOGLETRANSLATE(English!C806, ""en"", ""bg"")"),"високо")</f>
        <v>високо</v>
      </c>
      <c r="D806" s="1" t="str">
        <f ca="1">IFERROR(__xludf.DUMMYFUNCTION("GOOGLETRANSLATE(English!D806, ""en"", ""bg"")"),"електрохимия")</f>
        <v>електрохимия</v>
      </c>
      <c r="E806" s="1" t="str">
        <f ca="1">IFERROR(__xludf.DUMMYFUNCTION("GOOGLETRANSLATE(English!E806, ""en"", ""bg"")"),"Имам затруднения с електрохимията в домашното си.")</f>
        <v>Имам затруднения с електрохимията в домашното си.</v>
      </c>
      <c r="F806" s="1" t="str">
        <f ca="1">IFERROR(__xludf.DUMMYFUNCTION("GOOGLETRANSLATE(English!F806,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806" s="1" t="str">
        <f ca="1">IFERROR(__xludf.DUMMYFUNCTION("GOOGLETRANSLATE(English!G806, ""en"", ""bg"")"),"помощ_за_домашно_изпълнение")</f>
        <v>помощ_за_домашно_изпълнение</v>
      </c>
      <c r="H806" s="1" t="str">
        <f ca="1">IFERROR(__xludf.DUMMYFUNCTION("GOOGLETRANSLATE(English!H806, ""en"", ""bg"")"),"помощ_за_домашно_задаване")</f>
        <v>помощ_за_домашно_задаване</v>
      </c>
    </row>
    <row r="807" spans="1:8" ht="13.2" x14ac:dyDescent="0.25">
      <c r="A807" s="1" t="str">
        <f ca="1">IFERROR(__xludf.DUMMYFUNCTION("GOOGLETRANSLATE(English!A807, ""en"", ""bg"")"),"hw_04189")</f>
        <v>hw_04189</v>
      </c>
      <c r="B807" s="1" t="str">
        <f ca="1">IFERROR(__xludf.DUMMYFUNCTION("GOOGLETRANSLATE(English!B807, ""en"", ""bg"")"),"физика")</f>
        <v>физика</v>
      </c>
      <c r="C807" s="1" t="str">
        <f ca="1">IFERROR(__xludf.DUMMYFUNCTION("GOOGLETRANSLATE(English!C807, ""en"", ""bg"")"),"елементарен")</f>
        <v>елементарен</v>
      </c>
      <c r="D807" s="1" t="str">
        <f ca="1">IFERROR(__xludf.DUMMYFUNCTION("GOOGLETRANSLATE(English!D807, ""en"", ""bg"")"),"магнити")</f>
        <v>магнити</v>
      </c>
      <c r="E807" s="1" t="str">
        <f ca="1">IFERROR(__xludf.DUMMYFUNCTION("GOOGLETRANSLATE(English!E807, ""en"", ""bg"")"),"Трябва да разбера какво представляват магнитите за изпита си.")</f>
        <v>Трябва да разбера какво представляват магнитите за изпита си.</v>
      </c>
      <c r="F807" s="1" t="str">
        <f ca="1">IFERROR(__xludf.DUMMYFUNCTION("GOOGLETRANSLATE(English!F807,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807" s="1" t="str">
        <f ca="1">IFERROR(__xludf.DUMMYFUNCTION("GOOGLETRANSLATE(English!G807, ""en"", ""bg"")"),"помощ_за_домашно_изпълнение")</f>
        <v>помощ_за_домашно_изпълнение</v>
      </c>
      <c r="H807" s="1" t="str">
        <f ca="1">IFERROR(__xludf.DUMMYFUNCTION("GOOGLETRANSLATE(English!H807, ""en"", ""bg"")"),"помощ_за_домашно_задаване")</f>
        <v>помощ_за_домашно_задаване</v>
      </c>
    </row>
    <row r="808" spans="1:8" ht="13.2" x14ac:dyDescent="0.25">
      <c r="A808" s="1" t="str">
        <f ca="1">IFERROR(__xludf.DUMMYFUNCTION("GOOGLETRANSLATE(English!A808, ""en"", ""bg"")"),"conv_03558")</f>
        <v>conv_03558</v>
      </c>
      <c r="B808" s="1" t="str">
        <f ca="1">IFERROR(__xludf.DUMMYFUNCTION("GOOGLETRANSLATE(English!B808, ""en"", ""bg"")"),"биология")</f>
        <v>биология</v>
      </c>
      <c r="C808" s="1" t="str">
        <f ca="1">IFERROR(__xludf.DUMMYFUNCTION("GOOGLETRANSLATE(English!C808, ""en"", ""bg"")"),"средата")</f>
        <v>средата</v>
      </c>
      <c r="D808" s="1" t="str">
        <f ca="1">IFERROR(__xludf.DUMMYFUNCTION("GOOGLETRANSLATE(English!D808, ""en"", ""bg"")"),"екосистеми")</f>
        <v>екосистеми</v>
      </c>
      <c r="E808" s="1" t="str">
        <f ca="1">IFERROR(__xludf.DUMMYFUNCTION("GOOGLETRANSLATE(English!E808, ""en"", ""bg"")"),"Можете ли да ми помогнете? Какво е важно да знаем за екосистемите?")</f>
        <v>Можете ли да ми помогнете? Какво е важно да знаем за екосистемите?</v>
      </c>
      <c r="F808" s="1" t="str">
        <f ca="1">IFERROR(__xludf.DUMMYFUNCTION("GOOGLETRANSLATE(English!F808,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808" s="1" t="str">
        <f ca="1">IFERROR(__xludf.DUMMYFUNCTION("GOOGLETRANSLATE(English!G808, ""en"", ""bg"")"),"разговор")</f>
        <v>разговор</v>
      </c>
      <c r="H808" s="1" t="str">
        <f ca="1">IFERROR(__xludf.DUMMYFUNCTION("GOOGLETRANSLATE(English!H808, ""en"", ""bg"")"),"образователна_помощ")</f>
        <v>образователна_помощ</v>
      </c>
    </row>
    <row r="809" spans="1:8" ht="13.2" x14ac:dyDescent="0.25">
      <c r="A809" s="1" t="str">
        <f ca="1">IFERROR(__xludf.DUMMYFUNCTION("GOOGLETRANSLATE(English!A809, ""en"", ""bg"")"),"conv_07844")</f>
        <v>conv_07844</v>
      </c>
      <c r="B809" s="1" t="str">
        <f ca="1">IFERROR(__xludf.DUMMYFUNCTION("GOOGLETRANSLATE(English!B809, ""en"", ""bg"")"),"химия")</f>
        <v>химия</v>
      </c>
      <c r="C809" s="1" t="str">
        <f ca="1">IFERROR(__xludf.DUMMYFUNCTION("GOOGLETRANSLATE(English!C809, ""en"", ""bg"")"),"елементарен")</f>
        <v>елементарен</v>
      </c>
      <c r="D809" s="1" t="str">
        <f ca="1">IFERROR(__xludf.DUMMYFUNCTION("GOOGLETRANSLATE(English!D809, ""en"", ""bg"")"),"разтваряне")</f>
        <v>разтваряне</v>
      </c>
      <c r="E809" s="1" t="str">
        <f ca="1">IFERROR(__xludf.DUMMYFUNCTION("GOOGLETRANSLATE(English!E809, ""en"", ""bg"")"),"Помогнете ми да уча за теста. Как работи разтварянето в химията?")</f>
        <v>Помогнете ми да уча за теста. Как работи разтварянето в химията?</v>
      </c>
      <c r="F809" s="1" t="str">
        <f ca="1">IFERROR(__xludf.DUMMYFUNCTION("GOOGLETRANSLATE(English!F809,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809" s="1" t="str">
        <f ca="1">IFERROR(__xludf.DUMMYFUNCTION("GOOGLETRANSLATE(English!G809, ""en"", ""bg"")"),"разговор")</f>
        <v>разговор</v>
      </c>
      <c r="H809" s="1" t="str">
        <f ca="1">IFERROR(__xludf.DUMMYFUNCTION("GOOGLETRANSLATE(English!H809, ""en"", ""bg"")"),"образователна_помощ")</f>
        <v>образователна_помощ</v>
      </c>
    </row>
    <row r="810" spans="1:8" ht="13.2" x14ac:dyDescent="0.25">
      <c r="A810" s="1" t="str">
        <f ca="1">IFERROR(__xludf.DUMMYFUNCTION("GOOGLETRANSLATE(English!A810, ""en"", ""bg"")"),"qa_10182")</f>
        <v>qa_10182</v>
      </c>
      <c r="B810" s="1" t="str">
        <f ca="1">IFERROR(__xludf.DUMMYFUNCTION("GOOGLETRANSLATE(English!B810, ""en"", ""bg"")"),"биология")</f>
        <v>биология</v>
      </c>
      <c r="C810" s="1" t="str">
        <f ca="1">IFERROR(__xludf.DUMMYFUNCTION("GOOGLETRANSLATE(English!C810, ""en"", ""bg"")"),"средата")</f>
        <v>средата</v>
      </c>
      <c r="D810" s="1" t="str">
        <f ca="1">IFERROR(__xludf.DUMMYFUNCTION("GOOGLETRANSLATE(English!D810, ""en"", ""bg"")"),"размножаване")</f>
        <v>размножаване</v>
      </c>
      <c r="E810" s="1" t="str">
        <f ca="1">IFERROR(__xludf.DUMMYFUNCTION("GOOGLETRANSLATE(English!E810, ""en"", ""bg"")"),"Защо размножаването е важно в биологията?")</f>
        <v>Защо размножаването е важно в биологията?</v>
      </c>
      <c r="F810" s="1" t="str">
        <f ca="1">IFERROR(__xludf.DUMMYFUNCTION("GOOGLETRANSLATE(English!F810,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810" s="1" t="str">
        <f ca="1">IFERROR(__xludf.DUMMYFUNCTION("GOOGLETRANSLATE(English!G810, ""en"", ""bg"")"),"direct_qa")</f>
        <v>direct_qa</v>
      </c>
      <c r="H810" s="1" t="str">
        <f ca="1">IFERROR(__xludf.DUMMYFUNCTION("GOOGLETRANSLATE(English!H810, ""en"", ""bg"")"),"заявка_за_знание")</f>
        <v>заявка_за_знание</v>
      </c>
    </row>
    <row r="811" spans="1:8" ht="13.2" x14ac:dyDescent="0.25">
      <c r="A811" s="1" t="str">
        <f ca="1">IFERROR(__xludf.DUMMYFUNCTION("GOOGLETRANSLATE(English!A811, ""en"", ""bg"")"),"qa_03254")</f>
        <v>qa_03254</v>
      </c>
      <c r="B811" s="1" t="str">
        <f ca="1">IFERROR(__xludf.DUMMYFUNCTION("GOOGLETRANSLATE(English!B811, ""en"", ""bg"")"),"химия")</f>
        <v>химия</v>
      </c>
      <c r="C811" s="1" t="str">
        <f ca="1">IFERROR(__xludf.DUMMYFUNCTION("GOOGLETRANSLATE(English!C811, ""en"", ""bg"")"),"високо")</f>
        <v>високо</v>
      </c>
      <c r="D811" s="1" t="str">
        <f ca="1">IFERROR(__xludf.DUMMYFUNCTION("GOOGLETRANSLATE(English!D811, ""en"", ""bg"")"),"химическо свързване")</f>
        <v>химическо свързване</v>
      </c>
      <c r="E811" s="1" t="str">
        <f ca="1">IFERROR(__xludf.DUMMYFUNCTION("GOOGLETRANSLATE(English!E811, ""en"", ""bg"")"),"Можете ли да ми помогнете да разбера какво представлява химичната връзка?")</f>
        <v>Можете ли да ми помогнете да разбера какво представлява химичната връзка?</v>
      </c>
      <c r="F811" s="1" t="str">
        <f ca="1">IFERROR(__xludf.DUMMYFUNCTION("GOOGLETRANSLATE(English!F811,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811" s="1" t="str">
        <f ca="1">IFERROR(__xludf.DUMMYFUNCTION("GOOGLETRANSLATE(English!G811, ""en"", ""bg"")"),"direct_qa")</f>
        <v>direct_qa</v>
      </c>
      <c r="H811" s="1" t="str">
        <f ca="1">IFERROR(__xludf.DUMMYFUNCTION("GOOGLETRANSLATE(English!H811, ""en"", ""bg"")"),"заявка_за_знание")</f>
        <v>заявка_за_знание</v>
      </c>
    </row>
    <row r="812" spans="1:8" ht="13.2" x14ac:dyDescent="0.25">
      <c r="A812" s="1" t="str">
        <f ca="1">IFERROR(__xludf.DUMMYFUNCTION("GOOGLETRANSLATE(English!A812, ""en"", ""bg"")"),"conv_08597")</f>
        <v>conv_08597</v>
      </c>
      <c r="B812" s="1" t="str">
        <f ca="1">IFERROR(__xludf.DUMMYFUNCTION("GOOGLETRANSLATE(English!B812, ""en"", ""bg"")"),"физика")</f>
        <v>физика</v>
      </c>
      <c r="C812" s="1" t="str">
        <f ca="1">IFERROR(__xludf.DUMMYFUNCTION("GOOGLETRANSLATE(English!C812, ""en"", ""bg"")"),"елементарен")</f>
        <v>елементарен</v>
      </c>
      <c r="D812" s="1" t="str">
        <f ca="1">IFERROR(__xludf.DUMMYFUNCTION("GOOGLETRANSLATE(English!D812, ""en"", ""bg"")"),"горещо и студено")</f>
        <v>горещо и студено</v>
      </c>
      <c r="E812" s="1" t="str">
        <f ca="1">IFERROR(__xludf.DUMMYFUNCTION("GOOGLETRANSLATE(English!E812, ""en"", ""bg"")"),"Не разбирам тази тема. Защо топлото и студеното са важни?")</f>
        <v>Не разбирам тази тема. Защо топлото и студеното са важни?</v>
      </c>
      <c r="F812" s="1" t="str">
        <f ca="1">IFERROR(__xludf.DUMMYFUNCTION("GOOGLETRANSLATE(English!F812,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812" s="1" t="str">
        <f ca="1">IFERROR(__xludf.DUMMYFUNCTION("GOOGLETRANSLATE(English!G812, ""en"", ""bg"")"),"разговор")</f>
        <v>разговор</v>
      </c>
      <c r="H812" s="1" t="str">
        <f ca="1">IFERROR(__xludf.DUMMYFUNCTION("GOOGLETRANSLATE(English!H812, ""en"", ""bg"")"),"образователна_помощ")</f>
        <v>образователна_помощ</v>
      </c>
    </row>
    <row r="813" spans="1:8" ht="13.2" x14ac:dyDescent="0.25">
      <c r="A813" s="1" t="str">
        <f ca="1">IFERROR(__xludf.DUMMYFUNCTION("GOOGLETRANSLATE(English!A813, ""en"", ""bg"")"),"hw_02744")</f>
        <v>hw_02744</v>
      </c>
      <c r="B813" s="1" t="str">
        <f ca="1">IFERROR(__xludf.DUMMYFUNCTION("GOOGLETRANSLATE(English!B813, ""en"", ""bg"")"),"физика")</f>
        <v>физика</v>
      </c>
      <c r="C813" s="1" t="str">
        <f ca="1">IFERROR(__xludf.DUMMYFUNCTION("GOOGLETRANSLATE(English!C813, ""en"", ""bg"")"),"елементарен")</f>
        <v>елементарен</v>
      </c>
      <c r="D813" s="1" t="str">
        <f ca="1">IFERROR(__xludf.DUMMYFUNCTION("GOOGLETRANSLATE(English!D813, ""en"", ""bg"")"),"звук")</f>
        <v>звук</v>
      </c>
      <c r="E813" s="1" t="str">
        <f ca="1">IFERROR(__xludf.DUMMYFUNCTION("GOOGLETRANSLATE(English!E813,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813" s="1" t="str">
        <f ca="1">IFERROR(__xludf.DUMMYFUNCTION("GOOGLETRANSLATE(English!F813,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813" s="1" t="str">
        <f ca="1">IFERROR(__xludf.DUMMYFUNCTION("GOOGLETRANSLATE(English!G813, ""en"", ""bg"")"),"помощ_за_домашно_изпълнение")</f>
        <v>помощ_за_домашно_изпълнение</v>
      </c>
      <c r="H813" s="1" t="str">
        <f ca="1">IFERROR(__xludf.DUMMYFUNCTION("GOOGLETRANSLATE(English!H813, ""en"", ""bg"")"),"помощ_за_домашно_задаване")</f>
        <v>помощ_за_домашно_задаване</v>
      </c>
    </row>
    <row r="814" spans="1:8" ht="13.2" x14ac:dyDescent="0.25">
      <c r="A814" s="1" t="str">
        <f ca="1">IFERROR(__xludf.DUMMYFUNCTION("GOOGLETRANSLATE(English!A814, ""en"", ""bg"")"),"conv_08473")</f>
        <v>conv_08473</v>
      </c>
      <c r="B814" s="1" t="str">
        <f ca="1">IFERROR(__xludf.DUMMYFUNCTION("GOOGLETRANSLATE(English!B814, ""en"", ""bg"")"),"физика")</f>
        <v>физика</v>
      </c>
      <c r="C814" s="1" t="str">
        <f ca="1">IFERROR(__xludf.DUMMYFUNCTION("GOOGLETRANSLATE(English!C814, ""en"", ""bg"")"),"средата")</f>
        <v>средата</v>
      </c>
      <c r="D814" s="1" t="str">
        <f ca="1">IFERROR(__xludf.DUMMYFUNCTION("GOOGLETRANSLATE(English!D814, ""en"", ""bg"")"),"прости схеми")</f>
        <v>прости схеми</v>
      </c>
      <c r="E814" s="1" t="str">
        <f ca="1">IFERROR(__xludf.DUMMYFUNCTION("GOOGLETRANSLATE(English!E814, ""en"", ""bg"")"),"Имам нужда от помощ с домашното. Защо простите електрически вериги са важни?")</f>
        <v>Имам нужда от помощ с домашното. Защо простите електрически вериги са важни?</v>
      </c>
      <c r="F814" s="1" t="str">
        <f ca="1">IFERROR(__xludf.DUMMYFUNCTION("GOOGLETRANSLATE(English!F814,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814" s="1" t="str">
        <f ca="1">IFERROR(__xludf.DUMMYFUNCTION("GOOGLETRANSLATE(English!G814, ""en"", ""bg"")"),"разговор")</f>
        <v>разговор</v>
      </c>
      <c r="H814" s="1" t="str">
        <f ca="1">IFERROR(__xludf.DUMMYFUNCTION("GOOGLETRANSLATE(English!H814, ""en"", ""bg"")"),"образователна_помощ")</f>
        <v>образователна_помощ</v>
      </c>
    </row>
    <row r="815" spans="1:8" ht="13.2" x14ac:dyDescent="0.25">
      <c r="A815" s="1" t="str">
        <f ca="1">IFERROR(__xludf.DUMMYFUNCTION("GOOGLETRANSLATE(English!A815, ""en"", ""bg"")"),"hw_10706")</f>
        <v>hw_10706</v>
      </c>
      <c r="B815" s="1" t="str">
        <f ca="1">IFERROR(__xludf.DUMMYFUNCTION("GOOGLETRANSLATE(English!B815, ""en"", ""bg"")"),"биология")</f>
        <v>биология</v>
      </c>
      <c r="C815" s="1" t="str">
        <f ca="1">IFERROR(__xludf.DUMMYFUNCTION("GOOGLETRANSLATE(English!C815, ""en"", ""bg"")"),"високо")</f>
        <v>високо</v>
      </c>
      <c r="D815" s="1" t="str">
        <f ca="1">IFERROR(__xludf.DUMMYFUNCTION("GOOGLETRANSLATE(English!D815, ""en"", ""bg"")"),"модели на наследяване")</f>
        <v>модели на наследяване</v>
      </c>
      <c r="E815" s="1" t="str">
        <f ca="1">IFERROR(__xludf.DUMMYFUNCTION("GOOGLETRANSLATE(English!E815,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815" s="1" t="str">
        <f ca="1">IFERROR(__xludf.DUMMYFUNCTION("GOOGLETRANSLATE(English!F815,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815" s="1" t="str">
        <f ca="1">IFERROR(__xludf.DUMMYFUNCTION("GOOGLETRANSLATE(English!G815, ""en"", ""bg"")"),"помощ_за_домашно_изпълнение")</f>
        <v>помощ_за_домашно_изпълнение</v>
      </c>
      <c r="H815" s="1" t="str">
        <f ca="1">IFERROR(__xludf.DUMMYFUNCTION("GOOGLETRANSLATE(English!H815, ""en"", ""bg"")"),"помощ_за_домашно_задаване")</f>
        <v>помощ_за_домашно_задаване</v>
      </c>
    </row>
    <row r="816" spans="1:8" ht="13.2" x14ac:dyDescent="0.25">
      <c r="A816" s="1" t="str">
        <f ca="1">IFERROR(__xludf.DUMMYFUNCTION("GOOGLETRANSLATE(English!A816, ""en"", ""bg"")"),"conv_06657")</f>
        <v>conv_06657</v>
      </c>
      <c r="B816" s="1" t="str">
        <f ca="1">IFERROR(__xludf.DUMMYFUNCTION("GOOGLETRANSLATE(English!B816, ""en"", ""bg"")"),"биология")</f>
        <v>биология</v>
      </c>
      <c r="C816" s="1" t="str">
        <f ca="1">IFERROR(__xludf.DUMMYFUNCTION("GOOGLETRANSLATE(English!C816, ""en"", ""bg"")"),"елементарен")</f>
        <v>елементарен</v>
      </c>
      <c r="D816" s="1" t="str">
        <f ca="1">IFERROR(__xludf.DUMMYFUNCTION("GOOGLETRANSLATE(English!D816, ""en"", ""bg"")"),"сетива")</f>
        <v>сетива</v>
      </c>
      <c r="E816" s="1" t="str">
        <f ca="1">IFERROR(__xludf.DUMMYFUNCTION("GOOGLETRANSLATE(English!E816, ""en"", ""bg"")"),"Можете ли да ми помогнете? Можете ли да ми разкажете за сетивата?")</f>
        <v>Можете ли да ми помогнете? Можете ли да ми разкажете за сетивата?</v>
      </c>
      <c r="F816" s="1" t="str">
        <f ca="1">IFERROR(__xludf.DUMMYFUNCTION("GOOGLETRANSLATE(English!F816,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816" s="1" t="str">
        <f ca="1">IFERROR(__xludf.DUMMYFUNCTION("GOOGLETRANSLATE(English!G816, ""en"", ""bg"")"),"разговор")</f>
        <v>разговор</v>
      </c>
      <c r="H816" s="1" t="str">
        <f ca="1">IFERROR(__xludf.DUMMYFUNCTION("GOOGLETRANSLATE(English!H816, ""en"", ""bg"")"),"образователна_помощ")</f>
        <v>образователна_помощ</v>
      </c>
    </row>
    <row r="817" spans="1:8" ht="13.2" x14ac:dyDescent="0.25">
      <c r="A817" s="1" t="str">
        <f ca="1">IFERROR(__xludf.DUMMYFUNCTION("GOOGLETRANSLATE(English!A817, ""en"", ""bg"")"),"qa_07175")</f>
        <v>qa_07175</v>
      </c>
      <c r="B817" s="1" t="str">
        <f ca="1">IFERROR(__xludf.DUMMYFUNCTION("GOOGLETRANSLATE(English!B817, ""en"", ""bg"")"),"химия")</f>
        <v>химия</v>
      </c>
      <c r="C817" s="1" t="str">
        <f ca="1">IFERROR(__xludf.DUMMYFUNCTION("GOOGLETRANSLATE(English!C817, ""en"", ""bg"")"),"средата")</f>
        <v>средата</v>
      </c>
      <c r="D817" s="1" t="str">
        <f ca="1">IFERROR(__xludf.DUMMYFUNCTION("GOOGLETRANSLATE(English!D817, ""en"", ""bg"")"),"киселини и основи")</f>
        <v>киселини и основи</v>
      </c>
      <c r="E817" s="1" t="str">
        <f ca="1">IFERROR(__xludf.DUMMYFUNCTION("GOOGLETRANSLATE(English!E817, ""en"", ""bg"")"),"Защо е важно да се изучават киселини и основи?")</f>
        <v>Защо е важно да се изучават киселини и основи?</v>
      </c>
      <c r="F817" s="1" t="str">
        <f ca="1">IFERROR(__xludf.DUMMYFUNCTION("GOOGLETRANSLATE(English!F817,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817" s="1" t="str">
        <f ca="1">IFERROR(__xludf.DUMMYFUNCTION("GOOGLETRANSLATE(English!G817, ""en"", ""bg"")"),"direct_qa")</f>
        <v>direct_qa</v>
      </c>
      <c r="H817" s="1" t="str">
        <f ca="1">IFERROR(__xludf.DUMMYFUNCTION("GOOGLETRANSLATE(English!H817, ""en"", ""bg"")"),"заявка_за_знание")</f>
        <v>заявка_за_знание</v>
      </c>
    </row>
    <row r="818" spans="1:8" ht="13.2" x14ac:dyDescent="0.25">
      <c r="A818" s="1" t="str">
        <f ca="1">IFERROR(__xludf.DUMMYFUNCTION("GOOGLETRANSLATE(English!A818, ""en"", ""bg"")"),"conv_10396")</f>
        <v>conv_10396</v>
      </c>
      <c r="B818" s="1" t="str">
        <f ca="1">IFERROR(__xludf.DUMMYFUNCTION("GOOGLETRANSLATE(English!B818, ""en"", ""bg"")"),"физика")</f>
        <v>физика</v>
      </c>
      <c r="C818" s="1" t="str">
        <f ca="1">IFERROR(__xludf.DUMMYFUNCTION("GOOGLETRANSLATE(English!C818, ""en"", ""bg"")"),"елементарен")</f>
        <v>елементарен</v>
      </c>
      <c r="D818" s="1" t="str">
        <f ca="1">IFERROR(__xludf.DUMMYFUNCTION("GOOGLETRANSLATE(English!D818, ""en"", ""bg"")"),"звук")</f>
        <v>звук</v>
      </c>
      <c r="E818" s="1" t="str">
        <f ca="1">IFERROR(__xludf.DUMMYFUNCTION("GOOGLETRANSLATE(English!E818, ""en"", ""bg"")"),"Можете ли да ми помогнете? Какво трябва да знам за звука?")</f>
        <v>Можете ли да ми помогнете? Какво трябва да знам за звука?</v>
      </c>
      <c r="F818" s="1" t="str">
        <f ca="1">IFERROR(__xludf.DUMMYFUNCTION("GOOGLETRANSLATE(English!F818,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818" s="1" t="str">
        <f ca="1">IFERROR(__xludf.DUMMYFUNCTION("GOOGLETRANSLATE(English!G818, ""en"", ""bg"")"),"разговор")</f>
        <v>разговор</v>
      </c>
      <c r="H818" s="1" t="str">
        <f ca="1">IFERROR(__xludf.DUMMYFUNCTION("GOOGLETRANSLATE(English!H818, ""en"", ""bg"")"),"образователна_помощ")</f>
        <v>образователна_помощ</v>
      </c>
    </row>
    <row r="819" spans="1:8" ht="13.2" x14ac:dyDescent="0.25">
      <c r="A819" s="1" t="str">
        <f ca="1">IFERROR(__xludf.DUMMYFUNCTION("GOOGLETRANSLATE(English!A819, ""en"", ""bg"")"),"conv_05825")</f>
        <v>conv_05825</v>
      </c>
      <c r="B819" s="1" t="str">
        <f ca="1">IFERROR(__xludf.DUMMYFUNCTION("GOOGLETRANSLATE(English!B819, ""en"", ""bg"")"),"физика")</f>
        <v>физика</v>
      </c>
      <c r="C819" s="1" t="str">
        <f ca="1">IFERROR(__xludf.DUMMYFUNCTION("GOOGLETRANSLATE(English!C819, ""en"", ""bg"")"),"средата")</f>
        <v>средата</v>
      </c>
      <c r="D819" s="1" t="str">
        <f ca="1">IFERROR(__xludf.DUMMYFUNCTION("GOOGLETRANSLATE(English!D819, ""en"", ""bg"")"),"видове енергия")</f>
        <v>видове енергия</v>
      </c>
      <c r="E819" s="1" t="str">
        <f ca="1">IFERROR(__xludf.DUMMYFUNCTION("GOOGLETRANSLATE(English!E819, ""en"", ""bg"")"),"Не разбирам тази тема. Какво е потенциална енергия?")</f>
        <v>Не разбирам тази тема. Какво е потенциална енергия?</v>
      </c>
      <c r="F819" s="1" t="str">
        <f ca="1">IFERROR(__xludf.DUMMYFUNCTION("GOOGLETRANSLATE(English!F819,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819" s="1" t="str">
        <f ca="1">IFERROR(__xludf.DUMMYFUNCTION("GOOGLETRANSLATE(English!G819, ""en"", ""bg"")"),"разговор")</f>
        <v>разговор</v>
      </c>
      <c r="H819" s="1" t="str">
        <f ca="1">IFERROR(__xludf.DUMMYFUNCTION("GOOGLETRANSLATE(English!H819, ""en"", ""bg"")"),"образователна_помощ")</f>
        <v>образователна_помощ</v>
      </c>
    </row>
    <row r="820" spans="1:8" ht="13.2" x14ac:dyDescent="0.25">
      <c r="A820" s="1" t="str">
        <f ca="1">IFERROR(__xludf.DUMMYFUNCTION("GOOGLETRANSLATE(English!A820, ""en"", ""bg"")"),"conv_06948")</f>
        <v>conv_06948</v>
      </c>
      <c r="B820" s="1" t="str">
        <f ca="1">IFERROR(__xludf.DUMMYFUNCTION("GOOGLETRANSLATE(English!B820, ""en"", ""bg"")"),"физика")</f>
        <v>физика</v>
      </c>
      <c r="C820" s="1" t="str">
        <f ca="1">IFERROR(__xludf.DUMMYFUNCTION("GOOGLETRANSLATE(English!C820, ""en"", ""bg"")"),"елементарен")</f>
        <v>елементарен</v>
      </c>
      <c r="D820" s="1" t="str">
        <f ca="1">IFERROR(__xludf.DUMMYFUNCTION("GOOGLETRANSLATE(English!D820, ""en"", ""bg"")"),"магнити")</f>
        <v>магнити</v>
      </c>
      <c r="E820" s="1" t="str">
        <f ca="1">IFERROR(__xludf.DUMMYFUNCTION("GOOGLETRANSLATE(English!E820, ""en"", ""bg"")"),"Можете ли да ми обясните това? Кои са полюсите на магнита?")</f>
        <v>Можете ли да ми обясните това? Кои са полюсите на магнита?</v>
      </c>
      <c r="F820" s="1" t="str">
        <f ca="1">IFERROR(__xludf.DUMMYFUNCTION("GOOGLETRANSLATE(English!F820,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820" s="1" t="str">
        <f ca="1">IFERROR(__xludf.DUMMYFUNCTION("GOOGLETRANSLATE(English!G820, ""en"", ""bg"")"),"разговор")</f>
        <v>разговор</v>
      </c>
      <c r="H820" s="1" t="str">
        <f ca="1">IFERROR(__xludf.DUMMYFUNCTION("GOOGLETRANSLATE(English!H820, ""en"", ""bg"")"),"образователна_помощ")</f>
        <v>образователна_помощ</v>
      </c>
    </row>
    <row r="821" spans="1:8" ht="13.2" x14ac:dyDescent="0.25">
      <c r="A821" s="1" t="str">
        <f ca="1">IFERROR(__xludf.DUMMYFUNCTION("GOOGLETRANSLATE(English!A821, ""en"", ""bg"")"),"conv_09941")</f>
        <v>conv_09941</v>
      </c>
      <c r="B821" s="1" t="str">
        <f ca="1">IFERROR(__xludf.DUMMYFUNCTION("GOOGLETRANSLATE(English!B821, ""en"", ""bg"")"),"химия")</f>
        <v>химия</v>
      </c>
      <c r="C821" s="1" t="str">
        <f ca="1">IFERROR(__xludf.DUMMYFUNCTION("GOOGLETRANSLATE(English!C821, ""en"", ""bg"")"),"средата")</f>
        <v>средата</v>
      </c>
      <c r="D821" s="1" t="str">
        <f ca="1">IFERROR(__xludf.DUMMYFUNCTION("GOOGLETRANSLATE(English!D821, ""en"", ""bg"")"),"атоми и молекули")</f>
        <v>атоми и молекули</v>
      </c>
      <c r="E821" s="1" t="str">
        <f ca="1">IFERROR(__xludf.DUMMYFUNCTION("GOOGLETRANSLATE(English!E821, ""en"", ""bg"")"),"Помогнете ми да уча за теста си. Коя е най-малката част от един елемент?")</f>
        <v>Помогнете ми да уча за теста си. Коя е най-малката част от един елемент?</v>
      </c>
      <c r="F821" s="1" t="str">
        <f ca="1">IFERROR(__xludf.DUMMYFUNCTION("GOOGLETRANSLATE(English!F821,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821" s="1" t="str">
        <f ca="1">IFERROR(__xludf.DUMMYFUNCTION("GOOGLETRANSLATE(English!G821, ""en"", ""bg"")"),"разговор")</f>
        <v>разговор</v>
      </c>
      <c r="H821" s="1" t="str">
        <f ca="1">IFERROR(__xludf.DUMMYFUNCTION("GOOGLETRANSLATE(English!H821, ""en"", ""bg"")"),"образователна_помощ")</f>
        <v>образователна_помощ</v>
      </c>
    </row>
    <row r="822" spans="1:8" ht="13.2" x14ac:dyDescent="0.25">
      <c r="A822" s="1" t="str">
        <f ca="1">IFERROR(__xludf.DUMMYFUNCTION("GOOGLETRANSLATE(English!A822, ""en"", ""bg"")"),"qa_03086")</f>
        <v>qa_03086</v>
      </c>
      <c r="B822" s="1" t="str">
        <f ca="1">IFERROR(__xludf.DUMMYFUNCTION("GOOGLETRANSLATE(English!B822, ""en"", ""bg"")"),"химия")</f>
        <v>химия</v>
      </c>
      <c r="C822" s="1" t="str">
        <f ca="1">IFERROR(__xludf.DUMMYFUNCTION("GOOGLETRANSLATE(English!C822, ""en"", ""bg"")"),"високо")</f>
        <v>високо</v>
      </c>
      <c r="D822" s="1" t="str">
        <f ca="1">IFERROR(__xludf.DUMMYFUNCTION("GOOGLETRANSLATE(English!D822, ""en"", ""bg"")"),"електрохимия")</f>
        <v>електрохимия</v>
      </c>
      <c r="E822" s="1" t="str">
        <f ca="1">IFERROR(__xludf.DUMMYFUNCTION("GOOGLETRANSLATE(English!E822, ""en"", ""bg"")"),"Защо е важно да се учи електрохимия?")</f>
        <v>Защо е важно да се учи електрохимия?</v>
      </c>
      <c r="F822" s="1" t="str">
        <f ca="1">IFERROR(__xludf.DUMMYFUNCTION("GOOGLETRANSLATE(English!F822,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822" s="1" t="str">
        <f ca="1">IFERROR(__xludf.DUMMYFUNCTION("GOOGLETRANSLATE(English!G822, ""en"", ""bg"")"),"direct_qa")</f>
        <v>direct_qa</v>
      </c>
      <c r="H822" s="1" t="str">
        <f ca="1">IFERROR(__xludf.DUMMYFUNCTION("GOOGLETRANSLATE(English!H822, ""en"", ""bg"")"),"заявка_за_знание")</f>
        <v>заявка_за_знание</v>
      </c>
    </row>
    <row r="823" spans="1:8" ht="13.2" x14ac:dyDescent="0.25">
      <c r="A823" s="1" t="str">
        <f ca="1">IFERROR(__xludf.DUMMYFUNCTION("GOOGLETRANSLATE(English!A823, ""en"", ""bg"")"),"conv_13187")</f>
        <v>conv_13187</v>
      </c>
      <c r="B823" s="1" t="str">
        <f ca="1">IFERROR(__xludf.DUMMYFUNCTION("GOOGLETRANSLATE(English!B823, ""en"", ""bg"")"),"биология")</f>
        <v>биология</v>
      </c>
      <c r="C823" s="1" t="str">
        <f ca="1">IFERROR(__xludf.DUMMYFUNCTION("GOOGLETRANSLATE(English!C823, ""en"", ""bg"")"),"елементарен")</f>
        <v>елементарен</v>
      </c>
      <c r="D823" s="1" t="str">
        <f ca="1">IFERROR(__xludf.DUMMYFUNCTION("GOOGLETRANSLATE(English!D823, ""en"", ""bg"")"),"човешкото тяло")</f>
        <v>човешкото тяло</v>
      </c>
      <c r="E823" s="1" t="str">
        <f ca="1">IFERROR(__xludf.DUMMYFUNCTION("GOOGLETRANSLATE(English!E823, ""en"", ""bg"")"),"Здравей, преподавателю! Можеш ли да ми разкажеш за човешкото тяло?")</f>
        <v>Здравей, преподавателю! Можеш ли да ми разкажеш за човешкото тяло?</v>
      </c>
      <c r="F823" s="1" t="str">
        <f ca="1">IFERROR(__xludf.DUMMYFUNCTION("GOOGLETRANSLATE(English!F823,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823" s="1" t="str">
        <f ca="1">IFERROR(__xludf.DUMMYFUNCTION("GOOGLETRANSLATE(English!G823, ""en"", ""bg"")"),"разговор")</f>
        <v>разговор</v>
      </c>
      <c r="H823" s="1" t="str">
        <f ca="1">IFERROR(__xludf.DUMMYFUNCTION("GOOGLETRANSLATE(English!H823, ""en"", ""bg"")"),"образователна_помощ")</f>
        <v>образователна_помощ</v>
      </c>
    </row>
    <row r="824" spans="1:8" ht="13.2" x14ac:dyDescent="0.25">
      <c r="A824" s="1" t="str">
        <f ca="1">IFERROR(__xludf.DUMMYFUNCTION("GOOGLETRANSLATE(English!A824, ""en"", ""bg"")"),"hw_01772")</f>
        <v>hw_01772</v>
      </c>
      <c r="B824" s="1" t="str">
        <f ca="1">IFERROR(__xludf.DUMMYFUNCTION("GOOGLETRANSLATE(English!B824, ""en"", ""bg"")"),"биология")</f>
        <v>биология</v>
      </c>
      <c r="C824" s="1" t="str">
        <f ca="1">IFERROR(__xludf.DUMMYFUNCTION("GOOGLETRANSLATE(English!C824, ""en"", ""bg"")"),"високо")</f>
        <v>високо</v>
      </c>
      <c r="D824" s="1" t="str">
        <f ca="1">IFERROR(__xludf.DUMMYFUNCTION("GOOGLETRANSLATE(English!D824, ""en"", ""bg"")"),"молекулярна биология")</f>
        <v>молекулярна биология</v>
      </c>
      <c r="E824" s="1" t="str">
        <f ca="1">IFERROR(__xludf.DUMMYFUNCTION("GOOGLETRANSLATE(English!E824, ""en"", ""bg"")"),"Утре имам тест по молекулярна биология. Помогни ми да уча!")</f>
        <v>Утре имам тест по молекулярна биология. Помогни ми да уча!</v>
      </c>
      <c r="F824" s="1" t="str">
        <f ca="1">IFERROR(__xludf.DUMMYFUNCTION("GOOGLETRANSLATE(English!F824,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824" s="1" t="str">
        <f ca="1">IFERROR(__xludf.DUMMYFUNCTION("GOOGLETRANSLATE(English!G824, ""en"", ""bg"")"),"помощ_за_домашно_изпълнение")</f>
        <v>помощ_за_домашно_изпълнение</v>
      </c>
      <c r="H824" s="1" t="str">
        <f ca="1">IFERROR(__xludf.DUMMYFUNCTION("GOOGLETRANSLATE(English!H824, ""en"", ""bg"")"),"помощ_за_домашно_задаване")</f>
        <v>помощ_за_домашно_задаване</v>
      </c>
    </row>
    <row r="825" spans="1:8" ht="13.2" x14ac:dyDescent="0.25">
      <c r="A825" s="1" t="str">
        <f ca="1">IFERROR(__xludf.DUMMYFUNCTION("GOOGLETRANSLATE(English!A825, ""en"", ""bg"")"),"hw_13036")</f>
        <v>hw_13036</v>
      </c>
      <c r="B825" s="1" t="str">
        <f ca="1">IFERROR(__xludf.DUMMYFUNCTION("GOOGLETRANSLATE(English!B825, ""en"", ""bg"")"),"биология")</f>
        <v>биология</v>
      </c>
      <c r="C825" s="1" t="str">
        <f ca="1">IFERROR(__xludf.DUMMYFUNCTION("GOOGLETRANSLATE(English!C825, ""en"", ""bg"")"),"елементарен")</f>
        <v>елементарен</v>
      </c>
      <c r="D825" s="1" t="str">
        <f ca="1">IFERROR(__xludf.DUMMYFUNCTION("GOOGLETRANSLATE(English!D825, ""en"", ""bg"")"),"основни нужди")</f>
        <v>основни нужди</v>
      </c>
      <c r="E825" s="1" t="str">
        <f ca="1">IFERROR(__xludf.DUMMYFUNCTION("GOOGLETRANSLATE(English!E825, ""en"", ""bg"")"),"Утре имам тест по основни потребности. Помогни ми да уча!")</f>
        <v>Утре имам тест по основни потребности. Помогни ми да уча!</v>
      </c>
      <c r="F825" s="1" t="str">
        <f ca="1">IFERROR(__xludf.DUMMYFUNCTION("GOOGLETRANSLATE(English!F825,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825" s="1" t="str">
        <f ca="1">IFERROR(__xludf.DUMMYFUNCTION("GOOGLETRANSLATE(English!G825, ""en"", ""bg"")"),"помощ_за_домашно_изпълнение")</f>
        <v>помощ_за_домашно_изпълнение</v>
      </c>
      <c r="H825" s="1" t="str">
        <f ca="1">IFERROR(__xludf.DUMMYFUNCTION("GOOGLETRANSLATE(English!H825, ""en"", ""bg"")"),"помощ_за_домашно_задаване")</f>
        <v>помощ_за_домашно_задаване</v>
      </c>
    </row>
    <row r="826" spans="1:8" ht="13.2" x14ac:dyDescent="0.25">
      <c r="A826" s="1" t="str">
        <f ca="1">IFERROR(__xludf.DUMMYFUNCTION("GOOGLETRANSLATE(English!A826, ""en"", ""bg"")"),"qa_10525")</f>
        <v>qa_10525</v>
      </c>
      <c r="B826" s="1" t="str">
        <f ca="1">IFERROR(__xludf.DUMMYFUNCTION("GOOGLETRANSLATE(English!B826, ""en"", ""bg"")"),"химия")</f>
        <v>химия</v>
      </c>
      <c r="C826" s="1" t="str">
        <f ca="1">IFERROR(__xludf.DUMMYFUNCTION("GOOGLETRANSLATE(English!C826, ""en"", ""bg"")"),"високо")</f>
        <v>високо</v>
      </c>
      <c r="D826" s="1" t="str">
        <f ca="1">IFERROR(__xludf.DUMMYFUNCTION("GOOGLETRANSLATE(English!D826, ""en"", ""bg"")"),"електрохимия")</f>
        <v>електрохимия</v>
      </c>
      <c r="E826" s="1" t="str">
        <f ca="1">IFERROR(__xludf.DUMMYFUNCTION("GOOGLETRANSLATE(English!E826, ""en"", ""bg"")"),"Можете ли да ми помогнете да разбера електрохимията?")</f>
        <v>Можете ли да ми помогнете да разбера електрохимията?</v>
      </c>
      <c r="F826" s="1" t="str">
        <f ca="1">IFERROR(__xludf.DUMMYFUNCTION("GOOGLETRANSLATE(English!F826,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826" s="1" t="str">
        <f ca="1">IFERROR(__xludf.DUMMYFUNCTION("GOOGLETRANSLATE(English!G826, ""en"", ""bg"")"),"direct_qa")</f>
        <v>direct_qa</v>
      </c>
      <c r="H826" s="1" t="str">
        <f ca="1">IFERROR(__xludf.DUMMYFUNCTION("GOOGLETRANSLATE(English!H826, ""en"", ""bg"")"),"заявка_за_знание")</f>
        <v>заявка_за_знание</v>
      </c>
    </row>
    <row r="827" spans="1:8" ht="13.2" x14ac:dyDescent="0.25">
      <c r="A827" s="1" t="str">
        <f ca="1">IFERROR(__xludf.DUMMYFUNCTION("GOOGLETRANSLATE(English!A827, ""en"", ""bg"")"),"qa_03902")</f>
        <v>qa_03902</v>
      </c>
      <c r="B827" s="1" t="str">
        <f ca="1">IFERROR(__xludf.DUMMYFUNCTION("GOOGLETRANSLATE(English!B827, ""en"", ""bg"")"),"биология")</f>
        <v>биология</v>
      </c>
      <c r="C827" s="1" t="str">
        <f ca="1">IFERROR(__xludf.DUMMYFUNCTION("GOOGLETRANSLATE(English!C827, ""en"", ""bg"")"),"високо")</f>
        <v>високо</v>
      </c>
      <c r="D827" s="1" t="str">
        <f ca="1">IFERROR(__xludf.DUMMYFUNCTION("GOOGLETRANSLATE(English!D827, ""en"", ""bg"")"),"модели на наследяване")</f>
        <v>модели на наследяване</v>
      </c>
      <c r="E827" s="1" t="str">
        <f ca="1">IFERROR(__xludf.DUMMYFUNCTION("GOOGLETRANSLATE(English!E827, ""en"", ""bg"")"),"Как работят моделите на наследяване?")</f>
        <v>Как работят моделите на наследяване?</v>
      </c>
      <c r="F827" s="1" t="str">
        <f ca="1">IFERROR(__xludf.DUMMYFUNCTION("GOOGLETRANSLATE(English!F827,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827" s="1" t="str">
        <f ca="1">IFERROR(__xludf.DUMMYFUNCTION("GOOGLETRANSLATE(English!G827, ""en"", ""bg"")"),"direct_qa")</f>
        <v>direct_qa</v>
      </c>
      <c r="H827" s="1" t="str">
        <f ca="1">IFERROR(__xludf.DUMMYFUNCTION("GOOGLETRANSLATE(English!H827, ""en"", ""bg"")"),"заявка_за_знание")</f>
        <v>заявка_за_знание</v>
      </c>
    </row>
    <row r="828" spans="1:8" ht="13.2" x14ac:dyDescent="0.25">
      <c r="A828" s="1" t="str">
        <f ca="1">IFERROR(__xludf.DUMMYFUNCTION("GOOGLETRANSLATE(English!A828, ""en"", ""bg"")"),"conv_01004")</f>
        <v>conv_01004</v>
      </c>
      <c r="B828" s="1" t="str">
        <f ca="1">IFERROR(__xludf.DUMMYFUNCTION("GOOGLETRANSLATE(English!B828, ""en"", ""bg"")"),"биология")</f>
        <v>биология</v>
      </c>
      <c r="C828" s="1" t="str">
        <f ca="1">IFERROR(__xludf.DUMMYFUNCTION("GOOGLETRANSLATE(English!C828, ""en"", ""bg"")"),"високо")</f>
        <v>високо</v>
      </c>
      <c r="D828" s="1" t="str">
        <f ca="1">IFERROR(__xludf.DUMMYFUNCTION("GOOGLETRANSLATE(English!D828, ""en"", ""bg"")"),"Структура на ДНК")</f>
        <v>Структура на ДНК</v>
      </c>
      <c r="E828" s="1" t="str">
        <f ca="1">IFERROR(__xludf.DUMMYFUNCTION("GOOGLETRANSLATE(English!E828, ""en"", ""bg"")"),"Можете ли да ми помогнете? Какво е важно да знаем за структурата на ДНК?")</f>
        <v>Можете ли да ми помогнете? Какво е важно да знаем за структурата на ДНК?</v>
      </c>
      <c r="F828" s="1" t="str">
        <f ca="1">IFERROR(__xludf.DUMMYFUNCTION("GOOGLETRANSLATE(English!F828,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828" s="1" t="str">
        <f ca="1">IFERROR(__xludf.DUMMYFUNCTION("GOOGLETRANSLATE(English!G828, ""en"", ""bg"")"),"разговор")</f>
        <v>разговор</v>
      </c>
      <c r="H828" s="1" t="str">
        <f ca="1">IFERROR(__xludf.DUMMYFUNCTION("GOOGLETRANSLATE(English!H828, ""en"", ""bg"")"),"образователна_помощ")</f>
        <v>образователна_помощ</v>
      </c>
    </row>
    <row r="829" spans="1:8" ht="13.2" x14ac:dyDescent="0.25">
      <c r="A829" s="1" t="str">
        <f ca="1">IFERROR(__xludf.DUMMYFUNCTION("GOOGLETRANSLATE(English!A829, ""en"", ""bg"")"),"hw_12686")</f>
        <v>hw_12686</v>
      </c>
      <c r="B829" s="1" t="str">
        <f ca="1">IFERROR(__xludf.DUMMYFUNCTION("GOOGLETRANSLATE(English!B829, ""en"", ""bg"")"),"физика")</f>
        <v>физика</v>
      </c>
      <c r="C829" s="1" t="str">
        <f ca="1">IFERROR(__xludf.DUMMYFUNCTION("GOOGLETRANSLATE(English!C829, ""en"", ""bg"")"),"средата")</f>
        <v>средата</v>
      </c>
      <c r="D829" s="1" t="str">
        <f ca="1">IFERROR(__xludf.DUMMYFUNCTION("GOOGLETRANSLATE(English!D829, ""en"", ""bg"")"),"състояния на материята")</f>
        <v>състояния на материята</v>
      </c>
      <c r="E829" s="1" t="str">
        <f ca="1">IFERROR(__xludf.DUMMYFUNCTION("GOOGLETRANSLATE(English!E829, ""en"", ""bg"")"),"Трябва да разбера състоянията на материята за изпита си.")</f>
        <v>Трябва да разбера състоянията на материята за изпита си.</v>
      </c>
      <c r="F829" s="1" t="str">
        <f ca="1">IFERROR(__xludf.DUMMYFUNCTION("GOOGLETRANSLATE(English!F829,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829" s="1" t="str">
        <f ca="1">IFERROR(__xludf.DUMMYFUNCTION("GOOGLETRANSLATE(English!G829, ""en"", ""bg"")"),"помощ_за_домашно_изпълнение")</f>
        <v>помощ_за_домашно_изпълнение</v>
      </c>
      <c r="H829" s="1" t="str">
        <f ca="1">IFERROR(__xludf.DUMMYFUNCTION("GOOGLETRANSLATE(English!H829, ""en"", ""bg"")"),"помощ_за_домашно_задаване")</f>
        <v>помощ_за_домашно_задаване</v>
      </c>
    </row>
    <row r="830" spans="1:8" ht="13.2" x14ac:dyDescent="0.25">
      <c r="A830" s="1" t="str">
        <f ca="1">IFERROR(__xludf.DUMMYFUNCTION("GOOGLETRANSLATE(English!A830, ""en"", ""bg"")"),"qa_04831")</f>
        <v>qa_04831</v>
      </c>
      <c r="B830" s="1" t="str">
        <f ca="1">IFERROR(__xludf.DUMMYFUNCTION("GOOGLETRANSLATE(English!B830, ""en"", ""bg"")"),"химия")</f>
        <v>химия</v>
      </c>
      <c r="C830" s="1" t="str">
        <f ca="1">IFERROR(__xludf.DUMMYFUNCTION("GOOGLETRANSLATE(English!C830, ""en"", ""bg"")"),"високо")</f>
        <v>високо</v>
      </c>
      <c r="D830" s="1" t="str">
        <f ca="1">IFERROR(__xludf.DUMMYFUNCTION("GOOGLETRANSLATE(English!D830, ""en"", ""bg"")"),"скорости на реакция")</f>
        <v>скорости на реакция</v>
      </c>
      <c r="E830" s="1" t="str">
        <f ca="1">IFERROR(__xludf.DUMMYFUNCTION("GOOGLETRANSLATE(English!E830,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830" s="1" t="str">
        <f ca="1">IFERROR(__xludf.DUMMYFUNCTION("GOOGLETRANSLATE(English!F830,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830" s="1" t="str">
        <f ca="1">IFERROR(__xludf.DUMMYFUNCTION("GOOGLETRANSLATE(English!G830, ""en"", ""bg"")"),"direct_qa")</f>
        <v>direct_qa</v>
      </c>
      <c r="H830" s="1" t="str">
        <f ca="1">IFERROR(__xludf.DUMMYFUNCTION("GOOGLETRANSLATE(English!H830, ""en"", ""bg"")"),"заявка_за_знание")</f>
        <v>заявка_за_знание</v>
      </c>
    </row>
    <row r="831" spans="1:8" ht="13.2" x14ac:dyDescent="0.25">
      <c r="A831" s="1" t="str">
        <f ca="1">IFERROR(__xludf.DUMMYFUNCTION("GOOGLETRANSLATE(English!A831, ""en"", ""bg"")"),"conv_16440")</f>
        <v>conv_16440</v>
      </c>
      <c r="B831" s="1" t="str">
        <f ca="1">IFERROR(__xludf.DUMMYFUNCTION("GOOGLETRANSLATE(English!B831, ""en"", ""bg"")"),"биология")</f>
        <v>биология</v>
      </c>
      <c r="C831" s="1" t="str">
        <f ca="1">IFERROR(__xludf.DUMMYFUNCTION("GOOGLETRANSLATE(English!C831, ""en"", ""bg"")"),"елементарен")</f>
        <v>елементарен</v>
      </c>
      <c r="D831" s="1" t="str">
        <f ca="1">IFERROR(__xludf.DUMMYFUNCTION("GOOGLETRANSLATE(English!D831, ""en"", ""bg"")"),"растения")</f>
        <v>растения</v>
      </c>
      <c r="E831" s="1" t="str">
        <f ca="1">IFERROR(__xludf.DUMMYFUNCTION("GOOGLETRANSLATE(English!E831, ""en"", ""bg"")"),"Не разбирам тази тема. Как семената пътуват до нови места?")</f>
        <v>Не разбирам тази тема. Как семената пътуват до нови места?</v>
      </c>
      <c r="F831" s="1" t="str">
        <f ca="1">IFERROR(__xludf.DUMMYFUNCTION("GOOGLETRANSLATE(English!F831,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831" s="1" t="str">
        <f ca="1">IFERROR(__xludf.DUMMYFUNCTION("GOOGLETRANSLATE(English!G831, ""en"", ""bg"")"),"разговор")</f>
        <v>разговор</v>
      </c>
      <c r="H831" s="1" t="str">
        <f ca="1">IFERROR(__xludf.DUMMYFUNCTION("GOOGLETRANSLATE(English!H831, ""en"", ""bg"")"),"образователна_помощ")</f>
        <v>образователна_помощ</v>
      </c>
    </row>
    <row r="832" spans="1:8" ht="13.2" x14ac:dyDescent="0.25">
      <c r="A832" s="1" t="str">
        <f ca="1">IFERROR(__xludf.DUMMYFUNCTION("GOOGLETRANSLATE(English!A832, ""en"", ""bg"")"),"qa_08568")</f>
        <v>qa_08568</v>
      </c>
      <c r="B832" s="1" t="str">
        <f ca="1">IFERROR(__xludf.DUMMYFUNCTION("GOOGLETRANSLATE(English!B832, ""en"", ""bg"")"),"химия")</f>
        <v>химия</v>
      </c>
      <c r="C832" s="1" t="str">
        <f ca="1">IFERROR(__xludf.DUMMYFUNCTION("GOOGLETRANSLATE(English!C832, ""en"", ""bg"")"),"елементарен")</f>
        <v>елементарен</v>
      </c>
      <c r="D832" s="1" t="str">
        <f ca="1">IFERROR(__xludf.DUMMYFUNCTION("GOOGLETRANSLATE(English!D832, ""en"", ""bg"")"),"разтваряне")</f>
        <v>разтваряне</v>
      </c>
      <c r="E832" s="1" t="str">
        <f ca="1">IFERROR(__xludf.DUMMYFUNCTION("GOOGLETRANSLATE(English!E832, ""en"", ""bg"")"),"Как работи разтварянето в химията?")</f>
        <v>Как работи разтварянето в химията?</v>
      </c>
      <c r="F832" s="1" t="str">
        <f ca="1">IFERROR(__xludf.DUMMYFUNCTION("GOOGLETRANSLATE(English!F832,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832" s="1" t="str">
        <f ca="1">IFERROR(__xludf.DUMMYFUNCTION("GOOGLETRANSLATE(English!G832, ""en"", ""bg"")"),"direct_qa")</f>
        <v>direct_qa</v>
      </c>
      <c r="H832" s="1" t="str">
        <f ca="1">IFERROR(__xludf.DUMMYFUNCTION("GOOGLETRANSLATE(English!H832, ""en"", ""bg"")"),"заявка_за_знание")</f>
        <v>заявка_за_знание</v>
      </c>
    </row>
    <row r="833" spans="1:8" ht="13.2" x14ac:dyDescent="0.25">
      <c r="A833" s="1" t="str">
        <f ca="1">IFERROR(__xludf.DUMMYFUNCTION("GOOGLETRANSLATE(English!A833, ""en"", ""bg"")"),"qa_03515")</f>
        <v>qa_03515</v>
      </c>
      <c r="B833" s="1" t="str">
        <f ca="1">IFERROR(__xludf.DUMMYFUNCTION("GOOGLETRANSLATE(English!B833, ""en"", ""bg"")"),"физика")</f>
        <v>физика</v>
      </c>
      <c r="C833" s="1" t="str">
        <f ca="1">IFERROR(__xludf.DUMMYFUNCTION("GOOGLETRANSLATE(English!C833, ""en"", ""bg"")"),"средата")</f>
        <v>средата</v>
      </c>
      <c r="D833" s="1" t="str">
        <f ca="1">IFERROR(__xludf.DUMMYFUNCTION("GOOGLETRANSLATE(English!D833, ""en"", ""bg"")"),"сили и движение")</f>
        <v>сили и движение</v>
      </c>
      <c r="E833" s="1" t="str">
        <f ca="1">IFERROR(__xludf.DUMMYFUNCTION("GOOGLETRANSLATE(English!E833, ""en"", ""bg"")"),"Каква е разликата между скорост и ускорение?")</f>
        <v>Каква е разликата между скорост и ускорение?</v>
      </c>
      <c r="F833" s="1" t="str">
        <f ca="1">IFERROR(__xludf.DUMMYFUNCTION("GOOGLETRANSLATE(English!F833,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833" s="1" t="str">
        <f ca="1">IFERROR(__xludf.DUMMYFUNCTION("GOOGLETRANSLATE(English!G833, ""en"", ""bg"")"),"direct_qa")</f>
        <v>direct_qa</v>
      </c>
      <c r="H833" s="1" t="str">
        <f ca="1">IFERROR(__xludf.DUMMYFUNCTION("GOOGLETRANSLATE(English!H833, ""en"", ""bg"")"),"заявка_за_знание")</f>
        <v>заявка_за_знание</v>
      </c>
    </row>
    <row r="834" spans="1:8" ht="13.2" x14ac:dyDescent="0.25">
      <c r="A834" s="1" t="str">
        <f ca="1">IFERROR(__xludf.DUMMYFUNCTION("GOOGLETRANSLATE(English!A834, ""en"", ""bg"")"),"hw_04803")</f>
        <v>hw_04803</v>
      </c>
      <c r="B834" s="1" t="str">
        <f ca="1">IFERROR(__xludf.DUMMYFUNCTION("GOOGLETRANSLATE(English!B834, ""en"", ""bg"")"),"физика")</f>
        <v>физика</v>
      </c>
      <c r="C834" s="1" t="str">
        <f ca="1">IFERROR(__xludf.DUMMYFUNCTION("GOOGLETRANSLATE(English!C834, ""en"", ""bg"")"),"средата")</f>
        <v>средата</v>
      </c>
      <c r="D834" s="1" t="str">
        <f ca="1">IFERROR(__xludf.DUMMYFUNCTION("GOOGLETRANSLATE(English!D834, ""en"", ""bg"")"),"състояния на материята")</f>
        <v>състояния на материята</v>
      </c>
      <c r="E834" s="1" t="str">
        <f ca="1">IFERROR(__xludf.DUMMYFUNCTION("GOOGLETRANSLATE(English!E834,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834" s="1" t="str">
        <f ca="1">IFERROR(__xludf.DUMMYFUNCTION("GOOGLETRANSLATE(English!F834,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834" s="1" t="str">
        <f ca="1">IFERROR(__xludf.DUMMYFUNCTION("GOOGLETRANSLATE(English!G834, ""en"", ""bg"")"),"помощ_за_домашно_изпълнение")</f>
        <v>помощ_за_домашно_изпълнение</v>
      </c>
      <c r="H834" s="1" t="str">
        <f ca="1">IFERROR(__xludf.DUMMYFUNCTION("GOOGLETRANSLATE(English!H834, ""en"", ""bg"")"),"помощ_за_домашно_задаване")</f>
        <v>помощ_за_домашно_задаване</v>
      </c>
    </row>
    <row r="835" spans="1:8" ht="13.2" x14ac:dyDescent="0.25">
      <c r="A835" s="1" t="str">
        <f ca="1">IFERROR(__xludf.DUMMYFUNCTION("GOOGLETRANSLATE(English!A835, ""en"", ""bg"")"),"conv_03077")</f>
        <v>conv_03077</v>
      </c>
      <c r="B835" s="1" t="str">
        <f ca="1">IFERROR(__xludf.DUMMYFUNCTION("GOOGLETRANSLATE(English!B835, ""en"", ""bg"")"),"физика")</f>
        <v>физика</v>
      </c>
      <c r="C835" s="1" t="str">
        <f ca="1">IFERROR(__xludf.DUMMYFUNCTION("GOOGLETRANSLATE(English!C835, ""en"", ""bg"")"),"високо")</f>
        <v>високо</v>
      </c>
      <c r="D835" s="1" t="str">
        <f ca="1">IFERROR(__xludf.DUMMYFUNCTION("GOOGLETRANSLATE(English!D835, ""en"", ""bg"")"),"атомна структура")</f>
        <v>атомна структура</v>
      </c>
      <c r="E835" s="1" t="str">
        <f ca="1">IFERROR(__xludf.DUMMYFUNCTION("GOOGLETRANSLATE(English!E835, ""en"", ""bg"")"),"Не разбирам тази тема. Защо атомната структура е важна?")</f>
        <v>Не разбирам тази тема. Защо атомната структура е важна?</v>
      </c>
      <c r="F835" s="1" t="str">
        <f ca="1">IFERROR(__xludf.DUMMYFUNCTION("GOOGLETRANSLATE(English!F835,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835" s="1" t="str">
        <f ca="1">IFERROR(__xludf.DUMMYFUNCTION("GOOGLETRANSLATE(English!G835, ""en"", ""bg"")"),"разговор")</f>
        <v>разговор</v>
      </c>
      <c r="H835" s="1" t="str">
        <f ca="1">IFERROR(__xludf.DUMMYFUNCTION("GOOGLETRANSLATE(English!H835, ""en"", ""bg"")"),"образователна_помощ")</f>
        <v>образователна_помощ</v>
      </c>
    </row>
    <row r="836" spans="1:8" ht="13.2" x14ac:dyDescent="0.25">
      <c r="A836" s="1" t="str">
        <f ca="1">IFERROR(__xludf.DUMMYFUNCTION("GOOGLETRANSLATE(English!A836, ""en"", ""bg"")"),"conv_03052")</f>
        <v>conv_03052</v>
      </c>
      <c r="B836" s="1" t="str">
        <f ca="1">IFERROR(__xludf.DUMMYFUNCTION("GOOGLETRANSLATE(English!B836, ""en"", ""bg"")"),"физика")</f>
        <v>физика</v>
      </c>
      <c r="C836" s="1" t="str">
        <f ca="1">IFERROR(__xludf.DUMMYFUNCTION("GOOGLETRANSLATE(English!C836, ""en"", ""bg"")"),"елементарен")</f>
        <v>елементарен</v>
      </c>
      <c r="D836" s="1" t="str">
        <f ca="1">IFERROR(__xludf.DUMMYFUNCTION("GOOGLETRANSLATE(English!D836, ""en"", ""bg"")"),"звук")</f>
        <v>звук</v>
      </c>
      <c r="E836" s="1" t="str">
        <f ca="1">IFERROR(__xludf.DUMMYFUNCTION("GOOGLETRANSLATE(English!E836, ""en"", ""bg"")"),"Можете ли да ми обясните това? Как работи звукът във физиката?")</f>
        <v>Можете ли да ми обясните това? Как работи звукът във физиката?</v>
      </c>
      <c r="F836" s="1" t="str">
        <f ca="1">IFERROR(__xludf.DUMMYFUNCTION("GOOGLETRANSLATE(English!F836,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836" s="1" t="str">
        <f ca="1">IFERROR(__xludf.DUMMYFUNCTION("GOOGLETRANSLATE(English!G836, ""en"", ""bg"")"),"разговор")</f>
        <v>разговор</v>
      </c>
      <c r="H836" s="1" t="str">
        <f ca="1">IFERROR(__xludf.DUMMYFUNCTION("GOOGLETRANSLATE(English!H836, ""en"", ""bg"")"),"образователна_помощ")</f>
        <v>образователна_помощ</v>
      </c>
    </row>
    <row r="837" spans="1:8" ht="13.2" x14ac:dyDescent="0.25">
      <c r="A837" s="1" t="str">
        <f ca="1">IFERROR(__xludf.DUMMYFUNCTION("GOOGLETRANSLATE(English!A837, ""en"", ""bg"")"),"hw_11899")</f>
        <v>hw_11899</v>
      </c>
      <c r="B837" s="1" t="str">
        <f ca="1">IFERROR(__xludf.DUMMYFUNCTION("GOOGLETRANSLATE(English!B837, ""en"", ""bg"")"),"химия")</f>
        <v>химия</v>
      </c>
      <c r="C837" s="1" t="str">
        <f ca="1">IFERROR(__xludf.DUMMYFUNCTION("GOOGLETRANSLATE(English!C837, ""en"", ""bg"")"),"средата")</f>
        <v>средата</v>
      </c>
      <c r="D837" s="1" t="str">
        <f ca="1">IFERROR(__xludf.DUMMYFUNCTION("GOOGLETRANSLATE(English!D837, ""en"", ""bg"")"),"атоми и молекули")</f>
        <v>атоми и молекули</v>
      </c>
      <c r="E837" s="1" t="str">
        <f ca="1">IFERROR(__xludf.DUMMYFUNCTION("GOOGLETRANSLATE(English!E837,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837" s="1" t="str">
        <f ca="1">IFERROR(__xludf.DUMMYFUNCTION("GOOGLETRANSLATE(English!F837,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837" s="1" t="str">
        <f ca="1">IFERROR(__xludf.DUMMYFUNCTION("GOOGLETRANSLATE(English!G837, ""en"", ""bg"")"),"помощ_за_домашно_изпълнение")</f>
        <v>помощ_за_домашно_изпълнение</v>
      </c>
      <c r="H837" s="1" t="str">
        <f ca="1">IFERROR(__xludf.DUMMYFUNCTION("GOOGLETRANSLATE(English!H837, ""en"", ""bg"")"),"помощ_за_домашно_задаване")</f>
        <v>помощ_за_домашно_задаване</v>
      </c>
    </row>
    <row r="838" spans="1:8" ht="13.2" x14ac:dyDescent="0.25">
      <c r="A838" s="1" t="str">
        <f ca="1">IFERROR(__xludf.DUMMYFUNCTION("GOOGLETRANSLATE(English!A838, ""en"", ""bg"")"),"conv_05761")</f>
        <v>conv_05761</v>
      </c>
      <c r="B838" s="1" t="str">
        <f ca="1">IFERROR(__xludf.DUMMYFUNCTION("GOOGLETRANSLATE(English!B838, ""en"", ""bg"")"),"биология")</f>
        <v>биология</v>
      </c>
      <c r="C838" s="1" t="str">
        <f ca="1">IFERROR(__xludf.DUMMYFUNCTION("GOOGLETRANSLATE(English!C838, ""en"", ""bg"")"),"високо")</f>
        <v>високо</v>
      </c>
      <c r="D838" s="1" t="str">
        <f ca="1">IFERROR(__xludf.DUMMYFUNCTION("GOOGLETRANSLATE(English!D838, ""en"", ""bg"")"),"клетъчно дишане")</f>
        <v>клетъчно дишане</v>
      </c>
      <c r="E838" s="1" t="str">
        <f ca="1">IFERROR(__xludf.DUMMYFUNCTION("GOOGLETRANSLATE(English!E838, ""en"", ""bg"")"),"Помогнете ми да уча за теста си. Какво е важно да знаем за клетъчното дишане?")</f>
        <v>Помогнете ми да уча за теста си. Какво е важно да знаем за клетъчното дишане?</v>
      </c>
      <c r="F838" s="1" t="str">
        <f ca="1">IFERROR(__xludf.DUMMYFUNCTION("GOOGLETRANSLATE(English!F838,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838" s="1" t="str">
        <f ca="1">IFERROR(__xludf.DUMMYFUNCTION("GOOGLETRANSLATE(English!G838, ""en"", ""bg"")"),"разговор")</f>
        <v>разговор</v>
      </c>
      <c r="H838" s="1" t="str">
        <f ca="1">IFERROR(__xludf.DUMMYFUNCTION("GOOGLETRANSLATE(English!H838, ""en"", ""bg"")"),"образователна_помощ")</f>
        <v>образователна_помощ</v>
      </c>
    </row>
    <row r="839" spans="1:8" ht="13.2" x14ac:dyDescent="0.25">
      <c r="A839" s="1" t="str">
        <f ca="1">IFERROR(__xludf.DUMMYFUNCTION("GOOGLETRANSLATE(English!A839, ""en"", ""bg"")"),"conv_19085")</f>
        <v>conv_19085</v>
      </c>
      <c r="B839" s="1" t="str">
        <f ca="1">IFERROR(__xludf.DUMMYFUNCTION("GOOGLETRANSLATE(English!B839, ""en"", ""bg"")"),"химия")</f>
        <v>химия</v>
      </c>
      <c r="C839" s="1" t="str">
        <f ca="1">IFERROR(__xludf.DUMMYFUNCTION("GOOGLETRANSLATE(English!C839, ""en"", ""bg"")"),"високо")</f>
        <v>високо</v>
      </c>
      <c r="D839" s="1" t="str">
        <f ca="1">IFERROR(__xludf.DUMMYFUNCTION("GOOGLETRANSLATE(English!D839, ""en"", ""bg"")"),"равновесие")</f>
        <v>равновесие</v>
      </c>
      <c r="E839" s="1" t="str">
        <f ca="1">IFERROR(__xludf.DUMMYFUNCTION("GOOGLETRANSLATE(English!E839, ""en"", ""bg"")"),"Не разбирам тази тема. Защо е важно да се учи равновесие?")</f>
        <v>Не разбирам тази тема. Защо е важно да се учи равновесие?</v>
      </c>
      <c r="F839" s="1" t="str">
        <f ca="1">IFERROR(__xludf.DUMMYFUNCTION("GOOGLETRANSLATE(English!F839,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839" s="1" t="str">
        <f ca="1">IFERROR(__xludf.DUMMYFUNCTION("GOOGLETRANSLATE(English!G839, ""en"", ""bg"")"),"разговор")</f>
        <v>разговор</v>
      </c>
      <c r="H839" s="1" t="str">
        <f ca="1">IFERROR(__xludf.DUMMYFUNCTION("GOOGLETRANSLATE(English!H839, ""en"", ""bg"")"),"образователна_помощ")</f>
        <v>образователна_помощ</v>
      </c>
    </row>
    <row r="840" spans="1:8" ht="13.2" x14ac:dyDescent="0.25">
      <c r="A840" s="1" t="str">
        <f ca="1">IFERROR(__xludf.DUMMYFUNCTION("GOOGLETRANSLATE(English!A840, ""en"", ""bg"")"),"hw_05454")</f>
        <v>hw_05454</v>
      </c>
      <c r="B840" s="1" t="str">
        <f ca="1">IFERROR(__xludf.DUMMYFUNCTION("GOOGLETRANSLATE(English!B840, ""en"", ""bg"")"),"физика")</f>
        <v>физика</v>
      </c>
      <c r="C840" s="1" t="str">
        <f ca="1">IFERROR(__xludf.DUMMYFUNCTION("GOOGLETRANSLATE(English!C840, ""en"", ""bg"")"),"елементарен")</f>
        <v>елементарен</v>
      </c>
      <c r="D840" s="1" t="str">
        <f ca="1">IFERROR(__xludf.DUMMYFUNCTION("GOOGLETRANSLATE(English!D840, ""en"", ""bg"")"),"бутане и дърпане")</f>
        <v>бутане и дърпане</v>
      </c>
      <c r="E840" s="1" t="str">
        <f ca="1">IFERROR(__xludf.DUMMYFUNCTION("GOOGLETRANSLATE(English!E840, ""en"", ""bg"")"),"Можеш ли да решиш тази задача с бутане и дърпане с мен?")</f>
        <v>Можеш ли да решиш тази задача с бутане и дърпане с мен?</v>
      </c>
      <c r="F840" s="1" t="str">
        <f ca="1">IFERROR(__xludf.DUMMYFUNCTION("GOOGLETRANSLATE(English!F840,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840" s="1" t="str">
        <f ca="1">IFERROR(__xludf.DUMMYFUNCTION("GOOGLETRANSLATE(English!G840, ""en"", ""bg"")"),"помощ_за_домашно_изпълнение")</f>
        <v>помощ_за_домашно_изпълнение</v>
      </c>
      <c r="H840" s="1" t="str">
        <f ca="1">IFERROR(__xludf.DUMMYFUNCTION("GOOGLETRANSLATE(English!H840, ""en"", ""bg"")"),"помощ_за_домашно_задаване")</f>
        <v>помощ_за_домашно_задаване</v>
      </c>
    </row>
    <row r="841" spans="1:8" ht="13.2" x14ac:dyDescent="0.25">
      <c r="A841" s="1" t="str">
        <f ca="1">IFERROR(__xludf.DUMMYFUNCTION("GOOGLETRANSLATE(English!A841, ""en"", ""bg"")"),"qa_10768")</f>
        <v>qa_10768</v>
      </c>
      <c r="B841" s="1" t="str">
        <f ca="1">IFERROR(__xludf.DUMMYFUNCTION("GOOGLETRANSLATE(English!B841, ""en"", ""bg"")"),"биология")</f>
        <v>биология</v>
      </c>
      <c r="C841" s="1" t="str">
        <f ca="1">IFERROR(__xludf.DUMMYFUNCTION("GOOGLETRANSLATE(English!C841, ""en"", ""bg"")"),"средата")</f>
        <v>средата</v>
      </c>
      <c r="D841" s="1" t="str">
        <f ca="1">IFERROR(__xludf.DUMMYFUNCTION("GOOGLETRANSLATE(English!D841, ""en"", ""bg"")"),"екосистеми")</f>
        <v>екосистеми</v>
      </c>
      <c r="E841" s="1" t="str">
        <f ca="1">IFERROR(__xludf.DUMMYFUNCTION("GOOGLETRANSLATE(English!E841, ""en"", ""bg"")"),"Защо екосистемите са важни в биологията?")</f>
        <v>Защо екосистемите са важни в биологията?</v>
      </c>
      <c r="F841" s="1" t="str">
        <f ca="1">IFERROR(__xludf.DUMMYFUNCTION("GOOGLETRANSLATE(English!F841,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841" s="1" t="str">
        <f ca="1">IFERROR(__xludf.DUMMYFUNCTION("GOOGLETRANSLATE(English!G841, ""en"", ""bg"")"),"direct_qa")</f>
        <v>direct_qa</v>
      </c>
      <c r="H841" s="1" t="str">
        <f ca="1">IFERROR(__xludf.DUMMYFUNCTION("GOOGLETRANSLATE(English!H841, ""en"", ""bg"")"),"заявка_за_знание")</f>
        <v>заявка_за_знание</v>
      </c>
    </row>
    <row r="842" spans="1:8" ht="13.2" x14ac:dyDescent="0.25">
      <c r="A842" s="1" t="str">
        <f ca="1">IFERROR(__xludf.DUMMYFUNCTION("GOOGLETRANSLATE(English!A842, ""en"", ""bg"")"),"qa_06053")</f>
        <v>qa_06053</v>
      </c>
      <c r="B842" s="1" t="str">
        <f ca="1">IFERROR(__xludf.DUMMYFUNCTION("GOOGLETRANSLATE(English!B842, ""en"", ""bg"")"),"химия")</f>
        <v>химия</v>
      </c>
      <c r="C842" s="1" t="str">
        <f ca="1">IFERROR(__xludf.DUMMYFUNCTION("GOOGLETRANSLATE(English!C842, ""en"", ""bg"")"),"елементарен")</f>
        <v>елементарен</v>
      </c>
      <c r="D842" s="1" t="str">
        <f ca="1">IFERROR(__xludf.DUMMYFUNCTION("GOOGLETRANSLATE(English!D842, ""en"", ""bg"")"),"разтваряне")</f>
        <v>разтваряне</v>
      </c>
      <c r="E842" s="1" t="str">
        <f ca="1">IFERROR(__xludf.DUMMYFUNCTION("GOOGLETRANSLATE(English!E842, ""en"", ""bg"")"),"Какво е разтварянето?")</f>
        <v>Какво е разтварянето?</v>
      </c>
      <c r="F842" s="1" t="str">
        <f ca="1">IFERROR(__xludf.DUMMYFUNCTION("GOOGLETRANSLATE(English!F842,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842" s="1" t="str">
        <f ca="1">IFERROR(__xludf.DUMMYFUNCTION("GOOGLETRANSLATE(English!G842, ""en"", ""bg"")"),"direct_qa")</f>
        <v>direct_qa</v>
      </c>
      <c r="H842" s="1" t="str">
        <f ca="1">IFERROR(__xludf.DUMMYFUNCTION("GOOGLETRANSLATE(English!H842, ""en"", ""bg"")"),"заявка_за_знание")</f>
        <v>заявка_за_знание</v>
      </c>
    </row>
    <row r="843" spans="1:8" ht="13.2" x14ac:dyDescent="0.25">
      <c r="A843" s="1" t="str">
        <f ca="1">IFERROR(__xludf.DUMMYFUNCTION("GOOGLETRANSLATE(English!A843, ""en"", ""bg"")"),"hw_07751")</f>
        <v>hw_07751</v>
      </c>
      <c r="B843" s="1" t="str">
        <f ca="1">IFERROR(__xludf.DUMMYFUNCTION("GOOGLETRANSLATE(English!B843, ""en"", ""bg"")"),"химия")</f>
        <v>химия</v>
      </c>
      <c r="C843" s="1" t="str">
        <f ca="1">IFERROR(__xludf.DUMMYFUNCTION("GOOGLETRANSLATE(English!C843, ""en"", ""bg"")"),"средата")</f>
        <v>средата</v>
      </c>
      <c r="D843" s="1" t="str">
        <f ca="1">IFERROR(__xludf.DUMMYFUNCTION("GOOGLETRANSLATE(English!D843, ""en"", ""bg"")"),"атоми и молекули")</f>
        <v>атоми и молекули</v>
      </c>
      <c r="E843" s="1" t="str">
        <f ca="1">IFERROR(__xludf.DUMMYFUNCTION("GOOGLETRANSLATE(English!E843,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843" s="1" t="str">
        <f ca="1">IFERROR(__xludf.DUMMYFUNCTION("GOOGLETRANSLATE(English!F843,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843" s="1" t="str">
        <f ca="1">IFERROR(__xludf.DUMMYFUNCTION("GOOGLETRANSLATE(English!G843, ""en"", ""bg"")"),"помощ_за_домашно_изпълнение")</f>
        <v>помощ_за_домашно_изпълнение</v>
      </c>
      <c r="H843" s="1" t="str">
        <f ca="1">IFERROR(__xludf.DUMMYFUNCTION("GOOGLETRANSLATE(English!H843, ""en"", ""bg"")"),"помощ_за_домашно_задаване")</f>
        <v>помощ_за_домашно_задаване</v>
      </c>
    </row>
    <row r="844" spans="1:8" ht="13.2" x14ac:dyDescent="0.25">
      <c r="A844" s="1" t="str">
        <f ca="1">IFERROR(__xludf.DUMMYFUNCTION("GOOGLETRANSLATE(English!A844, ""en"", ""bg"")"),"qa_00258")</f>
        <v>qa_00258</v>
      </c>
      <c r="B844" s="1" t="str">
        <f ca="1">IFERROR(__xludf.DUMMYFUNCTION("GOOGLETRANSLATE(English!B844, ""en"", ""bg"")"),"физика")</f>
        <v>физика</v>
      </c>
      <c r="C844" s="1" t="str">
        <f ca="1">IFERROR(__xludf.DUMMYFUNCTION("GOOGLETRANSLATE(English!C844, ""en"", ""bg"")"),"елементарен")</f>
        <v>елементарен</v>
      </c>
      <c r="D844" s="1" t="str">
        <f ca="1">IFERROR(__xludf.DUMMYFUNCTION("GOOGLETRANSLATE(English!D844, ""en"", ""bg"")"),"магнити")</f>
        <v>магнити</v>
      </c>
      <c r="E844" s="1" t="str">
        <f ca="1">IFERROR(__xludf.DUMMYFUNCTION("GOOGLETRANSLATE(English!E844, ""en"", ""bg"")"),"Какви са полюсите на магнита?")</f>
        <v>Какви са полюсите на магнита?</v>
      </c>
      <c r="F844" s="1" t="str">
        <f ca="1">IFERROR(__xludf.DUMMYFUNCTION("GOOGLETRANSLATE(English!F844,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844" s="1" t="str">
        <f ca="1">IFERROR(__xludf.DUMMYFUNCTION("GOOGLETRANSLATE(English!G844, ""en"", ""bg"")"),"direct_qa")</f>
        <v>direct_qa</v>
      </c>
      <c r="H844" s="1" t="str">
        <f ca="1">IFERROR(__xludf.DUMMYFUNCTION("GOOGLETRANSLATE(English!H844, ""en"", ""bg"")"),"заявка_за_знание")</f>
        <v>заявка_за_знание</v>
      </c>
    </row>
    <row r="845" spans="1:8" ht="13.2" x14ac:dyDescent="0.25">
      <c r="A845" s="1" t="str">
        <f ca="1">IFERROR(__xludf.DUMMYFUNCTION("GOOGLETRANSLATE(English!A845, ""en"", ""bg"")"),"conv_00878")</f>
        <v>conv_00878</v>
      </c>
      <c r="B845" s="1" t="str">
        <f ca="1">IFERROR(__xludf.DUMMYFUNCTION("GOOGLETRANSLATE(English!B845, ""en"", ""bg"")"),"биология")</f>
        <v>биология</v>
      </c>
      <c r="C845" s="1" t="str">
        <f ca="1">IFERROR(__xludf.DUMMYFUNCTION("GOOGLETRANSLATE(English!C845, ""en"", ""bg"")"),"високо")</f>
        <v>високо</v>
      </c>
      <c r="D845" s="1" t="str">
        <f ca="1">IFERROR(__xludf.DUMMYFUNCTION("GOOGLETRANSLATE(English!D845, ""en"", ""bg"")"),"молекулярна биология")</f>
        <v>молекулярна биология</v>
      </c>
      <c r="E845" s="1" t="str">
        <f ca="1">IFERROR(__xludf.DUMMYFUNCTION("GOOGLETRANSLATE(English!E845, ""en"", ""bg"")"),"Имам научен въпрос. Защо молекулярната биология е важна в биологията?")</f>
        <v>Имам научен въпрос. Защо молекулярната биология е важна в биологията?</v>
      </c>
      <c r="F845" s="1" t="str">
        <f ca="1">IFERROR(__xludf.DUMMYFUNCTION("GOOGLETRANSLATE(English!F845,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845" s="1" t="str">
        <f ca="1">IFERROR(__xludf.DUMMYFUNCTION("GOOGLETRANSLATE(English!G845, ""en"", ""bg"")"),"разговор")</f>
        <v>разговор</v>
      </c>
      <c r="H845" s="1" t="str">
        <f ca="1">IFERROR(__xludf.DUMMYFUNCTION("GOOGLETRANSLATE(English!H845, ""en"", ""bg"")"),"образователна_помощ")</f>
        <v>образователна_помощ</v>
      </c>
    </row>
    <row r="846" spans="1:8" ht="13.2" x14ac:dyDescent="0.25">
      <c r="A846" s="1" t="str">
        <f ca="1">IFERROR(__xludf.DUMMYFUNCTION("GOOGLETRANSLATE(English!A846, ""en"", ""bg"")"),"hw_09513")</f>
        <v>hw_09513</v>
      </c>
      <c r="B846" s="1" t="str">
        <f ca="1">IFERROR(__xludf.DUMMYFUNCTION("GOOGLETRANSLATE(English!B846, ""en"", ""bg"")"),"химия")</f>
        <v>химия</v>
      </c>
      <c r="C846" s="1" t="str">
        <f ca="1">IFERROR(__xludf.DUMMYFUNCTION("GOOGLETRANSLATE(English!C846, ""en"", ""bg"")"),"средата")</f>
        <v>средата</v>
      </c>
      <c r="D846" s="1" t="str">
        <f ca="1">IFERROR(__xludf.DUMMYFUNCTION("GOOGLETRANSLATE(English!D846, ""en"", ""bg"")"),"основи на периодичната таблица")</f>
        <v>основи на периодичната таблица</v>
      </c>
      <c r="E846" s="1" t="str">
        <f ca="1">IFERROR(__xludf.DUMMYFUNCTION("GOOGLETRANSLATE(English!E846,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846" s="1" t="str">
        <f ca="1">IFERROR(__xludf.DUMMYFUNCTION("GOOGLETRANSLATE(English!F846,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846" s="1" t="str">
        <f ca="1">IFERROR(__xludf.DUMMYFUNCTION("GOOGLETRANSLATE(English!G846, ""en"", ""bg"")"),"помощ_за_домашно_изпълнение")</f>
        <v>помощ_за_домашно_изпълнение</v>
      </c>
      <c r="H846" s="1" t="str">
        <f ca="1">IFERROR(__xludf.DUMMYFUNCTION("GOOGLETRANSLATE(English!H846, ""en"", ""bg"")"),"помощ_за_домашно_задаване")</f>
        <v>помощ_за_домашно_задаване</v>
      </c>
    </row>
    <row r="847" spans="1:8" ht="13.2" x14ac:dyDescent="0.25">
      <c r="A847" s="1" t="str">
        <f ca="1">IFERROR(__xludf.DUMMYFUNCTION("GOOGLETRANSLATE(English!A847, ""en"", ""bg"")"),"conv_13725")</f>
        <v>conv_13725</v>
      </c>
      <c r="B847" s="1" t="str">
        <f ca="1">IFERROR(__xludf.DUMMYFUNCTION("GOOGLETRANSLATE(English!B847, ""en"", ""bg"")"),"химия")</f>
        <v>химия</v>
      </c>
      <c r="C847" s="1" t="str">
        <f ca="1">IFERROR(__xludf.DUMMYFUNCTION("GOOGLETRANSLATE(English!C847, ""en"", ""bg"")"),"елементарен")</f>
        <v>елементарен</v>
      </c>
      <c r="D847" s="1" t="str">
        <f ca="1">IFERROR(__xludf.DUMMYFUNCTION("GOOGLETRANSLATE(English!D847, ""en"", ""bg"")"),"безопасност")</f>
        <v>безопасност</v>
      </c>
      <c r="E847" s="1" t="str">
        <f ca="1">IFERROR(__xludf.DUMMYFUNCTION("GOOGLETRANSLATE(English!E847, ""en"", ""bg"")"),"Имам научен въпрос. Защо е важно да се учим за безопасността?")</f>
        <v>Имам научен въпрос. Защо е важно да се учим за безопасността?</v>
      </c>
      <c r="F847" s="1" t="str">
        <f ca="1">IFERROR(__xludf.DUMMYFUNCTION("GOOGLETRANSLATE(English!F847,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847" s="1" t="str">
        <f ca="1">IFERROR(__xludf.DUMMYFUNCTION("GOOGLETRANSLATE(English!G847, ""en"", ""bg"")"),"разговор")</f>
        <v>разговор</v>
      </c>
      <c r="H847" s="1" t="str">
        <f ca="1">IFERROR(__xludf.DUMMYFUNCTION("GOOGLETRANSLATE(English!H847, ""en"", ""bg"")"),"образователна_помощ")</f>
        <v>образователна_помощ</v>
      </c>
    </row>
    <row r="848" spans="1:8" ht="13.2" x14ac:dyDescent="0.25">
      <c r="A848" s="1" t="str">
        <f ca="1">IFERROR(__xludf.DUMMYFUNCTION("GOOGLETRANSLATE(English!A848, ""en"", ""bg"")"),"qa_06787")</f>
        <v>qa_06787</v>
      </c>
      <c r="B848" s="1" t="str">
        <f ca="1">IFERROR(__xludf.DUMMYFUNCTION("GOOGLETRANSLATE(English!B848, ""en"", ""bg"")"),"химия")</f>
        <v>химия</v>
      </c>
      <c r="C848" s="1" t="str">
        <f ca="1">IFERROR(__xludf.DUMMYFUNCTION("GOOGLETRANSLATE(English!C848, ""en"", ""bg"")"),"високо")</f>
        <v>високо</v>
      </c>
      <c r="D848" s="1" t="str">
        <f ca="1">IFERROR(__xludf.DUMMYFUNCTION("GOOGLETRANSLATE(English!D848, ""en"", ""bg"")"),"равновесие")</f>
        <v>равновесие</v>
      </c>
      <c r="E848" s="1" t="str">
        <f ca="1">IFERROR(__xludf.DUMMYFUNCTION("GOOGLETRANSLATE(English!E848, ""en"", ""bg"")"),"Как работи равновесието в химията?")</f>
        <v>Как работи равновесието в химията?</v>
      </c>
      <c r="F848" s="1" t="str">
        <f ca="1">IFERROR(__xludf.DUMMYFUNCTION("GOOGLETRANSLATE(English!F848,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848" s="1" t="str">
        <f ca="1">IFERROR(__xludf.DUMMYFUNCTION("GOOGLETRANSLATE(English!G848, ""en"", ""bg"")"),"direct_qa")</f>
        <v>direct_qa</v>
      </c>
      <c r="H848" s="1" t="str">
        <f ca="1">IFERROR(__xludf.DUMMYFUNCTION("GOOGLETRANSLATE(English!H848, ""en"", ""bg"")"),"заявка_за_знание")</f>
        <v>заявка_за_знание</v>
      </c>
    </row>
    <row r="849" spans="1:8" ht="13.2" x14ac:dyDescent="0.25">
      <c r="A849" s="1" t="str">
        <f ca="1">IFERROR(__xludf.DUMMYFUNCTION("GOOGLETRANSLATE(English!A849, ""en"", ""bg"")"),"conv_09997")</f>
        <v>conv_09997</v>
      </c>
      <c r="B849" s="1" t="str">
        <f ca="1">IFERROR(__xludf.DUMMYFUNCTION("GOOGLETRANSLATE(English!B849, ""en"", ""bg"")"),"биология")</f>
        <v>биология</v>
      </c>
      <c r="C849" s="1" t="str">
        <f ca="1">IFERROR(__xludf.DUMMYFUNCTION("GOOGLETRANSLATE(English!C849, ""en"", ""bg"")"),"високо")</f>
        <v>високо</v>
      </c>
      <c r="D849" s="1" t="str">
        <f ca="1">IFERROR(__xludf.DUMMYFUNCTION("GOOGLETRANSLATE(English!D849, ""en"", ""bg"")"),"синтез на протеини")</f>
        <v>синтез на протеини</v>
      </c>
      <c r="E849" s="1" t="str">
        <f ca="1">IFERROR(__xludf.DUMMYFUNCTION("GOOGLETRANSLATE(English!E849, ""en"", ""bg"")"),"Имам нужда от помощ с домашното. Защо синтезът на протеини е важен в биологията?")</f>
        <v>Имам нужда от помощ с домашното. Защо синтезът на протеини е важен в биологията?</v>
      </c>
      <c r="F849" s="1" t="str">
        <f ca="1">IFERROR(__xludf.DUMMYFUNCTION("GOOGLETRANSLATE(English!F849,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849" s="1" t="str">
        <f ca="1">IFERROR(__xludf.DUMMYFUNCTION("GOOGLETRANSLATE(English!G849, ""en"", ""bg"")"),"разговор")</f>
        <v>разговор</v>
      </c>
      <c r="H849" s="1" t="str">
        <f ca="1">IFERROR(__xludf.DUMMYFUNCTION("GOOGLETRANSLATE(English!H849, ""en"", ""bg"")"),"образователна_помощ")</f>
        <v>образователна_помощ</v>
      </c>
    </row>
    <row r="850" spans="1:8" ht="13.2" x14ac:dyDescent="0.25">
      <c r="A850" s="1" t="str">
        <f ca="1">IFERROR(__xludf.DUMMYFUNCTION("GOOGLETRANSLATE(English!A850, ""en"", ""bg"")"),"qa_09940")</f>
        <v>qa_09940</v>
      </c>
      <c r="B850" s="1" t="str">
        <f ca="1">IFERROR(__xludf.DUMMYFUNCTION("GOOGLETRANSLATE(English!B850, ""en"", ""bg"")"),"химия")</f>
        <v>химия</v>
      </c>
      <c r="C850" s="1" t="str">
        <f ca="1">IFERROR(__xludf.DUMMYFUNCTION("GOOGLETRANSLATE(English!C850, ""en"", ""bg"")"),"средата")</f>
        <v>средата</v>
      </c>
      <c r="D850" s="1" t="str">
        <f ca="1">IFERROR(__xludf.DUMMYFUNCTION("GOOGLETRANSLATE(English!D850, ""en"", ""bg"")"),"съединения срещу елементи")</f>
        <v>съединения срещу елементи</v>
      </c>
      <c r="E850" s="1" t="str">
        <f ca="1">IFERROR(__xludf.DUMMYFUNCTION("GOOGLETRANSLATE(English!E850, ""en"", ""bg"")"),"Какво представляват съединенията срещу елементите?")</f>
        <v>Какво представляват съединенията срещу елементите?</v>
      </c>
      <c r="F850" s="1" t="str">
        <f ca="1">IFERROR(__xludf.DUMMYFUNCTION("GOOGLETRANSLATE(English!F850,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850" s="1" t="str">
        <f ca="1">IFERROR(__xludf.DUMMYFUNCTION("GOOGLETRANSLATE(English!G850, ""en"", ""bg"")"),"direct_qa")</f>
        <v>direct_qa</v>
      </c>
      <c r="H850" s="1" t="str">
        <f ca="1">IFERROR(__xludf.DUMMYFUNCTION("GOOGLETRANSLATE(English!H850, ""en"", ""bg"")"),"заявка_за_знание")</f>
        <v>заявка_за_знание</v>
      </c>
    </row>
    <row r="851" spans="1:8" ht="13.2" x14ac:dyDescent="0.25">
      <c r="A851" s="1" t="str">
        <f ca="1">IFERROR(__xludf.DUMMYFUNCTION("GOOGLETRANSLATE(English!A851, ""en"", ""bg"")"),"hw_10693")</f>
        <v>hw_10693</v>
      </c>
      <c r="B851" s="1" t="str">
        <f ca="1">IFERROR(__xludf.DUMMYFUNCTION("GOOGLETRANSLATE(English!B851, ""en"", ""bg"")"),"химия")</f>
        <v>химия</v>
      </c>
      <c r="C851" s="1" t="str">
        <f ca="1">IFERROR(__xludf.DUMMYFUNCTION("GOOGLETRANSLATE(English!C851, ""en"", ""bg"")"),"елементарен")</f>
        <v>елементарен</v>
      </c>
      <c r="D851" s="1" t="str">
        <f ca="1">IFERROR(__xludf.DUMMYFUNCTION("GOOGLETRANSLATE(English!D851, ""en"", ""bg"")"),"разтваряне")</f>
        <v>разтваряне</v>
      </c>
      <c r="E851" s="1" t="str">
        <f ca="1">IFERROR(__xludf.DUMMYFUNCTION("GOOGLETRANSLATE(English!E851, ""en"", ""bg"")"),"Трудно ми е да се разсея в домашните си.")</f>
        <v>Трудно ми е да се разсея в домашните си.</v>
      </c>
      <c r="F851" s="1" t="str">
        <f ca="1">IFERROR(__xludf.DUMMYFUNCTION("GOOGLETRANSLATE(English!F851,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851" s="1" t="str">
        <f ca="1">IFERROR(__xludf.DUMMYFUNCTION("GOOGLETRANSLATE(English!G851, ""en"", ""bg"")"),"помощ_за_домашно_изпълнение")</f>
        <v>помощ_за_домашно_изпълнение</v>
      </c>
      <c r="H851" s="1" t="str">
        <f ca="1">IFERROR(__xludf.DUMMYFUNCTION("GOOGLETRANSLATE(English!H851, ""en"", ""bg"")"),"помощ_за_домашно_задаване")</f>
        <v>помощ_за_домашно_задаване</v>
      </c>
    </row>
    <row r="852" spans="1:8" ht="13.2" x14ac:dyDescent="0.25">
      <c r="A852" s="1" t="str">
        <f ca="1">IFERROR(__xludf.DUMMYFUNCTION("GOOGLETRANSLATE(English!A852, ""en"", ""bg"")"),"hw_08170")</f>
        <v>hw_08170</v>
      </c>
      <c r="B852" s="1" t="str">
        <f ca="1">IFERROR(__xludf.DUMMYFUNCTION("GOOGLETRANSLATE(English!B852, ""en"", ""bg"")"),"химия")</f>
        <v>химия</v>
      </c>
      <c r="C852" s="1" t="str">
        <f ca="1">IFERROR(__xludf.DUMMYFUNCTION("GOOGLETRANSLATE(English!C852, ""en"", ""bg"")"),"елементарен")</f>
        <v>елементарен</v>
      </c>
      <c r="D852" s="1" t="str">
        <f ca="1">IFERROR(__xludf.DUMMYFUNCTION("GOOGLETRANSLATE(English!D852, ""en"", ""bg"")"),"разтваряне")</f>
        <v>разтваряне</v>
      </c>
      <c r="E852" s="1" t="str">
        <f ca="1">IFERROR(__xludf.DUMMYFUNCTION("GOOGLETRANSLATE(English!E852, ""en"", ""bg"")"),"Трудно ми е да се разсея в домашните си.")</f>
        <v>Трудно ми е да се разсея в домашните си.</v>
      </c>
      <c r="F852" s="1" t="str">
        <f ca="1">IFERROR(__xludf.DUMMYFUNCTION("GOOGLETRANSLATE(English!F852,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852" s="1" t="str">
        <f ca="1">IFERROR(__xludf.DUMMYFUNCTION("GOOGLETRANSLATE(English!G852, ""en"", ""bg"")"),"помощ_за_домашно_изпълнение")</f>
        <v>помощ_за_домашно_изпълнение</v>
      </c>
      <c r="H852" s="1" t="str">
        <f ca="1">IFERROR(__xludf.DUMMYFUNCTION("GOOGLETRANSLATE(English!H852, ""en"", ""bg"")"),"помощ_за_домашно_задаване")</f>
        <v>помощ_за_домашно_задаване</v>
      </c>
    </row>
    <row r="853" spans="1:8" ht="13.2" x14ac:dyDescent="0.25">
      <c r="A853" s="1" t="str">
        <f ca="1">IFERROR(__xludf.DUMMYFUNCTION("GOOGLETRANSLATE(English!A853, ""en"", ""bg"")"),"qa_12283")</f>
        <v>qa_12283</v>
      </c>
      <c r="B853" s="1" t="str">
        <f ca="1">IFERROR(__xludf.DUMMYFUNCTION("GOOGLETRANSLATE(English!B853, ""en"", ""bg"")"),"биология")</f>
        <v>биология</v>
      </c>
      <c r="C853" s="1" t="str">
        <f ca="1">IFERROR(__xludf.DUMMYFUNCTION("GOOGLETRANSLATE(English!C853, ""en"", ""bg"")"),"високо")</f>
        <v>високо</v>
      </c>
      <c r="D853" s="1" t="str">
        <f ca="1">IFERROR(__xludf.DUMMYFUNCTION("GOOGLETRANSLATE(English!D853, ""en"", ""bg"")"),"Структура на ДНК")</f>
        <v>Структура на ДНК</v>
      </c>
      <c r="E853" s="1" t="str">
        <f ca="1">IFERROR(__xludf.DUMMYFUNCTION("GOOGLETRANSLATE(English!E853, ""en"", ""bg"")"),"Можете ли да ми разкажете за структурата на ДНК?")</f>
        <v>Можете ли да ми разкажете за структурата на ДНК?</v>
      </c>
      <c r="F853" s="1" t="str">
        <f ca="1">IFERROR(__xludf.DUMMYFUNCTION("GOOGLETRANSLATE(English!F853,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853" s="1" t="str">
        <f ca="1">IFERROR(__xludf.DUMMYFUNCTION("GOOGLETRANSLATE(English!G853, ""en"", ""bg"")"),"direct_qa")</f>
        <v>direct_qa</v>
      </c>
      <c r="H853" s="1" t="str">
        <f ca="1">IFERROR(__xludf.DUMMYFUNCTION("GOOGLETRANSLATE(English!H853, ""en"", ""bg"")"),"заявка_за_знание")</f>
        <v>заявка_за_знание</v>
      </c>
    </row>
    <row r="854" spans="1:8" ht="13.2" x14ac:dyDescent="0.25">
      <c r="A854" s="1" t="str">
        <f ca="1">IFERROR(__xludf.DUMMYFUNCTION("GOOGLETRANSLATE(English!A854, ""en"", ""bg"")"),"qa_04079")</f>
        <v>qa_04079</v>
      </c>
      <c r="B854" s="1" t="str">
        <f ca="1">IFERROR(__xludf.DUMMYFUNCTION("GOOGLETRANSLATE(English!B854, ""en"", ""bg"")"),"биология")</f>
        <v>биология</v>
      </c>
      <c r="C854" s="1" t="str">
        <f ca="1">IFERROR(__xludf.DUMMYFUNCTION("GOOGLETRANSLATE(English!C854, ""en"", ""bg"")"),"средата")</f>
        <v>средата</v>
      </c>
      <c r="D854" s="1" t="str">
        <f ca="1">IFERROR(__xludf.DUMMYFUNCTION("GOOGLETRANSLATE(English!D854, ""en"", ""bg"")"),"екосистеми")</f>
        <v>екосистеми</v>
      </c>
      <c r="E854" s="1" t="str">
        <f ca="1">IFERROR(__xludf.DUMMYFUNCTION("GOOGLETRANSLATE(English!E854, ""en"", ""bg"")"),"Какво е важно да знаем за екосистемите?")</f>
        <v>Какво е важно да знаем за екосистемите?</v>
      </c>
      <c r="F854" s="1" t="str">
        <f ca="1">IFERROR(__xludf.DUMMYFUNCTION("GOOGLETRANSLATE(English!F854,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854" s="1" t="str">
        <f ca="1">IFERROR(__xludf.DUMMYFUNCTION("GOOGLETRANSLATE(English!G854, ""en"", ""bg"")"),"direct_qa")</f>
        <v>direct_qa</v>
      </c>
      <c r="H854" s="1" t="str">
        <f ca="1">IFERROR(__xludf.DUMMYFUNCTION("GOOGLETRANSLATE(English!H854, ""en"", ""bg"")"),"заявка_за_знание")</f>
        <v>заявка_за_знание</v>
      </c>
    </row>
    <row r="855" spans="1:8" ht="13.2" x14ac:dyDescent="0.25">
      <c r="A855" s="1" t="str">
        <f ca="1">IFERROR(__xludf.DUMMYFUNCTION("GOOGLETRANSLATE(English!A855, ""en"", ""bg"")"),"qa_03947")</f>
        <v>qa_03947</v>
      </c>
      <c r="B855" s="1" t="str">
        <f ca="1">IFERROR(__xludf.DUMMYFUNCTION("GOOGLETRANSLATE(English!B855, ""en"", ""bg"")"),"физика")</f>
        <v>физика</v>
      </c>
      <c r="C855" s="1" t="str">
        <f ca="1">IFERROR(__xludf.DUMMYFUNCTION("GOOGLETRANSLATE(English!C855, ""en"", ""bg"")"),"елементарен")</f>
        <v>елементарен</v>
      </c>
      <c r="D855" s="1" t="str">
        <f ca="1">IFERROR(__xludf.DUMMYFUNCTION("GOOGLETRANSLATE(English!D855, ""en"", ""bg"")"),"магнити")</f>
        <v>магнити</v>
      </c>
      <c r="E855" s="1" t="str">
        <f ca="1">IFERROR(__xludf.DUMMYFUNCTION("GOOGLETRANSLATE(English!E855, ""en"", ""bg"")"),"Как работят магнитите?")</f>
        <v>Как работят магнитите?</v>
      </c>
      <c r="F855" s="1" t="str">
        <f ca="1">IFERROR(__xludf.DUMMYFUNCTION("GOOGLETRANSLATE(English!F855,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855" s="1" t="str">
        <f ca="1">IFERROR(__xludf.DUMMYFUNCTION("GOOGLETRANSLATE(English!G855, ""en"", ""bg"")"),"direct_qa")</f>
        <v>direct_qa</v>
      </c>
      <c r="H855" s="1" t="str">
        <f ca="1">IFERROR(__xludf.DUMMYFUNCTION("GOOGLETRANSLATE(English!H855, ""en"", ""bg"")"),"заявка_за_знание")</f>
        <v>заявка_за_знание</v>
      </c>
    </row>
    <row r="856" spans="1:8" ht="13.2" x14ac:dyDescent="0.25">
      <c r="A856" s="1" t="str">
        <f ca="1">IFERROR(__xludf.DUMMYFUNCTION("GOOGLETRANSLATE(English!A856, ""en"", ""bg"")"),"hw_04184")</f>
        <v>hw_04184</v>
      </c>
      <c r="B856" s="1" t="str">
        <f ca="1">IFERROR(__xludf.DUMMYFUNCTION("GOOGLETRANSLATE(English!B856, ""en"", ""bg"")"),"физика")</f>
        <v>физика</v>
      </c>
      <c r="C856" s="1" t="str">
        <f ca="1">IFERROR(__xludf.DUMMYFUNCTION("GOOGLETRANSLATE(English!C856, ""en"", ""bg"")"),"високо")</f>
        <v>високо</v>
      </c>
      <c r="D856" s="1" t="str">
        <f ca="1">IFERROR(__xludf.DUMMYFUNCTION("GOOGLETRANSLATE(English!D856, ""en"", ""bg"")"),"термодинамика")</f>
        <v>термодинамика</v>
      </c>
      <c r="E856" s="1" t="str">
        <f ca="1">IFERROR(__xludf.DUMMYFUNCTION("GOOGLETRANSLATE(English!E856, ""en"", ""bg"")"),"Можете ли да решите тази задача по термодинамика с мен?")</f>
        <v>Можете ли да решите тази задача по термодинамика с мен?</v>
      </c>
      <c r="F856" s="1" t="str">
        <f ca="1">IFERROR(__xludf.DUMMYFUNCTION("GOOGLETRANSLATE(English!F856,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856" s="1" t="str">
        <f ca="1">IFERROR(__xludf.DUMMYFUNCTION("GOOGLETRANSLATE(English!G856, ""en"", ""bg"")"),"помощ_за_домашно_изпълнение")</f>
        <v>помощ_за_домашно_изпълнение</v>
      </c>
      <c r="H856" s="1" t="str">
        <f ca="1">IFERROR(__xludf.DUMMYFUNCTION("GOOGLETRANSLATE(English!H856, ""en"", ""bg"")"),"помощ_за_домашно_задаване")</f>
        <v>помощ_за_домашно_задаване</v>
      </c>
    </row>
    <row r="857" spans="1:8" ht="13.2" x14ac:dyDescent="0.25">
      <c r="A857" s="1" t="str">
        <f ca="1">IFERROR(__xludf.DUMMYFUNCTION("GOOGLETRANSLATE(English!A857, ""en"", ""bg"")"),"qa_04275")</f>
        <v>qa_04275</v>
      </c>
      <c r="B857" s="1" t="str">
        <f ca="1">IFERROR(__xludf.DUMMYFUNCTION("GOOGLETRANSLATE(English!B857, ""en"", ""bg"")"),"биология")</f>
        <v>биология</v>
      </c>
      <c r="C857" s="1" t="str">
        <f ca="1">IFERROR(__xludf.DUMMYFUNCTION("GOOGLETRANSLATE(English!C857, ""en"", ""bg"")"),"средата")</f>
        <v>средата</v>
      </c>
      <c r="D857" s="1" t="str">
        <f ca="1">IFERROR(__xludf.DUMMYFUNCTION("GOOGLETRANSLATE(English!D857, ""en"", ""bg"")"),"размножаване")</f>
        <v>размножаване</v>
      </c>
      <c r="E857" s="1" t="str">
        <f ca="1">IFERROR(__xludf.DUMMYFUNCTION("GOOGLETRANSLATE(English!E857, ""en"", ""bg"")"),"Можете ли да ми разкажете за размножаването?")</f>
        <v>Можете ли да ми разкажете за размножаването?</v>
      </c>
      <c r="F857" s="1" t="str">
        <f ca="1">IFERROR(__xludf.DUMMYFUNCTION("GOOGLETRANSLATE(English!F857,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857" s="1" t="str">
        <f ca="1">IFERROR(__xludf.DUMMYFUNCTION("GOOGLETRANSLATE(English!G857, ""en"", ""bg"")"),"direct_qa")</f>
        <v>direct_qa</v>
      </c>
      <c r="H857" s="1" t="str">
        <f ca="1">IFERROR(__xludf.DUMMYFUNCTION("GOOGLETRANSLATE(English!H857, ""en"", ""bg"")"),"заявка_за_знание")</f>
        <v>заявка_за_знание</v>
      </c>
    </row>
    <row r="858" spans="1:8" ht="13.2" x14ac:dyDescent="0.25">
      <c r="A858" s="1" t="str">
        <f ca="1">IFERROR(__xludf.DUMMYFUNCTION("GOOGLETRANSLATE(English!A858, ""en"", ""bg"")"),"conv_10733")</f>
        <v>conv_10733</v>
      </c>
      <c r="B858" s="1" t="str">
        <f ca="1">IFERROR(__xludf.DUMMYFUNCTION("GOOGLETRANSLATE(English!B858, ""en"", ""bg"")"),"химия")</f>
        <v>химия</v>
      </c>
      <c r="C858" s="1" t="str">
        <f ca="1">IFERROR(__xludf.DUMMYFUNCTION("GOOGLETRANSLATE(English!C858, ""en"", ""bg"")"),"високо")</f>
        <v>високо</v>
      </c>
      <c r="D858" s="1" t="str">
        <f ca="1">IFERROR(__xludf.DUMMYFUNCTION("GOOGLETRANSLATE(English!D858, ""en"", ""bg"")"),"електрохимия")</f>
        <v>електрохимия</v>
      </c>
      <c r="E858" s="1" t="str">
        <f ca="1">IFERROR(__xludf.DUMMYFUNCTION("GOOGLETRANSLATE(English!E858, ""en"", ""bg"")"),"Имам нужда от помощ с домашното си. Как работи електрохимията в химията?")</f>
        <v>Имам нужда от помощ с домашното си. Как работи електрохимията в химията?</v>
      </c>
      <c r="F858" s="1" t="str">
        <f ca="1">IFERROR(__xludf.DUMMYFUNCTION("GOOGLETRANSLATE(English!F858,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858" s="1" t="str">
        <f ca="1">IFERROR(__xludf.DUMMYFUNCTION("GOOGLETRANSLATE(English!G858, ""en"", ""bg"")"),"разговор")</f>
        <v>разговор</v>
      </c>
      <c r="H858" s="1" t="str">
        <f ca="1">IFERROR(__xludf.DUMMYFUNCTION("GOOGLETRANSLATE(English!H858, ""en"", ""bg"")"),"образователна_помощ")</f>
        <v>образователна_помощ</v>
      </c>
    </row>
    <row r="859" spans="1:8" ht="13.2" x14ac:dyDescent="0.25">
      <c r="A859" s="1" t="str">
        <f ca="1">IFERROR(__xludf.DUMMYFUNCTION("GOOGLETRANSLATE(English!A859, ""en"", ""bg"")"),"hw_02571")</f>
        <v>hw_02571</v>
      </c>
      <c r="B859" s="1" t="str">
        <f ca="1">IFERROR(__xludf.DUMMYFUNCTION("GOOGLETRANSLATE(English!B859, ""en"", ""bg"")"),"физика")</f>
        <v>физика</v>
      </c>
      <c r="C859" s="1" t="str">
        <f ca="1">IFERROR(__xludf.DUMMYFUNCTION("GOOGLETRANSLATE(English!C859, ""en"", ""bg"")"),"средата")</f>
        <v>средата</v>
      </c>
      <c r="D859" s="1" t="str">
        <f ca="1">IFERROR(__xludf.DUMMYFUNCTION("GOOGLETRANSLATE(English!D859, ""en"", ""bg"")"),"прости схеми")</f>
        <v>прости схеми</v>
      </c>
      <c r="E859" s="1" t="str">
        <f ca="1">IFERROR(__xludf.DUMMYFUNCTION("GOOGLETRANSLATE(English!E859,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859" s="1" t="str">
        <f ca="1">IFERROR(__xludf.DUMMYFUNCTION("GOOGLETRANSLATE(English!F859,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859" s="1" t="str">
        <f ca="1">IFERROR(__xludf.DUMMYFUNCTION("GOOGLETRANSLATE(English!G859, ""en"", ""bg"")"),"помощ_за_домашно_изпълнение")</f>
        <v>помощ_за_домашно_изпълнение</v>
      </c>
      <c r="H859" s="1" t="str">
        <f ca="1">IFERROR(__xludf.DUMMYFUNCTION("GOOGLETRANSLATE(English!H859, ""en"", ""bg"")"),"помощ_за_домашно_задаване")</f>
        <v>помощ_за_домашно_задаване</v>
      </c>
    </row>
    <row r="860" spans="1:8" ht="13.2" x14ac:dyDescent="0.25">
      <c r="A860" s="1" t="str">
        <f ca="1">IFERROR(__xludf.DUMMYFUNCTION("GOOGLETRANSLATE(English!A860, ""en"", ""bg"")"),"qa_10167")</f>
        <v>qa_10167</v>
      </c>
      <c r="B860" s="1" t="str">
        <f ca="1">IFERROR(__xludf.DUMMYFUNCTION("GOOGLETRANSLATE(English!B860, ""en"", ""bg"")"),"физика")</f>
        <v>физика</v>
      </c>
      <c r="C860" s="1" t="str">
        <f ca="1">IFERROR(__xludf.DUMMYFUNCTION("GOOGLETRANSLATE(English!C860, ""en"", ""bg"")"),"средата")</f>
        <v>средата</v>
      </c>
      <c r="D860" s="1" t="str">
        <f ca="1">IFERROR(__xludf.DUMMYFUNCTION("GOOGLETRANSLATE(English!D860, ""en"", ""bg"")"),"вълни")</f>
        <v>вълни</v>
      </c>
      <c r="E860" s="1" t="str">
        <f ca="1">IFERROR(__xludf.DUMMYFUNCTION("GOOGLETRANSLATE(English!E860, ""en"", ""bg"")"),"Какво трябва да знам за вълните?")</f>
        <v>Какво трябва да знам за вълните?</v>
      </c>
      <c r="F860" s="1" t="str">
        <f ca="1">IFERROR(__xludf.DUMMYFUNCTION("GOOGLETRANSLATE(English!F860,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860" s="1" t="str">
        <f ca="1">IFERROR(__xludf.DUMMYFUNCTION("GOOGLETRANSLATE(English!G860, ""en"", ""bg"")"),"direct_qa")</f>
        <v>direct_qa</v>
      </c>
      <c r="H860" s="1" t="str">
        <f ca="1">IFERROR(__xludf.DUMMYFUNCTION("GOOGLETRANSLATE(English!H860, ""en"", ""bg"")"),"заявка_за_знание")</f>
        <v>заявка_за_знание</v>
      </c>
    </row>
    <row r="861" spans="1:8" ht="13.2" x14ac:dyDescent="0.25">
      <c r="A861" s="1" t="str">
        <f ca="1">IFERROR(__xludf.DUMMYFUNCTION("GOOGLETRANSLATE(English!A861, ""en"", ""bg"")"),"conv_05805")</f>
        <v>conv_05805</v>
      </c>
      <c r="B861" s="1" t="str">
        <f ca="1">IFERROR(__xludf.DUMMYFUNCTION("GOOGLETRANSLATE(English!B861, ""en"", ""bg"")"),"биология")</f>
        <v>биология</v>
      </c>
      <c r="C861" s="1" t="str">
        <f ca="1">IFERROR(__xludf.DUMMYFUNCTION("GOOGLETRANSLATE(English!C861, ""en"", ""bg"")"),"високо")</f>
        <v>високо</v>
      </c>
      <c r="D861" s="1" t="str">
        <f ca="1">IFERROR(__xludf.DUMMYFUNCTION("GOOGLETRANSLATE(English!D861, ""en"", ""bg"")"),"синтез на протеини")</f>
        <v>синтез на протеини</v>
      </c>
      <c r="E861" s="1" t="str">
        <f ca="1">IFERROR(__xludf.DUMMYFUNCTION("GOOGLETRANSLATE(English!E861, ""en"", ""bg"")"),"Имам нужда от помощ с домашното. Какво е важно да знаем за синтеза на протеини?")</f>
        <v>Имам нужда от помощ с домашното. Какво е важно да знаем за синтеза на протеини?</v>
      </c>
      <c r="F861" s="1" t="str">
        <f ca="1">IFERROR(__xludf.DUMMYFUNCTION("GOOGLETRANSLATE(English!F861,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861" s="1" t="str">
        <f ca="1">IFERROR(__xludf.DUMMYFUNCTION("GOOGLETRANSLATE(English!G861, ""en"", ""bg"")"),"разговор")</f>
        <v>разговор</v>
      </c>
      <c r="H861" s="1" t="str">
        <f ca="1">IFERROR(__xludf.DUMMYFUNCTION("GOOGLETRANSLATE(English!H861, ""en"", ""bg"")"),"образователна_помощ")</f>
        <v>образователна_помощ</v>
      </c>
    </row>
    <row r="862" spans="1:8" ht="13.2" x14ac:dyDescent="0.25">
      <c r="A862" s="1" t="str">
        <f ca="1">IFERROR(__xludf.DUMMYFUNCTION("GOOGLETRANSLATE(English!A862, ""en"", ""bg"")"),"conv_13054")</f>
        <v>conv_13054</v>
      </c>
      <c r="B862" s="1" t="str">
        <f ca="1">IFERROR(__xludf.DUMMYFUNCTION("GOOGLETRANSLATE(English!B862, ""en"", ""bg"")"),"химия")</f>
        <v>химия</v>
      </c>
      <c r="C862" s="1" t="str">
        <f ca="1">IFERROR(__xludf.DUMMYFUNCTION("GOOGLETRANSLATE(English!C862, ""en"", ""bg"")"),"елементарен")</f>
        <v>елементарен</v>
      </c>
      <c r="D862" s="1" t="str">
        <f ca="1">IFERROR(__xludf.DUMMYFUNCTION("GOOGLETRANSLATE(English!D862, ""en"", ""bg"")"),"промени в материалите")</f>
        <v>промени в материалите</v>
      </c>
      <c r="E862" s="1" t="str">
        <f ca="1">IFERROR(__xludf.DUMMYFUNCTION("GOOGLETRANSLATE(English!E862, ""en"", ""bg"")"),"Не разбирам тази тема. Защо е важно да се научат промените в материалите?")</f>
        <v>Не разбирам тази тема. Защо е важно да се научат промените в материалите?</v>
      </c>
      <c r="F862" s="1" t="str">
        <f ca="1">IFERROR(__xludf.DUMMYFUNCTION("GOOGLETRANSLATE(English!F862,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862" s="1" t="str">
        <f ca="1">IFERROR(__xludf.DUMMYFUNCTION("GOOGLETRANSLATE(English!G862, ""en"", ""bg"")"),"разговор")</f>
        <v>разговор</v>
      </c>
      <c r="H862" s="1" t="str">
        <f ca="1">IFERROR(__xludf.DUMMYFUNCTION("GOOGLETRANSLATE(English!H862, ""en"", ""bg"")"),"образователна_помощ")</f>
        <v>образователна_помощ</v>
      </c>
    </row>
    <row r="863" spans="1:8" ht="13.2" x14ac:dyDescent="0.25">
      <c r="A863" s="1" t="str">
        <f ca="1">IFERROR(__xludf.DUMMYFUNCTION("GOOGLETRANSLATE(English!A863, ""en"", ""bg"")"),"conv_06353")</f>
        <v>conv_06353</v>
      </c>
      <c r="B863" s="1" t="str">
        <f ca="1">IFERROR(__xludf.DUMMYFUNCTION("GOOGLETRANSLATE(English!B863, ""en"", ""bg"")"),"биология")</f>
        <v>биология</v>
      </c>
      <c r="C863" s="1" t="str">
        <f ca="1">IFERROR(__xludf.DUMMYFUNCTION("GOOGLETRANSLATE(English!C863, ""en"", ""bg"")"),"високо")</f>
        <v>високо</v>
      </c>
      <c r="D863" s="1" t="str">
        <f ca="1">IFERROR(__xludf.DUMMYFUNCTION("GOOGLETRANSLATE(English!D863, ""en"", ""bg"")"),"синтез на протеини")</f>
        <v>синтез на протеини</v>
      </c>
      <c r="E863" s="1" t="str">
        <f ca="1">IFERROR(__xludf.DUMMYFUNCTION("GOOGLETRANSLATE(English!E863, ""en"", ""bg"")"),"Можете ли да ми помогнете? Какво е важно да знаем за синтеза на протеини?")</f>
        <v>Можете ли да ми помогнете? Какво е важно да знаем за синтеза на протеини?</v>
      </c>
      <c r="F863" s="1" t="str">
        <f ca="1">IFERROR(__xludf.DUMMYFUNCTION("GOOGLETRANSLATE(English!F863,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863" s="1" t="str">
        <f ca="1">IFERROR(__xludf.DUMMYFUNCTION("GOOGLETRANSLATE(English!G863, ""en"", ""bg"")"),"разговор")</f>
        <v>разговор</v>
      </c>
      <c r="H863" s="1" t="str">
        <f ca="1">IFERROR(__xludf.DUMMYFUNCTION("GOOGLETRANSLATE(English!H863, ""en"", ""bg"")"),"образователна_помощ")</f>
        <v>образователна_помощ</v>
      </c>
    </row>
    <row r="864" spans="1:8" ht="13.2" x14ac:dyDescent="0.25">
      <c r="A864" s="1" t="str">
        <f ca="1">IFERROR(__xludf.DUMMYFUNCTION("GOOGLETRANSLATE(English!A864, ""en"", ""bg"")"),"conv_13848")</f>
        <v>conv_13848</v>
      </c>
      <c r="B864" s="1" t="str">
        <f ca="1">IFERROR(__xludf.DUMMYFUNCTION("GOOGLETRANSLATE(English!B864, ""en"", ""bg"")"),"физика")</f>
        <v>физика</v>
      </c>
      <c r="C864" s="1" t="str">
        <f ca="1">IFERROR(__xludf.DUMMYFUNCTION("GOOGLETRANSLATE(English!C864, ""en"", ""bg"")"),"елементарен")</f>
        <v>елементарен</v>
      </c>
      <c r="D864" s="1" t="str">
        <f ca="1">IFERROR(__xludf.DUMMYFUNCTION("GOOGLETRANSLATE(English!D864, ""en"", ""bg"")"),"горещо и студено")</f>
        <v>горещо и студено</v>
      </c>
      <c r="E864" s="1" t="str">
        <f ca="1">IFERROR(__xludf.DUMMYFUNCTION("GOOGLETRANSLATE(English!E864, ""en"", ""bg"")"),"Здравей, преподавателю! Какво трябва да знам за топлото и студеното?")</f>
        <v>Здравей, преподавателю! Какво трябва да знам за топлото и студеното?</v>
      </c>
      <c r="F864" s="1" t="str">
        <f ca="1">IFERROR(__xludf.DUMMYFUNCTION("GOOGLETRANSLATE(English!F864,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864" s="1" t="str">
        <f ca="1">IFERROR(__xludf.DUMMYFUNCTION("GOOGLETRANSLATE(English!G864, ""en"", ""bg"")"),"разговор")</f>
        <v>разговор</v>
      </c>
      <c r="H864" s="1" t="str">
        <f ca="1">IFERROR(__xludf.DUMMYFUNCTION("GOOGLETRANSLATE(English!H864, ""en"", ""bg"")"),"образователна_помощ")</f>
        <v>образователна_помощ</v>
      </c>
    </row>
    <row r="865" spans="1:8" ht="13.2" x14ac:dyDescent="0.25">
      <c r="A865" s="1" t="str">
        <f ca="1">IFERROR(__xludf.DUMMYFUNCTION("GOOGLETRANSLATE(English!A865, ""en"", ""bg"")"),"conv_10828")</f>
        <v>conv_10828</v>
      </c>
      <c r="B865" s="1" t="str">
        <f ca="1">IFERROR(__xludf.DUMMYFUNCTION("GOOGLETRANSLATE(English!B865, ""en"", ""bg"")"),"биология")</f>
        <v>биология</v>
      </c>
      <c r="C865" s="1" t="str">
        <f ca="1">IFERROR(__xludf.DUMMYFUNCTION("GOOGLETRANSLATE(English!C865, ""en"", ""bg"")"),"елементарен")</f>
        <v>елементарен</v>
      </c>
      <c r="D865" s="1" t="str">
        <f ca="1">IFERROR(__xludf.DUMMYFUNCTION("GOOGLETRANSLATE(English!D865, ""en"", ""bg"")"),"сетива")</f>
        <v>сетива</v>
      </c>
      <c r="E865" s="1" t="str">
        <f ca="1">IFERROR(__xludf.DUMMYFUNCTION("GOOGLETRANSLATE(English!E865, ""en"", ""bg"")"),"Не разбирам тази тема. Какво е важно да знаем за сетивата?")</f>
        <v>Не разбирам тази тема. Какво е важно да знаем за сетивата?</v>
      </c>
      <c r="F865" s="1" t="str">
        <f ca="1">IFERROR(__xludf.DUMMYFUNCTION("GOOGLETRANSLATE(English!F865,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865" s="1" t="str">
        <f ca="1">IFERROR(__xludf.DUMMYFUNCTION("GOOGLETRANSLATE(English!G865, ""en"", ""bg"")"),"разговор")</f>
        <v>разговор</v>
      </c>
      <c r="H865" s="1" t="str">
        <f ca="1">IFERROR(__xludf.DUMMYFUNCTION("GOOGLETRANSLATE(English!H865, ""en"", ""bg"")"),"образователна_помощ")</f>
        <v>образователна_помощ</v>
      </c>
    </row>
    <row r="866" spans="1:8" ht="13.2" x14ac:dyDescent="0.25">
      <c r="A866" s="1" t="str">
        <f ca="1">IFERROR(__xludf.DUMMYFUNCTION("GOOGLETRANSLATE(English!A866, ""en"", ""bg"")"),"hw_00835")</f>
        <v>hw_00835</v>
      </c>
      <c r="B866" s="1" t="str">
        <f ca="1">IFERROR(__xludf.DUMMYFUNCTION("GOOGLETRANSLATE(English!B866, ""en"", ""bg"")"),"химия")</f>
        <v>химия</v>
      </c>
      <c r="C866" s="1" t="str">
        <f ca="1">IFERROR(__xludf.DUMMYFUNCTION("GOOGLETRANSLATE(English!C866, ""en"", ""bg"")"),"елементарен")</f>
        <v>елементарен</v>
      </c>
      <c r="D866" s="1" t="str">
        <f ca="1">IFERROR(__xludf.DUMMYFUNCTION("GOOGLETRANSLATE(English!D866, ""en"", ""bg"")"),"промени в материалите")</f>
        <v>промени в материалите</v>
      </c>
      <c r="E866" s="1" t="str">
        <f ca="1">IFERROR(__xludf.DUMMYFUNCTION("GOOGLETRANSLATE(English!E866,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866" s="1" t="str">
        <f ca="1">IFERROR(__xludf.DUMMYFUNCTION("GOOGLETRANSLATE(English!F866,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866" s="1" t="str">
        <f ca="1">IFERROR(__xludf.DUMMYFUNCTION("GOOGLETRANSLATE(English!G866, ""en"", ""bg"")"),"помощ_за_домашно_изпълнение")</f>
        <v>помощ_за_домашно_изпълнение</v>
      </c>
      <c r="H866" s="1" t="str">
        <f ca="1">IFERROR(__xludf.DUMMYFUNCTION("GOOGLETRANSLATE(English!H866, ""en"", ""bg"")"),"помощ_за_домашно_задаване")</f>
        <v>помощ_за_домашно_задаване</v>
      </c>
    </row>
    <row r="867" spans="1:8" ht="13.2" x14ac:dyDescent="0.25">
      <c r="A867" s="1" t="str">
        <f ca="1">IFERROR(__xludf.DUMMYFUNCTION("GOOGLETRANSLATE(English!A867, ""en"", ""bg"")"),"conv_06111")</f>
        <v>conv_06111</v>
      </c>
      <c r="B867" s="1" t="str">
        <f ca="1">IFERROR(__xludf.DUMMYFUNCTION("GOOGLETRANSLATE(English!B867, ""en"", ""bg"")"),"химия")</f>
        <v>химия</v>
      </c>
      <c r="C867" s="1" t="str">
        <f ca="1">IFERROR(__xludf.DUMMYFUNCTION("GOOGLETRANSLATE(English!C867, ""en"", ""bg"")"),"средата")</f>
        <v>средата</v>
      </c>
      <c r="D867" s="1" t="str">
        <f ca="1">IFERROR(__xludf.DUMMYFUNCTION("GOOGLETRANSLATE(English!D867, ""en"", ""bg"")"),"химични промени")</f>
        <v>химични промени</v>
      </c>
      <c r="E867" s="1" t="str">
        <f ca="1">IFERROR(__xludf.DUMMYFUNCTION("GOOGLETRANSLATE(English!E867, ""en"", ""bg"")"),"Имам нужда от помощ с домашното. Какво представляват химичните промени?")</f>
        <v>Имам нужда от помощ с домашното. Какво представляват химичните промени?</v>
      </c>
      <c r="F867" s="1" t="str">
        <f ca="1">IFERROR(__xludf.DUMMYFUNCTION("GOOGLETRANSLATE(English!F867,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867" s="1" t="str">
        <f ca="1">IFERROR(__xludf.DUMMYFUNCTION("GOOGLETRANSLATE(English!G867, ""en"", ""bg"")"),"разговор")</f>
        <v>разговор</v>
      </c>
      <c r="H867" s="1" t="str">
        <f ca="1">IFERROR(__xludf.DUMMYFUNCTION("GOOGLETRANSLATE(English!H867, ""en"", ""bg"")"),"образователна_помощ")</f>
        <v>образователна_помощ</v>
      </c>
    </row>
    <row r="868" spans="1:8" ht="13.2" x14ac:dyDescent="0.25">
      <c r="A868" s="1" t="str">
        <f ca="1">IFERROR(__xludf.DUMMYFUNCTION("GOOGLETRANSLATE(English!A868, ""en"", ""bg"")"),"conv_12683")</f>
        <v>conv_12683</v>
      </c>
      <c r="B868" s="1" t="str">
        <f ca="1">IFERROR(__xludf.DUMMYFUNCTION("GOOGLETRANSLATE(English!B868, ""en"", ""bg"")"),"химия")</f>
        <v>химия</v>
      </c>
      <c r="C868" s="1" t="str">
        <f ca="1">IFERROR(__xludf.DUMMYFUNCTION("GOOGLETRANSLATE(English!C868, ""en"", ""bg"")"),"елементарен")</f>
        <v>елементарен</v>
      </c>
      <c r="D868" s="1" t="str">
        <f ca="1">IFERROR(__xludf.DUMMYFUNCTION("GOOGLETRANSLATE(English!D868, ""en"", ""bg"")"),"разтваряне")</f>
        <v>разтваряне</v>
      </c>
      <c r="E868" s="1" t="str">
        <f ca="1">IFERROR(__xludf.DUMMYFUNCTION("GOOGLETRANSLATE(English!E868, ""en"", ""bg"")"),"Не разбирам тази тема. Какво е разтваряне?")</f>
        <v>Не разбирам тази тема. Какво е разтваряне?</v>
      </c>
      <c r="F868" s="1" t="str">
        <f ca="1">IFERROR(__xludf.DUMMYFUNCTION("GOOGLETRANSLATE(English!F868,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868" s="1" t="str">
        <f ca="1">IFERROR(__xludf.DUMMYFUNCTION("GOOGLETRANSLATE(English!G868, ""en"", ""bg"")"),"разговор")</f>
        <v>разговор</v>
      </c>
      <c r="H868" s="1" t="str">
        <f ca="1">IFERROR(__xludf.DUMMYFUNCTION("GOOGLETRANSLATE(English!H868, ""en"", ""bg"")"),"образователна_помощ")</f>
        <v>образователна_помощ</v>
      </c>
    </row>
    <row r="869" spans="1:8" ht="13.2" x14ac:dyDescent="0.25">
      <c r="A869" s="1" t="str">
        <f ca="1">IFERROR(__xludf.DUMMYFUNCTION("GOOGLETRANSLATE(English!A869, ""en"", ""bg"")"),"conv_17490")</f>
        <v>conv_17490</v>
      </c>
      <c r="B869" s="1" t="str">
        <f ca="1">IFERROR(__xludf.DUMMYFUNCTION("GOOGLETRANSLATE(English!B869, ""en"", ""bg"")"),"биология")</f>
        <v>биология</v>
      </c>
      <c r="C869" s="1" t="str">
        <f ca="1">IFERROR(__xludf.DUMMYFUNCTION("GOOGLETRANSLATE(English!C869, ""en"", ""bg"")"),"средата")</f>
        <v>средата</v>
      </c>
      <c r="D869" s="1" t="str">
        <f ca="1">IFERROR(__xludf.DUMMYFUNCTION("GOOGLETRANSLATE(English!D869, ""en"", ""bg"")"),"екосистеми")</f>
        <v>екосистеми</v>
      </c>
      <c r="E869" s="1" t="str">
        <f ca="1">IFERROR(__xludf.DUMMYFUNCTION("GOOGLETRANSLATE(English!E869, ""en"", ""bg"")"),"Имам нужда от помощ с домашното си. Как работят екосистемите?")</f>
        <v>Имам нужда от помощ с домашното си. Как работят екосистемите?</v>
      </c>
      <c r="F869" s="1" t="str">
        <f ca="1">IFERROR(__xludf.DUMMYFUNCTION("GOOGLETRANSLATE(English!F869,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869" s="1" t="str">
        <f ca="1">IFERROR(__xludf.DUMMYFUNCTION("GOOGLETRANSLATE(English!G869, ""en"", ""bg"")"),"разговор")</f>
        <v>разговор</v>
      </c>
      <c r="H869" s="1" t="str">
        <f ca="1">IFERROR(__xludf.DUMMYFUNCTION("GOOGLETRANSLATE(English!H869, ""en"", ""bg"")"),"образователна_помощ")</f>
        <v>образователна_помощ</v>
      </c>
    </row>
    <row r="870" spans="1:8" ht="13.2" x14ac:dyDescent="0.25">
      <c r="A870" s="1" t="str">
        <f ca="1">IFERROR(__xludf.DUMMYFUNCTION("GOOGLETRANSLATE(English!A870, ""en"", ""bg"")"),"conv_00690")</f>
        <v>conv_00690</v>
      </c>
      <c r="B870" s="1" t="str">
        <f ca="1">IFERROR(__xludf.DUMMYFUNCTION("GOOGLETRANSLATE(English!B870, ""en"", ""bg"")"),"химия")</f>
        <v>химия</v>
      </c>
      <c r="C870" s="1" t="str">
        <f ca="1">IFERROR(__xludf.DUMMYFUNCTION("GOOGLETRANSLATE(English!C870, ""en"", ""bg"")"),"елементарен")</f>
        <v>елементарен</v>
      </c>
      <c r="D870" s="1" t="str">
        <f ca="1">IFERROR(__xludf.DUMMYFUNCTION("GOOGLETRANSLATE(English!D870, ""en"", ""bg"")"),"твърди вещества, течности, газове")</f>
        <v>твърди вещества, течности, газове</v>
      </c>
      <c r="E870" s="1" t="str">
        <f ca="1">IFERROR(__xludf.DUMMYFUNCTION("GOOGLETRANSLATE(English!E870, ""en"", ""bg"")"),"Имам научен въпрос: Как водата преминава от течно състояние в газообразно?")</f>
        <v>Имам научен въпрос: Как водата преминава от течно състояние в газообразно?</v>
      </c>
      <c r="F870" s="1" t="str">
        <f ca="1">IFERROR(__xludf.DUMMYFUNCTION("GOOGLETRANSLATE(English!F870,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870" s="1" t="str">
        <f ca="1">IFERROR(__xludf.DUMMYFUNCTION("GOOGLETRANSLATE(English!G870, ""en"", ""bg"")"),"разговор")</f>
        <v>разговор</v>
      </c>
      <c r="H870" s="1" t="str">
        <f ca="1">IFERROR(__xludf.DUMMYFUNCTION("GOOGLETRANSLATE(English!H870, ""en"", ""bg"")"),"образователна_помощ")</f>
        <v>образователна_помощ</v>
      </c>
    </row>
    <row r="871" spans="1:8" ht="13.2" x14ac:dyDescent="0.25">
      <c r="A871" s="1" t="str">
        <f ca="1">IFERROR(__xludf.DUMMYFUNCTION("GOOGLETRANSLATE(English!A871, ""en"", ""bg"")"),"conv_08189")</f>
        <v>conv_08189</v>
      </c>
      <c r="B871" s="1" t="str">
        <f ca="1">IFERROR(__xludf.DUMMYFUNCTION("GOOGLETRANSLATE(English!B871, ""en"", ""bg"")"),"биология")</f>
        <v>биология</v>
      </c>
      <c r="C871" s="1" t="str">
        <f ca="1">IFERROR(__xludf.DUMMYFUNCTION("GOOGLETRANSLATE(English!C871, ""en"", ""bg"")"),"средата")</f>
        <v>средата</v>
      </c>
      <c r="D871" s="1" t="str">
        <f ca="1">IFERROR(__xludf.DUMMYFUNCTION("GOOGLETRANSLATE(English!D871, ""en"", ""bg"")"),"основи на еволюцията")</f>
        <v>основи на еволюцията</v>
      </c>
      <c r="E871" s="1" t="str">
        <f ca="1">IFERROR(__xludf.DUMMYFUNCTION("GOOGLETRANSLATE(English!E871, ""en"", ""bg"")"),"Не разбирам тази тема. Как работят основите на еволюцията?")</f>
        <v>Не разбирам тази тема. Как работят основите на еволюцията?</v>
      </c>
      <c r="F871" s="1" t="str">
        <f ca="1">IFERROR(__xludf.DUMMYFUNCTION("GOOGLETRANSLATE(English!F871,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871" s="1" t="str">
        <f ca="1">IFERROR(__xludf.DUMMYFUNCTION("GOOGLETRANSLATE(English!G871, ""en"", ""bg"")"),"разговор")</f>
        <v>разговор</v>
      </c>
      <c r="H871" s="1" t="str">
        <f ca="1">IFERROR(__xludf.DUMMYFUNCTION("GOOGLETRANSLATE(English!H871, ""en"", ""bg"")"),"образователна_помощ")</f>
        <v>образователна_помощ</v>
      </c>
    </row>
    <row r="872" spans="1:8" ht="13.2" x14ac:dyDescent="0.25">
      <c r="A872" s="1" t="str">
        <f ca="1">IFERROR(__xludf.DUMMYFUNCTION("GOOGLETRANSLATE(English!A872, ""en"", ""bg"")"),"hw_08752")</f>
        <v>hw_08752</v>
      </c>
      <c r="B872" s="1" t="str">
        <f ca="1">IFERROR(__xludf.DUMMYFUNCTION("GOOGLETRANSLATE(English!B872, ""en"", ""bg"")"),"химия")</f>
        <v>химия</v>
      </c>
      <c r="C872" s="1" t="str">
        <f ca="1">IFERROR(__xludf.DUMMYFUNCTION("GOOGLETRANSLATE(English!C872, ""en"", ""bg"")"),"средата")</f>
        <v>средата</v>
      </c>
      <c r="D872" s="1" t="str">
        <f ca="1">IFERROR(__xludf.DUMMYFUNCTION("GOOGLETRANSLATE(English!D872, ""en"", ""bg"")"),"химични реакции")</f>
        <v>химични реакции</v>
      </c>
      <c r="E872" s="1" t="str">
        <f ca="1">IFERROR(__xludf.DUMMYFUNCTION("GOOGLETRANSLATE(English!E872,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872" s="1" t="str">
        <f ca="1">IFERROR(__xludf.DUMMYFUNCTION("GOOGLETRANSLATE(English!F872,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872" s="1" t="str">
        <f ca="1">IFERROR(__xludf.DUMMYFUNCTION("GOOGLETRANSLATE(English!G872, ""en"", ""bg"")"),"помощ_за_домашно_изпълнение")</f>
        <v>помощ_за_домашно_изпълнение</v>
      </c>
      <c r="H872" s="1" t="str">
        <f ca="1">IFERROR(__xludf.DUMMYFUNCTION("GOOGLETRANSLATE(English!H872, ""en"", ""bg"")"),"помощ_за_домашно_задаване")</f>
        <v>помощ_за_домашно_задаване</v>
      </c>
    </row>
    <row r="873" spans="1:8" ht="13.2" x14ac:dyDescent="0.25">
      <c r="A873" s="1" t="str">
        <f ca="1">IFERROR(__xludf.DUMMYFUNCTION("GOOGLETRANSLATE(English!A873, ""en"", ""bg"")"),"qa_09456")</f>
        <v>qa_09456</v>
      </c>
      <c r="B873" s="1" t="str">
        <f ca="1">IFERROR(__xludf.DUMMYFUNCTION("GOOGLETRANSLATE(English!B873, ""en"", ""bg"")"),"биология")</f>
        <v>биология</v>
      </c>
      <c r="C873" s="1" t="str">
        <f ca="1">IFERROR(__xludf.DUMMYFUNCTION("GOOGLETRANSLATE(English!C873, ""en"", ""bg"")"),"високо")</f>
        <v>високо</v>
      </c>
      <c r="D873" s="1" t="str">
        <f ca="1">IFERROR(__xludf.DUMMYFUNCTION("GOOGLETRANSLATE(English!D873, ""en"", ""bg"")"),"митоза и мейоза")</f>
        <v>митоза и мейоза</v>
      </c>
      <c r="E873" s="1" t="str">
        <f ca="1">IFERROR(__xludf.DUMMYFUNCTION("GOOGLETRANSLATE(English!E873, ""en"", ""bg"")"),"Какво е важно да знаем за митозата и мейозата?")</f>
        <v>Какво е важно да знаем за митозата и мейозата?</v>
      </c>
      <c r="F873" s="1" t="str">
        <f ca="1">IFERROR(__xludf.DUMMYFUNCTION("GOOGLETRANSLATE(English!F873,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873" s="1" t="str">
        <f ca="1">IFERROR(__xludf.DUMMYFUNCTION("GOOGLETRANSLATE(English!G873, ""en"", ""bg"")"),"direct_qa")</f>
        <v>direct_qa</v>
      </c>
      <c r="H873" s="1" t="str">
        <f ca="1">IFERROR(__xludf.DUMMYFUNCTION("GOOGLETRANSLATE(English!H873, ""en"", ""bg"")"),"заявка_за_знание")</f>
        <v>заявка_за_знание</v>
      </c>
    </row>
    <row r="874" spans="1:8" ht="13.2" x14ac:dyDescent="0.25">
      <c r="A874" s="1" t="str">
        <f ca="1">IFERROR(__xludf.DUMMYFUNCTION("GOOGLETRANSLATE(English!A874, ""en"", ""bg"")"),"qa_09842")</f>
        <v>qa_09842</v>
      </c>
      <c r="B874" s="1" t="str">
        <f ca="1">IFERROR(__xludf.DUMMYFUNCTION("GOOGLETRANSLATE(English!B874, ""en"", ""bg"")"),"биология")</f>
        <v>биология</v>
      </c>
      <c r="C874" s="1" t="str">
        <f ca="1">IFERROR(__xludf.DUMMYFUNCTION("GOOGLETRANSLATE(English!C874, ""en"", ""bg"")"),"средата")</f>
        <v>средата</v>
      </c>
      <c r="D874" s="1" t="str">
        <f ca="1">IFERROR(__xludf.DUMMYFUNCTION("GOOGLETRANSLATE(English!D874, ""en"", ""bg"")"),"класификация")</f>
        <v>класификация</v>
      </c>
      <c r="E874" s="1" t="str">
        <f ca="1">IFERROR(__xludf.DUMMYFUNCTION("GOOGLETRANSLATE(English!E874, ""en"", ""bg"")"),"Какво е важно да знаем за класификацията?")</f>
        <v>Какво е важно да знаем за класификацията?</v>
      </c>
      <c r="F874" s="1" t="str">
        <f ca="1">IFERROR(__xludf.DUMMYFUNCTION("GOOGLETRANSLATE(English!F874,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874" s="1" t="str">
        <f ca="1">IFERROR(__xludf.DUMMYFUNCTION("GOOGLETRANSLATE(English!G874, ""en"", ""bg"")"),"direct_qa")</f>
        <v>direct_qa</v>
      </c>
      <c r="H874" s="1" t="str">
        <f ca="1">IFERROR(__xludf.DUMMYFUNCTION("GOOGLETRANSLATE(English!H874, ""en"", ""bg"")"),"заявка_за_знание")</f>
        <v>заявка_за_знание</v>
      </c>
    </row>
    <row r="875" spans="1:8" ht="13.2" x14ac:dyDescent="0.25">
      <c r="A875" s="1" t="str">
        <f ca="1">IFERROR(__xludf.DUMMYFUNCTION("GOOGLETRANSLATE(English!A875, ""en"", ""bg"")"),"conv_11322")</f>
        <v>conv_11322</v>
      </c>
      <c r="B875" s="1" t="str">
        <f ca="1">IFERROR(__xludf.DUMMYFUNCTION("GOOGLETRANSLATE(English!B875, ""en"", ""bg"")"),"физика")</f>
        <v>физика</v>
      </c>
      <c r="C875" s="1" t="str">
        <f ca="1">IFERROR(__xludf.DUMMYFUNCTION("GOOGLETRANSLATE(English!C875, ""en"", ""bg"")"),"елементарен")</f>
        <v>елементарен</v>
      </c>
      <c r="D875" s="1" t="str">
        <f ca="1">IFERROR(__xludf.DUMMYFUNCTION("GOOGLETRANSLATE(English!D875, ""en"", ""bg"")"),"магнити")</f>
        <v>магнити</v>
      </c>
      <c r="E875" s="1" t="str">
        <f ca="1">IFERROR(__xludf.DUMMYFUNCTION("GOOGLETRANSLATE(English!E875, ""en"", ""bg"")"),"Можете ли да ми помогнете? Какво се случва, когато сложите два магнита заедно?")</f>
        <v>Можете ли да ми помогнете? Какво се случва, когато сложите два магнита заедно?</v>
      </c>
      <c r="F875" s="1" t="str">
        <f ca="1">IFERROR(__xludf.DUMMYFUNCTION("GOOGLETRANSLATE(English!F875, ""en"", ""bg"")"),"Когато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друг!")</f>
        <v>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</v>
      </c>
      <c r="G875" s="1" t="str">
        <f ca="1">IFERROR(__xludf.DUMMYFUNCTION("GOOGLETRANSLATE(English!G875, ""en"", ""bg"")"),"разговор")</f>
        <v>разговор</v>
      </c>
      <c r="H875" s="1" t="str">
        <f ca="1">IFERROR(__xludf.DUMMYFUNCTION("GOOGLETRANSLATE(English!H875, ""en"", ""bg"")"),"образователна_помощ")</f>
        <v>образователна_помощ</v>
      </c>
    </row>
    <row r="876" spans="1:8" ht="13.2" x14ac:dyDescent="0.25">
      <c r="A876" s="1" t="str">
        <f ca="1">IFERROR(__xludf.DUMMYFUNCTION("GOOGLETRANSLATE(English!A876, ""en"", ""bg"")"),"hw_06620")</f>
        <v>hw_06620</v>
      </c>
      <c r="B876" s="1" t="str">
        <f ca="1">IFERROR(__xludf.DUMMYFUNCTION("GOOGLETRANSLATE(English!B876, ""en"", ""bg"")"),"химия")</f>
        <v>химия</v>
      </c>
      <c r="C876" s="1" t="str">
        <f ca="1">IFERROR(__xludf.DUMMYFUNCTION("GOOGLETRANSLATE(English!C876, ""en"", ""bg"")"),"елементарен")</f>
        <v>елементарен</v>
      </c>
      <c r="D876" s="1" t="str">
        <f ca="1">IFERROR(__xludf.DUMMYFUNCTION("GOOGLETRANSLATE(English!D876, ""en"", ""bg"")"),"смесване на материали")</f>
        <v>смесване на материали</v>
      </c>
      <c r="E876" s="1" t="str">
        <f ca="1">IFERROR(__xludf.DUMMYFUNCTION("GOOGLETRANSLATE(English!E876, ""en"", ""bg"")"),"Моят доклад по химия е за смесване на материали. Помогнете ми да разбера.")</f>
        <v>Моят доклад по химия е за смесване на материали. Помогнете ми да разбера.</v>
      </c>
      <c r="F876" s="1" t="str">
        <f ca="1">IFERROR(__xludf.DUMMYFUNCTION("GOOGLETRANSLATE(English!F876,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876" s="1" t="str">
        <f ca="1">IFERROR(__xludf.DUMMYFUNCTION("GOOGLETRANSLATE(English!G876, ""en"", ""bg"")"),"помощ_за_домашно_изпълнение")</f>
        <v>помощ_за_домашно_изпълнение</v>
      </c>
      <c r="H876" s="1" t="str">
        <f ca="1">IFERROR(__xludf.DUMMYFUNCTION("GOOGLETRANSLATE(English!H876, ""en"", ""bg"")"),"помощ_за_домашно_задаване")</f>
        <v>помощ_за_домашно_задаване</v>
      </c>
    </row>
    <row r="877" spans="1:8" ht="13.2" x14ac:dyDescent="0.25">
      <c r="A877" s="1" t="str">
        <f ca="1">IFERROR(__xludf.DUMMYFUNCTION("GOOGLETRANSLATE(English!A877, ""en"", ""bg"")"),"conv_02435")</f>
        <v>conv_02435</v>
      </c>
      <c r="B877" s="1" t="str">
        <f ca="1">IFERROR(__xludf.DUMMYFUNCTION("GOOGLETRANSLATE(English!B877, ""en"", ""bg"")"),"биология")</f>
        <v>биология</v>
      </c>
      <c r="C877" s="1" t="str">
        <f ca="1">IFERROR(__xludf.DUMMYFUNCTION("GOOGLETRANSLATE(English!C877, ""en"", ""bg"")"),"високо")</f>
        <v>високо</v>
      </c>
      <c r="D877" s="1" t="str">
        <f ca="1">IFERROR(__xludf.DUMMYFUNCTION("GOOGLETRANSLATE(English!D877, ""en"", ""bg"")"),"модели на наследяване")</f>
        <v>модели на наследяване</v>
      </c>
      <c r="E877" s="1" t="str">
        <f ca="1">IFERROR(__xludf.DUMMYFUNCTION("GOOGLETRANSLATE(English!E877, ""en"", ""bg"")"),"Помогнете ми да уча за теста си. Как работят моделите на наследяване?")</f>
        <v>Помогнете ми да уча за теста си. Как работят моделите на наследяване?</v>
      </c>
      <c r="F877" s="1" t="str">
        <f ca="1">IFERROR(__xludf.DUMMYFUNCTION("GOOGLETRANSLATE(English!F877,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877" s="1" t="str">
        <f ca="1">IFERROR(__xludf.DUMMYFUNCTION("GOOGLETRANSLATE(English!G877, ""en"", ""bg"")"),"разговор")</f>
        <v>разговор</v>
      </c>
      <c r="H877" s="1" t="str">
        <f ca="1">IFERROR(__xludf.DUMMYFUNCTION("GOOGLETRANSLATE(English!H877, ""en"", ""bg"")"),"образователна_помощ")</f>
        <v>образователна_помощ</v>
      </c>
    </row>
    <row r="878" spans="1:8" ht="13.2" x14ac:dyDescent="0.25">
      <c r="A878" s="1" t="str">
        <f ca="1">IFERROR(__xludf.DUMMYFUNCTION("GOOGLETRANSLATE(English!A878, ""en"", ""bg"")"),"conv_05177")</f>
        <v>conv_05177</v>
      </c>
      <c r="B878" s="1" t="str">
        <f ca="1">IFERROR(__xludf.DUMMYFUNCTION("GOOGLETRANSLATE(English!B878, ""en"", ""bg"")"),"химия")</f>
        <v>химия</v>
      </c>
      <c r="C878" s="1" t="str">
        <f ca="1">IFERROR(__xludf.DUMMYFUNCTION("GOOGLETRANSLATE(English!C878, ""en"", ""bg"")"),"високо")</f>
        <v>високо</v>
      </c>
      <c r="D878" s="1" t="str">
        <f ca="1">IFERROR(__xludf.DUMMYFUNCTION("GOOGLETRANSLATE(English!D878, ""en"", ""bg"")"),"стехиометрия")</f>
        <v>стехиометрия</v>
      </c>
      <c r="E878" s="1" t="str">
        <f ca="1">IFERROR(__xludf.DUMMYFUNCTION("GOOGLETRANSLATE(English!E878, ""en"", ""bg"")"),"Помогнете ми да уча за теста. Можете ли да ми помогнете да разбера стехиометрията?")</f>
        <v>Помогнете ми да уча за теста. Можете ли да ми помогнете да разбера стехиометрията?</v>
      </c>
      <c r="F878" s="1" t="str">
        <f ca="1">IFERROR(__xludf.DUMMYFUNCTION("GOOGLETRANSLATE(English!F878,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878" s="1" t="str">
        <f ca="1">IFERROR(__xludf.DUMMYFUNCTION("GOOGLETRANSLATE(English!G878, ""en"", ""bg"")"),"разговор")</f>
        <v>разговор</v>
      </c>
      <c r="H878" s="1" t="str">
        <f ca="1">IFERROR(__xludf.DUMMYFUNCTION("GOOGLETRANSLATE(English!H878, ""en"", ""bg"")"),"образователна_помощ")</f>
        <v>образователна_помощ</v>
      </c>
    </row>
    <row r="879" spans="1:8" ht="13.2" x14ac:dyDescent="0.25">
      <c r="A879" s="1" t="str">
        <f ca="1">IFERROR(__xludf.DUMMYFUNCTION("GOOGLETRANSLATE(English!A879, ""en"", ""bg"")"),"conv_03929")</f>
        <v>conv_03929</v>
      </c>
      <c r="B879" s="1" t="str">
        <f ca="1">IFERROR(__xludf.DUMMYFUNCTION("GOOGLETRANSLATE(English!B879, ""en"", ""bg"")"),"физика")</f>
        <v>физика</v>
      </c>
      <c r="C879" s="1" t="str">
        <f ca="1">IFERROR(__xludf.DUMMYFUNCTION("GOOGLETRANSLATE(English!C879, ""en"", ""bg"")"),"високо")</f>
        <v>високо</v>
      </c>
      <c r="D879" s="1" t="str">
        <f ca="1">IFERROR(__xludf.DUMMYFUNCTION("GOOGLETRANSLATE(English!D879, ""en"", ""bg"")"),"механика")</f>
        <v>механика</v>
      </c>
      <c r="E879" s="1" t="str">
        <f ca="1">IFERROR(__xludf.DUMMYFUNCTION("GOOGLETRANSLATE(English!E879, ""en"", ""bg"")"),"Не разбирам тази тема. Как работи механиката във физиката?")</f>
        <v>Не разбирам тази тема. Как работи механиката във физиката?</v>
      </c>
      <c r="F879" s="1" t="str">
        <f ca="1">IFERROR(__xludf.DUMMYFUNCTION("GOOGLETRANSLATE(English!F879,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879" s="1" t="str">
        <f ca="1">IFERROR(__xludf.DUMMYFUNCTION("GOOGLETRANSLATE(English!G879, ""en"", ""bg"")"),"разговор")</f>
        <v>разговор</v>
      </c>
      <c r="H879" s="1" t="str">
        <f ca="1">IFERROR(__xludf.DUMMYFUNCTION("GOOGLETRANSLATE(English!H879, ""en"", ""bg"")"),"образователна_помощ")</f>
        <v>образователна_помощ</v>
      </c>
    </row>
    <row r="880" spans="1:8" ht="13.2" x14ac:dyDescent="0.25">
      <c r="A880" s="1" t="str">
        <f ca="1">IFERROR(__xludf.DUMMYFUNCTION("GOOGLETRANSLATE(English!A880, ""en"", ""bg"")"),"conv_16692")</f>
        <v>conv_16692</v>
      </c>
      <c r="B880" s="1" t="str">
        <f ca="1">IFERROR(__xludf.DUMMYFUNCTION("GOOGLETRANSLATE(English!B880, ""en"", ""bg"")"),"физика")</f>
        <v>физика</v>
      </c>
      <c r="C880" s="1" t="str">
        <f ca="1">IFERROR(__xludf.DUMMYFUNCTION("GOOGLETRANSLATE(English!C880, ""en"", ""bg"")"),"средата")</f>
        <v>средата</v>
      </c>
      <c r="D880" s="1" t="str">
        <f ca="1">IFERROR(__xludf.DUMMYFUNCTION("GOOGLETRANSLATE(English!D880, ""en"", ""bg"")"),"плътност")</f>
        <v>плътност</v>
      </c>
      <c r="E880" s="1" t="str">
        <f ca="1">IFERROR(__xludf.DUMMYFUNCTION("GOOGLETRANSLATE(English!E880, ""en"", ""bg"")"),"Имам нужда от помощ с домашното. Можете ли да ми обясните плътността?")</f>
        <v>Имам нужда от помощ с домашното. Можете ли да ми обясните плътността?</v>
      </c>
      <c r="F880" s="1" t="str">
        <f ca="1">IFERROR(__xludf.DUMMYFUNCTION("GOOGLETRANSLATE(English!F880,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880" s="1" t="str">
        <f ca="1">IFERROR(__xludf.DUMMYFUNCTION("GOOGLETRANSLATE(English!G880, ""en"", ""bg"")"),"разговор")</f>
        <v>разговор</v>
      </c>
      <c r="H880" s="1" t="str">
        <f ca="1">IFERROR(__xludf.DUMMYFUNCTION("GOOGLETRANSLATE(English!H880, ""en"", ""bg"")"),"образователна_помощ")</f>
        <v>образователна_помощ</v>
      </c>
    </row>
    <row r="881" spans="1:8" ht="13.2" x14ac:dyDescent="0.25">
      <c r="A881" s="1" t="str">
        <f ca="1">IFERROR(__xludf.DUMMYFUNCTION("GOOGLETRANSLATE(English!A881, ""en"", ""bg"")"),"conv_01726")</f>
        <v>conv_01726</v>
      </c>
      <c r="B881" s="1" t="str">
        <f ca="1">IFERROR(__xludf.DUMMYFUNCTION("GOOGLETRANSLATE(English!B881, ""en"", ""bg"")"),"химия")</f>
        <v>химия</v>
      </c>
      <c r="C881" s="1" t="str">
        <f ca="1">IFERROR(__xludf.DUMMYFUNCTION("GOOGLETRANSLATE(English!C881, ""en"", ""bg"")"),"средата")</f>
        <v>средата</v>
      </c>
      <c r="D881" s="1" t="str">
        <f ca="1">IFERROR(__xludf.DUMMYFUNCTION("GOOGLETRANSLATE(English!D881, ""en"", ""bg"")"),"основи на периодичната таблица")</f>
        <v>основи на периодичната таблица</v>
      </c>
      <c r="E881" s="1" t="str">
        <f ca="1">IFERROR(__xludf.DUMMYFUNCTION("GOOGLETRANSLATE(English!E881, ""en"", ""bg"")"),"Можете ли да ми помогнете? Защо е важно да се научат основите на периодичната таблица?")</f>
        <v>Можете ли да ми помогнете? Защо е важно да се научат основите на периодичната таблица?</v>
      </c>
      <c r="F881" s="1" t="str">
        <f ca="1">IFERROR(__xludf.DUMMYFUNCTION("GOOGLETRANSLATE(English!F881,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881" s="1" t="str">
        <f ca="1">IFERROR(__xludf.DUMMYFUNCTION("GOOGLETRANSLATE(English!G881, ""en"", ""bg"")"),"разговор")</f>
        <v>разговор</v>
      </c>
      <c r="H881" s="1" t="str">
        <f ca="1">IFERROR(__xludf.DUMMYFUNCTION("GOOGLETRANSLATE(English!H881, ""en"", ""bg"")"),"образователна_помощ")</f>
        <v>образователна_помощ</v>
      </c>
    </row>
    <row r="882" spans="1:8" ht="13.2" x14ac:dyDescent="0.25">
      <c r="A882" s="1" t="str">
        <f ca="1">IFERROR(__xludf.DUMMYFUNCTION("GOOGLETRANSLATE(English!A882, ""en"", ""bg"")"),"conv_08892")</f>
        <v>conv_08892</v>
      </c>
      <c r="B882" s="1" t="str">
        <f ca="1">IFERROR(__xludf.DUMMYFUNCTION("GOOGLETRANSLATE(English!B882, ""en"", ""bg"")"),"физика")</f>
        <v>физика</v>
      </c>
      <c r="C882" s="1" t="str">
        <f ca="1">IFERROR(__xludf.DUMMYFUNCTION("GOOGLETRANSLATE(English!C882, ""en"", ""bg"")"),"елементарен")</f>
        <v>елементарен</v>
      </c>
      <c r="D882" s="1" t="str">
        <f ca="1">IFERROR(__xludf.DUMMYFUNCTION("GOOGLETRANSLATE(English!D882, ""en"", ""bg"")"),"бутане и дърпане")</f>
        <v>бутане и дърпане</v>
      </c>
      <c r="E882" s="1" t="str">
        <f ca="1">IFERROR(__xludf.DUMMYFUNCTION("GOOGLETRANSLATE(English!E882, ""en"", ""bg"")"),"Здравей, преподавателю! Какво трябва да знам за бутането и дърпането?")</f>
        <v>Здравей, преподавателю! Какво трябва да знам за бутането и дърпането?</v>
      </c>
      <c r="F882" s="1" t="str">
        <f ca="1">IFERROR(__xludf.DUMMYFUNCTION("GOOGLETRANSLATE(English!F882,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882" s="1" t="str">
        <f ca="1">IFERROR(__xludf.DUMMYFUNCTION("GOOGLETRANSLATE(English!G882, ""en"", ""bg"")"),"разговор")</f>
        <v>разговор</v>
      </c>
      <c r="H882" s="1" t="str">
        <f ca="1">IFERROR(__xludf.DUMMYFUNCTION("GOOGLETRANSLATE(English!H882, ""en"", ""bg"")"),"образователна_помощ")</f>
        <v>образователна_помощ</v>
      </c>
    </row>
    <row r="883" spans="1:8" ht="13.2" x14ac:dyDescent="0.25">
      <c r="A883" s="1" t="str">
        <f ca="1">IFERROR(__xludf.DUMMYFUNCTION("GOOGLETRANSLATE(English!A883, ""en"", ""bg"")"),"qa_09730")</f>
        <v>qa_09730</v>
      </c>
      <c r="B883" s="1" t="str">
        <f ca="1">IFERROR(__xludf.DUMMYFUNCTION("GOOGLETRANSLATE(English!B883, ""en"", ""bg"")"),"биология")</f>
        <v>биология</v>
      </c>
      <c r="C883" s="1" t="str">
        <f ca="1">IFERROR(__xludf.DUMMYFUNCTION("GOOGLETRANSLATE(English!C883, ""en"", ""bg"")"),"елементарен")</f>
        <v>елементарен</v>
      </c>
      <c r="D883" s="1" t="str">
        <f ca="1">IFERROR(__xludf.DUMMYFUNCTION("GOOGLETRANSLATE(English!D883, ""en"", ""bg"")"),"жизнени цикли")</f>
        <v>жизнени цикли</v>
      </c>
      <c r="E883" s="1" t="str">
        <f ca="1">IFERROR(__xludf.DUMMYFUNCTION("GOOGLETRANSLATE(English!E883, ""en"", ""bg"")"),"Какво е важно да знаем за жизнените цикли?")</f>
        <v>Какво е важно да знаем за жизнените цикли?</v>
      </c>
      <c r="F883" s="1" t="str">
        <f ca="1">IFERROR(__xludf.DUMMYFUNCTION("GOOGLETRANSLATE(English!F883,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883" s="1" t="str">
        <f ca="1">IFERROR(__xludf.DUMMYFUNCTION("GOOGLETRANSLATE(English!G883, ""en"", ""bg"")"),"direct_qa")</f>
        <v>direct_qa</v>
      </c>
      <c r="H883" s="1" t="str">
        <f ca="1">IFERROR(__xludf.DUMMYFUNCTION("GOOGLETRANSLATE(English!H883, ""en"", ""bg"")"),"заявка_за_знание")</f>
        <v>заявка_за_знание</v>
      </c>
    </row>
    <row r="884" spans="1:8" ht="13.2" x14ac:dyDescent="0.25">
      <c r="A884" s="1" t="str">
        <f ca="1">IFERROR(__xludf.DUMMYFUNCTION("GOOGLETRANSLATE(English!A884, ""en"", ""bg"")"),"hw_01474")</f>
        <v>hw_01474</v>
      </c>
      <c r="B884" s="1" t="str">
        <f ca="1">IFERROR(__xludf.DUMMYFUNCTION("GOOGLETRANSLATE(English!B884, ""en"", ""bg"")"),"физика")</f>
        <v>физика</v>
      </c>
      <c r="C884" s="1" t="str">
        <f ca="1">IFERROR(__xludf.DUMMYFUNCTION("GOOGLETRANSLATE(English!C884, ""en"", ""bg"")"),"високо")</f>
        <v>високо</v>
      </c>
      <c r="D884" s="1" t="str">
        <f ca="1">IFERROR(__xludf.DUMMYFUNCTION("GOOGLETRANSLATE(English!D884, ""en"", ""bg"")"),"механика")</f>
        <v>механика</v>
      </c>
      <c r="E884" s="1" t="str">
        <f ca="1">IFERROR(__xludf.DUMMYFUNCTION("GOOGLETRANSLATE(English!E884, ""en"", ""bg"")"),"Заседнал съм с този механичен проблем. Можете ли да помогнете?")</f>
        <v>Заседнал съм с този механичен проблем. Можете ли да помогнете?</v>
      </c>
      <c r="F884" s="1" t="str">
        <f ca="1">IFERROR(__xludf.DUMMYFUNCTION("GOOGLETRANSLATE(English!F884,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884" s="1" t="str">
        <f ca="1">IFERROR(__xludf.DUMMYFUNCTION("GOOGLETRANSLATE(English!G884, ""en"", ""bg"")"),"помощ_за_домашно_изпълнение")</f>
        <v>помощ_за_домашно_изпълнение</v>
      </c>
      <c r="H884" s="1" t="str">
        <f ca="1">IFERROR(__xludf.DUMMYFUNCTION("GOOGLETRANSLATE(English!H884, ""en"", ""bg"")"),"помощ_за_домашно_задаване")</f>
        <v>помощ_за_домашно_задаване</v>
      </c>
    </row>
    <row r="885" spans="1:8" ht="13.2" x14ac:dyDescent="0.25">
      <c r="A885" s="1" t="str">
        <f ca="1">IFERROR(__xludf.DUMMYFUNCTION("GOOGLETRANSLATE(English!A885, ""en"", ""bg"")"),"conv_06362")</f>
        <v>conv_06362</v>
      </c>
      <c r="B885" s="1" t="str">
        <f ca="1">IFERROR(__xludf.DUMMYFUNCTION("GOOGLETRANSLATE(English!B885, ""en"", ""bg"")"),"химия")</f>
        <v>химия</v>
      </c>
      <c r="C885" s="1" t="str">
        <f ca="1">IFERROR(__xludf.DUMMYFUNCTION("GOOGLETRANSLATE(English!C885, ""en"", ""bg"")"),"средата")</f>
        <v>средата</v>
      </c>
      <c r="D885" s="1" t="str">
        <f ca="1">IFERROR(__xludf.DUMMYFUNCTION("GOOGLETRANSLATE(English!D885, ""en"", ""bg"")"),"химични реакции")</f>
        <v>химични реакции</v>
      </c>
      <c r="E885" s="1" t="str">
        <f ca="1">IFERROR(__xludf.DUMMYFUNCTION("GOOGLETRANSLATE(English!E885, ""en"", ""bg"")"),"Можете ли да ми помогнете? Могат ли химичните реакции да бъдат обратими?")</f>
        <v>Можете ли да ми помогнете? Могат ли химичните реакции да бъдат обратими?</v>
      </c>
      <c r="F885" s="1" t="str">
        <f ca="1">IFERROR(__xludf.DUMMYFUNCTION("GOOGLETRANSLATE(English!F885,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885" s="1" t="str">
        <f ca="1">IFERROR(__xludf.DUMMYFUNCTION("GOOGLETRANSLATE(English!G885, ""en"", ""bg"")"),"разговор")</f>
        <v>разговор</v>
      </c>
      <c r="H885" s="1" t="str">
        <f ca="1">IFERROR(__xludf.DUMMYFUNCTION("GOOGLETRANSLATE(English!H885, ""en"", ""bg"")"),"образователна_помощ")</f>
        <v>образователна_помощ</v>
      </c>
    </row>
    <row r="886" spans="1:8" ht="13.2" x14ac:dyDescent="0.25">
      <c r="A886" s="1" t="str">
        <f ca="1">IFERROR(__xludf.DUMMYFUNCTION("GOOGLETRANSLATE(English!A886, ""en"", ""bg"")"),"hw_07739")</f>
        <v>hw_07739</v>
      </c>
      <c r="B886" s="1" t="str">
        <f ca="1">IFERROR(__xludf.DUMMYFUNCTION("GOOGLETRANSLATE(English!B886, ""en"", ""bg"")"),"химия")</f>
        <v>химия</v>
      </c>
      <c r="C886" s="1" t="str">
        <f ca="1">IFERROR(__xludf.DUMMYFUNCTION("GOOGLETRANSLATE(English!C886, ""en"", ""bg"")"),"елементарен")</f>
        <v>елементарен</v>
      </c>
      <c r="D886" s="1" t="str">
        <f ca="1">IFERROR(__xludf.DUMMYFUNCTION("GOOGLETRANSLATE(English!D886, ""en"", ""bg"")"),"ежедневни химикали")</f>
        <v>ежедневни химикали</v>
      </c>
      <c r="E886" s="1" t="str">
        <f ca="1">IFERROR(__xludf.DUMMYFUNCTION("GOOGLETRANSLATE(English!E886, ""en"", ""bg"")"),"Не разбирам тази концепция за ежедневните химикали. Моля, обяснете!")</f>
        <v>Не разбирам тази концепция за ежедневните химикали. Моля, обяснете!</v>
      </c>
      <c r="F886" s="1" t="str">
        <f ca="1">IFERROR(__xludf.DUMMYFUNCTION("GOOGLETRANSLATE(English!F886,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886" s="1" t="str">
        <f ca="1">IFERROR(__xludf.DUMMYFUNCTION("GOOGLETRANSLATE(English!G886, ""en"", ""bg"")"),"помощ_за_домашно_изпълнение")</f>
        <v>помощ_за_домашно_изпълнение</v>
      </c>
      <c r="H886" s="1" t="str">
        <f ca="1">IFERROR(__xludf.DUMMYFUNCTION("GOOGLETRANSLATE(English!H886, ""en"", ""bg"")"),"помощ_за_домашно_задаване")</f>
        <v>помощ_за_домашно_задаване</v>
      </c>
    </row>
    <row r="887" spans="1:8" ht="13.2" x14ac:dyDescent="0.25">
      <c r="A887" s="1" t="str">
        <f ca="1">IFERROR(__xludf.DUMMYFUNCTION("GOOGLETRANSLATE(English!A887, ""en"", ""bg"")"),"qa_04340")</f>
        <v>qa_04340</v>
      </c>
      <c r="B887" s="1" t="str">
        <f ca="1">IFERROR(__xludf.DUMMYFUNCTION("GOOGLETRANSLATE(English!B887, ""en"", ""bg"")"),"биология")</f>
        <v>биология</v>
      </c>
      <c r="C887" s="1" t="str">
        <f ca="1">IFERROR(__xludf.DUMMYFUNCTION("GOOGLETRANSLATE(English!C887, ""en"", ""bg"")"),"средата")</f>
        <v>средата</v>
      </c>
      <c r="D887" s="1" t="str">
        <f ca="1">IFERROR(__xludf.DUMMYFUNCTION("GOOGLETRANSLATE(English!D887, ""en"", ""bg"")"),"основи на еволюцията")</f>
        <v>основи на еволюцията</v>
      </c>
      <c r="E887" s="1" t="str">
        <f ca="1">IFERROR(__xludf.DUMMYFUNCTION("GOOGLETRANSLATE(English!E887, ""en"", ""bg"")"),"Можете ли да ми разкажете за основите на еволюцията?")</f>
        <v>Можете ли да ми разкажете за основите на еволюцията?</v>
      </c>
      <c r="F887" s="1" t="str">
        <f ca="1">IFERROR(__xludf.DUMMYFUNCTION("GOOGLETRANSLATE(English!F887,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887" s="1" t="str">
        <f ca="1">IFERROR(__xludf.DUMMYFUNCTION("GOOGLETRANSLATE(English!G887, ""en"", ""bg"")"),"direct_qa")</f>
        <v>direct_qa</v>
      </c>
      <c r="H887" s="1" t="str">
        <f ca="1">IFERROR(__xludf.DUMMYFUNCTION("GOOGLETRANSLATE(English!H887, ""en"", ""bg"")"),"заявка_за_знание")</f>
        <v>заявка_за_знание</v>
      </c>
    </row>
    <row r="888" spans="1:8" ht="13.2" x14ac:dyDescent="0.25">
      <c r="A888" s="1" t="str">
        <f ca="1">IFERROR(__xludf.DUMMYFUNCTION("GOOGLETRANSLATE(English!A888, ""en"", ""bg"")"),"conv_19449")</f>
        <v>conv_19449</v>
      </c>
      <c r="B888" s="1" t="str">
        <f ca="1">IFERROR(__xludf.DUMMYFUNCTION("GOOGLETRANSLATE(English!B888, ""en"", ""bg"")"),"физика")</f>
        <v>физика</v>
      </c>
      <c r="C888" s="1" t="str">
        <f ca="1">IFERROR(__xludf.DUMMYFUNCTION("GOOGLETRANSLATE(English!C888, ""en"", ""bg"")"),"високо")</f>
        <v>високо</v>
      </c>
      <c r="D888" s="1" t="str">
        <f ca="1">IFERROR(__xludf.DUMMYFUNCTION("GOOGLETRANSLATE(English!D888, ""en"", ""bg"")"),"електромагнетизъм")</f>
        <v>електромагнетизъм</v>
      </c>
      <c r="E888" s="1" t="str">
        <f ca="1">IFERROR(__xludf.DUMMYFUNCTION("GOOGLETRANSLATE(English!E888, ""en"", ""bg"")"),"Помогнете ми да уча за теста си. Как работи електромагнетизмът във физиката?")</f>
        <v>Помогнете ми да уча за теста си. Как работи електромагнетизмът във физиката?</v>
      </c>
      <c r="F888" s="1" t="str">
        <f ca="1">IFERROR(__xludf.DUMMYFUNCTION("GOOGLETRANSLATE(English!F888,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888" s="1" t="str">
        <f ca="1">IFERROR(__xludf.DUMMYFUNCTION("GOOGLETRANSLATE(English!G888, ""en"", ""bg"")"),"разговор")</f>
        <v>разговор</v>
      </c>
      <c r="H888" s="1" t="str">
        <f ca="1">IFERROR(__xludf.DUMMYFUNCTION("GOOGLETRANSLATE(English!H888, ""en"", ""bg"")"),"образователна_помощ")</f>
        <v>образователна_помощ</v>
      </c>
    </row>
    <row r="889" spans="1:8" ht="13.2" x14ac:dyDescent="0.25">
      <c r="A889" s="1" t="str">
        <f ca="1">IFERROR(__xludf.DUMMYFUNCTION("GOOGLETRANSLATE(English!A889, ""en"", ""bg"")"),"qa_13812")</f>
        <v>qa_13812</v>
      </c>
      <c r="B889" s="1" t="str">
        <f ca="1">IFERROR(__xludf.DUMMYFUNCTION("GOOGLETRANSLATE(English!B889, ""en"", ""bg"")"),"химия")</f>
        <v>химия</v>
      </c>
      <c r="C889" s="1" t="str">
        <f ca="1">IFERROR(__xludf.DUMMYFUNCTION("GOOGLETRANSLATE(English!C889, ""en"", ""bg"")"),"средата")</f>
        <v>средата</v>
      </c>
      <c r="D889" s="1" t="str">
        <f ca="1">IFERROR(__xludf.DUMMYFUNCTION("GOOGLETRANSLATE(English!D889, ""en"", ""bg"")"),"атоми и молекули")</f>
        <v>атоми и молекули</v>
      </c>
      <c r="E889" s="1" t="str">
        <f ca="1">IFERROR(__xludf.DUMMYFUNCTION("GOOGLETRANSLATE(English!E889, ""en"", ""bg"")"),"По какво се различават атомите и молекулите?")</f>
        <v>По какво се различават атомите и молекулите?</v>
      </c>
      <c r="F889" s="1" t="str">
        <f ca="1">IFERROR(__xludf.DUMMYFUNCTION("GOOGLETRANSLATE(English!F889,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889" s="1" t="str">
        <f ca="1">IFERROR(__xludf.DUMMYFUNCTION("GOOGLETRANSLATE(English!G889, ""en"", ""bg"")"),"direct_qa")</f>
        <v>direct_qa</v>
      </c>
      <c r="H889" s="1" t="str">
        <f ca="1">IFERROR(__xludf.DUMMYFUNCTION("GOOGLETRANSLATE(English!H889, ""en"", ""bg"")"),"заявка_за_знание")</f>
        <v>заявка_за_знание</v>
      </c>
    </row>
    <row r="890" spans="1:8" ht="13.2" x14ac:dyDescent="0.25">
      <c r="A890" s="1" t="str">
        <f ca="1">IFERROR(__xludf.DUMMYFUNCTION("GOOGLETRANSLATE(English!A890, ""en"", ""bg"")"),"hw_09564")</f>
        <v>hw_09564</v>
      </c>
      <c r="B890" s="1" t="str">
        <f ca="1">IFERROR(__xludf.DUMMYFUNCTION("GOOGLETRANSLATE(English!B890, ""en"", ""bg"")"),"биология")</f>
        <v>биология</v>
      </c>
      <c r="C890" s="1" t="str">
        <f ca="1">IFERROR(__xludf.DUMMYFUNCTION("GOOGLETRANSLATE(English!C890, ""en"", ""bg"")"),"високо")</f>
        <v>високо</v>
      </c>
      <c r="D890" s="1" t="str">
        <f ca="1">IFERROR(__xludf.DUMMYFUNCTION("GOOGLETRANSLATE(English!D890, ""en"", ""bg"")"),"клетъчно дишане")</f>
        <v>клетъчно дишане</v>
      </c>
      <c r="E890" s="1" t="str">
        <f ca="1">IFERROR(__xludf.DUMMYFUNCTION("GOOGLETRANSLATE(English!E890,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890" s="1" t="str">
        <f ca="1">IFERROR(__xludf.DUMMYFUNCTION("GOOGLETRANSLATE(English!F890,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890" s="1" t="str">
        <f ca="1">IFERROR(__xludf.DUMMYFUNCTION("GOOGLETRANSLATE(English!G890, ""en"", ""bg"")"),"помощ_за_домашно_изпълнение")</f>
        <v>помощ_за_домашно_изпълнение</v>
      </c>
      <c r="H890" s="1" t="str">
        <f ca="1">IFERROR(__xludf.DUMMYFUNCTION("GOOGLETRANSLATE(English!H890, ""en"", ""bg"")"),"помощ_за_домашно_задаване")</f>
        <v>помощ_за_домашно_задаване</v>
      </c>
    </row>
    <row r="891" spans="1:8" ht="13.2" x14ac:dyDescent="0.25">
      <c r="A891" s="1" t="str">
        <f ca="1">IFERROR(__xludf.DUMMYFUNCTION("GOOGLETRANSLATE(English!A891, ""en"", ""bg"")"),"conv_12951")</f>
        <v>conv_12951</v>
      </c>
      <c r="B891" s="1" t="str">
        <f ca="1">IFERROR(__xludf.DUMMYFUNCTION("GOOGLETRANSLATE(English!B891, ""en"", ""bg"")"),"биология")</f>
        <v>биология</v>
      </c>
      <c r="C891" s="1" t="str">
        <f ca="1">IFERROR(__xludf.DUMMYFUNCTION("GOOGLETRANSLATE(English!C891, ""en"", ""bg"")"),"елементарен")</f>
        <v>елементарен</v>
      </c>
      <c r="D891" s="1" t="str">
        <f ca="1">IFERROR(__xludf.DUMMYFUNCTION("GOOGLETRANSLATE(English!D891, ""en"", ""bg"")"),"местообитания")</f>
        <v>местообитания</v>
      </c>
      <c r="E891" s="1" t="str">
        <f ca="1">IFERROR(__xludf.DUMMYFUNCTION("GOOGLETRANSLATE(English!E891, ""en"", ""bg"")"),"Имам нужда от помощ с домашното. Можете ли да ми разкажете за местообитанията?")</f>
        <v>Имам нужда от помощ с домашното. Можете ли да ми разкажете за местообитанията?</v>
      </c>
      <c r="F891" s="1" t="str">
        <f ca="1">IFERROR(__xludf.DUMMYFUNCTION("GOOGLETRANSLATE(English!F891,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891" s="1" t="str">
        <f ca="1">IFERROR(__xludf.DUMMYFUNCTION("GOOGLETRANSLATE(English!G891, ""en"", ""bg"")"),"разговор")</f>
        <v>разговор</v>
      </c>
      <c r="H891" s="1" t="str">
        <f ca="1">IFERROR(__xludf.DUMMYFUNCTION("GOOGLETRANSLATE(English!H891, ""en"", ""bg"")"),"образователна_помощ")</f>
        <v>образователна_помощ</v>
      </c>
    </row>
    <row r="892" spans="1:8" ht="13.2" x14ac:dyDescent="0.25">
      <c r="A892" s="1" t="str">
        <f ca="1">IFERROR(__xludf.DUMMYFUNCTION("GOOGLETRANSLATE(English!A892, ""en"", ""bg"")"),"conv_14181")</f>
        <v>conv_14181</v>
      </c>
      <c r="B892" s="1" t="str">
        <f ca="1">IFERROR(__xludf.DUMMYFUNCTION("GOOGLETRANSLATE(English!B892, ""en"", ""bg"")"),"химия")</f>
        <v>химия</v>
      </c>
      <c r="C892" s="1" t="str">
        <f ca="1">IFERROR(__xludf.DUMMYFUNCTION("GOOGLETRANSLATE(English!C892, ""en"", ""bg"")"),"елементарен")</f>
        <v>елементарен</v>
      </c>
      <c r="D892" s="1" t="str">
        <f ca="1">IFERROR(__xludf.DUMMYFUNCTION("GOOGLETRANSLATE(English!D892, ""en"", ""bg"")"),"разтваряне")</f>
        <v>разтваряне</v>
      </c>
      <c r="E892" s="1" t="str">
        <f ca="1">IFERROR(__xludf.DUMMYFUNCTION("GOOGLETRANSLATE(English!E892, ""en"", ""bg"")"),"Можете ли да ми помогнете? Можете ли да ми помогнете да разбера разтварянето?")</f>
        <v>Можете ли да ми помогнете? Можете ли да ми помогнете да разбера разтварянето?</v>
      </c>
      <c r="F892" s="1" t="str">
        <f ca="1">IFERROR(__xludf.DUMMYFUNCTION("GOOGLETRANSLATE(English!F892,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892" s="1" t="str">
        <f ca="1">IFERROR(__xludf.DUMMYFUNCTION("GOOGLETRANSLATE(English!G892, ""en"", ""bg"")"),"разговор")</f>
        <v>разговор</v>
      </c>
      <c r="H892" s="1" t="str">
        <f ca="1">IFERROR(__xludf.DUMMYFUNCTION("GOOGLETRANSLATE(English!H892, ""en"", ""bg"")"),"образователна_помощ")</f>
        <v>образователна_помощ</v>
      </c>
    </row>
    <row r="893" spans="1:8" ht="13.2" x14ac:dyDescent="0.25">
      <c r="A893" s="1" t="str">
        <f ca="1">IFERROR(__xludf.DUMMYFUNCTION("GOOGLETRANSLATE(English!A893, ""en"", ""bg"")"),"hw_03088")</f>
        <v>hw_03088</v>
      </c>
      <c r="B893" s="1" t="str">
        <f ca="1">IFERROR(__xludf.DUMMYFUNCTION("GOOGLETRANSLATE(English!B893, ""en"", ""bg"")"),"физика")</f>
        <v>физика</v>
      </c>
      <c r="C893" s="1" t="str">
        <f ca="1">IFERROR(__xludf.DUMMYFUNCTION("GOOGLETRANSLATE(English!C893, ""en"", ""bg"")"),"елементарен")</f>
        <v>елементарен</v>
      </c>
      <c r="D893" s="1" t="str">
        <f ca="1">IFERROR(__xludf.DUMMYFUNCTION("GOOGLETRANSLATE(English!D893, ""en"", ""bg"")"),"бутане и дърпане")</f>
        <v>бутане и дърпане</v>
      </c>
      <c r="E893" s="1" t="str">
        <f ca="1">IFERROR(__xludf.DUMMYFUNCTION("GOOGLETRANSLATE(English!E893,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893" s="1" t="str">
        <f ca="1">IFERROR(__xludf.DUMMYFUNCTION("GOOGLETRANSLATE(English!F893,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893" s="1" t="str">
        <f ca="1">IFERROR(__xludf.DUMMYFUNCTION("GOOGLETRANSLATE(English!G893, ""en"", ""bg"")"),"помощ_за_домашно_изпълнение")</f>
        <v>помощ_за_домашно_изпълнение</v>
      </c>
      <c r="H893" s="1" t="str">
        <f ca="1">IFERROR(__xludf.DUMMYFUNCTION("GOOGLETRANSLATE(English!H893, ""en"", ""bg"")"),"помощ_за_домашно_задаване")</f>
        <v>помощ_за_домашно_задаване</v>
      </c>
    </row>
    <row r="894" spans="1:8" ht="13.2" x14ac:dyDescent="0.25">
      <c r="A894" s="1" t="str">
        <f ca="1">IFERROR(__xludf.DUMMYFUNCTION("GOOGLETRANSLATE(English!A894, ""en"", ""bg"")"),"conv_15902")</f>
        <v>conv_15902</v>
      </c>
      <c r="B894" s="1" t="str">
        <f ca="1">IFERROR(__xludf.DUMMYFUNCTION("GOOGLETRANSLATE(English!B894, ""en"", ""bg"")"),"химия")</f>
        <v>химия</v>
      </c>
      <c r="C894" s="1" t="str">
        <f ca="1">IFERROR(__xludf.DUMMYFUNCTION("GOOGLETRANSLATE(English!C894, ""en"", ""bg"")"),"елементарен")</f>
        <v>елементарен</v>
      </c>
      <c r="D894" s="1" t="str">
        <f ca="1">IFERROR(__xludf.DUMMYFUNCTION("GOOGLETRANSLATE(English!D894, ""en"", ""bg"")"),"разтваряне")</f>
        <v>разтваряне</v>
      </c>
      <c r="E894" s="1" t="str">
        <f ca="1">IFERROR(__xludf.DUMMYFUNCTION("GOOGLETRANSLATE(English!E894, ""en"", ""bg"")"),"Имам нужда от помощ с домашното. Какво е разтваряне?")</f>
        <v>Имам нужда от помощ с домашното. Какво е разтваряне?</v>
      </c>
      <c r="F894" s="1" t="str">
        <f ca="1">IFERROR(__xludf.DUMMYFUNCTION("GOOGLETRANSLATE(English!F894,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894" s="1" t="str">
        <f ca="1">IFERROR(__xludf.DUMMYFUNCTION("GOOGLETRANSLATE(English!G894, ""en"", ""bg"")"),"разговор")</f>
        <v>разговор</v>
      </c>
      <c r="H894" s="1" t="str">
        <f ca="1">IFERROR(__xludf.DUMMYFUNCTION("GOOGLETRANSLATE(English!H894, ""en"", ""bg"")"),"образователна_помощ")</f>
        <v>образователна_помощ</v>
      </c>
    </row>
    <row r="895" spans="1:8" ht="13.2" x14ac:dyDescent="0.25">
      <c r="A895" s="1" t="str">
        <f ca="1">IFERROR(__xludf.DUMMYFUNCTION("GOOGLETRANSLATE(English!A895, ""en"", ""bg"")"),"conv_09500")</f>
        <v>conv_09500</v>
      </c>
      <c r="B895" s="1" t="str">
        <f ca="1">IFERROR(__xludf.DUMMYFUNCTION("GOOGLETRANSLATE(English!B895, ""en"", ""bg"")"),"физика")</f>
        <v>физика</v>
      </c>
      <c r="C895" s="1" t="str">
        <f ca="1">IFERROR(__xludf.DUMMYFUNCTION("GOOGLETRANSLATE(English!C895, ""en"", ""bg"")"),"високо")</f>
        <v>високо</v>
      </c>
      <c r="D895" s="1" t="str">
        <f ca="1">IFERROR(__xludf.DUMMYFUNCTION("GOOGLETRANSLATE(English!D895, ""en"", ""bg"")"),"електромагнетизъм")</f>
        <v>електромагнетизъм</v>
      </c>
      <c r="E895" s="1" t="str">
        <f ca="1">IFERROR(__xludf.DUMMYFUNCTION("GOOGLETRANSLATE(English!E895, ""en"", ""bg"")"),"Здравей, преподавателю! Какво трябва да знам за електромагнетизма?")</f>
        <v>Здравей, преподавателю! Какво трябва да знам за електромагнетизма?</v>
      </c>
      <c r="F895" s="1" t="str">
        <f ca="1">IFERROR(__xludf.DUMMYFUNCTION("GOOGLETRANSLATE(English!F895,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895" s="1" t="str">
        <f ca="1">IFERROR(__xludf.DUMMYFUNCTION("GOOGLETRANSLATE(English!G895, ""en"", ""bg"")"),"разговор")</f>
        <v>разговор</v>
      </c>
      <c r="H895" s="1" t="str">
        <f ca="1">IFERROR(__xludf.DUMMYFUNCTION("GOOGLETRANSLATE(English!H895, ""en"", ""bg"")"),"образователна_помощ")</f>
        <v>образователна_помощ</v>
      </c>
    </row>
    <row r="896" spans="1:8" ht="13.2" x14ac:dyDescent="0.25">
      <c r="A896" s="1" t="str">
        <f ca="1">IFERROR(__xludf.DUMMYFUNCTION("GOOGLETRANSLATE(English!A896, ""en"", ""bg"")"),"conv_16062")</f>
        <v>conv_16062</v>
      </c>
      <c r="B896" s="1" t="str">
        <f ca="1">IFERROR(__xludf.DUMMYFUNCTION("GOOGLETRANSLATE(English!B896, ""en"", ""bg"")"),"биология")</f>
        <v>биология</v>
      </c>
      <c r="C896" s="1" t="str">
        <f ca="1">IFERROR(__xludf.DUMMYFUNCTION("GOOGLETRANSLATE(English!C896, ""en"", ""bg"")"),"елементарен")</f>
        <v>елементарен</v>
      </c>
      <c r="D896" s="1" t="str">
        <f ca="1">IFERROR(__xludf.DUMMYFUNCTION("GOOGLETRANSLATE(English!D896, ""en"", ""bg"")"),"човешкото тяло")</f>
        <v>човешкото тяло</v>
      </c>
      <c r="E896" s="1" t="str">
        <f ca="1">IFERROR(__xludf.DUMMYFUNCTION("GOOGLETRANSLATE(English!E896, ""en"", ""bg"")"),"Имам нужда от помощ с домашното. Защо човешкото тяло е важно в биологията?")</f>
        <v>Имам нужда от помощ с домашното. Защо човешкото тяло е важно в биологията?</v>
      </c>
      <c r="F896" s="1" t="str">
        <f ca="1">IFERROR(__xludf.DUMMYFUNCTION("GOOGLETRANSLATE(English!F896,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896" s="1" t="str">
        <f ca="1">IFERROR(__xludf.DUMMYFUNCTION("GOOGLETRANSLATE(English!G896, ""en"", ""bg"")"),"разговор")</f>
        <v>разговор</v>
      </c>
      <c r="H896" s="1" t="str">
        <f ca="1">IFERROR(__xludf.DUMMYFUNCTION("GOOGLETRANSLATE(English!H896, ""en"", ""bg"")"),"образователна_помощ")</f>
        <v>образователна_помощ</v>
      </c>
    </row>
    <row r="897" spans="1:8" ht="13.2" x14ac:dyDescent="0.25">
      <c r="A897" s="1" t="str">
        <f ca="1">IFERROR(__xludf.DUMMYFUNCTION("GOOGLETRANSLATE(English!A897, ""en"", ""bg"")"),"hw_02483")</f>
        <v>hw_02483</v>
      </c>
      <c r="B897" s="1" t="str">
        <f ca="1">IFERROR(__xludf.DUMMYFUNCTION("GOOGLETRANSLATE(English!B897, ""en"", ""bg"")"),"физика")</f>
        <v>физика</v>
      </c>
      <c r="C897" s="1" t="str">
        <f ca="1">IFERROR(__xludf.DUMMYFUNCTION("GOOGLETRANSLATE(English!C897, ""en"", ""bg"")"),"елементарен")</f>
        <v>елементарен</v>
      </c>
      <c r="D897" s="1" t="str">
        <f ca="1">IFERROR(__xludf.DUMMYFUNCTION("GOOGLETRANSLATE(English!D897, ""en"", ""bg"")"),"магнити")</f>
        <v>магнити</v>
      </c>
      <c r="E897" s="1" t="str">
        <f ca="1">IFERROR(__xludf.DUMMYFUNCTION("GOOGLETRANSLATE(English!E897, ""en"", ""bg"")"),"Можете ли да решите този въпрос с магнитите заедно с мен?")</f>
        <v>Можете ли да решите този въпрос с магнитите заедно с мен?</v>
      </c>
      <c r="F897" s="1" t="str">
        <f ca="1">IFERROR(__xludf.DUMMYFUNCTION("GOOGLETRANSLATE(English!F897,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897" s="1" t="str">
        <f ca="1">IFERROR(__xludf.DUMMYFUNCTION("GOOGLETRANSLATE(English!G897, ""en"", ""bg"")"),"помощ_за_домашно_изпълнение")</f>
        <v>помощ_за_домашно_изпълнение</v>
      </c>
      <c r="H897" s="1" t="str">
        <f ca="1">IFERROR(__xludf.DUMMYFUNCTION("GOOGLETRANSLATE(English!H897, ""en"", ""bg"")"),"помощ_за_домашно_задаване")</f>
        <v>помощ_за_домашно_задаване</v>
      </c>
    </row>
    <row r="898" spans="1:8" ht="13.2" x14ac:dyDescent="0.25">
      <c r="A898" s="1" t="str">
        <f ca="1">IFERROR(__xludf.DUMMYFUNCTION("GOOGLETRANSLATE(English!A898, ""en"", ""bg"")"),"conv_08205")</f>
        <v>conv_08205</v>
      </c>
      <c r="B898" s="1" t="str">
        <f ca="1">IFERROR(__xludf.DUMMYFUNCTION("GOOGLETRANSLATE(English!B898, ""en"", ""bg"")"),"химия")</f>
        <v>химия</v>
      </c>
      <c r="C898" s="1" t="str">
        <f ca="1">IFERROR(__xludf.DUMMYFUNCTION("GOOGLETRANSLATE(English!C898, ""en"", ""bg"")"),"средата")</f>
        <v>средата</v>
      </c>
      <c r="D898" s="1" t="str">
        <f ca="1">IFERROR(__xludf.DUMMYFUNCTION("GOOGLETRANSLATE(English!D898, ""en"", ""bg"")"),"атоми и молекули")</f>
        <v>атоми и молекули</v>
      </c>
      <c r="E898" s="1" t="str">
        <f ca="1">IFERROR(__xludf.DUMMYFUNCTION("GOOGLETRANSLATE(English!E898, ""en"", ""bg"")"),"Имам научен въпрос. От какви части се състои атомът?")</f>
        <v>Имам научен въпрос. От какви части се състои атомът?</v>
      </c>
      <c r="F898" s="1" t="str">
        <f ca="1">IFERROR(__xludf.DUMMYFUNCTION("GOOGLETRANSLATE(English!F898,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898" s="1" t="str">
        <f ca="1">IFERROR(__xludf.DUMMYFUNCTION("GOOGLETRANSLATE(English!G898, ""en"", ""bg"")"),"разговор")</f>
        <v>разговор</v>
      </c>
      <c r="H898" s="1" t="str">
        <f ca="1">IFERROR(__xludf.DUMMYFUNCTION("GOOGLETRANSLATE(English!H898, ""en"", ""bg"")"),"образователна_помощ")</f>
        <v>образователна_помощ</v>
      </c>
    </row>
    <row r="899" spans="1:8" ht="13.2" x14ac:dyDescent="0.25">
      <c r="A899" s="1" t="str">
        <f ca="1">IFERROR(__xludf.DUMMYFUNCTION("GOOGLETRANSLATE(English!A899, ""en"", ""bg"")"),"hw_03182")</f>
        <v>hw_03182</v>
      </c>
      <c r="B899" s="1" t="str">
        <f ca="1">IFERROR(__xludf.DUMMYFUNCTION("GOOGLETRANSLATE(English!B899, ""en"", ""bg"")"),"физика")</f>
        <v>физика</v>
      </c>
      <c r="C899" s="1" t="str">
        <f ca="1">IFERROR(__xludf.DUMMYFUNCTION("GOOGLETRANSLATE(English!C899, ""en"", ""bg"")"),"високо")</f>
        <v>високо</v>
      </c>
      <c r="D899" s="1" t="str">
        <f ca="1">IFERROR(__xludf.DUMMYFUNCTION("GOOGLETRANSLATE(English!D899, ""en"", ""bg"")"),"термодинамика")</f>
        <v>термодинамика</v>
      </c>
      <c r="E899" s="1" t="str">
        <f ca="1">IFERROR(__xludf.DUMMYFUNCTION("GOOGLETRANSLATE(English!E899, ""en"", ""bg"")"),"Домашното ми по физика е за термодинамика. Объркващо е!")</f>
        <v>Домашното ми по физика е за термодинамика. Объркващо е!</v>
      </c>
      <c r="F899" s="1" t="str">
        <f ca="1">IFERROR(__xludf.DUMMYFUNCTION("GOOGLETRANSLATE(English!F899,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899" s="1" t="str">
        <f ca="1">IFERROR(__xludf.DUMMYFUNCTION("GOOGLETRANSLATE(English!G899, ""en"", ""bg"")"),"помощ_за_домашно_изпълнение")</f>
        <v>помощ_за_домашно_изпълнение</v>
      </c>
      <c r="H899" s="1" t="str">
        <f ca="1">IFERROR(__xludf.DUMMYFUNCTION("GOOGLETRANSLATE(English!H899, ""en"", ""bg"")"),"помощ_за_домашно_задаване")</f>
        <v>помощ_за_домашно_задаване</v>
      </c>
    </row>
    <row r="900" spans="1:8" ht="13.2" x14ac:dyDescent="0.25">
      <c r="A900" s="1" t="str">
        <f ca="1">IFERROR(__xludf.DUMMYFUNCTION("GOOGLETRANSLATE(English!A900, ""en"", ""bg"")"),"qa_12426")</f>
        <v>qa_12426</v>
      </c>
      <c r="B900" s="1" t="str">
        <f ca="1">IFERROR(__xludf.DUMMYFUNCTION("GOOGLETRANSLATE(English!B900, ""en"", ""bg"")"),"химия")</f>
        <v>химия</v>
      </c>
      <c r="C900" s="1" t="str">
        <f ca="1">IFERROR(__xludf.DUMMYFUNCTION("GOOGLETRANSLATE(English!C900, ""en"", ""bg"")"),"високо")</f>
        <v>високо</v>
      </c>
      <c r="D900" s="1" t="str">
        <f ca="1">IFERROR(__xludf.DUMMYFUNCTION("GOOGLETRANSLATE(English!D900, ""en"", ""bg"")"),"скорости на реакция")</f>
        <v>скорости на реакция</v>
      </c>
      <c r="E900" s="1" t="str">
        <f ca="1">IFERROR(__xludf.DUMMYFUNCTION("GOOGLETRANSLATE(English!E900, ""en"", ""bg"")"),"Какво представляват скоростите на реакция?")</f>
        <v>Какво представляват скоростите на реакция?</v>
      </c>
      <c r="F900" s="1" t="str">
        <f ca="1">IFERROR(__xludf.DUMMYFUNCTION("GOOGLETRANSLATE(English!F900,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900" s="1" t="str">
        <f ca="1">IFERROR(__xludf.DUMMYFUNCTION("GOOGLETRANSLATE(English!G900, ""en"", ""bg"")"),"direct_qa")</f>
        <v>direct_qa</v>
      </c>
      <c r="H900" s="1" t="str">
        <f ca="1">IFERROR(__xludf.DUMMYFUNCTION("GOOGLETRANSLATE(English!H900, ""en"", ""bg"")"),"заявка_за_знание")</f>
        <v>заявка_за_знание</v>
      </c>
    </row>
    <row r="901" spans="1:8" ht="13.2" x14ac:dyDescent="0.25">
      <c r="A901" s="1" t="str">
        <f ca="1">IFERROR(__xludf.DUMMYFUNCTION("GOOGLETRANSLATE(English!A901, ""en"", ""bg"")"),"conv_03734")</f>
        <v>conv_03734</v>
      </c>
      <c r="B901" s="1" t="str">
        <f ca="1">IFERROR(__xludf.DUMMYFUNCTION("GOOGLETRANSLATE(English!B901, ""en"", ""bg"")"),"биология")</f>
        <v>биология</v>
      </c>
      <c r="C901" s="1" t="str">
        <f ca="1">IFERROR(__xludf.DUMMYFUNCTION("GOOGLETRANSLATE(English!C901, ""en"", ""bg"")"),"елементарен")</f>
        <v>елементарен</v>
      </c>
      <c r="D901" s="1" t="str">
        <f ca="1">IFERROR(__xludf.DUMMYFUNCTION("GOOGLETRANSLATE(English!D901, ""en"", ""bg"")"),"човешкото тяло")</f>
        <v>човешкото тяло</v>
      </c>
      <c r="E901" s="1" t="str">
        <f ca="1">IFERROR(__xludf.DUMMYFUNCTION("GOOGLETRANSLATE(English!E901, ""en"", ""bg"")"),"Можете ли да ми обясните това? Как работи човешкото тяло?")</f>
        <v>Можете ли да ми обясните това? Как работи човешкото тяло?</v>
      </c>
      <c r="F901" s="1" t="str">
        <f ca="1">IFERROR(__xludf.DUMMYFUNCTION("GOOGLETRANSLATE(English!F901,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901" s="1" t="str">
        <f ca="1">IFERROR(__xludf.DUMMYFUNCTION("GOOGLETRANSLATE(English!G901, ""en"", ""bg"")"),"разговор")</f>
        <v>разговор</v>
      </c>
      <c r="H901" s="1" t="str">
        <f ca="1">IFERROR(__xludf.DUMMYFUNCTION("GOOGLETRANSLATE(English!H901, ""en"", ""bg"")"),"образователна_помощ")</f>
        <v>образователна_помощ</v>
      </c>
    </row>
    <row r="902" spans="1:8" ht="13.2" x14ac:dyDescent="0.25">
      <c r="A902" s="1" t="str">
        <f ca="1">IFERROR(__xludf.DUMMYFUNCTION("GOOGLETRANSLATE(English!A902, ""en"", ""bg"")"),"conv_00077")</f>
        <v>conv_00077</v>
      </c>
      <c r="B902" s="1" t="str">
        <f ca="1">IFERROR(__xludf.DUMMYFUNCTION("GOOGLETRANSLATE(English!B902, ""en"", ""bg"")"),"химия")</f>
        <v>химия</v>
      </c>
      <c r="C902" s="1" t="str">
        <f ca="1">IFERROR(__xludf.DUMMYFUNCTION("GOOGLETRANSLATE(English!C902, ""en"", ""bg"")"),"средата")</f>
        <v>средата</v>
      </c>
      <c r="D902" s="1" t="str">
        <f ca="1">IFERROR(__xludf.DUMMYFUNCTION("GOOGLETRANSLATE(English!D902, ""en"", ""bg"")"),"атоми и молекули")</f>
        <v>атоми и молекули</v>
      </c>
      <c r="E902" s="1" t="str">
        <f ca="1">IFERROR(__xludf.DUMMYFUNCTION("GOOGLETRANSLATE(English!E902, ""en"", ""bg"")"),"Не разбирам тази тема. Какво е атом?")</f>
        <v>Не разбирам тази тема. Какво е атом?</v>
      </c>
      <c r="F902" s="1" t="str">
        <f ca="1">IFERROR(__xludf.DUMMYFUNCTION("GOOGLETRANSLATE(English!F902,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902" s="1" t="str">
        <f ca="1">IFERROR(__xludf.DUMMYFUNCTION("GOOGLETRANSLATE(English!G902, ""en"", ""bg"")"),"разговор")</f>
        <v>разговор</v>
      </c>
      <c r="H902" s="1" t="str">
        <f ca="1">IFERROR(__xludf.DUMMYFUNCTION("GOOGLETRANSLATE(English!H902, ""en"", ""bg"")"),"образователна_помощ")</f>
        <v>образователна_помощ</v>
      </c>
    </row>
    <row r="903" spans="1:8" ht="13.2" x14ac:dyDescent="0.25">
      <c r="A903" s="1" t="str">
        <f ca="1">IFERROR(__xludf.DUMMYFUNCTION("GOOGLETRANSLATE(English!A903, ""en"", ""bg"")"),"qa_08951")</f>
        <v>qa_08951</v>
      </c>
      <c r="B903" s="1" t="str">
        <f ca="1">IFERROR(__xludf.DUMMYFUNCTION("GOOGLETRANSLATE(English!B903, ""en"", ""bg"")"),"физика")</f>
        <v>физика</v>
      </c>
      <c r="C903" s="1" t="str">
        <f ca="1">IFERROR(__xludf.DUMMYFUNCTION("GOOGLETRANSLATE(English!C903, ""en"", ""bg"")"),"елементарен")</f>
        <v>елементарен</v>
      </c>
      <c r="D903" s="1" t="str">
        <f ca="1">IFERROR(__xludf.DUMMYFUNCTION("GOOGLETRANSLATE(English!D903, ""en"", ""bg"")"),"бутане и дърпане")</f>
        <v>бутане и дърпане</v>
      </c>
      <c r="E903" s="1" t="str">
        <f ca="1">IFERROR(__xludf.DUMMYFUNCTION("GOOGLETRANSLATE(English!E903, ""en"", ""bg"")"),"Как работят бутането и дърпането във физиката?")</f>
        <v>Как работят бутането и дърпането във физиката?</v>
      </c>
      <c r="F903" s="1" t="str">
        <f ca="1">IFERROR(__xludf.DUMMYFUNCTION("GOOGLETRANSLATE(English!F903,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903" s="1" t="str">
        <f ca="1">IFERROR(__xludf.DUMMYFUNCTION("GOOGLETRANSLATE(English!G903, ""en"", ""bg"")"),"direct_qa")</f>
        <v>direct_qa</v>
      </c>
      <c r="H903" s="1" t="str">
        <f ca="1">IFERROR(__xludf.DUMMYFUNCTION("GOOGLETRANSLATE(English!H903, ""en"", ""bg"")"),"заявка_за_знание")</f>
        <v>заявка_за_знание</v>
      </c>
    </row>
    <row r="904" spans="1:8" ht="13.2" x14ac:dyDescent="0.25">
      <c r="A904" s="1" t="str">
        <f ca="1">IFERROR(__xludf.DUMMYFUNCTION("GOOGLETRANSLATE(English!A904, ""en"", ""bg"")"),"hw_12737")</f>
        <v>hw_12737</v>
      </c>
      <c r="B904" s="1" t="str">
        <f ca="1">IFERROR(__xludf.DUMMYFUNCTION("GOOGLETRANSLATE(English!B904, ""en"", ""bg"")"),"биология")</f>
        <v>биология</v>
      </c>
      <c r="C904" s="1" t="str">
        <f ca="1">IFERROR(__xludf.DUMMYFUNCTION("GOOGLETRANSLATE(English!C904, ""en"", ""bg"")"),"елементарен")</f>
        <v>елементарен</v>
      </c>
      <c r="D904" s="1" t="str">
        <f ca="1">IFERROR(__xludf.DUMMYFUNCTION("GOOGLETRANSLATE(English!D904, ""en"", ""bg"")"),"местообитания")</f>
        <v>местообитания</v>
      </c>
      <c r="E904" s="1" t="str">
        <f ca="1">IFERROR(__xludf.DUMMYFUNCTION("GOOGLETRANSLATE(English!E904, ""en"", ""bg"")"),"Утре имам тест по местообитания. Помогни ми да уча!")</f>
        <v>Утре имам тест по местообитания. Помогни ми да уча!</v>
      </c>
      <c r="F904" s="1" t="str">
        <f ca="1">IFERROR(__xludf.DUMMYFUNCTION("GOOGLETRANSLATE(English!F904,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904" s="1" t="str">
        <f ca="1">IFERROR(__xludf.DUMMYFUNCTION("GOOGLETRANSLATE(English!G904, ""en"", ""bg"")"),"помощ_за_домашно_изпълнение")</f>
        <v>помощ_за_домашно_изпълнение</v>
      </c>
      <c r="H904" s="1" t="str">
        <f ca="1">IFERROR(__xludf.DUMMYFUNCTION("GOOGLETRANSLATE(English!H904, ""en"", ""bg"")"),"помощ_за_домашно_задаване")</f>
        <v>помощ_за_домашно_задаване</v>
      </c>
    </row>
    <row r="905" spans="1:8" ht="13.2" x14ac:dyDescent="0.25">
      <c r="A905" s="1" t="str">
        <f ca="1">IFERROR(__xludf.DUMMYFUNCTION("GOOGLETRANSLATE(English!A905, ""en"", ""bg"")"),"conv_16625")</f>
        <v>conv_16625</v>
      </c>
      <c r="B905" s="1" t="str">
        <f ca="1">IFERROR(__xludf.DUMMYFUNCTION("GOOGLETRANSLATE(English!B905, ""en"", ""bg"")"),"химия")</f>
        <v>химия</v>
      </c>
      <c r="C905" s="1" t="str">
        <f ca="1">IFERROR(__xludf.DUMMYFUNCTION("GOOGLETRANSLATE(English!C905, ""en"", ""bg"")"),"елементарен")</f>
        <v>елементарен</v>
      </c>
      <c r="D905" s="1" t="str">
        <f ca="1">IFERROR(__xludf.DUMMYFUNCTION("GOOGLETRANSLATE(English!D905, ""en"", ""bg"")"),"смесване на материали")</f>
        <v>смесване на материали</v>
      </c>
      <c r="E905" s="1" t="str">
        <f ca="1">IFERROR(__xludf.DUMMYFUNCTION("GOOGLETRANSLATE(English!E905, ""en"", ""bg"")"),"Здравей, учителю! Как можеш да отделиш солта от водата?")</f>
        <v>Здравей, учителю! Как можеш да отделиш солта от водата?</v>
      </c>
      <c r="F905" s="1" t="str">
        <f ca="1">IFERROR(__xludf.DUMMYFUNCTION("GOOGLETRANSLATE(English!F905,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905" s="1" t="str">
        <f ca="1">IFERROR(__xludf.DUMMYFUNCTION("GOOGLETRANSLATE(English!G905, ""en"", ""bg"")"),"разговор")</f>
        <v>разговор</v>
      </c>
      <c r="H905" s="1" t="str">
        <f ca="1">IFERROR(__xludf.DUMMYFUNCTION("GOOGLETRANSLATE(English!H905, ""en"", ""bg"")"),"образователна_помощ")</f>
        <v>образователна_помощ</v>
      </c>
    </row>
    <row r="906" spans="1:8" ht="13.2" x14ac:dyDescent="0.25">
      <c r="A906" s="1" t="str">
        <f ca="1">IFERROR(__xludf.DUMMYFUNCTION("GOOGLETRANSLATE(English!A906, ""en"", ""bg"")"),"conv_03719")</f>
        <v>conv_03719</v>
      </c>
      <c r="B906" s="1" t="str">
        <f ca="1">IFERROR(__xludf.DUMMYFUNCTION("GOOGLETRANSLATE(English!B906, ""en"", ""bg"")"),"химия")</f>
        <v>химия</v>
      </c>
      <c r="C906" s="1" t="str">
        <f ca="1">IFERROR(__xludf.DUMMYFUNCTION("GOOGLETRANSLATE(English!C906, ""en"", ""bg"")"),"средата")</f>
        <v>средата</v>
      </c>
      <c r="D906" s="1" t="str">
        <f ca="1">IFERROR(__xludf.DUMMYFUNCTION("GOOGLETRANSLATE(English!D906, ""en"", ""bg"")"),"киселини и основи")</f>
        <v>киселини и основи</v>
      </c>
      <c r="E906" s="1" t="str">
        <f ca="1">IFERROR(__xludf.DUMMYFUNCTION("GOOGLETRANSLATE(English!E906, ""en"", ""bg"")"),"Можете ли да ми обясните това? Можете ли да ми помогнете да разбера киселините и основите?")</f>
        <v>Можете ли да ми обясните това? Можете ли да ми помогнете да разбера киселините и основите?</v>
      </c>
      <c r="F906" s="1" t="str">
        <f ca="1">IFERROR(__xludf.DUMMYFUNCTION("GOOGLETRANSLATE(English!F906,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906" s="1" t="str">
        <f ca="1">IFERROR(__xludf.DUMMYFUNCTION("GOOGLETRANSLATE(English!G906, ""en"", ""bg"")"),"разговор")</f>
        <v>разговор</v>
      </c>
      <c r="H906" s="1" t="str">
        <f ca="1">IFERROR(__xludf.DUMMYFUNCTION("GOOGLETRANSLATE(English!H906, ""en"", ""bg"")"),"образователна_помощ")</f>
        <v>образователна_помощ</v>
      </c>
    </row>
    <row r="907" spans="1:8" ht="13.2" x14ac:dyDescent="0.25">
      <c r="A907" s="1" t="str">
        <f ca="1">IFERROR(__xludf.DUMMYFUNCTION("GOOGLETRANSLATE(English!A907, ""en"", ""bg"")"),"conv_11132")</f>
        <v>conv_11132</v>
      </c>
      <c r="B907" s="1" t="str">
        <f ca="1">IFERROR(__xludf.DUMMYFUNCTION("GOOGLETRANSLATE(English!B907, ""en"", ""bg"")"),"химия")</f>
        <v>химия</v>
      </c>
      <c r="C907" s="1" t="str">
        <f ca="1">IFERROR(__xludf.DUMMYFUNCTION("GOOGLETRANSLATE(English!C907, ""en"", ""bg"")"),"елементарен")</f>
        <v>елементарен</v>
      </c>
      <c r="D907" s="1" t="str">
        <f ca="1">IFERROR(__xludf.DUMMYFUNCTION("GOOGLETRANSLATE(English!D907, ""en"", ""bg"")"),"твърди вещества, течности, газове")</f>
        <v>твърди вещества, течности, газове</v>
      </c>
      <c r="E907" s="1" t="str">
        <f ca="1">IFERROR(__xludf.DUMMYFUNCTION("GOOGLETRANSLATE(English!E907, ""en"", ""bg"")"),"Можете ли да ми обясните това? Как водата преминава от течност в газообразно състояние?")</f>
        <v>Можете ли да ми обясните това? Как водата преминава от течност в газообразно състояние?</v>
      </c>
      <c r="F907" s="1" t="str">
        <f ca="1">IFERROR(__xludf.DUMMYFUNCTION("GOOGLETRANSLATE(English!F907,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907" s="1" t="str">
        <f ca="1">IFERROR(__xludf.DUMMYFUNCTION("GOOGLETRANSLATE(English!G907, ""en"", ""bg"")"),"разговор")</f>
        <v>разговор</v>
      </c>
      <c r="H907" s="1" t="str">
        <f ca="1">IFERROR(__xludf.DUMMYFUNCTION("GOOGLETRANSLATE(English!H907, ""en"", ""bg"")"),"образователна_помощ")</f>
        <v>образователна_помощ</v>
      </c>
    </row>
    <row r="908" spans="1:8" ht="13.2" x14ac:dyDescent="0.25">
      <c r="A908" s="1" t="str">
        <f ca="1">IFERROR(__xludf.DUMMYFUNCTION("GOOGLETRANSLATE(English!A908, ""en"", ""bg"")"),"hw_07559")</f>
        <v>hw_07559</v>
      </c>
      <c r="B908" s="1" t="str">
        <f ca="1">IFERROR(__xludf.DUMMYFUNCTION("GOOGLETRANSLATE(English!B908, ""en"", ""bg"")"),"физика")</f>
        <v>физика</v>
      </c>
      <c r="C908" s="1" t="str">
        <f ca="1">IFERROR(__xludf.DUMMYFUNCTION("GOOGLETRANSLATE(English!C908, ""en"", ""bg"")"),"средата")</f>
        <v>средата</v>
      </c>
      <c r="D908" s="1" t="str">
        <f ca="1">IFERROR(__xludf.DUMMYFUNCTION("GOOGLETRANSLATE(English!D908, ""en"", ""bg"")"),"сили и движение")</f>
        <v>сили и движение</v>
      </c>
      <c r="E908" s="1" t="str">
        <f ca="1">IFERROR(__xludf.DUMMYFUNCTION("GOOGLETRANSLATE(English!E908, ""en"", ""bg"")"),"Трябва да разбера силите и движението за изпита си.")</f>
        <v>Трябва да разбера силите и движението за изпита си.</v>
      </c>
      <c r="F908" s="1" t="str">
        <f ca="1">IFERROR(__xludf.DUMMYFUNCTION("GOOGLETRANSLATE(English!F908,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908" s="1" t="str">
        <f ca="1">IFERROR(__xludf.DUMMYFUNCTION("GOOGLETRANSLATE(English!G908, ""en"", ""bg"")"),"помощ_за_домашно_изпълнение")</f>
        <v>помощ_за_домашно_изпълнение</v>
      </c>
      <c r="H908" s="1" t="str">
        <f ca="1">IFERROR(__xludf.DUMMYFUNCTION("GOOGLETRANSLATE(English!H908, ""en"", ""bg"")"),"помощ_за_домашно_задаване")</f>
        <v>помощ_за_домашно_задаване</v>
      </c>
    </row>
    <row r="909" spans="1:8" ht="13.2" x14ac:dyDescent="0.25">
      <c r="A909" s="1" t="str">
        <f ca="1">IFERROR(__xludf.DUMMYFUNCTION("GOOGLETRANSLATE(English!A909, ""en"", ""bg"")"),"qa_14209")</f>
        <v>qa_14209</v>
      </c>
      <c r="B909" s="1" t="str">
        <f ca="1">IFERROR(__xludf.DUMMYFUNCTION("GOOGLETRANSLATE(English!B909, ""en"", ""bg"")"),"физика")</f>
        <v>физика</v>
      </c>
      <c r="C909" s="1" t="str">
        <f ca="1">IFERROR(__xludf.DUMMYFUNCTION("GOOGLETRANSLATE(English!C909, ""en"", ""bg"")"),"високо")</f>
        <v>високо</v>
      </c>
      <c r="D909" s="1" t="str">
        <f ca="1">IFERROR(__xludf.DUMMYFUNCTION("GOOGLETRANSLATE(English!D909, ""en"", ""bg"")"),"атомна структура")</f>
        <v>атомна структура</v>
      </c>
      <c r="E909" s="1" t="str">
        <f ca="1">IFERROR(__xludf.DUMMYFUNCTION("GOOGLETRANSLATE(English!E909, ""en"", ""bg"")"),"Защо атомната структура е важна?")</f>
        <v>Защо атомната структура е важна?</v>
      </c>
      <c r="F909" s="1" t="str">
        <f ca="1">IFERROR(__xludf.DUMMYFUNCTION("GOOGLETRANSLATE(English!F909,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909" s="1" t="str">
        <f ca="1">IFERROR(__xludf.DUMMYFUNCTION("GOOGLETRANSLATE(English!G909, ""en"", ""bg"")"),"direct_qa")</f>
        <v>direct_qa</v>
      </c>
      <c r="H909" s="1" t="str">
        <f ca="1">IFERROR(__xludf.DUMMYFUNCTION("GOOGLETRANSLATE(English!H909, ""en"", ""bg"")"),"заявка_за_знание")</f>
        <v>заявка_за_знание</v>
      </c>
    </row>
    <row r="910" spans="1:8" ht="13.2" x14ac:dyDescent="0.25">
      <c r="A910" s="1" t="str">
        <f ca="1">IFERROR(__xludf.DUMMYFUNCTION("GOOGLETRANSLATE(English!A910, ""en"", ""bg"")"),"hw_09584")</f>
        <v>hw_09584</v>
      </c>
      <c r="B910" s="1" t="str">
        <f ca="1">IFERROR(__xludf.DUMMYFUNCTION("GOOGLETRANSLATE(English!B910, ""en"", ""bg"")"),"химия")</f>
        <v>химия</v>
      </c>
      <c r="C910" s="1" t="str">
        <f ca="1">IFERROR(__xludf.DUMMYFUNCTION("GOOGLETRANSLATE(English!C910, ""en"", ""bg"")"),"средата")</f>
        <v>средата</v>
      </c>
      <c r="D910" s="1" t="str">
        <f ca="1">IFERROR(__xludf.DUMMYFUNCTION("GOOGLETRANSLATE(English!D910, ""en"", ""bg"")"),"основи на периодичната таблица")</f>
        <v>основи на периодичната таблица</v>
      </c>
      <c r="E910" s="1" t="str">
        <f ca="1">IFERROR(__xludf.DUMMYFUNCTION("GOOGLETRANSLATE(English!E910, ""en"", ""bg"")"),"Имам затруднения с основите на периодичната таблица в домашното си.")</f>
        <v>Имам затруднения с основите на периодичната таблица в домашното си.</v>
      </c>
      <c r="F910" s="1" t="str">
        <f ca="1">IFERROR(__xludf.DUMMYFUNCTION("GOOGLETRANSLATE(English!F910,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910" s="1" t="str">
        <f ca="1">IFERROR(__xludf.DUMMYFUNCTION("GOOGLETRANSLATE(English!G910, ""en"", ""bg"")"),"помощ_за_домашно_изпълнение")</f>
        <v>помощ_за_домашно_изпълнение</v>
      </c>
      <c r="H910" s="1" t="str">
        <f ca="1">IFERROR(__xludf.DUMMYFUNCTION("GOOGLETRANSLATE(English!H910, ""en"", ""bg"")"),"помощ_за_домашно_задаване")</f>
        <v>помощ_за_домашно_задаване</v>
      </c>
    </row>
    <row r="911" spans="1:8" ht="13.2" x14ac:dyDescent="0.25">
      <c r="A911" s="1" t="str">
        <f ca="1">IFERROR(__xludf.DUMMYFUNCTION("GOOGLETRANSLATE(English!A911, ""en"", ""bg"")"),"conv_05651")</f>
        <v>conv_05651</v>
      </c>
      <c r="B911" s="1" t="str">
        <f ca="1">IFERROR(__xludf.DUMMYFUNCTION("GOOGLETRANSLATE(English!B911, ""en"", ""bg"")"),"физика")</f>
        <v>физика</v>
      </c>
      <c r="C911" s="1" t="str">
        <f ca="1">IFERROR(__xludf.DUMMYFUNCTION("GOOGLETRANSLATE(English!C911, ""en"", ""bg"")"),"елементарен")</f>
        <v>елементарен</v>
      </c>
      <c r="D911" s="1" t="str">
        <f ca="1">IFERROR(__xludf.DUMMYFUNCTION("GOOGLETRANSLATE(English!D911, ""en"", ""bg"")"),"горещо и студено")</f>
        <v>горещо и студено</v>
      </c>
      <c r="E911" s="1" t="str">
        <f ca="1">IFERROR(__xludf.DUMMYFUNCTION("GOOGLETRANSLATE(English!E911, ""en"", ""bg"")"),"Не разбирам тази тема. Можете ли да ми обясните какво е топло и студено?")</f>
        <v>Не разбирам тази тема. Можете ли да ми обясните какво е топло и студено?</v>
      </c>
      <c r="F911" s="1" t="str">
        <f ca="1">IFERROR(__xludf.DUMMYFUNCTION("GOOGLETRANSLATE(English!F911,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911" s="1" t="str">
        <f ca="1">IFERROR(__xludf.DUMMYFUNCTION("GOOGLETRANSLATE(English!G911, ""en"", ""bg"")"),"разговор")</f>
        <v>разговор</v>
      </c>
      <c r="H911" s="1" t="str">
        <f ca="1">IFERROR(__xludf.DUMMYFUNCTION("GOOGLETRANSLATE(English!H911, ""en"", ""bg"")"),"образователна_помощ")</f>
        <v>образователна_помощ</v>
      </c>
    </row>
    <row r="912" spans="1:8" ht="13.2" x14ac:dyDescent="0.25">
      <c r="A912" s="1" t="str">
        <f ca="1">IFERROR(__xludf.DUMMYFUNCTION("GOOGLETRANSLATE(English!A912, ""en"", ""bg"")"),"hw_00192")</f>
        <v>hw_00192</v>
      </c>
      <c r="B912" s="1" t="str">
        <f ca="1">IFERROR(__xludf.DUMMYFUNCTION("GOOGLETRANSLATE(English!B912, ""en"", ""bg"")"),"биология")</f>
        <v>биология</v>
      </c>
      <c r="C912" s="1" t="str">
        <f ca="1">IFERROR(__xludf.DUMMYFUNCTION("GOOGLETRANSLATE(English!C912, ""en"", ""bg"")"),"елементарен")</f>
        <v>елементарен</v>
      </c>
      <c r="D912" s="1" t="str">
        <f ca="1">IFERROR(__xludf.DUMMYFUNCTION("GOOGLETRANSLATE(English!D912, ""en"", ""bg"")"),"местообитания")</f>
        <v>местообитания</v>
      </c>
      <c r="E912" s="1" t="str">
        <f ca="1">IFERROR(__xludf.DUMMYFUNCTION("GOOGLETRANSLATE(English!E912, ""en"", ""bg"")"),"Утре имам тест по местообитания. Помогни ми да уча!")</f>
        <v>Утре имам тест по местообитания. Помогни ми да уча!</v>
      </c>
      <c r="F912" s="1" t="str">
        <f ca="1">IFERROR(__xludf.DUMMYFUNCTION("GOOGLETRANSLATE(English!F912,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912" s="1" t="str">
        <f ca="1">IFERROR(__xludf.DUMMYFUNCTION("GOOGLETRANSLATE(English!G912, ""en"", ""bg"")"),"помощ_за_домашно_изпълнение")</f>
        <v>помощ_за_домашно_изпълнение</v>
      </c>
      <c r="H912" s="1" t="str">
        <f ca="1">IFERROR(__xludf.DUMMYFUNCTION("GOOGLETRANSLATE(English!H912, ""en"", ""bg"")"),"помощ_за_домашно_задаване")</f>
        <v>помощ_за_домашно_задаване</v>
      </c>
    </row>
    <row r="913" spans="1:8" ht="13.2" x14ac:dyDescent="0.25">
      <c r="A913" s="1" t="str">
        <f ca="1">IFERROR(__xludf.DUMMYFUNCTION("GOOGLETRANSLATE(English!A913, ""en"", ""bg"")"),"qa_14712")</f>
        <v>qa_14712</v>
      </c>
      <c r="B913" s="1" t="str">
        <f ca="1">IFERROR(__xludf.DUMMYFUNCTION("GOOGLETRANSLATE(English!B913, ""en"", ""bg"")"),"химия")</f>
        <v>химия</v>
      </c>
      <c r="C913" s="1" t="str">
        <f ca="1">IFERROR(__xludf.DUMMYFUNCTION("GOOGLETRANSLATE(English!C913, ""en"", ""bg"")"),"средата")</f>
        <v>средата</v>
      </c>
      <c r="D913" s="1" t="str">
        <f ca="1">IFERROR(__xludf.DUMMYFUNCTION("GOOGLETRANSLATE(English!D913, ""en"", ""bg"")"),"основи на периодичната таблица")</f>
        <v>основи на периодичната таблица</v>
      </c>
      <c r="E913" s="1" t="str">
        <f ca="1">IFERROR(__xludf.DUMMYFUNCTION("GOOGLETRANSLATE(English!E913,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913" s="1" t="str">
        <f ca="1">IFERROR(__xludf.DUMMYFUNCTION("GOOGLETRANSLATE(English!F913,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913" s="1" t="str">
        <f ca="1">IFERROR(__xludf.DUMMYFUNCTION("GOOGLETRANSLATE(English!G913, ""en"", ""bg"")"),"direct_qa")</f>
        <v>direct_qa</v>
      </c>
      <c r="H913" s="1" t="str">
        <f ca="1">IFERROR(__xludf.DUMMYFUNCTION("GOOGLETRANSLATE(English!H913, ""en"", ""bg"")"),"заявка_за_знание")</f>
        <v>заявка_за_знание</v>
      </c>
    </row>
    <row r="914" spans="1:8" ht="13.2" x14ac:dyDescent="0.25">
      <c r="A914" s="1" t="str">
        <f ca="1">IFERROR(__xludf.DUMMYFUNCTION("GOOGLETRANSLATE(English!A914, ""en"", ""bg"")"),"conv_08718")</f>
        <v>conv_08718</v>
      </c>
      <c r="B914" s="1" t="str">
        <f ca="1">IFERROR(__xludf.DUMMYFUNCTION("GOOGLETRANSLATE(English!B914, ""en"", ""bg"")"),"химия")</f>
        <v>химия</v>
      </c>
      <c r="C914" s="1" t="str">
        <f ca="1">IFERROR(__xludf.DUMMYFUNCTION("GOOGLETRANSLATE(English!C914, ""en"", ""bg"")"),"високо")</f>
        <v>високо</v>
      </c>
      <c r="D914" s="1" t="str">
        <f ca="1">IFERROR(__xludf.DUMMYFUNCTION("GOOGLETRANSLATE(English!D914, ""en"", ""bg"")"),"равновесие")</f>
        <v>равновесие</v>
      </c>
      <c r="E914" s="1" t="str">
        <f ca="1">IFERROR(__xludf.DUMMYFUNCTION("GOOGLETRANSLATE(English!E914, ""en"", ""bg"")"),"Имам научен въпрос. Как работи равновесието в химията?")</f>
        <v>Имам научен въпрос. Как работи равновесието в химията?</v>
      </c>
      <c r="F914" s="1" t="str">
        <f ca="1">IFERROR(__xludf.DUMMYFUNCTION("GOOGLETRANSLATE(English!F914,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914" s="1" t="str">
        <f ca="1">IFERROR(__xludf.DUMMYFUNCTION("GOOGLETRANSLATE(English!G914, ""en"", ""bg"")"),"разговор")</f>
        <v>разговор</v>
      </c>
      <c r="H914" s="1" t="str">
        <f ca="1">IFERROR(__xludf.DUMMYFUNCTION("GOOGLETRANSLATE(English!H914, ""en"", ""bg"")"),"образователна_помощ")</f>
        <v>образователна_помощ</v>
      </c>
    </row>
    <row r="915" spans="1:8" ht="13.2" x14ac:dyDescent="0.25">
      <c r="A915" s="1" t="str">
        <f ca="1">IFERROR(__xludf.DUMMYFUNCTION("GOOGLETRANSLATE(English!A915, ""en"", ""bg"")"),"conv_11568")</f>
        <v>conv_11568</v>
      </c>
      <c r="B915" s="1" t="str">
        <f ca="1">IFERROR(__xludf.DUMMYFUNCTION("GOOGLETRANSLATE(English!B915, ""en"", ""bg"")"),"биология")</f>
        <v>биология</v>
      </c>
      <c r="C915" s="1" t="str">
        <f ca="1">IFERROR(__xludf.DUMMYFUNCTION("GOOGLETRANSLATE(English!C915, ""en"", ""bg"")"),"елементарен")</f>
        <v>елементарен</v>
      </c>
      <c r="D915" s="1" t="str">
        <f ca="1">IFERROR(__xludf.DUMMYFUNCTION("GOOGLETRANSLATE(English!D915, ""en"", ""bg"")"),"местообитания")</f>
        <v>местообитания</v>
      </c>
      <c r="E915" s="1" t="str">
        <f ca="1">IFERROR(__xludf.DUMMYFUNCTION("GOOGLETRANSLATE(English!E915, ""en"", ""bg"")"),"Здравей, преподавателю! Защо местообитанията са важни в биологията?")</f>
        <v>Здравей, преподавателю! Защо местообитанията са важни в биологията?</v>
      </c>
      <c r="F915" s="1" t="str">
        <f ca="1">IFERROR(__xludf.DUMMYFUNCTION("GOOGLETRANSLATE(English!F915,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915" s="1" t="str">
        <f ca="1">IFERROR(__xludf.DUMMYFUNCTION("GOOGLETRANSLATE(English!G915, ""en"", ""bg"")"),"разговор")</f>
        <v>разговор</v>
      </c>
      <c r="H915" s="1" t="str">
        <f ca="1">IFERROR(__xludf.DUMMYFUNCTION("GOOGLETRANSLATE(English!H915, ""en"", ""bg"")"),"образователна_помощ")</f>
        <v>образователна_помощ</v>
      </c>
    </row>
    <row r="916" spans="1:8" ht="13.2" x14ac:dyDescent="0.25">
      <c r="A916" s="1" t="str">
        <f ca="1">IFERROR(__xludf.DUMMYFUNCTION("GOOGLETRANSLATE(English!A916, ""en"", ""bg"")"),"hw_14866")</f>
        <v>hw_14866</v>
      </c>
      <c r="B916" s="1" t="str">
        <f ca="1">IFERROR(__xludf.DUMMYFUNCTION("GOOGLETRANSLATE(English!B916, ""en"", ""bg"")"),"химия")</f>
        <v>химия</v>
      </c>
      <c r="C916" s="1" t="str">
        <f ca="1">IFERROR(__xludf.DUMMYFUNCTION("GOOGLETRANSLATE(English!C916, ""en"", ""bg"")"),"елементарен")</f>
        <v>елементарен</v>
      </c>
      <c r="D916" s="1" t="str">
        <f ca="1">IFERROR(__xludf.DUMMYFUNCTION("GOOGLETRANSLATE(English!D916, ""en"", ""bg"")"),"промени в материалите")</f>
        <v>промени в материалите</v>
      </c>
      <c r="E916" s="1" t="str">
        <f ca="1">IFERROR(__xludf.DUMMYFUNCTION("GOOGLETRANSLATE(English!E916,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916" s="1" t="str">
        <f ca="1">IFERROR(__xludf.DUMMYFUNCTION("GOOGLETRANSLATE(English!F916,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916" s="1" t="str">
        <f ca="1">IFERROR(__xludf.DUMMYFUNCTION("GOOGLETRANSLATE(English!G916, ""en"", ""bg"")"),"помощ_за_домашно_изпълнение")</f>
        <v>помощ_за_домашно_изпълнение</v>
      </c>
      <c r="H916" s="1" t="str">
        <f ca="1">IFERROR(__xludf.DUMMYFUNCTION("GOOGLETRANSLATE(English!H916, ""en"", ""bg"")"),"помощ_за_домашно_задаване")</f>
        <v>помощ_за_домашно_задаване</v>
      </c>
    </row>
    <row r="917" spans="1:8" ht="13.2" x14ac:dyDescent="0.25">
      <c r="A917" s="1" t="str">
        <f ca="1">IFERROR(__xludf.DUMMYFUNCTION("GOOGLETRANSLATE(English!A917, ""en"", ""bg"")"),"conv_04075")</f>
        <v>conv_04075</v>
      </c>
      <c r="B917" s="1" t="str">
        <f ca="1">IFERROR(__xludf.DUMMYFUNCTION("GOOGLETRANSLATE(English!B917, ""en"", ""bg"")"),"биология")</f>
        <v>биология</v>
      </c>
      <c r="C917" s="1" t="str">
        <f ca="1">IFERROR(__xludf.DUMMYFUNCTION("GOOGLETRANSLATE(English!C917, ""en"", ""bg"")"),"елементарен")</f>
        <v>елементарен</v>
      </c>
      <c r="D917" s="1" t="str">
        <f ca="1">IFERROR(__xludf.DUMMYFUNCTION("GOOGLETRANSLATE(English!D917, ""en"", ""bg"")"),"животни")</f>
        <v>животни</v>
      </c>
      <c r="E917" s="1" t="str">
        <f ca="1">IFERROR(__xludf.DUMMYFUNCTION("GOOGLETRANSLATE(English!E917, ""en"", ""bg"")"),"Имам нужда от помощ с домашното. С какво се хранят рибите?")</f>
        <v>Имам нужда от помощ с домашното. С какво се хранят рибите?</v>
      </c>
      <c r="F917" s="1" t="str">
        <f ca="1">IFERROR(__xludf.DUMMYFUNCTION("GOOGLETRANSLATE(English!F917,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917" s="1" t="str">
        <f ca="1">IFERROR(__xludf.DUMMYFUNCTION("GOOGLETRANSLATE(English!G917, ""en"", ""bg"")"),"разговор")</f>
        <v>разговор</v>
      </c>
      <c r="H917" s="1" t="str">
        <f ca="1">IFERROR(__xludf.DUMMYFUNCTION("GOOGLETRANSLATE(English!H917, ""en"", ""bg"")"),"образователна_помощ")</f>
        <v>образователна_помощ</v>
      </c>
    </row>
    <row r="918" spans="1:8" ht="13.2" x14ac:dyDescent="0.25">
      <c r="A918" s="1" t="str">
        <f ca="1">IFERROR(__xludf.DUMMYFUNCTION("GOOGLETRANSLATE(English!A918, ""en"", ""bg"")"),"qa_09403")</f>
        <v>qa_09403</v>
      </c>
      <c r="B918" s="1" t="str">
        <f ca="1">IFERROR(__xludf.DUMMYFUNCTION("GOOGLETRANSLATE(English!B918, ""en"", ""bg"")"),"физика")</f>
        <v>физика</v>
      </c>
      <c r="C918" s="1" t="str">
        <f ca="1">IFERROR(__xludf.DUMMYFUNCTION("GOOGLETRANSLATE(English!C918, ""en"", ""bg"")"),"високо")</f>
        <v>високо</v>
      </c>
      <c r="D918" s="1" t="str">
        <f ca="1">IFERROR(__xludf.DUMMYFUNCTION("GOOGLETRANSLATE(English!D918, ""en"", ""bg"")"),"атомна структура")</f>
        <v>атомна структура</v>
      </c>
      <c r="E918" s="1" t="str">
        <f ca="1">IFERROR(__xludf.DUMMYFUNCTION("GOOGLETRANSLATE(English!E918, ""en"", ""bg"")"),"Какво трябва да знам за атомната структура?")</f>
        <v>Какво трябва да знам за атомната структура?</v>
      </c>
      <c r="F918" s="1" t="str">
        <f ca="1">IFERROR(__xludf.DUMMYFUNCTION("GOOGLETRANSLATE(English!F918,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918" s="1" t="str">
        <f ca="1">IFERROR(__xludf.DUMMYFUNCTION("GOOGLETRANSLATE(English!G918, ""en"", ""bg"")"),"direct_qa")</f>
        <v>direct_qa</v>
      </c>
      <c r="H918" s="1" t="str">
        <f ca="1">IFERROR(__xludf.DUMMYFUNCTION("GOOGLETRANSLATE(English!H918, ""en"", ""bg"")"),"заявка_за_знание")</f>
        <v>заявка_за_знание</v>
      </c>
    </row>
    <row r="919" spans="1:8" ht="13.2" x14ac:dyDescent="0.25">
      <c r="A919" s="1" t="str">
        <f ca="1">IFERROR(__xludf.DUMMYFUNCTION("GOOGLETRANSLATE(English!A919, ""en"", ""bg"")"),"conv_14822")</f>
        <v>conv_14822</v>
      </c>
      <c r="B919" s="1" t="str">
        <f ca="1">IFERROR(__xludf.DUMMYFUNCTION("GOOGLETRANSLATE(English!B919, ""en"", ""bg"")"),"химия")</f>
        <v>химия</v>
      </c>
      <c r="C919" s="1" t="str">
        <f ca="1">IFERROR(__xludf.DUMMYFUNCTION("GOOGLETRANSLATE(English!C919, ""en"", ""bg"")"),"елементарен")</f>
        <v>елементарен</v>
      </c>
      <c r="D919" s="1" t="str">
        <f ca="1">IFERROR(__xludf.DUMMYFUNCTION("GOOGLETRANSLATE(English!D919, ""en"", ""bg"")"),"безопасност")</f>
        <v>безопасност</v>
      </c>
      <c r="E919" s="1" t="str">
        <f ca="1">IFERROR(__xludf.DUMMYFUNCTION("GOOGLETRANSLATE(English!E919, ""en"", ""bg"")"),"Не разбирам тази тема. Защо е важно да се учи безопасността?")</f>
        <v>Не разбирам тази тема. Защо е важно да се учи безопасността?</v>
      </c>
      <c r="F919" s="1" t="str">
        <f ca="1">IFERROR(__xludf.DUMMYFUNCTION("GOOGLETRANSLATE(English!F919,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919" s="1" t="str">
        <f ca="1">IFERROR(__xludf.DUMMYFUNCTION("GOOGLETRANSLATE(English!G919, ""en"", ""bg"")"),"разговор")</f>
        <v>разговор</v>
      </c>
      <c r="H919" s="1" t="str">
        <f ca="1">IFERROR(__xludf.DUMMYFUNCTION("GOOGLETRANSLATE(English!H919, ""en"", ""bg"")"),"образователна_помощ")</f>
        <v>образователна_помощ</v>
      </c>
    </row>
    <row r="920" spans="1:8" ht="13.2" x14ac:dyDescent="0.25">
      <c r="A920" s="1" t="str">
        <f ca="1">IFERROR(__xludf.DUMMYFUNCTION("GOOGLETRANSLATE(English!A920, ""en"", ""bg"")"),"conv_04636")</f>
        <v>conv_04636</v>
      </c>
      <c r="B920" s="1" t="str">
        <f ca="1">IFERROR(__xludf.DUMMYFUNCTION("GOOGLETRANSLATE(English!B920, ""en"", ""bg"")"),"физика")</f>
        <v>физика</v>
      </c>
      <c r="C920" s="1" t="str">
        <f ca="1">IFERROR(__xludf.DUMMYFUNCTION("GOOGLETRANSLATE(English!C920, ""en"", ""bg"")"),"средата")</f>
        <v>средата</v>
      </c>
      <c r="D920" s="1" t="str">
        <f ca="1">IFERROR(__xludf.DUMMYFUNCTION("GOOGLETRANSLATE(English!D920, ""en"", ""bg"")"),"видове енергия")</f>
        <v>видове енергия</v>
      </c>
      <c r="E920" s="1" t="str">
        <f ca="1">IFERROR(__xludf.DUMMYFUNCTION("GOOGLETRANSLATE(English!E920, ""en"", ""bg"")"),"Не разбирам тази тема. Какви са различните видове енергия?")</f>
        <v>Не разбирам тази тема. Какви са различните видове енергия?</v>
      </c>
      <c r="F920" s="1" t="str">
        <f ca="1">IFERROR(__xludf.DUMMYFUNCTION("GOOGLETRANSLATE(English!F920,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920" s="1" t="str">
        <f ca="1">IFERROR(__xludf.DUMMYFUNCTION("GOOGLETRANSLATE(English!G920, ""en"", ""bg"")"),"разговор")</f>
        <v>разговор</v>
      </c>
      <c r="H920" s="1" t="str">
        <f ca="1">IFERROR(__xludf.DUMMYFUNCTION("GOOGLETRANSLATE(English!H920, ""en"", ""bg"")"),"образователна_помощ")</f>
        <v>образователна_помощ</v>
      </c>
    </row>
    <row r="921" spans="1:8" ht="13.2" x14ac:dyDescent="0.25">
      <c r="A921" s="1" t="str">
        <f ca="1">IFERROR(__xludf.DUMMYFUNCTION("GOOGLETRANSLATE(English!A921, ""en"", ""bg"")"),"hw_11313")</f>
        <v>hw_11313</v>
      </c>
      <c r="B921" s="1" t="str">
        <f ca="1">IFERROR(__xludf.DUMMYFUNCTION("GOOGLETRANSLATE(English!B921, ""en"", ""bg"")"),"биология")</f>
        <v>биология</v>
      </c>
      <c r="C921" s="1" t="str">
        <f ca="1">IFERROR(__xludf.DUMMYFUNCTION("GOOGLETRANSLATE(English!C921, ""en"", ""bg"")"),"елементарен")</f>
        <v>елементарен</v>
      </c>
      <c r="D921" s="1" t="str">
        <f ca="1">IFERROR(__xludf.DUMMYFUNCTION("GOOGLETRANSLATE(English!D921, ""en"", ""bg"")"),"животни")</f>
        <v>животни</v>
      </c>
      <c r="E921" s="1" t="str">
        <f ca="1">IFERROR(__xludf.DUMMYFUNCTION("GOOGLETRANSLATE(English!E921, ""en"", ""bg"")"),"Можете ли да обясните за животните за моя научен проект?")</f>
        <v>Можете ли да обясните за животните за моя научен проект?</v>
      </c>
      <c r="F921" s="1" t="str">
        <f ca="1">IFERROR(__xludf.DUMMYFUNCTION("GOOGLETRANSLATE(English!F921,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921" s="1" t="str">
        <f ca="1">IFERROR(__xludf.DUMMYFUNCTION("GOOGLETRANSLATE(English!G921, ""en"", ""bg"")"),"помощ_за_домашно_изпълнение")</f>
        <v>помощ_за_домашно_изпълнение</v>
      </c>
      <c r="H921" s="1" t="str">
        <f ca="1">IFERROR(__xludf.DUMMYFUNCTION("GOOGLETRANSLATE(English!H921, ""en"", ""bg"")"),"помощ_за_домашно_задаване")</f>
        <v>помощ_за_домашно_задаване</v>
      </c>
    </row>
    <row r="922" spans="1:8" ht="13.2" x14ac:dyDescent="0.25">
      <c r="A922" s="1" t="str">
        <f ca="1">IFERROR(__xludf.DUMMYFUNCTION("GOOGLETRANSLATE(English!A922, ""en"", ""bg"")"),"hw_09958")</f>
        <v>hw_09958</v>
      </c>
      <c r="B922" s="1" t="str">
        <f ca="1">IFERROR(__xludf.DUMMYFUNCTION("GOOGLETRANSLATE(English!B922, ""en"", ""bg"")"),"физика")</f>
        <v>физика</v>
      </c>
      <c r="C922" s="1" t="str">
        <f ca="1">IFERROR(__xludf.DUMMYFUNCTION("GOOGLETRANSLATE(English!C922, ""en"", ""bg"")"),"високо")</f>
        <v>високо</v>
      </c>
      <c r="D922" s="1" t="str">
        <f ca="1">IFERROR(__xludf.DUMMYFUNCTION("GOOGLETRANSLATE(English!D922, ""en"", ""bg"")"),"радиоактивност")</f>
        <v>радиоактивност</v>
      </c>
      <c r="E922" s="1" t="str">
        <f ca="1">IFERROR(__xludf.DUMMYFUNCTION("GOOGLETRANSLATE(English!E922, ""en"", ""bg"")"),"Заседнал съм с този проблем с радиоактивността. Можете ли да помогнете?")</f>
        <v>Заседнал съм с този проблем с радиоактивността. Можете ли да помогнете?</v>
      </c>
      <c r="F922" s="1" t="str">
        <f ca="1">IFERROR(__xludf.DUMMYFUNCTION("GOOGLETRANSLATE(English!F922,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922" s="1" t="str">
        <f ca="1">IFERROR(__xludf.DUMMYFUNCTION("GOOGLETRANSLATE(English!G922, ""en"", ""bg"")"),"помощ_за_домашно_изпълнение")</f>
        <v>помощ_за_домашно_изпълнение</v>
      </c>
      <c r="H922" s="1" t="str">
        <f ca="1">IFERROR(__xludf.DUMMYFUNCTION("GOOGLETRANSLATE(English!H922, ""en"", ""bg"")"),"помощ_за_домашно_задаване")</f>
        <v>помощ_за_домашно_задаване</v>
      </c>
    </row>
    <row r="923" spans="1:8" ht="13.2" x14ac:dyDescent="0.25">
      <c r="A923" s="1" t="str">
        <f ca="1">IFERROR(__xludf.DUMMYFUNCTION("GOOGLETRANSLATE(English!A923, ""en"", ""bg"")"),"qa_11827")</f>
        <v>qa_11827</v>
      </c>
      <c r="B923" s="1" t="str">
        <f ca="1">IFERROR(__xludf.DUMMYFUNCTION("GOOGLETRANSLATE(English!B923, ""en"", ""bg"")"),"химия")</f>
        <v>химия</v>
      </c>
      <c r="C923" s="1" t="str">
        <f ca="1">IFERROR(__xludf.DUMMYFUNCTION("GOOGLETRANSLATE(English!C923, ""en"", ""bg"")"),"средата")</f>
        <v>средата</v>
      </c>
      <c r="D923" s="1" t="str">
        <f ca="1">IFERROR(__xludf.DUMMYFUNCTION("GOOGLETRANSLATE(English!D923, ""en"", ""bg"")"),"атоми и молекули")</f>
        <v>атоми и молекули</v>
      </c>
      <c r="E923" s="1" t="str">
        <f ca="1">IFERROR(__xludf.DUMMYFUNCTION("GOOGLETRANSLATE(English!E923, ""en"", ""bg"")"),"Защо атомите се свързват помежду си?")</f>
        <v>Защо атомите се свързват помежду си?</v>
      </c>
      <c r="F923" s="1" t="str">
        <f ca="1">IFERROR(__xludf.DUMMYFUNCTION("GOOGLETRANSLATE(English!F923,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923" s="1" t="str">
        <f ca="1">IFERROR(__xludf.DUMMYFUNCTION("GOOGLETRANSLATE(English!G923, ""en"", ""bg"")"),"direct_qa")</f>
        <v>direct_qa</v>
      </c>
      <c r="H923" s="1" t="str">
        <f ca="1">IFERROR(__xludf.DUMMYFUNCTION("GOOGLETRANSLATE(English!H923, ""en"", ""bg"")"),"заявка_за_знание")</f>
        <v>заявка_за_знание</v>
      </c>
    </row>
    <row r="924" spans="1:8" ht="13.2" x14ac:dyDescent="0.25">
      <c r="A924" s="1" t="str">
        <f ca="1">IFERROR(__xludf.DUMMYFUNCTION("GOOGLETRANSLATE(English!A924, ""en"", ""bg"")"),"conv_19360")</f>
        <v>conv_19360</v>
      </c>
      <c r="B924" s="1" t="str">
        <f ca="1">IFERROR(__xludf.DUMMYFUNCTION("GOOGLETRANSLATE(English!B924, ""en"", ""bg"")"),"физика")</f>
        <v>физика</v>
      </c>
      <c r="C924" s="1" t="str">
        <f ca="1">IFERROR(__xludf.DUMMYFUNCTION("GOOGLETRANSLATE(English!C924, ""en"", ""bg"")"),"високо")</f>
        <v>високо</v>
      </c>
      <c r="D924" s="1" t="str">
        <f ca="1">IFERROR(__xludf.DUMMYFUNCTION("GOOGLETRANSLATE(English!D924, ""en"", ""bg"")"),"термодинамика")</f>
        <v>термодинамика</v>
      </c>
      <c r="E924" s="1" t="str">
        <f ca="1">IFERROR(__xludf.DUMMYFUNCTION("GOOGLETRANSLATE(English!E924, ""en"", ""bg"")"),"Здравей, преподавателю! Какво трябва да знам за термодинамиката?")</f>
        <v>Здравей, преподавателю! Какво трябва да знам за термодинамиката?</v>
      </c>
      <c r="F924" s="1" t="str">
        <f ca="1">IFERROR(__xludf.DUMMYFUNCTION("GOOGLETRANSLATE(English!F924,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924" s="1" t="str">
        <f ca="1">IFERROR(__xludf.DUMMYFUNCTION("GOOGLETRANSLATE(English!G924, ""en"", ""bg"")"),"разговор")</f>
        <v>разговор</v>
      </c>
      <c r="H924" s="1" t="str">
        <f ca="1">IFERROR(__xludf.DUMMYFUNCTION("GOOGLETRANSLATE(English!H924, ""en"", ""bg"")"),"образователна_помощ")</f>
        <v>образователна_помощ</v>
      </c>
    </row>
    <row r="925" spans="1:8" ht="13.2" x14ac:dyDescent="0.25">
      <c r="A925" s="1" t="str">
        <f ca="1">IFERROR(__xludf.DUMMYFUNCTION("GOOGLETRANSLATE(English!A925, ""en"", ""bg"")"),"qa_11185")</f>
        <v>qa_11185</v>
      </c>
      <c r="B925" s="1" t="str">
        <f ca="1">IFERROR(__xludf.DUMMYFUNCTION("GOOGLETRANSLATE(English!B925, ""en"", ""bg"")"),"физика")</f>
        <v>физика</v>
      </c>
      <c r="C925" s="1" t="str">
        <f ca="1">IFERROR(__xludf.DUMMYFUNCTION("GOOGLETRANSLATE(English!C925, ""en"", ""bg"")"),"елементарен")</f>
        <v>елементарен</v>
      </c>
      <c r="D925" s="1" t="str">
        <f ca="1">IFERROR(__xludf.DUMMYFUNCTION("GOOGLETRANSLATE(English!D925, ""en"", ""bg"")"),"бутане и дърпане")</f>
        <v>бутане и дърпане</v>
      </c>
      <c r="E925" s="1" t="str">
        <f ca="1">IFERROR(__xludf.DUMMYFUNCTION("GOOGLETRANSLATE(English!E925, ""en"", ""bg"")"),"Как работят бутането и дърпането във физиката?")</f>
        <v>Как работят бутането и дърпането във физиката?</v>
      </c>
      <c r="F925" s="1" t="str">
        <f ca="1">IFERROR(__xludf.DUMMYFUNCTION("GOOGLETRANSLATE(English!F925,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925" s="1" t="str">
        <f ca="1">IFERROR(__xludf.DUMMYFUNCTION("GOOGLETRANSLATE(English!G925, ""en"", ""bg"")"),"direct_qa")</f>
        <v>direct_qa</v>
      </c>
      <c r="H925" s="1" t="str">
        <f ca="1">IFERROR(__xludf.DUMMYFUNCTION("GOOGLETRANSLATE(English!H925, ""en"", ""bg"")"),"заявка_за_знание")</f>
        <v>заявка_за_знание</v>
      </c>
    </row>
    <row r="926" spans="1:8" ht="13.2" x14ac:dyDescent="0.25">
      <c r="A926" s="1" t="str">
        <f ca="1">IFERROR(__xludf.DUMMYFUNCTION("GOOGLETRANSLATE(English!A926, ""en"", ""bg"")"),"qa_10444")</f>
        <v>qa_10444</v>
      </c>
      <c r="B926" s="1" t="str">
        <f ca="1">IFERROR(__xludf.DUMMYFUNCTION("GOOGLETRANSLATE(English!B926, ""en"", ""bg"")"),"биология")</f>
        <v>биология</v>
      </c>
      <c r="C926" s="1" t="str">
        <f ca="1">IFERROR(__xludf.DUMMYFUNCTION("GOOGLETRANSLATE(English!C926, ""en"", ""bg"")"),"средата")</f>
        <v>средата</v>
      </c>
      <c r="D926" s="1" t="str">
        <f ca="1">IFERROR(__xludf.DUMMYFUNCTION("GOOGLETRANSLATE(English!D926, ""en"", ""bg"")"),"клетки")</f>
        <v>клетки</v>
      </c>
      <c r="E926" s="1" t="str">
        <f ca="1">IFERROR(__xludf.DUMMYFUNCTION("GOOGLETRANSLATE(English!E926, ""en"", ""bg"")"),"По какво се различават растителните и животинските клетки?")</f>
        <v>По какво се различават растителните и животинските клетки?</v>
      </c>
      <c r="F926" s="1" t="str">
        <f ca="1">IFERROR(__xludf.DUMMYFUNCTION("GOOGLETRANSLATE(English!F926, ""en"", ""bg"")"),"Растителните клетки имат клетъчна стена и хлоропласти, които животинските клетки нямат. Животинските клетки са по-гъвкави.")</f>
        <v>Растителните клетки имат клетъчна стена и хлоропласти, които животинските клетки нямат. Животинските клетки са по-гъвкави.</v>
      </c>
      <c r="G926" s="1" t="str">
        <f ca="1">IFERROR(__xludf.DUMMYFUNCTION("GOOGLETRANSLATE(English!G926, ""en"", ""bg"")"),"direct_qa")</f>
        <v>direct_qa</v>
      </c>
      <c r="H926" s="1" t="str">
        <f ca="1">IFERROR(__xludf.DUMMYFUNCTION("GOOGLETRANSLATE(English!H926, ""en"", ""bg"")"),"заявка_за_знание")</f>
        <v>заявка_за_знание</v>
      </c>
    </row>
    <row r="927" spans="1:8" ht="13.2" x14ac:dyDescent="0.25">
      <c r="A927" s="1" t="str">
        <f ca="1">IFERROR(__xludf.DUMMYFUNCTION("GOOGLETRANSLATE(English!A927, ""en"", ""bg"")"),"hw_00940")</f>
        <v>hw_00940</v>
      </c>
      <c r="B927" s="1" t="str">
        <f ca="1">IFERROR(__xludf.DUMMYFUNCTION("GOOGLETRANSLATE(English!B927, ""en"", ""bg"")"),"химия")</f>
        <v>химия</v>
      </c>
      <c r="C927" s="1" t="str">
        <f ca="1">IFERROR(__xludf.DUMMYFUNCTION("GOOGLETRANSLATE(English!C927, ""en"", ""bg"")"),"високо")</f>
        <v>високо</v>
      </c>
      <c r="D927" s="1" t="str">
        <f ca="1">IFERROR(__xludf.DUMMYFUNCTION("GOOGLETRANSLATE(English!D927, ""en"", ""bg"")"),"стехиометрия")</f>
        <v>стехиометрия</v>
      </c>
      <c r="E927" s="1" t="str">
        <f ca="1">IFERROR(__xludf.DUMMYFUNCTION("GOOGLETRANSLATE(English!E927,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927" s="1" t="str">
        <f ca="1">IFERROR(__xludf.DUMMYFUNCTION("GOOGLETRANSLATE(English!F927,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927" s="1" t="str">
        <f ca="1">IFERROR(__xludf.DUMMYFUNCTION("GOOGLETRANSLATE(English!G927, ""en"", ""bg"")"),"помощ_за_домашно_изпълнение")</f>
        <v>помощ_за_домашно_изпълнение</v>
      </c>
      <c r="H927" s="1" t="str">
        <f ca="1">IFERROR(__xludf.DUMMYFUNCTION("GOOGLETRANSLATE(English!H927, ""en"", ""bg"")"),"помощ_за_домашно_задаване")</f>
        <v>помощ_за_домашно_задаване</v>
      </c>
    </row>
    <row r="928" spans="1:8" ht="13.2" x14ac:dyDescent="0.25">
      <c r="A928" s="1" t="str">
        <f ca="1">IFERROR(__xludf.DUMMYFUNCTION("GOOGLETRANSLATE(English!A928, ""en"", ""bg"")"),"qa_12129")</f>
        <v>qa_12129</v>
      </c>
      <c r="B928" s="1" t="str">
        <f ca="1">IFERROR(__xludf.DUMMYFUNCTION("GOOGLETRANSLATE(English!B928, ""en"", ""bg"")"),"биология")</f>
        <v>биология</v>
      </c>
      <c r="C928" s="1" t="str">
        <f ca="1">IFERROR(__xludf.DUMMYFUNCTION("GOOGLETRANSLATE(English!C928, ""en"", ""bg"")"),"високо")</f>
        <v>високо</v>
      </c>
      <c r="D928" s="1" t="str">
        <f ca="1">IFERROR(__xludf.DUMMYFUNCTION("GOOGLETRANSLATE(English!D928, ""en"", ""bg"")"),"синтез на протеини")</f>
        <v>синтез на протеини</v>
      </c>
      <c r="E928" s="1" t="str">
        <f ca="1">IFERROR(__xludf.DUMMYFUNCTION("GOOGLETRANSLATE(English!E928, ""en"", ""bg"")"),"Какво е важно да знаем за синтеза на протеини?")</f>
        <v>Какво е важно да знаем за синтеза на протеини?</v>
      </c>
      <c r="F928" s="1" t="str">
        <f ca="1">IFERROR(__xludf.DUMMYFUNCTION("GOOGLETRANSLATE(English!F928,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928" s="1" t="str">
        <f ca="1">IFERROR(__xludf.DUMMYFUNCTION("GOOGLETRANSLATE(English!G928, ""en"", ""bg"")"),"direct_qa")</f>
        <v>direct_qa</v>
      </c>
      <c r="H928" s="1" t="str">
        <f ca="1">IFERROR(__xludf.DUMMYFUNCTION("GOOGLETRANSLATE(English!H928, ""en"", ""bg"")"),"заявка_за_знание")</f>
        <v>заявка_за_знание</v>
      </c>
    </row>
    <row r="929" spans="1:8" ht="13.2" x14ac:dyDescent="0.25">
      <c r="A929" s="1" t="str">
        <f ca="1">IFERROR(__xludf.DUMMYFUNCTION("GOOGLETRANSLATE(English!A929, ""en"", ""bg"")"),"hw_05153")</f>
        <v>hw_05153</v>
      </c>
      <c r="B929" s="1" t="str">
        <f ca="1">IFERROR(__xludf.DUMMYFUNCTION("GOOGLETRANSLATE(English!B929, ""en"", ""bg"")"),"физика")</f>
        <v>физика</v>
      </c>
      <c r="C929" s="1" t="str">
        <f ca="1">IFERROR(__xludf.DUMMYFUNCTION("GOOGLETRANSLATE(English!C929, ""en"", ""bg"")"),"елементарен")</f>
        <v>елементарен</v>
      </c>
      <c r="D929" s="1" t="str">
        <f ca="1">IFERROR(__xludf.DUMMYFUNCTION("GOOGLETRANSLATE(English!D929, ""en"", ""bg"")"),"прости машини")</f>
        <v>прости машини</v>
      </c>
      <c r="E929" s="1" t="str">
        <f ca="1">IFERROR(__xludf.DUMMYFUNCTION("GOOGLETRANSLATE(English!E929, ""en"", ""bg"")"),"Можете ли да решите този прост проблем с машините заедно с мен?")</f>
        <v>Можете ли да решите този прост проблем с машините заедно с мен?</v>
      </c>
      <c r="F929" s="1" t="str">
        <f ca="1">IFERROR(__xludf.DUMMYFUNCTION("GOOGLETRANSLATE(English!F929,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929" s="1" t="str">
        <f ca="1">IFERROR(__xludf.DUMMYFUNCTION("GOOGLETRANSLATE(English!G929, ""en"", ""bg"")"),"помощ_за_домашно_изпълнение")</f>
        <v>помощ_за_домашно_изпълнение</v>
      </c>
      <c r="H929" s="1" t="str">
        <f ca="1">IFERROR(__xludf.DUMMYFUNCTION("GOOGLETRANSLATE(English!H929, ""en"", ""bg"")"),"помощ_за_домашно_задаване")</f>
        <v>помощ_за_домашно_задаване</v>
      </c>
    </row>
    <row r="930" spans="1:8" ht="13.2" x14ac:dyDescent="0.25">
      <c r="A930" s="1" t="str">
        <f ca="1">IFERROR(__xludf.DUMMYFUNCTION("GOOGLETRANSLATE(English!A930, ""en"", ""bg"")"),"conv_18177")</f>
        <v>conv_18177</v>
      </c>
      <c r="B930" s="1" t="str">
        <f ca="1">IFERROR(__xludf.DUMMYFUNCTION("GOOGLETRANSLATE(English!B930, ""en"", ""bg"")"),"химия")</f>
        <v>химия</v>
      </c>
      <c r="C930" s="1" t="str">
        <f ca="1">IFERROR(__xludf.DUMMYFUNCTION("GOOGLETRANSLATE(English!C930, ""en"", ""bg"")"),"високо")</f>
        <v>високо</v>
      </c>
      <c r="D930" s="1" t="str">
        <f ca="1">IFERROR(__xludf.DUMMYFUNCTION("GOOGLETRANSLATE(English!D930, ""en"", ""bg"")"),"равновесие")</f>
        <v>равновесие</v>
      </c>
      <c r="E930" s="1" t="str">
        <f ca="1">IFERROR(__xludf.DUMMYFUNCTION("GOOGLETRANSLATE(English!E930, ""en"", ""bg"")"),"Имам научен въпрос. Можете ли да ми помогнете да разбера равновесието?")</f>
        <v>Имам научен въпрос. Можете ли да ми помогнете да разбера равновесието?</v>
      </c>
      <c r="F930" s="1" t="str">
        <f ca="1">IFERROR(__xludf.DUMMYFUNCTION("GOOGLETRANSLATE(English!F930,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930" s="1" t="str">
        <f ca="1">IFERROR(__xludf.DUMMYFUNCTION("GOOGLETRANSLATE(English!G930, ""en"", ""bg"")"),"разговор")</f>
        <v>разговор</v>
      </c>
      <c r="H930" s="1" t="str">
        <f ca="1">IFERROR(__xludf.DUMMYFUNCTION("GOOGLETRANSLATE(English!H930, ""en"", ""bg"")"),"образователна_помощ")</f>
        <v>образователна_помощ</v>
      </c>
    </row>
    <row r="931" spans="1:8" ht="13.2" x14ac:dyDescent="0.25">
      <c r="A931" s="1" t="str">
        <f ca="1">IFERROR(__xludf.DUMMYFUNCTION("GOOGLETRANSLATE(English!A931, ""en"", ""bg"")"),"conv_13841")</f>
        <v>conv_13841</v>
      </c>
      <c r="B931" s="1" t="str">
        <f ca="1">IFERROR(__xludf.DUMMYFUNCTION("GOOGLETRANSLATE(English!B931, ""en"", ""bg"")"),"химия")</f>
        <v>химия</v>
      </c>
      <c r="C931" s="1" t="str">
        <f ca="1">IFERROR(__xludf.DUMMYFUNCTION("GOOGLETRANSLATE(English!C931, ""en"", ""bg"")"),"високо")</f>
        <v>високо</v>
      </c>
      <c r="D931" s="1" t="str">
        <f ca="1">IFERROR(__xludf.DUMMYFUNCTION("GOOGLETRANSLATE(English!D931, ""en"", ""bg"")"),"стехиометрия")</f>
        <v>стехиометрия</v>
      </c>
      <c r="E931" s="1" t="str">
        <f ca="1">IFERROR(__xludf.DUMMYFUNCTION("GOOGLETRANSLATE(English!E931, ""en"", ""bg"")"),"Можете ли да ми помогнете? Защо е важно да се учи стехиометрията?")</f>
        <v>Можете ли да ми помогнете? Защо е важно да се учи стехиометрията?</v>
      </c>
      <c r="F931" s="1" t="str">
        <f ca="1">IFERROR(__xludf.DUMMYFUNCTION("GOOGLETRANSLATE(English!F931,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931" s="1" t="str">
        <f ca="1">IFERROR(__xludf.DUMMYFUNCTION("GOOGLETRANSLATE(English!G931, ""en"", ""bg"")"),"разговор")</f>
        <v>разговор</v>
      </c>
      <c r="H931" s="1" t="str">
        <f ca="1">IFERROR(__xludf.DUMMYFUNCTION("GOOGLETRANSLATE(English!H931, ""en"", ""bg"")"),"образователна_помощ")</f>
        <v>образователна_помощ</v>
      </c>
    </row>
    <row r="932" spans="1:8" ht="13.2" x14ac:dyDescent="0.25">
      <c r="A932" s="1" t="str">
        <f ca="1">IFERROR(__xludf.DUMMYFUNCTION("GOOGLETRANSLATE(English!A932, ""en"", ""bg"")"),"conv_14775")</f>
        <v>conv_14775</v>
      </c>
      <c r="B932" s="1" t="str">
        <f ca="1">IFERROR(__xludf.DUMMYFUNCTION("GOOGLETRANSLATE(English!B932, ""en"", ""bg"")"),"биология")</f>
        <v>биология</v>
      </c>
      <c r="C932" s="1" t="str">
        <f ca="1">IFERROR(__xludf.DUMMYFUNCTION("GOOGLETRANSLATE(English!C932, ""en"", ""bg"")"),"високо")</f>
        <v>високо</v>
      </c>
      <c r="D932" s="1" t="str">
        <f ca="1">IFERROR(__xludf.DUMMYFUNCTION("GOOGLETRANSLATE(English!D932, ""en"", ""bg"")"),"синтез на протеини")</f>
        <v>синтез на протеини</v>
      </c>
      <c r="E932" s="1" t="str">
        <f ca="1">IFERROR(__xludf.DUMMYFUNCTION("GOOGLETRANSLATE(English!E932, ""en"", ""bg"")"),"Можете ли да ми помогнете? Как работи синтезът на протеини?")</f>
        <v>Можете ли да ми помогнете? Как работи синтезът на протеини?</v>
      </c>
      <c r="F932" s="1" t="str">
        <f ca="1">IFERROR(__xludf.DUMMYFUNCTION("GOOGLETRANSLATE(English!F932,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932" s="1" t="str">
        <f ca="1">IFERROR(__xludf.DUMMYFUNCTION("GOOGLETRANSLATE(English!G932, ""en"", ""bg"")"),"разговор")</f>
        <v>разговор</v>
      </c>
      <c r="H932" s="1" t="str">
        <f ca="1">IFERROR(__xludf.DUMMYFUNCTION("GOOGLETRANSLATE(English!H932, ""en"", ""bg"")"),"образователна_помощ")</f>
        <v>образователна_помощ</v>
      </c>
    </row>
    <row r="933" spans="1:8" ht="13.2" x14ac:dyDescent="0.25">
      <c r="A933" s="1" t="str">
        <f ca="1">IFERROR(__xludf.DUMMYFUNCTION("GOOGLETRANSLATE(English!A933, ""en"", ""bg"")"),"hw_02157")</f>
        <v>hw_02157</v>
      </c>
      <c r="B933" s="1" t="str">
        <f ca="1">IFERROR(__xludf.DUMMYFUNCTION("GOOGLETRANSLATE(English!B933, ""en"", ""bg"")"),"химия")</f>
        <v>химия</v>
      </c>
      <c r="C933" s="1" t="str">
        <f ca="1">IFERROR(__xludf.DUMMYFUNCTION("GOOGLETRANSLATE(English!C933, ""en"", ""bg"")"),"средата")</f>
        <v>средата</v>
      </c>
      <c r="D933" s="1" t="str">
        <f ca="1">IFERROR(__xludf.DUMMYFUNCTION("GOOGLETRANSLATE(English!D933, ""en"", ""bg"")"),"химични промени")</f>
        <v>химични промени</v>
      </c>
      <c r="E933" s="1" t="str">
        <f ca="1">IFERROR(__xludf.DUMMYFUNCTION("GOOGLETRANSLATE(English!E933,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933" s="1" t="str">
        <f ca="1">IFERROR(__xludf.DUMMYFUNCTION("GOOGLETRANSLATE(English!F933,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933" s="1" t="str">
        <f ca="1">IFERROR(__xludf.DUMMYFUNCTION("GOOGLETRANSLATE(English!G933, ""en"", ""bg"")"),"помощ_за_домашно_изпълнение")</f>
        <v>помощ_за_домашно_изпълнение</v>
      </c>
      <c r="H933" s="1" t="str">
        <f ca="1">IFERROR(__xludf.DUMMYFUNCTION("GOOGLETRANSLATE(English!H933, ""en"", ""bg"")"),"помощ_за_домашно_задаване")</f>
        <v>помощ_за_домашно_задаване</v>
      </c>
    </row>
    <row r="934" spans="1:8" ht="13.2" x14ac:dyDescent="0.25">
      <c r="A934" s="1" t="str">
        <f ca="1">IFERROR(__xludf.DUMMYFUNCTION("GOOGLETRANSLATE(English!A934, ""en"", ""bg"")"),"conv_11005")</f>
        <v>conv_11005</v>
      </c>
      <c r="B934" s="1" t="str">
        <f ca="1">IFERROR(__xludf.DUMMYFUNCTION("GOOGLETRANSLATE(English!B934, ""en"", ""bg"")"),"биология")</f>
        <v>биология</v>
      </c>
      <c r="C934" s="1" t="str">
        <f ca="1">IFERROR(__xludf.DUMMYFUNCTION("GOOGLETRANSLATE(English!C934, ""en"", ""bg"")"),"средата")</f>
        <v>средата</v>
      </c>
      <c r="D934" s="1" t="str">
        <f ca="1">IFERROR(__xludf.DUMMYFUNCTION("GOOGLETRANSLATE(English!D934, ""en"", ""bg"")"),"класификация")</f>
        <v>класификация</v>
      </c>
      <c r="E934" s="1" t="str">
        <f ca="1">IFERROR(__xludf.DUMMYFUNCTION("GOOGLETRANSLATE(English!E934, ""en"", ""bg"")"),"Здравей, преподавателю! Можеш ли да ми кажеш нещо за класификацията?")</f>
        <v>Здравей, преподавателю! Можеш ли да ми кажеш нещо за класификацията?</v>
      </c>
      <c r="F934" s="1" t="str">
        <f ca="1">IFERROR(__xludf.DUMMYFUNCTION("GOOGLETRANSLATE(English!F934,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934" s="1" t="str">
        <f ca="1">IFERROR(__xludf.DUMMYFUNCTION("GOOGLETRANSLATE(English!G934, ""en"", ""bg"")"),"разговор")</f>
        <v>разговор</v>
      </c>
      <c r="H934" s="1" t="str">
        <f ca="1">IFERROR(__xludf.DUMMYFUNCTION("GOOGLETRANSLATE(English!H934, ""en"", ""bg"")"),"образователна_помощ")</f>
        <v>образователна_помощ</v>
      </c>
    </row>
    <row r="935" spans="1:8" ht="13.2" x14ac:dyDescent="0.25">
      <c r="A935" s="1" t="str">
        <f ca="1">IFERROR(__xludf.DUMMYFUNCTION("GOOGLETRANSLATE(English!A935, ""en"", ""bg"")"),"qa_14516")</f>
        <v>qa_14516</v>
      </c>
      <c r="B935" s="1" t="str">
        <f ca="1">IFERROR(__xludf.DUMMYFUNCTION("GOOGLETRANSLATE(English!B935, ""en"", ""bg"")"),"физика")</f>
        <v>физика</v>
      </c>
      <c r="C935" s="1" t="str">
        <f ca="1">IFERROR(__xludf.DUMMYFUNCTION("GOOGLETRANSLATE(English!C935, ""en"", ""bg"")"),"високо")</f>
        <v>високо</v>
      </c>
      <c r="D935" s="1" t="str">
        <f ca="1">IFERROR(__xludf.DUMMYFUNCTION("GOOGLETRANSLATE(English!D935, ""en"", ""bg"")"),"оптика")</f>
        <v>оптика</v>
      </c>
      <c r="E935" s="1" t="str">
        <f ca="1">IFERROR(__xludf.DUMMYFUNCTION("GOOGLETRANSLATE(English!E935, ""en"", ""bg"")"),"Как работи оптиката във физиката?")</f>
        <v>Как работи оптиката във физиката?</v>
      </c>
      <c r="F935" s="1" t="str">
        <f ca="1">IFERROR(__xludf.DUMMYFUNCTION("GOOGLETRANSLATE(English!F935,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935" s="1" t="str">
        <f ca="1">IFERROR(__xludf.DUMMYFUNCTION("GOOGLETRANSLATE(English!G935, ""en"", ""bg"")"),"direct_qa")</f>
        <v>direct_qa</v>
      </c>
      <c r="H935" s="1" t="str">
        <f ca="1">IFERROR(__xludf.DUMMYFUNCTION("GOOGLETRANSLATE(English!H935, ""en"", ""bg"")"),"заявка_за_знание")</f>
        <v>заявка_за_знание</v>
      </c>
    </row>
    <row r="936" spans="1:8" ht="13.2" x14ac:dyDescent="0.25">
      <c r="A936" s="1" t="str">
        <f ca="1">IFERROR(__xludf.DUMMYFUNCTION("GOOGLETRANSLATE(English!A936, ""en"", ""bg"")"),"qa_12178")</f>
        <v>qa_12178</v>
      </c>
      <c r="B936" s="1" t="str">
        <f ca="1">IFERROR(__xludf.DUMMYFUNCTION("GOOGLETRANSLATE(English!B936, ""en"", ""bg"")"),"биология")</f>
        <v>биология</v>
      </c>
      <c r="C936" s="1" t="str">
        <f ca="1">IFERROR(__xludf.DUMMYFUNCTION("GOOGLETRANSLATE(English!C936, ""en"", ""bg"")"),"високо")</f>
        <v>високо</v>
      </c>
      <c r="D936" s="1" t="str">
        <f ca="1">IFERROR(__xludf.DUMMYFUNCTION("GOOGLETRANSLATE(English!D936, ""en"", ""bg"")"),"клетъчно дишане")</f>
        <v>клетъчно дишане</v>
      </c>
      <c r="E936" s="1" t="str">
        <f ca="1">IFERROR(__xludf.DUMMYFUNCTION("GOOGLETRANSLATE(English!E936, ""en"", ""bg"")"),"Можете ли да ми разкажете за клетъчното дишане?")</f>
        <v>Можете ли да ми разкажете за клетъчното дишане?</v>
      </c>
      <c r="F936" s="1" t="str">
        <f ca="1">IFERROR(__xludf.DUMMYFUNCTION("GOOGLETRANSLATE(English!F936,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936" s="1" t="str">
        <f ca="1">IFERROR(__xludf.DUMMYFUNCTION("GOOGLETRANSLATE(English!G936, ""en"", ""bg"")"),"direct_qa")</f>
        <v>direct_qa</v>
      </c>
      <c r="H936" s="1" t="str">
        <f ca="1">IFERROR(__xludf.DUMMYFUNCTION("GOOGLETRANSLATE(English!H936, ""en"", ""bg"")"),"заявка_за_знание")</f>
        <v>заявка_за_знание</v>
      </c>
    </row>
    <row r="937" spans="1:8" ht="13.2" x14ac:dyDescent="0.25">
      <c r="A937" s="1" t="str">
        <f ca="1">IFERROR(__xludf.DUMMYFUNCTION("GOOGLETRANSLATE(English!A937, ""en"", ""bg"")"),"hw_14662")</f>
        <v>hw_14662</v>
      </c>
      <c r="B937" s="1" t="str">
        <f ca="1">IFERROR(__xludf.DUMMYFUNCTION("GOOGLETRANSLATE(English!B937, ""en"", ""bg"")"),"биология")</f>
        <v>биология</v>
      </c>
      <c r="C937" s="1" t="str">
        <f ca="1">IFERROR(__xludf.DUMMYFUNCTION("GOOGLETRANSLATE(English!C937, ""en"", ""bg"")"),"средата")</f>
        <v>средата</v>
      </c>
      <c r="D937" s="1" t="str">
        <f ca="1">IFERROR(__xludf.DUMMYFUNCTION("GOOGLETRANSLATE(English!D937, ""en"", ""bg"")"),"основи на еволюцията")</f>
        <v>основи на еволюцията</v>
      </c>
      <c r="E937" s="1" t="str">
        <f ca="1">IFERROR(__xludf.DUMMYFUNCTION("GOOGLETRANSLATE(English!E937, ""en"", ""bg"")"),"Домашното ми пита за основите на еволюцията. Не го разбирам.")</f>
        <v>Домашното ми пита за основите на еволюцията. Не го разбирам.</v>
      </c>
      <c r="F937" s="1" t="str">
        <f ca="1">IFERROR(__xludf.DUMMYFUNCTION("GOOGLETRANSLATE(English!F937,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937" s="1" t="str">
        <f ca="1">IFERROR(__xludf.DUMMYFUNCTION("GOOGLETRANSLATE(English!G937, ""en"", ""bg"")"),"помощ_за_домашно_изпълнение")</f>
        <v>помощ_за_домашно_изпълнение</v>
      </c>
      <c r="H937" s="1" t="str">
        <f ca="1">IFERROR(__xludf.DUMMYFUNCTION("GOOGLETRANSLATE(English!H937, ""en"", ""bg"")"),"помощ_за_домашно_задаване")</f>
        <v>помощ_за_домашно_задаване</v>
      </c>
    </row>
    <row r="938" spans="1:8" ht="13.2" x14ac:dyDescent="0.25">
      <c r="A938" s="1" t="str">
        <f ca="1">IFERROR(__xludf.DUMMYFUNCTION("GOOGLETRANSLATE(English!A938, ""en"", ""bg"")"),"conv_14390")</f>
        <v>conv_14390</v>
      </c>
      <c r="B938" s="1" t="str">
        <f ca="1">IFERROR(__xludf.DUMMYFUNCTION("GOOGLETRANSLATE(English!B938, ""en"", ""bg"")"),"биология")</f>
        <v>биология</v>
      </c>
      <c r="C938" s="1" t="str">
        <f ca="1">IFERROR(__xludf.DUMMYFUNCTION("GOOGLETRANSLATE(English!C938, ""en"", ""bg"")"),"високо")</f>
        <v>високо</v>
      </c>
      <c r="D938" s="1" t="str">
        <f ca="1">IFERROR(__xludf.DUMMYFUNCTION("GOOGLETRANSLATE(English!D938, ""en"", ""bg"")"),"Структура на ДНК")</f>
        <v>Структура на ДНК</v>
      </c>
      <c r="E938" s="1" t="str">
        <f ca="1">IFERROR(__xludf.DUMMYFUNCTION("GOOGLETRANSLATE(English!E938, ""en"", ""bg"")"),"Имам научен въпрос. Какво е важно да знаем за структурата на ДНК?")</f>
        <v>Имам научен въпрос. Какво е важно да знаем за структурата на ДНК?</v>
      </c>
      <c r="F938" s="1" t="str">
        <f ca="1">IFERROR(__xludf.DUMMYFUNCTION("GOOGLETRANSLATE(English!F938,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938" s="1" t="str">
        <f ca="1">IFERROR(__xludf.DUMMYFUNCTION("GOOGLETRANSLATE(English!G938, ""en"", ""bg"")"),"разговор")</f>
        <v>разговор</v>
      </c>
      <c r="H938" s="1" t="str">
        <f ca="1">IFERROR(__xludf.DUMMYFUNCTION("GOOGLETRANSLATE(English!H938, ""en"", ""bg"")"),"образователна_помощ")</f>
        <v>образователна_помощ</v>
      </c>
    </row>
    <row r="939" spans="1:8" ht="13.2" x14ac:dyDescent="0.25">
      <c r="A939" s="1" t="str">
        <f ca="1">IFERROR(__xludf.DUMMYFUNCTION("GOOGLETRANSLATE(English!A939, ""en"", ""bg"")"),"conv_04380")</f>
        <v>conv_04380</v>
      </c>
      <c r="B939" s="1" t="str">
        <f ca="1">IFERROR(__xludf.DUMMYFUNCTION("GOOGLETRANSLATE(English!B939, ""en"", ""bg"")"),"физика")</f>
        <v>физика</v>
      </c>
      <c r="C939" s="1" t="str">
        <f ca="1">IFERROR(__xludf.DUMMYFUNCTION("GOOGLETRANSLATE(English!C939, ""en"", ""bg"")"),"средата")</f>
        <v>средата</v>
      </c>
      <c r="D939" s="1" t="str">
        <f ca="1">IFERROR(__xludf.DUMMYFUNCTION("GOOGLETRANSLATE(English!D939, ""en"", ""bg"")"),"основи на електричеството")</f>
        <v>основи на електричеството</v>
      </c>
      <c r="E939" s="1" t="str">
        <f ca="1">IFERROR(__xludf.DUMMYFUNCTION("GOOGLETRANSLATE(English!E939, ""en"", ""bg"")"),"Здравей, преподавателю! Защо основите на електричеството са важни?")</f>
        <v>Здравей, преподавателю! Защо основите на електричеството са важни?</v>
      </c>
      <c r="F939" s="1" t="str">
        <f ca="1">IFERROR(__xludf.DUMMYFUNCTION("GOOGLETRANSLATE(English!F939,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939" s="1" t="str">
        <f ca="1">IFERROR(__xludf.DUMMYFUNCTION("GOOGLETRANSLATE(English!G939, ""en"", ""bg"")"),"разговор")</f>
        <v>разговор</v>
      </c>
      <c r="H939" s="1" t="str">
        <f ca="1">IFERROR(__xludf.DUMMYFUNCTION("GOOGLETRANSLATE(English!H939, ""en"", ""bg"")"),"образователна_помощ")</f>
        <v>образователна_помощ</v>
      </c>
    </row>
    <row r="940" spans="1:8" ht="13.2" x14ac:dyDescent="0.25">
      <c r="A940" s="1" t="str">
        <f ca="1">IFERROR(__xludf.DUMMYFUNCTION("GOOGLETRANSLATE(English!A940, ""en"", ""bg"")"),"conv_13640")</f>
        <v>conv_13640</v>
      </c>
      <c r="B940" s="1" t="str">
        <f ca="1">IFERROR(__xludf.DUMMYFUNCTION("GOOGLETRANSLATE(English!B940, ""en"", ""bg"")"),"биология")</f>
        <v>биология</v>
      </c>
      <c r="C940" s="1" t="str">
        <f ca="1">IFERROR(__xludf.DUMMYFUNCTION("GOOGLETRANSLATE(English!C940, ""en"", ""bg"")"),"елементарен")</f>
        <v>елементарен</v>
      </c>
      <c r="D940" s="1" t="str">
        <f ca="1">IFERROR(__xludf.DUMMYFUNCTION("GOOGLETRANSLATE(English!D940, ""en"", ""bg"")"),"човешкото тяло")</f>
        <v>човешкото тяло</v>
      </c>
      <c r="E940" s="1" t="str">
        <f ca="1">IFERROR(__xludf.DUMMYFUNCTION("GOOGLETRANSLATE(English!E940, ""en"", ""bg"")"),"Имам научен въпрос. Можете ли да ми разкажете за човешкото тяло?")</f>
        <v>Имам научен въпрос. Можете ли да ми разкажете за човешкото тяло?</v>
      </c>
      <c r="F940" s="1" t="str">
        <f ca="1">IFERROR(__xludf.DUMMYFUNCTION("GOOGLETRANSLATE(English!F940,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940" s="1" t="str">
        <f ca="1">IFERROR(__xludf.DUMMYFUNCTION("GOOGLETRANSLATE(English!G940, ""en"", ""bg"")"),"разговор")</f>
        <v>разговор</v>
      </c>
      <c r="H940" s="1" t="str">
        <f ca="1">IFERROR(__xludf.DUMMYFUNCTION("GOOGLETRANSLATE(English!H940, ""en"", ""bg"")"),"образователна_помощ")</f>
        <v>образователна_помощ</v>
      </c>
    </row>
    <row r="941" spans="1:8" ht="13.2" x14ac:dyDescent="0.25">
      <c r="A941" s="1" t="str">
        <f ca="1">IFERROR(__xludf.DUMMYFUNCTION("GOOGLETRANSLATE(English!A941, ""en"", ""bg"")"),"conv_19023")</f>
        <v>conv_19023</v>
      </c>
      <c r="B941" s="1" t="str">
        <f ca="1">IFERROR(__xludf.DUMMYFUNCTION("GOOGLETRANSLATE(English!B941, ""en"", ""bg"")"),"химия")</f>
        <v>химия</v>
      </c>
      <c r="C941" s="1" t="str">
        <f ca="1">IFERROR(__xludf.DUMMYFUNCTION("GOOGLETRANSLATE(English!C941, ""en"", ""bg"")"),"средата")</f>
        <v>средата</v>
      </c>
      <c r="D941" s="1" t="str">
        <f ca="1">IFERROR(__xludf.DUMMYFUNCTION("GOOGLETRANSLATE(English!D941, ""en"", ""bg"")"),"атоми и молекули")</f>
        <v>атоми и молекули</v>
      </c>
      <c r="E941" s="1" t="str">
        <f ca="1">IFERROR(__xludf.DUMMYFUNCTION("GOOGLETRANSLATE(English!E941, ""en"", ""bg"")"),"Имам научен въпрос. От какви части се състои атомът?")</f>
        <v>Имам научен въпрос. От какви части се състои атомът?</v>
      </c>
      <c r="F941" s="1" t="str">
        <f ca="1">IFERROR(__xludf.DUMMYFUNCTION("GOOGLETRANSLATE(English!F941,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941" s="1" t="str">
        <f ca="1">IFERROR(__xludf.DUMMYFUNCTION("GOOGLETRANSLATE(English!G941, ""en"", ""bg"")"),"разговор")</f>
        <v>разговор</v>
      </c>
      <c r="H941" s="1" t="str">
        <f ca="1">IFERROR(__xludf.DUMMYFUNCTION("GOOGLETRANSLATE(English!H941, ""en"", ""bg"")"),"образователна_помощ")</f>
        <v>образователна_помощ</v>
      </c>
    </row>
    <row r="942" spans="1:8" ht="13.2" x14ac:dyDescent="0.25">
      <c r="A942" s="1" t="str">
        <f ca="1">IFERROR(__xludf.DUMMYFUNCTION("GOOGLETRANSLATE(English!A942, ""en"", ""bg"")"),"qa_01015")</f>
        <v>qa_01015</v>
      </c>
      <c r="B942" s="1" t="str">
        <f ca="1">IFERROR(__xludf.DUMMYFUNCTION("GOOGLETRANSLATE(English!B942, ""en"", ""bg"")"),"биология")</f>
        <v>биология</v>
      </c>
      <c r="C942" s="1" t="str">
        <f ca="1">IFERROR(__xludf.DUMMYFUNCTION("GOOGLETRANSLATE(English!C942, ""en"", ""bg"")"),"средата")</f>
        <v>средата</v>
      </c>
      <c r="D942" s="1" t="str">
        <f ca="1">IFERROR(__xludf.DUMMYFUNCTION("GOOGLETRANSLATE(English!D942, ""en"", ""bg"")"),"основи на еволюцията")</f>
        <v>основи на еволюцията</v>
      </c>
      <c r="E942" s="1" t="str">
        <f ca="1">IFERROR(__xludf.DUMMYFUNCTION("GOOGLETRANSLATE(English!E942, ""en"", ""bg"")"),"Какво е важно да знаем за основите на еволюцията?")</f>
        <v>Какво е важно да знаем за основите на еволюцията?</v>
      </c>
      <c r="F942" s="1" t="str">
        <f ca="1">IFERROR(__xludf.DUMMYFUNCTION("GOOGLETRANSLATE(English!F942,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942" s="1" t="str">
        <f ca="1">IFERROR(__xludf.DUMMYFUNCTION("GOOGLETRANSLATE(English!G942, ""en"", ""bg"")"),"direct_qa")</f>
        <v>direct_qa</v>
      </c>
      <c r="H942" s="1" t="str">
        <f ca="1">IFERROR(__xludf.DUMMYFUNCTION("GOOGLETRANSLATE(English!H942, ""en"", ""bg"")"),"заявка_за_знание")</f>
        <v>заявка_за_знание</v>
      </c>
    </row>
    <row r="943" spans="1:8" ht="13.2" x14ac:dyDescent="0.25">
      <c r="A943" s="1" t="str">
        <f ca="1">IFERROR(__xludf.DUMMYFUNCTION("GOOGLETRANSLATE(English!A943, ""en"", ""bg"")"),"hw_13522")</f>
        <v>hw_13522</v>
      </c>
      <c r="B943" s="1" t="str">
        <f ca="1">IFERROR(__xludf.DUMMYFUNCTION("GOOGLETRANSLATE(English!B943, ""en"", ""bg"")"),"физика")</f>
        <v>физика</v>
      </c>
      <c r="C943" s="1" t="str">
        <f ca="1">IFERROR(__xludf.DUMMYFUNCTION("GOOGLETRANSLATE(English!C943, ""en"", ""bg"")"),"средата")</f>
        <v>средата</v>
      </c>
      <c r="D943" s="1" t="str">
        <f ca="1">IFERROR(__xludf.DUMMYFUNCTION("GOOGLETRANSLATE(English!D943, ""en"", ""bg"")"),"видове енергия")</f>
        <v>видове енергия</v>
      </c>
      <c r="E943" s="1" t="str">
        <f ca="1">IFERROR(__xludf.DUMMYFUNCTION("GOOGLETRANSLATE(English!E943, ""en"", ""bg"")"),"Домашното ми по физика е за видовете енергия. Объркващо е!")</f>
        <v>Домашното ми по физика е за видовете енергия. Объркващо е!</v>
      </c>
      <c r="F943" s="1" t="str">
        <f ca="1">IFERROR(__xludf.DUMMYFUNCTION("GOOGLETRANSLATE(English!F943,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943" s="1" t="str">
        <f ca="1">IFERROR(__xludf.DUMMYFUNCTION("GOOGLETRANSLATE(English!G943, ""en"", ""bg"")"),"помощ_за_домашно_изпълнение")</f>
        <v>помощ_за_домашно_изпълнение</v>
      </c>
      <c r="H943" s="1" t="str">
        <f ca="1">IFERROR(__xludf.DUMMYFUNCTION("GOOGLETRANSLATE(English!H943, ""en"", ""bg"")"),"помощ_за_домашно_задаване")</f>
        <v>помощ_за_домашно_задаване</v>
      </c>
    </row>
    <row r="944" spans="1:8" ht="13.2" x14ac:dyDescent="0.25">
      <c r="A944" s="1" t="str">
        <f ca="1">IFERROR(__xludf.DUMMYFUNCTION("GOOGLETRANSLATE(English!A944, ""en"", ""bg"")"),"hw_03129")</f>
        <v>hw_03129</v>
      </c>
      <c r="B944" s="1" t="str">
        <f ca="1">IFERROR(__xludf.DUMMYFUNCTION("GOOGLETRANSLATE(English!B944, ""en"", ""bg"")"),"биология")</f>
        <v>биология</v>
      </c>
      <c r="C944" s="1" t="str">
        <f ca="1">IFERROR(__xludf.DUMMYFUNCTION("GOOGLETRANSLATE(English!C944, ""en"", ""bg"")"),"средата")</f>
        <v>средата</v>
      </c>
      <c r="D944" s="1" t="str">
        <f ca="1">IFERROR(__xludf.DUMMYFUNCTION("GOOGLETRANSLATE(English!D944, ""en"", ""bg"")"),"екосистеми")</f>
        <v>екосистеми</v>
      </c>
      <c r="E944" s="1" t="str">
        <f ca="1">IFERROR(__xludf.DUMMYFUNCTION("GOOGLETRANSLATE(English!E944, ""en"", ""bg"")"),"Трябва да напиша доклад за екосистемите. Можете ли да ми помогнете да започна?")</f>
        <v>Трябва да напиша доклад за екосистемите. Можете ли да ми помогнете да започна?</v>
      </c>
      <c r="F944" s="1" t="str">
        <f ca="1">IFERROR(__xludf.DUMMYFUNCTION("GOOGLETRANSLATE(English!F944,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944" s="1" t="str">
        <f ca="1">IFERROR(__xludf.DUMMYFUNCTION("GOOGLETRANSLATE(English!G944, ""en"", ""bg"")"),"помощ_за_домашно_изпълнение")</f>
        <v>помощ_за_домашно_изпълнение</v>
      </c>
      <c r="H944" s="1" t="str">
        <f ca="1">IFERROR(__xludf.DUMMYFUNCTION("GOOGLETRANSLATE(English!H944, ""en"", ""bg"")"),"помощ_за_домашно_задаване")</f>
        <v>помощ_за_домашно_задаване</v>
      </c>
    </row>
    <row r="945" spans="1:8" ht="13.2" x14ac:dyDescent="0.25">
      <c r="A945" s="1" t="str">
        <f ca="1">IFERROR(__xludf.DUMMYFUNCTION("GOOGLETRANSLATE(English!A945, ""en"", ""bg"")"),"hw_04171")</f>
        <v>hw_04171</v>
      </c>
      <c r="B945" s="1" t="str">
        <f ca="1">IFERROR(__xludf.DUMMYFUNCTION("GOOGLETRANSLATE(English!B945, ""en"", ""bg"")"),"биология")</f>
        <v>биология</v>
      </c>
      <c r="C945" s="1" t="str">
        <f ca="1">IFERROR(__xludf.DUMMYFUNCTION("GOOGLETRANSLATE(English!C945, ""en"", ""bg"")"),"елементарен")</f>
        <v>елементарен</v>
      </c>
      <c r="D945" s="1" t="str">
        <f ca="1">IFERROR(__xludf.DUMMYFUNCTION("GOOGLETRANSLATE(English!D945, ""en"", ""bg"")"),"основни нужди")</f>
        <v>основни нужди</v>
      </c>
      <c r="E945" s="1" t="str">
        <f ca="1">IFERROR(__xludf.DUMMYFUNCTION("GOOGLETRANSLATE(English!E945, ""en"", ""bg"")"),"Утре имам тест по основни потребности. Помогни ми да уча!")</f>
        <v>Утре имам тест по основни потребности. Помогни ми да уча!</v>
      </c>
      <c r="F945" s="1" t="str">
        <f ca="1">IFERROR(__xludf.DUMMYFUNCTION("GOOGLETRANSLATE(English!F945,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945" s="1" t="str">
        <f ca="1">IFERROR(__xludf.DUMMYFUNCTION("GOOGLETRANSLATE(English!G945, ""en"", ""bg"")"),"помощ_за_домашно_изпълнение")</f>
        <v>помощ_за_домашно_изпълнение</v>
      </c>
      <c r="H945" s="1" t="str">
        <f ca="1">IFERROR(__xludf.DUMMYFUNCTION("GOOGLETRANSLATE(English!H945, ""en"", ""bg"")"),"помощ_за_домашно_задаване")</f>
        <v>помощ_за_домашно_задаване</v>
      </c>
    </row>
    <row r="946" spans="1:8" ht="13.2" x14ac:dyDescent="0.25">
      <c r="A946" s="1" t="str">
        <f ca="1">IFERROR(__xludf.DUMMYFUNCTION("GOOGLETRANSLATE(English!A946, ""en"", ""bg"")"),"qa_04038")</f>
        <v>qa_04038</v>
      </c>
      <c r="B946" s="1" t="str">
        <f ca="1">IFERROR(__xludf.DUMMYFUNCTION("GOOGLETRANSLATE(English!B946, ""en"", ""bg"")"),"физика")</f>
        <v>физика</v>
      </c>
      <c r="C946" s="1" t="str">
        <f ca="1">IFERROR(__xludf.DUMMYFUNCTION("GOOGLETRANSLATE(English!C946, ""en"", ""bg"")"),"елементарен")</f>
        <v>елементарен</v>
      </c>
      <c r="D946" s="1" t="str">
        <f ca="1">IFERROR(__xludf.DUMMYFUNCTION("GOOGLETRANSLATE(English!D946, ""en"", ""bg"")"),"светлина и сянка")</f>
        <v>светлина и сянка</v>
      </c>
      <c r="E946" s="1" t="str">
        <f ca="1">IFERROR(__xludf.DUMMYFUNCTION("GOOGLETRANSLATE(English!E946, ""en"", ""bg"")"),"Какво се случва, когато светлината попадне в огледало?")</f>
        <v>Какво се случва, когато светлината попадне в огледало?</v>
      </c>
      <c r="F946" s="1" t="str">
        <f ca="1">IFERROR(__xludf.DUMMYFUNCTION("GOOGLETRANSLATE(English!F946,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946" s="1" t="str">
        <f ca="1">IFERROR(__xludf.DUMMYFUNCTION("GOOGLETRANSLATE(English!G946, ""en"", ""bg"")"),"direct_qa")</f>
        <v>direct_qa</v>
      </c>
      <c r="H946" s="1" t="str">
        <f ca="1">IFERROR(__xludf.DUMMYFUNCTION("GOOGLETRANSLATE(English!H946, ""en"", ""bg"")"),"заявка_за_знание")</f>
        <v>заявка_за_знание</v>
      </c>
    </row>
    <row r="947" spans="1:8" ht="13.2" x14ac:dyDescent="0.25">
      <c r="A947" s="1" t="str">
        <f ca="1">IFERROR(__xludf.DUMMYFUNCTION("GOOGLETRANSLATE(English!A947, ""en"", ""bg"")"),"hw_07179")</f>
        <v>hw_07179</v>
      </c>
      <c r="B947" s="1" t="str">
        <f ca="1">IFERROR(__xludf.DUMMYFUNCTION("GOOGLETRANSLATE(English!B947, ""en"", ""bg"")"),"физика")</f>
        <v>физика</v>
      </c>
      <c r="C947" s="1" t="str">
        <f ca="1">IFERROR(__xludf.DUMMYFUNCTION("GOOGLETRANSLATE(English!C947, ""en"", ""bg"")"),"високо")</f>
        <v>високо</v>
      </c>
      <c r="D947" s="1" t="str">
        <f ca="1">IFERROR(__xludf.DUMMYFUNCTION("GOOGLETRANSLATE(English!D947, ""en"", ""bg"")"),"термодинамика")</f>
        <v>термодинамика</v>
      </c>
      <c r="E947" s="1" t="str">
        <f ca="1">IFERROR(__xludf.DUMMYFUNCTION("GOOGLETRANSLATE(English!E947, ""en"", ""bg"")"),"Трябва да разбирам термодинамиката за изпита си.")</f>
        <v>Трябва да разбирам термодинамиката за изпита си.</v>
      </c>
      <c r="F947" s="1" t="str">
        <f ca="1">IFERROR(__xludf.DUMMYFUNCTION("GOOGLETRANSLATE(English!F947,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947" s="1" t="str">
        <f ca="1">IFERROR(__xludf.DUMMYFUNCTION("GOOGLETRANSLATE(English!G947, ""en"", ""bg"")"),"помощ_за_домашно_изпълнение")</f>
        <v>помощ_за_домашно_изпълнение</v>
      </c>
      <c r="H947" s="1" t="str">
        <f ca="1">IFERROR(__xludf.DUMMYFUNCTION("GOOGLETRANSLATE(English!H947, ""en"", ""bg"")"),"помощ_за_домашно_задаване")</f>
        <v>помощ_за_домашно_задаване</v>
      </c>
    </row>
    <row r="948" spans="1:8" ht="13.2" x14ac:dyDescent="0.25">
      <c r="A948" s="1" t="str">
        <f ca="1">IFERROR(__xludf.DUMMYFUNCTION("GOOGLETRANSLATE(English!A948, ""en"", ""bg"")"),"qa_10667")</f>
        <v>qa_10667</v>
      </c>
      <c r="B948" s="1" t="str">
        <f ca="1">IFERROR(__xludf.DUMMYFUNCTION("GOOGLETRANSLATE(English!B948, ""en"", ""bg"")"),"физика")</f>
        <v>физика</v>
      </c>
      <c r="C948" s="1" t="str">
        <f ca="1">IFERROR(__xludf.DUMMYFUNCTION("GOOGLETRANSLATE(English!C948, ""en"", ""bg"")"),"елементарен")</f>
        <v>елементарен</v>
      </c>
      <c r="D948" s="1" t="str">
        <f ca="1">IFERROR(__xludf.DUMMYFUNCTION("GOOGLETRANSLATE(English!D948, ""en"", ""bg"")"),"плаващ и потъващ")</f>
        <v>плаващ и потъващ</v>
      </c>
      <c r="E948" s="1" t="str">
        <f ca="1">IFERROR(__xludf.DUMMYFUNCTION("GOOGLETRANSLATE(English!E948, ""en"", ""bg"")"),"Можете ли да ми обясните какво е плаване и потъване?")</f>
        <v>Можете ли да ми обясните какво е плаване и потъване?</v>
      </c>
      <c r="F948" s="1" t="str">
        <f ca="1">IFERROR(__xludf.DUMMYFUNCTION("GOOGLETRANSLATE(English!F948,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948" s="1" t="str">
        <f ca="1">IFERROR(__xludf.DUMMYFUNCTION("GOOGLETRANSLATE(English!G948, ""en"", ""bg"")"),"direct_qa")</f>
        <v>direct_qa</v>
      </c>
      <c r="H948" s="1" t="str">
        <f ca="1">IFERROR(__xludf.DUMMYFUNCTION("GOOGLETRANSLATE(English!H948, ""en"", ""bg"")"),"заявка_за_знание")</f>
        <v>заявка_за_знание</v>
      </c>
    </row>
    <row r="949" spans="1:8" ht="13.2" x14ac:dyDescent="0.25">
      <c r="A949" s="1" t="str">
        <f ca="1">IFERROR(__xludf.DUMMYFUNCTION("GOOGLETRANSLATE(English!A949, ""en"", ""bg"")"),"qa_13767")</f>
        <v>qa_13767</v>
      </c>
      <c r="B949" s="1" t="str">
        <f ca="1">IFERROR(__xludf.DUMMYFUNCTION("GOOGLETRANSLATE(English!B949, ""en"", ""bg"")"),"физика")</f>
        <v>физика</v>
      </c>
      <c r="C949" s="1" t="str">
        <f ca="1">IFERROR(__xludf.DUMMYFUNCTION("GOOGLETRANSLATE(English!C949, ""en"", ""bg"")"),"елементарен")</f>
        <v>елементарен</v>
      </c>
      <c r="D949" s="1" t="str">
        <f ca="1">IFERROR(__xludf.DUMMYFUNCTION("GOOGLETRANSLATE(English!D949, ""en"", ""bg"")"),"бутане и дърпане")</f>
        <v>бутане и дърпане</v>
      </c>
      <c r="E949" s="1" t="str">
        <f ca="1">IFERROR(__xludf.DUMMYFUNCTION("GOOGLETRANSLATE(English!E949, ""en"", ""bg"")"),"Защо е важно бутането и дърпането?")</f>
        <v>Защо е важно бутането и дърпането?</v>
      </c>
      <c r="F949" s="1" t="str">
        <f ca="1">IFERROR(__xludf.DUMMYFUNCTION("GOOGLETRANSLATE(English!F949,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949" s="1" t="str">
        <f ca="1">IFERROR(__xludf.DUMMYFUNCTION("GOOGLETRANSLATE(English!G949, ""en"", ""bg"")"),"direct_qa")</f>
        <v>direct_qa</v>
      </c>
      <c r="H949" s="1" t="str">
        <f ca="1">IFERROR(__xludf.DUMMYFUNCTION("GOOGLETRANSLATE(English!H949, ""en"", ""bg"")"),"заявка_за_знание")</f>
        <v>заявка_за_знание</v>
      </c>
    </row>
    <row r="950" spans="1:8" ht="13.2" x14ac:dyDescent="0.25">
      <c r="A950" s="1" t="str">
        <f ca="1">IFERROR(__xludf.DUMMYFUNCTION("GOOGLETRANSLATE(English!A950, ""en"", ""bg"")"),"conv_01316")</f>
        <v>conv_01316</v>
      </c>
      <c r="B950" s="1" t="str">
        <f ca="1">IFERROR(__xludf.DUMMYFUNCTION("GOOGLETRANSLATE(English!B950, ""en"", ""bg"")"),"биология")</f>
        <v>биология</v>
      </c>
      <c r="C950" s="1" t="str">
        <f ca="1">IFERROR(__xludf.DUMMYFUNCTION("GOOGLETRANSLATE(English!C950, ""en"", ""bg"")"),"средата")</f>
        <v>средата</v>
      </c>
      <c r="D950" s="1" t="str">
        <f ca="1">IFERROR(__xludf.DUMMYFUNCTION("GOOGLETRANSLATE(English!D950, ""en"", ""bg"")"),"класификация")</f>
        <v>класификация</v>
      </c>
      <c r="E950" s="1" t="str">
        <f ca="1">IFERROR(__xludf.DUMMYFUNCTION("GOOGLETRANSLATE(English!E950, ""en"", ""bg"")"),"Имам научен въпрос. Защо класификацията е важна в биологията?")</f>
        <v>Имам научен въпрос. Защо класификацията е важна в биологията?</v>
      </c>
      <c r="F950" s="1" t="str">
        <f ca="1">IFERROR(__xludf.DUMMYFUNCTION("GOOGLETRANSLATE(English!F950,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950" s="1" t="str">
        <f ca="1">IFERROR(__xludf.DUMMYFUNCTION("GOOGLETRANSLATE(English!G950, ""en"", ""bg"")"),"разговор")</f>
        <v>разговор</v>
      </c>
      <c r="H950" s="1" t="str">
        <f ca="1">IFERROR(__xludf.DUMMYFUNCTION("GOOGLETRANSLATE(English!H950, ""en"", ""bg"")"),"образователна_помощ")</f>
        <v>образователна_помощ</v>
      </c>
    </row>
    <row r="951" spans="1:8" ht="13.2" x14ac:dyDescent="0.25">
      <c r="A951" s="1" t="str">
        <f ca="1">IFERROR(__xludf.DUMMYFUNCTION("GOOGLETRANSLATE(English!A951, ""en"", ""bg"")"),"qa_04863")</f>
        <v>qa_04863</v>
      </c>
      <c r="B951" s="1" t="str">
        <f ca="1">IFERROR(__xludf.DUMMYFUNCTION("GOOGLETRANSLATE(English!B951, ""en"", ""bg"")"),"биология")</f>
        <v>биология</v>
      </c>
      <c r="C951" s="1" t="str">
        <f ca="1">IFERROR(__xludf.DUMMYFUNCTION("GOOGLETRANSLATE(English!C951, ""en"", ""bg"")"),"високо")</f>
        <v>високо</v>
      </c>
      <c r="D951" s="1" t="str">
        <f ca="1">IFERROR(__xludf.DUMMYFUNCTION("GOOGLETRANSLATE(English!D951, ""en"", ""bg"")"),"молекулярна биология")</f>
        <v>молекулярна биология</v>
      </c>
      <c r="E951" s="1" t="str">
        <f ca="1">IFERROR(__xludf.DUMMYFUNCTION("GOOGLETRANSLATE(English!E951, ""en"", ""bg"")"),"Какво е важно да знаем за молекулярната биология?")</f>
        <v>Какво е важно да знаем за молекулярната биология?</v>
      </c>
      <c r="F951" s="1" t="str">
        <f ca="1">IFERROR(__xludf.DUMMYFUNCTION("GOOGLETRANSLATE(English!F951,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951" s="1" t="str">
        <f ca="1">IFERROR(__xludf.DUMMYFUNCTION("GOOGLETRANSLATE(English!G951, ""en"", ""bg"")"),"direct_qa")</f>
        <v>direct_qa</v>
      </c>
      <c r="H951" s="1" t="str">
        <f ca="1">IFERROR(__xludf.DUMMYFUNCTION("GOOGLETRANSLATE(English!H951, ""en"", ""bg"")"),"заявка_за_знание")</f>
        <v>заявка_за_знание</v>
      </c>
    </row>
    <row r="952" spans="1:8" ht="13.2" x14ac:dyDescent="0.25">
      <c r="A952" s="1" t="str">
        <f ca="1">IFERROR(__xludf.DUMMYFUNCTION("GOOGLETRANSLATE(English!A952, ""en"", ""bg"")"),"qa_09992")</f>
        <v>qa_09992</v>
      </c>
      <c r="B952" s="1" t="str">
        <f ca="1">IFERROR(__xludf.DUMMYFUNCTION("GOOGLETRANSLATE(English!B952, ""en"", ""bg"")"),"химия")</f>
        <v>химия</v>
      </c>
      <c r="C952" s="1" t="str">
        <f ca="1">IFERROR(__xludf.DUMMYFUNCTION("GOOGLETRANSLATE(English!C952, ""en"", ""bg"")"),"средата")</f>
        <v>средата</v>
      </c>
      <c r="D952" s="1" t="str">
        <f ca="1">IFERROR(__xludf.DUMMYFUNCTION("GOOGLETRANSLATE(English!D952, ""en"", ""bg"")"),"съединения срещу елементи")</f>
        <v>съединения срещу елементи</v>
      </c>
      <c r="E952" s="1" t="str">
        <f ca="1">IFERROR(__xludf.DUMMYFUNCTION("GOOGLETRANSLATE(English!E952, ""en"", ""bg"")"),"Можете ли да ми помогнете да разбера по-добре съединенията спрямо елементите?")</f>
        <v>Можете ли да ми помогнете да разбера по-добре съединенията спрямо елементите?</v>
      </c>
      <c r="F952" s="1" t="str">
        <f ca="1">IFERROR(__xludf.DUMMYFUNCTION("GOOGLETRANSLATE(English!F952,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952" s="1" t="str">
        <f ca="1">IFERROR(__xludf.DUMMYFUNCTION("GOOGLETRANSLATE(English!G952, ""en"", ""bg"")"),"direct_qa")</f>
        <v>direct_qa</v>
      </c>
      <c r="H952" s="1" t="str">
        <f ca="1">IFERROR(__xludf.DUMMYFUNCTION("GOOGLETRANSLATE(English!H952, ""en"", ""bg"")"),"заявка_за_знание")</f>
        <v>заявка_за_знание</v>
      </c>
    </row>
    <row r="953" spans="1:8" ht="13.2" x14ac:dyDescent="0.25">
      <c r="A953" s="1" t="str">
        <f ca="1">IFERROR(__xludf.DUMMYFUNCTION("GOOGLETRANSLATE(English!A953, ""en"", ""bg"")"),"qa_05151")</f>
        <v>qa_05151</v>
      </c>
      <c r="B953" s="1" t="str">
        <f ca="1">IFERROR(__xludf.DUMMYFUNCTION("GOOGLETRANSLATE(English!B953, ""en"", ""bg"")"),"физика")</f>
        <v>физика</v>
      </c>
      <c r="C953" s="1" t="str">
        <f ca="1">IFERROR(__xludf.DUMMYFUNCTION("GOOGLETRANSLATE(English!C953, ""en"", ""bg"")"),"високо")</f>
        <v>високо</v>
      </c>
      <c r="D953" s="1" t="str">
        <f ca="1">IFERROR(__xludf.DUMMYFUNCTION("GOOGLETRANSLATE(English!D953, ""en"", ""bg"")"),"термодинамика")</f>
        <v>термодинамика</v>
      </c>
      <c r="E953" s="1" t="str">
        <f ca="1">IFERROR(__xludf.DUMMYFUNCTION("GOOGLETRANSLATE(English!E953, ""en"", ""bg"")"),"Какво трябва да знам за термодинамиката?")</f>
        <v>Какво трябва да знам за термодинамиката?</v>
      </c>
      <c r="F953" s="1" t="str">
        <f ca="1">IFERROR(__xludf.DUMMYFUNCTION("GOOGLETRANSLATE(English!F953,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953" s="1" t="str">
        <f ca="1">IFERROR(__xludf.DUMMYFUNCTION("GOOGLETRANSLATE(English!G953, ""en"", ""bg"")"),"direct_qa")</f>
        <v>direct_qa</v>
      </c>
      <c r="H953" s="1" t="str">
        <f ca="1">IFERROR(__xludf.DUMMYFUNCTION("GOOGLETRANSLATE(English!H953, ""en"", ""bg"")"),"заявка_за_знание")</f>
        <v>заявка_за_знание</v>
      </c>
    </row>
    <row r="954" spans="1:8" ht="13.2" x14ac:dyDescent="0.25">
      <c r="A954" s="1" t="str">
        <f ca="1">IFERROR(__xludf.DUMMYFUNCTION("GOOGLETRANSLATE(English!A954, ""en"", ""bg"")"),"hw_02713")</f>
        <v>hw_02713</v>
      </c>
      <c r="B954" s="1" t="str">
        <f ca="1">IFERROR(__xludf.DUMMYFUNCTION("GOOGLETRANSLATE(English!B954, ""en"", ""bg"")"),"химия")</f>
        <v>химия</v>
      </c>
      <c r="C954" s="1" t="str">
        <f ca="1">IFERROR(__xludf.DUMMYFUNCTION("GOOGLETRANSLATE(English!C954, ""en"", ""bg"")"),"средата")</f>
        <v>средата</v>
      </c>
      <c r="D954" s="1" t="str">
        <f ca="1">IFERROR(__xludf.DUMMYFUNCTION("GOOGLETRANSLATE(English!D954, ""en"", ""bg"")"),"основи на периодичната таблица")</f>
        <v>основи на периодичната таблица</v>
      </c>
      <c r="E954" s="1" t="str">
        <f ca="1">IFERROR(__xludf.DUMMYFUNCTION("GOOGLETRANSLATE(English!E954, ""en"", ""bg"")"),"Можете ли да ми помогнете с основните изчисления на периодичната таблица?")</f>
        <v>Можете ли да ми помогнете с основните изчисления на периодичната таблица?</v>
      </c>
      <c r="F954" s="1" t="str">
        <f ca="1">IFERROR(__xludf.DUMMYFUNCTION("GOOGLETRANSLATE(English!F954,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954" s="1" t="str">
        <f ca="1">IFERROR(__xludf.DUMMYFUNCTION("GOOGLETRANSLATE(English!G954, ""en"", ""bg"")"),"помощ_за_домашно_изпълнение")</f>
        <v>помощ_за_домашно_изпълнение</v>
      </c>
      <c r="H954" s="1" t="str">
        <f ca="1">IFERROR(__xludf.DUMMYFUNCTION("GOOGLETRANSLATE(English!H954, ""en"", ""bg"")"),"помощ_за_домашно_задаване")</f>
        <v>помощ_за_домашно_задаване</v>
      </c>
    </row>
    <row r="955" spans="1:8" ht="13.2" x14ac:dyDescent="0.25">
      <c r="A955" s="1" t="str">
        <f ca="1">IFERROR(__xludf.DUMMYFUNCTION("GOOGLETRANSLATE(English!A955, ""en"", ""bg"")"),"conv_09787")</f>
        <v>conv_09787</v>
      </c>
      <c r="B955" s="1" t="str">
        <f ca="1">IFERROR(__xludf.DUMMYFUNCTION("GOOGLETRANSLATE(English!B955, ""en"", ""bg"")"),"химия")</f>
        <v>химия</v>
      </c>
      <c r="C955" s="1" t="str">
        <f ca="1">IFERROR(__xludf.DUMMYFUNCTION("GOOGLETRANSLATE(English!C955, ""en"", ""bg"")"),"високо")</f>
        <v>високо</v>
      </c>
      <c r="D955" s="1" t="str">
        <f ca="1">IFERROR(__xludf.DUMMYFUNCTION("GOOGLETRANSLATE(English!D955, ""en"", ""bg"")"),"органична химия")</f>
        <v>органична химия</v>
      </c>
      <c r="E955" s="1" t="str">
        <f ca="1">IFERROR(__xludf.DUMMYFUNCTION("GOOGLETRANSLATE(English!E955, ""en"", ""bg"")"),"Помогнете ми да уча за теста. Можете ли да ми помогнете да разбера органичната химия?")</f>
        <v>Помогнете ми да уча за теста. Можете ли да ми помогнете да разбера органичната химия?</v>
      </c>
      <c r="F955" s="1" t="str">
        <f ca="1">IFERROR(__xludf.DUMMYFUNCTION("GOOGLETRANSLATE(English!F955,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955" s="1" t="str">
        <f ca="1">IFERROR(__xludf.DUMMYFUNCTION("GOOGLETRANSLATE(English!G955, ""en"", ""bg"")"),"разговор")</f>
        <v>разговор</v>
      </c>
      <c r="H955" s="1" t="str">
        <f ca="1">IFERROR(__xludf.DUMMYFUNCTION("GOOGLETRANSLATE(English!H955, ""en"", ""bg"")"),"образователна_помощ")</f>
        <v>образователна_помощ</v>
      </c>
    </row>
    <row r="956" spans="1:8" ht="13.2" x14ac:dyDescent="0.25">
      <c r="A956" s="1" t="str">
        <f ca="1">IFERROR(__xludf.DUMMYFUNCTION("GOOGLETRANSLATE(English!A956, ""en"", ""bg"")"),"conv_03175")</f>
        <v>conv_03175</v>
      </c>
      <c r="B956" s="1" t="str">
        <f ca="1">IFERROR(__xludf.DUMMYFUNCTION("GOOGLETRANSLATE(English!B956, ""en"", ""bg"")"),"химия")</f>
        <v>химия</v>
      </c>
      <c r="C956" s="1" t="str">
        <f ca="1">IFERROR(__xludf.DUMMYFUNCTION("GOOGLETRANSLATE(English!C956, ""en"", ""bg"")"),"средата")</f>
        <v>средата</v>
      </c>
      <c r="D956" s="1" t="str">
        <f ca="1">IFERROR(__xludf.DUMMYFUNCTION("GOOGLETRANSLATE(English!D956, ""en"", ""bg"")"),"атоми и молекули")</f>
        <v>атоми и молекули</v>
      </c>
      <c r="E956" s="1" t="str">
        <f ca="1">IFERROR(__xludf.DUMMYFUNCTION("GOOGLETRANSLATE(English!E956, ""en"", ""bg"")"),"Можете ли да ми обясните това? Защо атомите се свързват?")</f>
        <v>Можете ли да ми обясните това? Защо атомите се свързват?</v>
      </c>
      <c r="F956" s="1" t="str">
        <f ca="1">IFERROR(__xludf.DUMMYFUNCTION("GOOGLETRANSLATE(English!F956,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956" s="1" t="str">
        <f ca="1">IFERROR(__xludf.DUMMYFUNCTION("GOOGLETRANSLATE(English!G956, ""en"", ""bg"")"),"разговор")</f>
        <v>разговор</v>
      </c>
      <c r="H956" s="1" t="str">
        <f ca="1">IFERROR(__xludf.DUMMYFUNCTION("GOOGLETRANSLATE(English!H956, ""en"", ""bg"")"),"образователна_помощ")</f>
        <v>образователна_помощ</v>
      </c>
    </row>
    <row r="957" spans="1:8" ht="13.2" x14ac:dyDescent="0.25">
      <c r="A957" s="1" t="str">
        <f ca="1">IFERROR(__xludf.DUMMYFUNCTION("GOOGLETRANSLATE(English!A957, ""en"", ""bg"")"),"hw_10641")</f>
        <v>hw_10641</v>
      </c>
      <c r="B957" s="1" t="str">
        <f ca="1">IFERROR(__xludf.DUMMYFUNCTION("GOOGLETRANSLATE(English!B957, ""en"", ""bg"")"),"физика")</f>
        <v>физика</v>
      </c>
      <c r="C957" s="1" t="str">
        <f ca="1">IFERROR(__xludf.DUMMYFUNCTION("GOOGLETRANSLATE(English!C957, ""en"", ""bg"")"),"високо")</f>
        <v>високо</v>
      </c>
      <c r="D957" s="1" t="str">
        <f ca="1">IFERROR(__xludf.DUMMYFUNCTION("GOOGLETRANSLATE(English!D957, ""en"", ""bg"")"),"атомна структура")</f>
        <v>атомна структура</v>
      </c>
      <c r="E957" s="1" t="str">
        <f ca="1">IFERROR(__xludf.DUMMYFUNCTION("GOOGLETRANSLATE(English!E957,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957" s="1" t="str">
        <f ca="1">IFERROR(__xludf.DUMMYFUNCTION("GOOGLETRANSLATE(English!F957,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957" s="1" t="str">
        <f ca="1">IFERROR(__xludf.DUMMYFUNCTION("GOOGLETRANSLATE(English!G957, ""en"", ""bg"")"),"помощ_за_домашно_изпълнение")</f>
        <v>помощ_за_домашно_изпълнение</v>
      </c>
      <c r="H957" s="1" t="str">
        <f ca="1">IFERROR(__xludf.DUMMYFUNCTION("GOOGLETRANSLATE(English!H957, ""en"", ""bg"")"),"помощ_за_домашно_задаване")</f>
        <v>помощ_за_домашно_задаване</v>
      </c>
    </row>
    <row r="958" spans="1:8" ht="13.2" x14ac:dyDescent="0.25">
      <c r="A958" s="1" t="str">
        <f ca="1">IFERROR(__xludf.DUMMYFUNCTION("GOOGLETRANSLATE(English!A958, ""en"", ""bg"")"),"conv_05068")</f>
        <v>conv_05068</v>
      </c>
      <c r="B958" s="1" t="str">
        <f ca="1">IFERROR(__xludf.DUMMYFUNCTION("GOOGLETRANSLATE(English!B958, ""en"", ""bg"")"),"биология")</f>
        <v>биология</v>
      </c>
      <c r="C958" s="1" t="str">
        <f ca="1">IFERROR(__xludf.DUMMYFUNCTION("GOOGLETRANSLATE(English!C958, ""en"", ""bg"")"),"високо")</f>
        <v>високо</v>
      </c>
      <c r="D958" s="1" t="str">
        <f ca="1">IFERROR(__xludf.DUMMYFUNCTION("GOOGLETRANSLATE(English!D958, ""en"", ""bg"")"),"митоза и мейоза")</f>
        <v>митоза и мейоза</v>
      </c>
      <c r="E958" s="1" t="str">
        <f ca="1">IFERROR(__xludf.DUMMYFUNCTION("GOOGLETRANSLATE(English!E958, ""en"", ""bg"")"),"Можете ли да ми обясните това? Какво е важно да знаем за митозата и мейозата?")</f>
        <v>Можете ли да ми обясните това? Какво е важно да знаем за митозата и мейозата?</v>
      </c>
      <c r="F958" s="1" t="str">
        <f ca="1">IFERROR(__xludf.DUMMYFUNCTION("GOOGLETRANSLATE(English!F958,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958" s="1" t="str">
        <f ca="1">IFERROR(__xludf.DUMMYFUNCTION("GOOGLETRANSLATE(English!G958, ""en"", ""bg"")"),"разговор")</f>
        <v>разговор</v>
      </c>
      <c r="H958" s="1" t="str">
        <f ca="1">IFERROR(__xludf.DUMMYFUNCTION("GOOGLETRANSLATE(English!H958, ""en"", ""bg"")"),"образователна_помощ")</f>
        <v>образователна_помощ</v>
      </c>
    </row>
    <row r="959" spans="1:8" ht="13.2" x14ac:dyDescent="0.25">
      <c r="A959" s="1" t="str">
        <f ca="1">IFERROR(__xludf.DUMMYFUNCTION("GOOGLETRANSLATE(English!A959, ""en"", ""bg"")"),"qa_06319")</f>
        <v>qa_06319</v>
      </c>
      <c r="B959" s="1" t="str">
        <f ca="1">IFERROR(__xludf.DUMMYFUNCTION("GOOGLETRANSLATE(English!B959, ""en"", ""bg"")"),"физика")</f>
        <v>физика</v>
      </c>
      <c r="C959" s="1" t="str">
        <f ca="1">IFERROR(__xludf.DUMMYFUNCTION("GOOGLETRANSLATE(English!C959, ""en"", ""bg"")"),"високо")</f>
        <v>високо</v>
      </c>
      <c r="D959" s="1" t="str">
        <f ca="1">IFERROR(__xludf.DUMMYFUNCTION("GOOGLETRANSLATE(English!D959, ""en"", ""bg"")"),"термодинамика")</f>
        <v>термодинамика</v>
      </c>
      <c r="E959" s="1" t="str">
        <f ca="1">IFERROR(__xludf.DUMMYFUNCTION("GOOGLETRANSLATE(English!E959, ""en"", ""bg"")"),"Какво трябва да знам за термодинамиката?")</f>
        <v>Какво трябва да знам за термодинамиката?</v>
      </c>
      <c r="F959" s="1" t="str">
        <f ca="1">IFERROR(__xludf.DUMMYFUNCTION("GOOGLETRANSLATE(English!F959,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959" s="1" t="str">
        <f ca="1">IFERROR(__xludf.DUMMYFUNCTION("GOOGLETRANSLATE(English!G959, ""en"", ""bg"")"),"direct_qa")</f>
        <v>direct_qa</v>
      </c>
      <c r="H959" s="1" t="str">
        <f ca="1">IFERROR(__xludf.DUMMYFUNCTION("GOOGLETRANSLATE(English!H959, ""en"", ""bg"")"),"заявка_за_знание")</f>
        <v>заявка_за_знание</v>
      </c>
    </row>
    <row r="960" spans="1:8" ht="13.2" x14ac:dyDescent="0.25">
      <c r="A960" s="1" t="str">
        <f ca="1">IFERROR(__xludf.DUMMYFUNCTION("GOOGLETRANSLATE(English!A960, ""en"", ""bg"")"),"qa_09597")</f>
        <v>qa_09597</v>
      </c>
      <c r="B960" s="1" t="str">
        <f ca="1">IFERROR(__xludf.DUMMYFUNCTION("GOOGLETRANSLATE(English!B960, ""en"", ""bg"")"),"биология")</f>
        <v>биология</v>
      </c>
      <c r="C960" s="1" t="str">
        <f ca="1">IFERROR(__xludf.DUMMYFUNCTION("GOOGLETRANSLATE(English!C960, ""en"", ""bg"")"),"средата")</f>
        <v>средата</v>
      </c>
      <c r="D960" s="1" t="str">
        <f ca="1">IFERROR(__xludf.DUMMYFUNCTION("GOOGLETRANSLATE(English!D960, ""en"", ""bg"")"),"фотосинтеза")</f>
        <v>фотосинтеза</v>
      </c>
      <c r="E960" s="1" t="str">
        <f ca="1">IFERROR(__xludf.DUMMYFUNCTION("GOOGLETRANSLATE(English!E960, ""en"", ""bg"")"),"Как работи фотосинтезата?")</f>
        <v>Как работи фотосинтезата?</v>
      </c>
      <c r="F960" s="1" t="str">
        <f ca="1">IFERROR(__xludf.DUMMYFUNCTION("GOOGLETRANSLATE(English!F960,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960" s="1" t="str">
        <f ca="1">IFERROR(__xludf.DUMMYFUNCTION("GOOGLETRANSLATE(English!G960, ""en"", ""bg"")"),"direct_qa")</f>
        <v>direct_qa</v>
      </c>
      <c r="H960" s="1" t="str">
        <f ca="1">IFERROR(__xludf.DUMMYFUNCTION("GOOGLETRANSLATE(English!H960, ""en"", ""bg"")"),"заявка_за_знание")</f>
        <v>заявка_за_знание</v>
      </c>
    </row>
    <row r="961" spans="1:8" ht="13.2" x14ac:dyDescent="0.25">
      <c r="A961" s="1" t="str">
        <f ca="1">IFERROR(__xludf.DUMMYFUNCTION("GOOGLETRANSLATE(English!A961, ""en"", ""bg"")"),"qa_02298")</f>
        <v>qa_02298</v>
      </c>
      <c r="B961" s="1" t="str">
        <f ca="1">IFERROR(__xludf.DUMMYFUNCTION("GOOGLETRANSLATE(English!B961, ""en"", ""bg"")"),"биология")</f>
        <v>биология</v>
      </c>
      <c r="C961" s="1" t="str">
        <f ca="1">IFERROR(__xludf.DUMMYFUNCTION("GOOGLETRANSLATE(English!C961, ""en"", ""bg"")"),"елементарен")</f>
        <v>елементарен</v>
      </c>
      <c r="D961" s="1" t="str">
        <f ca="1">IFERROR(__xludf.DUMMYFUNCTION("GOOGLETRANSLATE(English!D961, ""en"", ""bg"")"),"жизнени цикли")</f>
        <v>жизнени цикли</v>
      </c>
      <c r="E961" s="1" t="str">
        <f ca="1">IFERROR(__xludf.DUMMYFUNCTION("GOOGLETRANSLATE(English!E961, ""en"", ""bg"")"),"Как функционират жизнените цикли?")</f>
        <v>Как функционират жизнените цикли?</v>
      </c>
      <c r="F961" s="1" t="str">
        <f ca="1">IFERROR(__xludf.DUMMYFUNCTION("GOOGLETRANSLATE(English!F961,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961" s="1" t="str">
        <f ca="1">IFERROR(__xludf.DUMMYFUNCTION("GOOGLETRANSLATE(English!G961, ""en"", ""bg"")"),"direct_qa")</f>
        <v>direct_qa</v>
      </c>
      <c r="H961" s="1" t="str">
        <f ca="1">IFERROR(__xludf.DUMMYFUNCTION("GOOGLETRANSLATE(English!H961, ""en"", ""bg"")"),"заявка_за_знание")</f>
        <v>заявка_за_знание</v>
      </c>
    </row>
    <row r="962" spans="1:8" ht="13.2" x14ac:dyDescent="0.25">
      <c r="A962" s="1" t="str">
        <f ca="1">IFERROR(__xludf.DUMMYFUNCTION("GOOGLETRANSLATE(English!A962, ""en"", ""bg"")"),"qa_07904")</f>
        <v>qa_07904</v>
      </c>
      <c r="B962" s="1" t="str">
        <f ca="1">IFERROR(__xludf.DUMMYFUNCTION("GOOGLETRANSLATE(English!B962, ""en"", ""bg"")"),"химия")</f>
        <v>химия</v>
      </c>
      <c r="C962" s="1" t="str">
        <f ca="1">IFERROR(__xludf.DUMMYFUNCTION("GOOGLETRANSLATE(English!C962, ""en"", ""bg"")"),"елементарен")</f>
        <v>елементарен</v>
      </c>
      <c r="D962" s="1" t="str">
        <f ca="1">IFERROR(__xludf.DUMMYFUNCTION("GOOGLETRANSLATE(English!D962, ""en"", ""bg"")"),"промени в материалите")</f>
        <v>промени в материалите</v>
      </c>
      <c r="E962" s="1" t="str">
        <f ca="1">IFERROR(__xludf.DUMMYFUNCTION("GOOGLETRANSLATE(English!E962, ""en"", ""bg"")"),"Защо е важно да се изучават промените в материалите?")</f>
        <v>Защо е важно да се изучават промените в материалите?</v>
      </c>
      <c r="F962" s="1" t="str">
        <f ca="1">IFERROR(__xludf.DUMMYFUNCTION("GOOGLETRANSLATE(English!F962,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962" s="1" t="str">
        <f ca="1">IFERROR(__xludf.DUMMYFUNCTION("GOOGLETRANSLATE(English!G962, ""en"", ""bg"")"),"direct_qa")</f>
        <v>direct_qa</v>
      </c>
      <c r="H962" s="1" t="str">
        <f ca="1">IFERROR(__xludf.DUMMYFUNCTION("GOOGLETRANSLATE(English!H962, ""en"", ""bg"")"),"заявка_за_знание")</f>
        <v>заявка_за_знание</v>
      </c>
    </row>
    <row r="963" spans="1:8" ht="13.2" x14ac:dyDescent="0.25">
      <c r="A963" s="1" t="str">
        <f ca="1">IFERROR(__xludf.DUMMYFUNCTION("GOOGLETRANSLATE(English!A963, ""en"", ""bg"")"),"conv_05209")</f>
        <v>conv_05209</v>
      </c>
      <c r="B963" s="1" t="str">
        <f ca="1">IFERROR(__xludf.DUMMYFUNCTION("GOOGLETRANSLATE(English!B963, ""en"", ""bg"")"),"химия")</f>
        <v>химия</v>
      </c>
      <c r="C963" s="1" t="str">
        <f ca="1">IFERROR(__xludf.DUMMYFUNCTION("GOOGLETRANSLATE(English!C963, ""en"", ""bg"")"),"високо")</f>
        <v>високо</v>
      </c>
      <c r="D963" s="1" t="str">
        <f ca="1">IFERROR(__xludf.DUMMYFUNCTION("GOOGLETRANSLATE(English!D963, ""en"", ""bg"")"),"скорости на реакция")</f>
        <v>скорости на реакция</v>
      </c>
      <c r="E963" s="1" t="str">
        <f ca="1">IFERROR(__xludf.DUMMYFUNCTION("GOOGLETRANSLATE(English!E963, ""en"", ""bg"")"),"Имам научен въпрос. Защо е важно да се учи скоростта на реакция?")</f>
        <v>Имам научен въпрос. Защо е важно да се учи скоростта на реакция?</v>
      </c>
      <c r="F963" s="1" t="str">
        <f ca="1">IFERROR(__xludf.DUMMYFUNCTION("GOOGLETRANSLATE(English!F963,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963" s="1" t="str">
        <f ca="1">IFERROR(__xludf.DUMMYFUNCTION("GOOGLETRANSLATE(English!G963, ""en"", ""bg"")"),"разговор")</f>
        <v>разговор</v>
      </c>
      <c r="H963" s="1" t="str">
        <f ca="1">IFERROR(__xludf.DUMMYFUNCTION("GOOGLETRANSLATE(English!H963, ""en"", ""bg"")"),"образователна_помощ")</f>
        <v>образователна_помощ</v>
      </c>
    </row>
    <row r="964" spans="1:8" ht="13.2" x14ac:dyDescent="0.25">
      <c r="A964" s="1" t="str">
        <f ca="1">IFERROR(__xludf.DUMMYFUNCTION("GOOGLETRANSLATE(English!A964, ""en"", ""bg"")"),"hw_01481")</f>
        <v>hw_01481</v>
      </c>
      <c r="B964" s="1" t="str">
        <f ca="1">IFERROR(__xludf.DUMMYFUNCTION("GOOGLETRANSLATE(English!B964, ""en"", ""bg"")"),"биология")</f>
        <v>биология</v>
      </c>
      <c r="C964" s="1" t="str">
        <f ca="1">IFERROR(__xludf.DUMMYFUNCTION("GOOGLETRANSLATE(English!C964, ""en"", ""bg"")"),"елементарен")</f>
        <v>елементарен</v>
      </c>
      <c r="D964" s="1" t="str">
        <f ca="1">IFERROR(__xludf.DUMMYFUNCTION("GOOGLETRANSLATE(English!D964, ""en"", ""bg"")"),"местообитания")</f>
        <v>местообитания</v>
      </c>
      <c r="E964" s="1" t="str">
        <f ca="1">IFERROR(__xludf.DUMMYFUNCTION("GOOGLETRANSLATE(English!E964, ""en"", ""bg"")"),"Утре имам тест по местообитания. Помогни ми да уча!")</f>
        <v>Утре имам тест по местообитания. Помогни ми да уча!</v>
      </c>
      <c r="F964" s="1" t="str">
        <f ca="1">IFERROR(__xludf.DUMMYFUNCTION("GOOGLETRANSLATE(English!F964,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964" s="1" t="str">
        <f ca="1">IFERROR(__xludf.DUMMYFUNCTION("GOOGLETRANSLATE(English!G964, ""en"", ""bg"")"),"помощ_за_домашно_изпълнение")</f>
        <v>помощ_за_домашно_изпълнение</v>
      </c>
      <c r="H964" s="1" t="str">
        <f ca="1">IFERROR(__xludf.DUMMYFUNCTION("GOOGLETRANSLATE(English!H964, ""en"", ""bg"")"),"помощ_за_домашно_задаване")</f>
        <v>помощ_за_домашно_задаване</v>
      </c>
    </row>
    <row r="965" spans="1:8" ht="13.2" x14ac:dyDescent="0.25">
      <c r="A965" s="1" t="str">
        <f ca="1">IFERROR(__xludf.DUMMYFUNCTION("GOOGLETRANSLATE(English!A965, ""en"", ""bg"")"),"qa_12317")</f>
        <v>qa_12317</v>
      </c>
      <c r="B965" s="1" t="str">
        <f ca="1">IFERROR(__xludf.DUMMYFUNCTION("GOOGLETRANSLATE(English!B965, ""en"", ""bg"")"),"биология")</f>
        <v>биология</v>
      </c>
      <c r="C965" s="1" t="str">
        <f ca="1">IFERROR(__xludf.DUMMYFUNCTION("GOOGLETRANSLATE(English!C965, ""en"", ""bg"")"),"високо")</f>
        <v>високо</v>
      </c>
      <c r="D965" s="1" t="str">
        <f ca="1">IFERROR(__xludf.DUMMYFUNCTION("GOOGLETRANSLATE(English!D965, ""en"", ""bg"")"),"клетъчно дишане")</f>
        <v>клетъчно дишане</v>
      </c>
      <c r="E965" s="1" t="str">
        <f ca="1">IFERROR(__xludf.DUMMYFUNCTION("GOOGLETRANSLATE(English!E965, ""en"", ""bg"")"),"Какво е важно да знаем за клетъчното дишане?")</f>
        <v>Какво е важно да знаем за клетъчното дишане?</v>
      </c>
      <c r="F965" s="1" t="str">
        <f ca="1">IFERROR(__xludf.DUMMYFUNCTION("GOOGLETRANSLATE(English!F965,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965" s="1" t="str">
        <f ca="1">IFERROR(__xludf.DUMMYFUNCTION("GOOGLETRANSLATE(English!G965, ""en"", ""bg"")"),"direct_qa")</f>
        <v>direct_qa</v>
      </c>
      <c r="H965" s="1" t="str">
        <f ca="1">IFERROR(__xludf.DUMMYFUNCTION("GOOGLETRANSLATE(English!H965, ""en"", ""bg"")"),"заявка_за_знание")</f>
        <v>заявка_за_знание</v>
      </c>
    </row>
    <row r="966" spans="1:8" ht="13.2" x14ac:dyDescent="0.25">
      <c r="A966" s="1" t="str">
        <f ca="1">IFERROR(__xludf.DUMMYFUNCTION("GOOGLETRANSLATE(English!A966, ""en"", ""bg"")"),"conv_06768")</f>
        <v>conv_06768</v>
      </c>
      <c r="B966" s="1" t="str">
        <f ca="1">IFERROR(__xludf.DUMMYFUNCTION("GOOGLETRANSLATE(English!B966, ""en"", ""bg"")"),"биология")</f>
        <v>биология</v>
      </c>
      <c r="C966" s="1" t="str">
        <f ca="1">IFERROR(__xludf.DUMMYFUNCTION("GOOGLETRANSLATE(English!C966, ""en"", ""bg"")"),"високо")</f>
        <v>високо</v>
      </c>
      <c r="D966" s="1" t="str">
        <f ca="1">IFERROR(__xludf.DUMMYFUNCTION("GOOGLETRANSLATE(English!D966, ""en"", ""bg"")"),"митоза и мейоза")</f>
        <v>митоза и мейоза</v>
      </c>
      <c r="E966" s="1" t="str">
        <f ca="1">IFERROR(__xludf.DUMMYFUNCTION("GOOGLETRANSLATE(English!E966, ""en"", ""bg"")"),"Здравей, преподавателю! Можеш ли да ми разкажеш за митозата и мейозата?")</f>
        <v>Здравей, преподавателю! Можеш ли да ми разкажеш за митозата и мейозата?</v>
      </c>
      <c r="F966" s="1" t="str">
        <f ca="1">IFERROR(__xludf.DUMMYFUNCTION("GOOGLETRANSLATE(English!F966,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966" s="1" t="str">
        <f ca="1">IFERROR(__xludf.DUMMYFUNCTION("GOOGLETRANSLATE(English!G966, ""en"", ""bg"")"),"разговор")</f>
        <v>разговор</v>
      </c>
      <c r="H966" s="1" t="str">
        <f ca="1">IFERROR(__xludf.DUMMYFUNCTION("GOOGLETRANSLATE(English!H966, ""en"", ""bg"")"),"образователна_помощ")</f>
        <v>образователна_помощ</v>
      </c>
    </row>
    <row r="967" spans="1:8" ht="13.2" x14ac:dyDescent="0.25">
      <c r="A967" s="1" t="str">
        <f ca="1">IFERROR(__xludf.DUMMYFUNCTION("GOOGLETRANSLATE(English!A967, ""en"", ""bg"")"),"qa_14445")</f>
        <v>qa_14445</v>
      </c>
      <c r="B967" s="1" t="str">
        <f ca="1">IFERROR(__xludf.DUMMYFUNCTION("GOOGLETRANSLATE(English!B967, ""en"", ""bg"")"),"химия")</f>
        <v>химия</v>
      </c>
      <c r="C967" s="1" t="str">
        <f ca="1">IFERROR(__xludf.DUMMYFUNCTION("GOOGLETRANSLATE(English!C967, ""en"", ""bg"")"),"високо")</f>
        <v>високо</v>
      </c>
      <c r="D967" s="1" t="str">
        <f ca="1">IFERROR(__xludf.DUMMYFUNCTION("GOOGLETRANSLATE(English!D967, ""en"", ""bg"")"),"електрохимия")</f>
        <v>електрохимия</v>
      </c>
      <c r="E967" s="1" t="str">
        <f ca="1">IFERROR(__xludf.DUMMYFUNCTION("GOOGLETRANSLATE(English!E967, ""en"", ""bg"")"),"Как работи електрохимията в химията?")</f>
        <v>Как работи електрохимията в химията?</v>
      </c>
      <c r="F967" s="1" t="str">
        <f ca="1">IFERROR(__xludf.DUMMYFUNCTION("GOOGLETRANSLATE(English!F967,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967" s="1" t="str">
        <f ca="1">IFERROR(__xludf.DUMMYFUNCTION("GOOGLETRANSLATE(English!G967, ""en"", ""bg"")"),"direct_qa")</f>
        <v>direct_qa</v>
      </c>
      <c r="H967" s="1" t="str">
        <f ca="1">IFERROR(__xludf.DUMMYFUNCTION("GOOGLETRANSLATE(English!H967, ""en"", ""bg"")"),"заявка_за_знание")</f>
        <v>заявка_за_знание</v>
      </c>
    </row>
    <row r="968" spans="1:8" ht="13.2" x14ac:dyDescent="0.25">
      <c r="A968" s="1" t="str">
        <f ca="1">IFERROR(__xludf.DUMMYFUNCTION("GOOGLETRANSLATE(English!A968, ""en"", ""bg"")"),"conv_08110")</f>
        <v>conv_08110</v>
      </c>
      <c r="B968" s="1" t="str">
        <f ca="1">IFERROR(__xludf.DUMMYFUNCTION("GOOGLETRANSLATE(English!B968, ""en"", ""bg"")"),"химия")</f>
        <v>химия</v>
      </c>
      <c r="C968" s="1" t="str">
        <f ca="1">IFERROR(__xludf.DUMMYFUNCTION("GOOGLETRANSLATE(English!C968, ""en"", ""bg"")"),"средата")</f>
        <v>средата</v>
      </c>
      <c r="D968" s="1" t="str">
        <f ca="1">IFERROR(__xludf.DUMMYFUNCTION("GOOGLETRANSLATE(English!D968, ""en"", ""bg"")"),"съединения срещу елементи")</f>
        <v>съединения срещу елементи</v>
      </c>
      <c r="E968" s="1" t="str">
        <f ca="1">IFERROR(__xludf.DUMMYFUNCTION("GOOGLETRANSLATE(English!E968, ""en"", ""bg"")"),"Помогнете ми да уча за теста. Можете ли да ми помогнете да разбера по-добре съединенията спрямо елементите?")</f>
        <v>Помогнете ми да уча за теста. Можете ли да ми помогнете да разбера по-добре съединенията спрямо елементите?</v>
      </c>
      <c r="F968" s="1" t="str">
        <f ca="1">IFERROR(__xludf.DUMMYFUNCTION("GOOGLETRANSLATE(English!F968,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968" s="1" t="str">
        <f ca="1">IFERROR(__xludf.DUMMYFUNCTION("GOOGLETRANSLATE(English!G968, ""en"", ""bg"")"),"разговор")</f>
        <v>разговор</v>
      </c>
      <c r="H968" s="1" t="str">
        <f ca="1">IFERROR(__xludf.DUMMYFUNCTION("GOOGLETRANSLATE(English!H968, ""en"", ""bg"")"),"образователна_помощ")</f>
        <v>образователна_помощ</v>
      </c>
    </row>
    <row r="969" spans="1:8" ht="13.2" x14ac:dyDescent="0.25">
      <c r="A969" s="1" t="str">
        <f ca="1">IFERROR(__xludf.DUMMYFUNCTION("GOOGLETRANSLATE(English!A969, ""en"", ""bg"")"),"qa_10881")</f>
        <v>qa_10881</v>
      </c>
      <c r="B969" s="1" t="str">
        <f ca="1">IFERROR(__xludf.DUMMYFUNCTION("GOOGLETRANSLATE(English!B969, ""en"", ""bg"")"),"физика")</f>
        <v>физика</v>
      </c>
      <c r="C969" s="1" t="str">
        <f ca="1">IFERROR(__xludf.DUMMYFUNCTION("GOOGLETRANSLATE(English!C969, ""en"", ""bg"")"),"елементарен")</f>
        <v>елементарен</v>
      </c>
      <c r="D969" s="1" t="str">
        <f ca="1">IFERROR(__xludf.DUMMYFUNCTION("GOOGLETRANSLATE(English!D969, ""en"", ""bg"")"),"горещо и студено")</f>
        <v>горещо и студено</v>
      </c>
      <c r="E969" s="1" t="str">
        <f ca="1">IFERROR(__xludf.DUMMYFUNCTION("GOOGLETRANSLATE(English!E969, ""en"", ""bg"")"),"Как работят топлото и студеното във физиката?")</f>
        <v>Как работят топлото и студеното във физиката?</v>
      </c>
      <c r="F969" s="1" t="str">
        <f ca="1">IFERROR(__xludf.DUMMYFUNCTION("GOOGLETRANSLATE(English!F969,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969" s="1" t="str">
        <f ca="1">IFERROR(__xludf.DUMMYFUNCTION("GOOGLETRANSLATE(English!G969, ""en"", ""bg"")"),"direct_qa")</f>
        <v>direct_qa</v>
      </c>
      <c r="H969" s="1" t="str">
        <f ca="1">IFERROR(__xludf.DUMMYFUNCTION("GOOGLETRANSLATE(English!H969, ""en"", ""bg"")"),"заявка_за_знание")</f>
        <v>заявка_за_знание</v>
      </c>
    </row>
    <row r="970" spans="1:8" ht="13.2" x14ac:dyDescent="0.25">
      <c r="A970" s="1" t="str">
        <f ca="1">IFERROR(__xludf.DUMMYFUNCTION("GOOGLETRANSLATE(English!A970, ""en"", ""bg"")"),"qa_08817")</f>
        <v>qa_08817</v>
      </c>
      <c r="B970" s="1" t="str">
        <f ca="1">IFERROR(__xludf.DUMMYFUNCTION("GOOGLETRANSLATE(English!B970, ""en"", ""bg"")"),"биология")</f>
        <v>биология</v>
      </c>
      <c r="C970" s="1" t="str">
        <f ca="1">IFERROR(__xludf.DUMMYFUNCTION("GOOGLETRANSLATE(English!C970, ""en"", ""bg"")"),"елементарен")</f>
        <v>елементарен</v>
      </c>
      <c r="D970" s="1" t="str">
        <f ca="1">IFERROR(__xludf.DUMMYFUNCTION("GOOGLETRANSLATE(English!D970, ""en"", ""bg"")"),"домашни любимци срещу диви животни")</f>
        <v>домашни любимци срещу диви животни</v>
      </c>
      <c r="E970" s="1" t="str">
        <f ca="1">IFERROR(__xludf.DUMMYFUNCTION("GOOGLETRANSLATE(English!E970, ""en"", ""bg"")"),"Можете ли да ми разкажете за домашните любимци спрямо дивите животни?")</f>
        <v>Можете ли да ми разкажете за домашните любимци спрямо дивите животни?</v>
      </c>
      <c r="F970" s="1" t="str">
        <f ca="1">IFERROR(__xludf.DUMMYFUNCTION("GOOGLETRANSLATE(English!F970, ""en"", ""bg"")"),"Домашни любимци срещу диви животни е завладяваща част от биологията! Тя ни помага да разберем как функционират живите същества.")</f>
        <v>Домашни любимци срещу диви животни е завладяваща част от биологията! Тя ни помага да разберем как функционират живите същества.</v>
      </c>
      <c r="G970" s="1" t="str">
        <f ca="1">IFERROR(__xludf.DUMMYFUNCTION("GOOGLETRANSLATE(English!G970, ""en"", ""bg"")"),"direct_qa")</f>
        <v>direct_qa</v>
      </c>
      <c r="H970" s="1" t="str">
        <f ca="1">IFERROR(__xludf.DUMMYFUNCTION("GOOGLETRANSLATE(English!H970, ""en"", ""bg"")"),"заявка_за_знание")</f>
        <v>заявка_за_знание</v>
      </c>
    </row>
    <row r="971" spans="1:8" ht="13.2" x14ac:dyDescent="0.25">
      <c r="A971" s="1" t="str">
        <f ca="1">IFERROR(__xludf.DUMMYFUNCTION("GOOGLETRANSLATE(English!A971, ""en"", ""bg"")"),"qa_02584")</f>
        <v>qa_02584</v>
      </c>
      <c r="B971" s="1" t="str">
        <f ca="1">IFERROR(__xludf.DUMMYFUNCTION("GOOGLETRANSLATE(English!B971, ""en"", ""bg"")"),"физика")</f>
        <v>физика</v>
      </c>
      <c r="C971" s="1" t="str">
        <f ca="1">IFERROR(__xludf.DUMMYFUNCTION("GOOGLETRANSLATE(English!C971, ""en"", ""bg"")"),"средата")</f>
        <v>средата</v>
      </c>
      <c r="D971" s="1" t="str">
        <f ca="1">IFERROR(__xludf.DUMMYFUNCTION("GOOGLETRANSLATE(English!D971, ""en"", ""bg"")"),"вълни")</f>
        <v>вълни</v>
      </c>
      <c r="E971" s="1" t="str">
        <f ca="1">IFERROR(__xludf.DUMMYFUNCTION("GOOGLETRANSLATE(English!E971, ""en"", ""bg"")"),"Какво трябва да знам за вълните?")</f>
        <v>Какво трябва да знам за вълните?</v>
      </c>
      <c r="F971" s="1" t="str">
        <f ca="1">IFERROR(__xludf.DUMMYFUNCTION("GOOGLETRANSLATE(English!F971,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971" s="1" t="str">
        <f ca="1">IFERROR(__xludf.DUMMYFUNCTION("GOOGLETRANSLATE(English!G971, ""en"", ""bg"")"),"direct_qa")</f>
        <v>direct_qa</v>
      </c>
      <c r="H971" s="1" t="str">
        <f ca="1">IFERROR(__xludf.DUMMYFUNCTION("GOOGLETRANSLATE(English!H971, ""en"", ""bg"")"),"заявка_за_знание")</f>
        <v>заявка_за_знание</v>
      </c>
    </row>
    <row r="972" spans="1:8" ht="13.2" x14ac:dyDescent="0.25">
      <c r="A972" s="1" t="str">
        <f ca="1">IFERROR(__xludf.DUMMYFUNCTION("GOOGLETRANSLATE(English!A972, ""en"", ""bg"")"),"qa_10350")</f>
        <v>qa_10350</v>
      </c>
      <c r="B972" s="1" t="str">
        <f ca="1">IFERROR(__xludf.DUMMYFUNCTION("GOOGLETRANSLATE(English!B972, ""en"", ""bg"")"),"биология")</f>
        <v>биология</v>
      </c>
      <c r="C972" s="1" t="str">
        <f ca="1">IFERROR(__xludf.DUMMYFUNCTION("GOOGLETRANSLATE(English!C972, ""en"", ""bg"")"),"елементарен")</f>
        <v>елементарен</v>
      </c>
      <c r="D972" s="1" t="str">
        <f ca="1">IFERROR(__xludf.DUMMYFUNCTION("GOOGLETRANSLATE(English!D972, ""en"", ""bg"")"),"човешкото тяло")</f>
        <v>човешкото тяло</v>
      </c>
      <c r="E972" s="1" t="str">
        <f ca="1">IFERROR(__xludf.DUMMYFUNCTION("GOOGLETRANSLATE(English!E972, ""en"", ""bg"")"),"Как работи човешкото тяло?")</f>
        <v>Как работи човешкото тяло?</v>
      </c>
      <c r="F972" s="1" t="str">
        <f ca="1">IFERROR(__xludf.DUMMYFUNCTION("GOOGLETRANSLATE(English!F972,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972" s="1" t="str">
        <f ca="1">IFERROR(__xludf.DUMMYFUNCTION("GOOGLETRANSLATE(English!G972, ""en"", ""bg"")"),"direct_qa")</f>
        <v>direct_qa</v>
      </c>
      <c r="H972" s="1" t="str">
        <f ca="1">IFERROR(__xludf.DUMMYFUNCTION("GOOGLETRANSLATE(English!H972, ""en"", ""bg"")"),"заявка_за_знание")</f>
        <v>заявка_за_знание</v>
      </c>
    </row>
    <row r="973" spans="1:8" ht="13.2" x14ac:dyDescent="0.25">
      <c r="A973" s="1" t="str">
        <f ca="1">IFERROR(__xludf.DUMMYFUNCTION("GOOGLETRANSLATE(English!A973, ""en"", ""bg"")"),"conv_11543")</f>
        <v>conv_11543</v>
      </c>
      <c r="B973" s="1" t="str">
        <f ca="1">IFERROR(__xludf.DUMMYFUNCTION("GOOGLETRANSLATE(English!B973, ""en"", ""bg"")"),"физика")</f>
        <v>физика</v>
      </c>
      <c r="C973" s="1" t="str">
        <f ca="1">IFERROR(__xludf.DUMMYFUNCTION("GOOGLETRANSLATE(English!C973, ""en"", ""bg"")"),"елементарен")</f>
        <v>елементарен</v>
      </c>
      <c r="D973" s="1" t="str">
        <f ca="1">IFERROR(__xludf.DUMMYFUNCTION("GOOGLETRANSLATE(English!D973, ""en"", ""bg"")"),"горещо и студено")</f>
        <v>горещо и студено</v>
      </c>
      <c r="E973" s="1" t="str">
        <f ca="1">IFERROR(__xludf.DUMMYFUNCTION("GOOGLETRANSLATE(English!E973, ""en"", ""bg"")"),"Можете ли да ми обясните това? Защо топлото и студеното са важни?")</f>
        <v>Можете ли да ми обясните това? Защо топлото и студеното са важни?</v>
      </c>
      <c r="F973" s="1" t="str">
        <f ca="1">IFERROR(__xludf.DUMMYFUNCTION("GOOGLETRANSLATE(English!F973,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973" s="1" t="str">
        <f ca="1">IFERROR(__xludf.DUMMYFUNCTION("GOOGLETRANSLATE(English!G973, ""en"", ""bg"")"),"разговор")</f>
        <v>разговор</v>
      </c>
      <c r="H973" s="1" t="str">
        <f ca="1">IFERROR(__xludf.DUMMYFUNCTION("GOOGLETRANSLATE(English!H973, ""en"", ""bg"")"),"образователна_помощ")</f>
        <v>образователна_помощ</v>
      </c>
    </row>
    <row r="974" spans="1:8" ht="13.2" x14ac:dyDescent="0.25">
      <c r="A974" s="1" t="str">
        <f ca="1">IFERROR(__xludf.DUMMYFUNCTION("GOOGLETRANSLATE(English!A974, ""en"", ""bg"")"),"qa_08873")</f>
        <v>qa_08873</v>
      </c>
      <c r="B974" s="1" t="str">
        <f ca="1">IFERROR(__xludf.DUMMYFUNCTION("GOOGLETRANSLATE(English!B974, ""en"", ""bg"")"),"химия")</f>
        <v>химия</v>
      </c>
      <c r="C974" s="1" t="str">
        <f ca="1">IFERROR(__xludf.DUMMYFUNCTION("GOOGLETRANSLATE(English!C974, ""en"", ""bg"")"),"елементарен")</f>
        <v>елементарен</v>
      </c>
      <c r="D974" s="1" t="str">
        <f ca="1">IFERROR(__xludf.DUMMYFUNCTION("GOOGLETRANSLATE(English!D974, ""en"", ""bg"")"),"твърди вещества, течности, газове")</f>
        <v>твърди вещества, течности, газове</v>
      </c>
      <c r="E974" s="1" t="str">
        <f ca="1">IFERROR(__xludf.DUMMYFUNCTION("GOOGLETRANSLATE(English!E974, ""en"", ""bg"")"),"Защо ледът плава по водата?")</f>
        <v>Защо ледът плава по водата?</v>
      </c>
      <c r="F974" s="1" t="str">
        <f ca="1">IFERROR(__xludf.DUMMYFUNCTION("GOOGLETRANSLATE(English!F974,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974" s="1" t="str">
        <f ca="1">IFERROR(__xludf.DUMMYFUNCTION("GOOGLETRANSLATE(English!G974, ""en"", ""bg"")"),"direct_qa")</f>
        <v>direct_qa</v>
      </c>
      <c r="H974" s="1" t="str">
        <f ca="1">IFERROR(__xludf.DUMMYFUNCTION("GOOGLETRANSLATE(English!H974, ""en"", ""bg"")"),"заявка_за_знание")</f>
        <v>заявка_за_знание</v>
      </c>
    </row>
    <row r="975" spans="1:8" ht="13.2" x14ac:dyDescent="0.25">
      <c r="A975" s="1" t="str">
        <f ca="1">IFERROR(__xludf.DUMMYFUNCTION("GOOGLETRANSLATE(English!A975, ""en"", ""bg"")"),"hw_00950")</f>
        <v>hw_00950</v>
      </c>
      <c r="B975" s="1" t="str">
        <f ca="1">IFERROR(__xludf.DUMMYFUNCTION("GOOGLETRANSLATE(English!B975, ""en"", ""bg"")"),"физика")</f>
        <v>физика</v>
      </c>
      <c r="C975" s="1" t="str">
        <f ca="1">IFERROR(__xludf.DUMMYFUNCTION("GOOGLETRANSLATE(English!C975, ""en"", ""bg"")"),"средата")</f>
        <v>средата</v>
      </c>
      <c r="D975" s="1" t="str">
        <f ca="1">IFERROR(__xludf.DUMMYFUNCTION("GOOGLETRANSLATE(English!D975, ""en"", ""bg"")"),"състояния на материята")</f>
        <v>състояния на материята</v>
      </c>
      <c r="E975" s="1" t="str">
        <f ca="1">IFERROR(__xludf.DUMMYFUNCTION("GOOGLETRANSLATE(English!E975, ""en"", ""bg"")"),"Заседнал съм с този проблем със състоянията на материята. Можете ли да помогнете?")</f>
        <v>Заседнал съм с този проблем със състоянията на материята. Можете ли да помогнете?</v>
      </c>
      <c r="F975" s="1" t="str">
        <f ca="1">IFERROR(__xludf.DUMMYFUNCTION("GOOGLETRANSLATE(English!F975,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975" s="1" t="str">
        <f ca="1">IFERROR(__xludf.DUMMYFUNCTION("GOOGLETRANSLATE(English!G975, ""en"", ""bg"")"),"помощ_за_домашно_изпълнение")</f>
        <v>помощ_за_домашно_изпълнение</v>
      </c>
      <c r="H975" s="1" t="str">
        <f ca="1">IFERROR(__xludf.DUMMYFUNCTION("GOOGLETRANSLATE(English!H975, ""en"", ""bg"")"),"помощ_за_домашно_задаване")</f>
        <v>помощ_за_домашно_задаване</v>
      </c>
    </row>
    <row r="976" spans="1:8" ht="13.2" x14ac:dyDescent="0.25">
      <c r="A976" s="1" t="str">
        <f ca="1">IFERROR(__xludf.DUMMYFUNCTION("GOOGLETRANSLATE(English!A976, ""en"", ""bg"")"),"qa_06949")</f>
        <v>qa_06949</v>
      </c>
      <c r="B976" s="1" t="str">
        <f ca="1">IFERROR(__xludf.DUMMYFUNCTION("GOOGLETRANSLATE(English!B976, ""en"", ""bg"")"),"биология")</f>
        <v>биология</v>
      </c>
      <c r="C976" s="1" t="str">
        <f ca="1">IFERROR(__xludf.DUMMYFUNCTION("GOOGLETRANSLATE(English!C976, ""en"", ""bg"")"),"елементарен")</f>
        <v>елементарен</v>
      </c>
      <c r="D976" s="1" t="str">
        <f ca="1">IFERROR(__xludf.DUMMYFUNCTION("GOOGLETRANSLATE(English!D976, ""en"", ""bg"")"),"местообитания")</f>
        <v>местообитания</v>
      </c>
      <c r="E976" s="1" t="str">
        <f ca="1">IFERROR(__xludf.DUMMYFUNCTION("GOOGLETRANSLATE(English!E976, ""en"", ""bg"")"),"Защо местообитанията са важни в биологията?")</f>
        <v>Защо местообитанията са важни в биологията?</v>
      </c>
      <c r="F976" s="1" t="str">
        <f ca="1">IFERROR(__xludf.DUMMYFUNCTION("GOOGLETRANSLATE(English!F976,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976" s="1" t="str">
        <f ca="1">IFERROR(__xludf.DUMMYFUNCTION("GOOGLETRANSLATE(English!G976, ""en"", ""bg"")"),"direct_qa")</f>
        <v>direct_qa</v>
      </c>
      <c r="H976" s="1" t="str">
        <f ca="1">IFERROR(__xludf.DUMMYFUNCTION("GOOGLETRANSLATE(English!H976, ""en"", ""bg"")"),"заявка_за_знание")</f>
        <v>заявка_за_знание</v>
      </c>
    </row>
    <row r="977" spans="1:8" ht="13.2" x14ac:dyDescent="0.25">
      <c r="A977" s="1" t="str">
        <f ca="1">IFERROR(__xludf.DUMMYFUNCTION("GOOGLETRANSLATE(English!A977, ""en"", ""bg"")"),"conv_13346")</f>
        <v>conv_13346</v>
      </c>
      <c r="B977" s="1" t="str">
        <f ca="1">IFERROR(__xludf.DUMMYFUNCTION("GOOGLETRANSLATE(English!B977, ""en"", ""bg"")"),"биология")</f>
        <v>биология</v>
      </c>
      <c r="C977" s="1" t="str">
        <f ca="1">IFERROR(__xludf.DUMMYFUNCTION("GOOGLETRANSLATE(English!C977, ""en"", ""bg"")"),"високо")</f>
        <v>високо</v>
      </c>
      <c r="D977" s="1" t="str">
        <f ca="1">IFERROR(__xludf.DUMMYFUNCTION("GOOGLETRANSLATE(English!D977, ""en"", ""bg"")"),"модели на наследяване")</f>
        <v>модели на наследяване</v>
      </c>
      <c r="E977" s="1" t="str">
        <f ca="1">IFERROR(__xludf.DUMMYFUNCTION("GOOGLETRANSLATE(English!E977, ""en"", ""bg"")"),"Здравей, преподавателю! Можеш ли да ми кажеш за моделите на наследяване?")</f>
        <v>Здравей, преподавателю! Можеш ли да ми кажеш за моделите на наследяване?</v>
      </c>
      <c r="F977" s="1" t="str">
        <f ca="1">IFERROR(__xludf.DUMMYFUNCTION("GOOGLETRANSLATE(English!F977,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977" s="1" t="str">
        <f ca="1">IFERROR(__xludf.DUMMYFUNCTION("GOOGLETRANSLATE(English!G977, ""en"", ""bg"")"),"разговор")</f>
        <v>разговор</v>
      </c>
      <c r="H977" s="1" t="str">
        <f ca="1">IFERROR(__xludf.DUMMYFUNCTION("GOOGLETRANSLATE(English!H977, ""en"", ""bg"")"),"образователна_помощ")</f>
        <v>образователна_помощ</v>
      </c>
    </row>
    <row r="978" spans="1:8" ht="13.2" x14ac:dyDescent="0.25">
      <c r="A978" s="1" t="str">
        <f ca="1">IFERROR(__xludf.DUMMYFUNCTION("GOOGLETRANSLATE(English!A978, ""en"", ""bg"")"),"conv_18047")</f>
        <v>conv_18047</v>
      </c>
      <c r="B978" s="1" t="str">
        <f ca="1">IFERROR(__xludf.DUMMYFUNCTION("GOOGLETRANSLATE(English!B978, ""en"", ""bg"")"),"физика")</f>
        <v>физика</v>
      </c>
      <c r="C978" s="1" t="str">
        <f ca="1">IFERROR(__xludf.DUMMYFUNCTION("GOOGLETRANSLATE(English!C978, ""en"", ""bg"")"),"високо")</f>
        <v>високо</v>
      </c>
      <c r="D978" s="1" t="str">
        <f ca="1">IFERROR(__xludf.DUMMYFUNCTION("GOOGLETRANSLATE(English!D978, ""en"", ""bg"")"),"електромагнетизъм")</f>
        <v>електромагнетизъм</v>
      </c>
      <c r="E978" s="1" t="str">
        <f ca="1">IFERROR(__xludf.DUMMYFUNCTION("GOOGLETRANSLATE(English!E978, ""en"", ""bg"")"),"Не разбирам тази тема. Как работи електромагнетизмът във физиката?")</f>
        <v>Не разбирам тази тема. Как работи електромагнетизмът във физиката?</v>
      </c>
      <c r="F978" s="1" t="str">
        <f ca="1">IFERROR(__xludf.DUMMYFUNCTION("GOOGLETRANSLATE(English!F978,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978" s="1" t="str">
        <f ca="1">IFERROR(__xludf.DUMMYFUNCTION("GOOGLETRANSLATE(English!G978, ""en"", ""bg"")"),"разговор")</f>
        <v>разговор</v>
      </c>
      <c r="H978" s="1" t="str">
        <f ca="1">IFERROR(__xludf.DUMMYFUNCTION("GOOGLETRANSLATE(English!H978, ""en"", ""bg"")"),"образователна_помощ")</f>
        <v>образователна_помощ</v>
      </c>
    </row>
    <row r="979" spans="1:8" ht="13.2" x14ac:dyDescent="0.25">
      <c r="A979" s="1" t="str">
        <f ca="1">IFERROR(__xludf.DUMMYFUNCTION("GOOGLETRANSLATE(English!A979, ""en"", ""bg"")"),"conv_02663")</f>
        <v>conv_02663</v>
      </c>
      <c r="B979" s="1" t="str">
        <f ca="1">IFERROR(__xludf.DUMMYFUNCTION("GOOGLETRANSLATE(English!B979, ""en"", ""bg"")"),"химия")</f>
        <v>химия</v>
      </c>
      <c r="C979" s="1" t="str">
        <f ca="1">IFERROR(__xludf.DUMMYFUNCTION("GOOGLETRANSLATE(English!C979, ""en"", ""bg"")"),"високо")</f>
        <v>високо</v>
      </c>
      <c r="D979" s="1" t="str">
        <f ca="1">IFERROR(__xludf.DUMMYFUNCTION("GOOGLETRANSLATE(English!D979, ""en"", ""bg"")"),"стехиометрия")</f>
        <v>стехиометрия</v>
      </c>
      <c r="E979" s="1" t="str">
        <f ca="1">IFERROR(__xludf.DUMMYFUNCTION("GOOGLETRANSLATE(English!E979, ""en"", ""bg"")"),"Можете ли да ми помогнете? Защо е важно да се учи стехиометрията?")</f>
        <v>Можете ли да ми помогнете? Защо е важно да се учи стехиометрията?</v>
      </c>
      <c r="F979" s="1" t="str">
        <f ca="1">IFERROR(__xludf.DUMMYFUNCTION("GOOGLETRANSLATE(English!F979,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979" s="1" t="str">
        <f ca="1">IFERROR(__xludf.DUMMYFUNCTION("GOOGLETRANSLATE(English!G979, ""en"", ""bg"")"),"разговор")</f>
        <v>разговор</v>
      </c>
      <c r="H979" s="1" t="str">
        <f ca="1">IFERROR(__xludf.DUMMYFUNCTION("GOOGLETRANSLATE(English!H979, ""en"", ""bg"")"),"образователна_помощ")</f>
        <v>образователна_помощ</v>
      </c>
    </row>
    <row r="980" spans="1:8" ht="13.2" x14ac:dyDescent="0.25">
      <c r="A980" s="1" t="str">
        <f ca="1">IFERROR(__xludf.DUMMYFUNCTION("GOOGLETRANSLATE(English!A980, ""en"", ""bg"")"),"conv_11180")</f>
        <v>conv_11180</v>
      </c>
      <c r="B980" s="1" t="str">
        <f ca="1">IFERROR(__xludf.DUMMYFUNCTION("GOOGLETRANSLATE(English!B980, ""en"", ""bg"")"),"биология")</f>
        <v>биология</v>
      </c>
      <c r="C980" s="1" t="str">
        <f ca="1">IFERROR(__xludf.DUMMYFUNCTION("GOOGLETRANSLATE(English!C980, ""en"", ""bg"")"),"високо")</f>
        <v>високо</v>
      </c>
      <c r="D980" s="1" t="str">
        <f ca="1">IFERROR(__xludf.DUMMYFUNCTION("GOOGLETRANSLATE(English!D980, ""en"", ""bg"")"),"молекулярна биология")</f>
        <v>молекулярна биология</v>
      </c>
      <c r="E980" s="1" t="str">
        <f ca="1">IFERROR(__xludf.DUMMYFUNCTION("GOOGLETRANSLATE(English!E980, ""en"", ""bg"")"),"Можете ли да ми помогнете? Как работи молекулярната биология?")</f>
        <v>Можете ли да ми помогнете? Как работи молекулярната биология?</v>
      </c>
      <c r="F980" s="1" t="str">
        <f ca="1">IFERROR(__xludf.DUMMYFUNCTION("GOOGLETRANSLATE(English!F980,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980" s="1" t="str">
        <f ca="1">IFERROR(__xludf.DUMMYFUNCTION("GOOGLETRANSLATE(English!G980, ""en"", ""bg"")"),"разговор")</f>
        <v>разговор</v>
      </c>
      <c r="H980" s="1" t="str">
        <f ca="1">IFERROR(__xludf.DUMMYFUNCTION("GOOGLETRANSLATE(English!H980, ""en"", ""bg"")"),"образователна_помощ")</f>
        <v>образователна_помощ</v>
      </c>
    </row>
    <row r="981" spans="1:8" ht="13.2" x14ac:dyDescent="0.25">
      <c r="A981" s="1" t="str">
        <f ca="1">IFERROR(__xludf.DUMMYFUNCTION("GOOGLETRANSLATE(English!A981, ""en"", ""bg"")"),"qa_02100")</f>
        <v>qa_02100</v>
      </c>
      <c r="B981" s="1" t="str">
        <f ca="1">IFERROR(__xludf.DUMMYFUNCTION("GOOGLETRANSLATE(English!B981, ""en"", ""bg"")"),"физика")</f>
        <v>физика</v>
      </c>
      <c r="C981" s="1" t="str">
        <f ca="1">IFERROR(__xludf.DUMMYFUNCTION("GOOGLETRANSLATE(English!C981, ""en"", ""bg"")"),"средата")</f>
        <v>средата</v>
      </c>
      <c r="D981" s="1" t="str">
        <f ca="1">IFERROR(__xludf.DUMMYFUNCTION("GOOGLETRANSLATE(English!D981, ""en"", ""bg"")"),"прости схеми")</f>
        <v>прости схеми</v>
      </c>
      <c r="E981" s="1" t="str">
        <f ca="1">IFERROR(__xludf.DUMMYFUNCTION("GOOGLETRANSLATE(English!E981, ""en"", ""bg"")"),"Можете ли да ми обясните прости схеми?")</f>
        <v>Можете ли да ми обясните прости схеми?</v>
      </c>
      <c r="F981" s="1" t="str">
        <f ca="1">IFERROR(__xludf.DUMMYFUNCTION("GOOGLETRANSLATE(English!F981, ""en"", ""bg"")"),"Простите електрически вериги са интересна физическа концепция, която ни помага да разберем как работят нещата в нашия свят!")</f>
        <v>Простите електрически вериги са интересна физическа концепция, която ни помага да разберем как работят нещата в нашия свят!</v>
      </c>
      <c r="G981" s="1" t="str">
        <f ca="1">IFERROR(__xludf.DUMMYFUNCTION("GOOGLETRANSLATE(English!G981, ""en"", ""bg"")"),"direct_qa")</f>
        <v>direct_qa</v>
      </c>
      <c r="H981" s="1" t="str">
        <f ca="1">IFERROR(__xludf.DUMMYFUNCTION("GOOGLETRANSLATE(English!H981, ""en"", ""bg"")"),"заявка_за_знание")</f>
        <v>заявка_за_знание</v>
      </c>
    </row>
    <row r="982" spans="1:8" ht="13.2" x14ac:dyDescent="0.25">
      <c r="A982" s="1" t="str">
        <f ca="1">IFERROR(__xludf.DUMMYFUNCTION("GOOGLETRANSLATE(English!A982, ""en"", ""bg"")"),"hw_05100")</f>
        <v>hw_05100</v>
      </c>
      <c r="B982" s="1" t="str">
        <f ca="1">IFERROR(__xludf.DUMMYFUNCTION("GOOGLETRANSLATE(English!B982, ""en"", ""bg"")"),"биология")</f>
        <v>биология</v>
      </c>
      <c r="C982" s="1" t="str">
        <f ca="1">IFERROR(__xludf.DUMMYFUNCTION("GOOGLETRANSLATE(English!C982, ""en"", ""bg"")"),"средата")</f>
        <v>средата</v>
      </c>
      <c r="D982" s="1" t="str">
        <f ca="1">IFERROR(__xludf.DUMMYFUNCTION("GOOGLETRANSLATE(English!D982, ""en"", ""bg"")"),"дишане")</f>
        <v>дишане</v>
      </c>
      <c r="E982" s="1" t="str">
        <f ca="1">IFERROR(__xludf.DUMMYFUNCTION("GOOGLETRANSLATE(English!E982, ""en"", ""bg"")"),"Можете ли да обясните дишането за моя научен проект?")</f>
        <v>Можете ли да обясните дишането за моя научен проект?</v>
      </c>
      <c r="F982" s="1" t="str">
        <f ca="1">IFERROR(__xludf.DUMMYFUNCTION("GOOGLETRANSLATE(English!F982,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982" s="1" t="str">
        <f ca="1">IFERROR(__xludf.DUMMYFUNCTION("GOOGLETRANSLATE(English!G982, ""en"", ""bg"")"),"помощ_за_домашно_изпълнение")</f>
        <v>помощ_за_домашно_изпълнение</v>
      </c>
      <c r="H982" s="1" t="str">
        <f ca="1">IFERROR(__xludf.DUMMYFUNCTION("GOOGLETRANSLATE(English!H982, ""en"", ""bg"")"),"помощ_за_домашно_задаване")</f>
        <v>помощ_за_домашно_задаване</v>
      </c>
    </row>
    <row r="983" spans="1:8" ht="13.2" x14ac:dyDescent="0.25">
      <c r="A983" s="1" t="str">
        <f ca="1">IFERROR(__xludf.DUMMYFUNCTION("GOOGLETRANSLATE(English!A983, ""en"", ""bg"")"),"hw_11919")</f>
        <v>hw_11919</v>
      </c>
      <c r="B983" s="1" t="str">
        <f ca="1">IFERROR(__xludf.DUMMYFUNCTION("GOOGLETRANSLATE(English!B983, ""en"", ""bg"")"),"биология")</f>
        <v>биология</v>
      </c>
      <c r="C983" s="1" t="str">
        <f ca="1">IFERROR(__xludf.DUMMYFUNCTION("GOOGLETRANSLATE(English!C983, ""en"", ""bg"")"),"високо")</f>
        <v>високо</v>
      </c>
      <c r="D983" s="1" t="str">
        <f ca="1">IFERROR(__xludf.DUMMYFUNCTION("GOOGLETRANSLATE(English!D983, ""en"", ""bg"")"),"клетъчно дишане")</f>
        <v>клетъчно дишане</v>
      </c>
      <c r="E983" s="1" t="str">
        <f ca="1">IFERROR(__xludf.DUMMYFUNCTION("GOOGLETRANSLATE(English!E983,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983" s="1" t="str">
        <f ca="1">IFERROR(__xludf.DUMMYFUNCTION("GOOGLETRANSLATE(English!F983,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983" s="1" t="str">
        <f ca="1">IFERROR(__xludf.DUMMYFUNCTION("GOOGLETRANSLATE(English!G983, ""en"", ""bg"")"),"помощ_за_домашно_изпълнение")</f>
        <v>помощ_за_домашно_изпълнение</v>
      </c>
      <c r="H983" s="1" t="str">
        <f ca="1">IFERROR(__xludf.DUMMYFUNCTION("GOOGLETRANSLATE(English!H983, ""en"", ""bg"")"),"помощ_за_домашно_задаване")</f>
        <v>помощ_за_домашно_задаване</v>
      </c>
    </row>
    <row r="984" spans="1:8" ht="13.2" x14ac:dyDescent="0.25">
      <c r="A984" s="1" t="str">
        <f ca="1">IFERROR(__xludf.DUMMYFUNCTION("GOOGLETRANSLATE(English!A984, ""en"", ""bg"")"),"hw_08659")</f>
        <v>hw_08659</v>
      </c>
      <c r="B984" s="1" t="str">
        <f ca="1">IFERROR(__xludf.DUMMYFUNCTION("GOOGLETRANSLATE(English!B984, ""en"", ""bg"")"),"физика")</f>
        <v>физика</v>
      </c>
      <c r="C984" s="1" t="str">
        <f ca="1">IFERROR(__xludf.DUMMYFUNCTION("GOOGLETRANSLATE(English!C984, ""en"", ""bg"")"),"елементарен")</f>
        <v>елементарен</v>
      </c>
      <c r="D984" s="1" t="str">
        <f ca="1">IFERROR(__xludf.DUMMYFUNCTION("GOOGLETRANSLATE(English!D984, ""en"", ""bg"")"),"магнити")</f>
        <v>магнити</v>
      </c>
      <c r="E984" s="1" t="str">
        <f ca="1">IFERROR(__xludf.DUMMYFUNCTION("GOOGLETRANSLATE(English!E984, ""en"", ""bg"")"),"Заседнал съм с този проблем с магнитите. Можете ли да помогнете?")</f>
        <v>Заседнал съм с този проблем с магнитите. Можете ли да помогнете?</v>
      </c>
      <c r="F984" s="1" t="str">
        <f ca="1">IFERROR(__xludf.DUMMYFUNCTION("GOOGLETRANSLATE(English!F984,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984" s="1" t="str">
        <f ca="1">IFERROR(__xludf.DUMMYFUNCTION("GOOGLETRANSLATE(English!G984, ""en"", ""bg"")"),"помощ_за_домашно_изпълнение")</f>
        <v>помощ_за_домашно_изпълнение</v>
      </c>
      <c r="H984" s="1" t="str">
        <f ca="1">IFERROR(__xludf.DUMMYFUNCTION("GOOGLETRANSLATE(English!H984, ""en"", ""bg"")"),"помощ_за_домашно_задаване")</f>
        <v>помощ_за_домашно_задаване</v>
      </c>
    </row>
    <row r="985" spans="1:8" ht="13.2" x14ac:dyDescent="0.25">
      <c r="A985" s="1" t="str">
        <f ca="1">IFERROR(__xludf.DUMMYFUNCTION("GOOGLETRANSLATE(English!A985, ""en"", ""bg"")"),"hw_05734")</f>
        <v>hw_05734</v>
      </c>
      <c r="B985" s="1" t="str">
        <f ca="1">IFERROR(__xludf.DUMMYFUNCTION("GOOGLETRANSLATE(English!B985, ""en"", ""bg"")"),"биология")</f>
        <v>биология</v>
      </c>
      <c r="C985" s="1" t="str">
        <f ca="1">IFERROR(__xludf.DUMMYFUNCTION("GOOGLETRANSLATE(English!C985, ""en"", ""bg"")"),"високо")</f>
        <v>високо</v>
      </c>
      <c r="D985" s="1" t="str">
        <f ca="1">IFERROR(__xludf.DUMMYFUNCTION("GOOGLETRANSLATE(English!D985, ""en"", ""bg"")"),"модели на наследяване")</f>
        <v>модели на наследяване</v>
      </c>
      <c r="E985" s="1" t="str">
        <f ca="1">IFERROR(__xludf.DUMMYFUNCTION("GOOGLETRANSLATE(English!E985, ""en"", ""bg"")"),"Можете ли да обясните моделите на наследяване за моя научен проект?")</f>
        <v>Можете ли да обясните моделите на наследяване за моя научен проект?</v>
      </c>
      <c r="F985" s="1" t="str">
        <f ca="1">IFERROR(__xludf.DUMMYFUNCTION("GOOGLETRANSLATE(English!F985,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985" s="1" t="str">
        <f ca="1">IFERROR(__xludf.DUMMYFUNCTION("GOOGLETRANSLATE(English!G985, ""en"", ""bg"")"),"помощ_за_домашно_изпълнение")</f>
        <v>помощ_за_домашно_изпълнение</v>
      </c>
      <c r="H985" s="1" t="str">
        <f ca="1">IFERROR(__xludf.DUMMYFUNCTION("GOOGLETRANSLATE(English!H985, ""en"", ""bg"")"),"помощ_за_домашно_задаване")</f>
        <v>помощ_за_домашно_задаване</v>
      </c>
    </row>
    <row r="986" spans="1:8" ht="13.2" x14ac:dyDescent="0.25">
      <c r="A986" s="1" t="str">
        <f ca="1">IFERROR(__xludf.DUMMYFUNCTION("GOOGLETRANSLATE(English!A986, ""en"", ""bg"")"),"conv_04567")</f>
        <v>conv_04567</v>
      </c>
      <c r="B986" s="1" t="str">
        <f ca="1">IFERROR(__xludf.DUMMYFUNCTION("GOOGLETRANSLATE(English!B986, ""en"", ""bg"")"),"физика")</f>
        <v>физика</v>
      </c>
      <c r="C986" s="1" t="str">
        <f ca="1">IFERROR(__xludf.DUMMYFUNCTION("GOOGLETRANSLATE(English!C986, ""en"", ""bg"")"),"средата")</f>
        <v>средата</v>
      </c>
      <c r="D986" s="1" t="str">
        <f ca="1">IFERROR(__xludf.DUMMYFUNCTION("GOOGLETRANSLATE(English!D986, ""en"", ""bg"")"),"сили и движение")</f>
        <v>сили и движение</v>
      </c>
      <c r="E986" s="1" t="str">
        <f ca="1">IFERROR(__xludf.DUMMYFUNCTION("GOOGLETRANSLATE(English!E986, ""en"", ""bg"")"),"Не разбирам тази тема. Какво е ускорение?")</f>
        <v>Не разбирам тази тема. Какво е ускорение?</v>
      </c>
      <c r="F986" s="1" t="str">
        <f ca="1">IFERROR(__xludf.DUMMYFUNCTION("GOOGLETRANSLATE(English!F986,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986" s="1" t="str">
        <f ca="1">IFERROR(__xludf.DUMMYFUNCTION("GOOGLETRANSLATE(English!G986, ""en"", ""bg"")"),"разговор")</f>
        <v>разговор</v>
      </c>
      <c r="H986" s="1" t="str">
        <f ca="1">IFERROR(__xludf.DUMMYFUNCTION("GOOGLETRANSLATE(English!H986, ""en"", ""bg"")"),"образователна_помощ")</f>
        <v>образователна_помощ</v>
      </c>
    </row>
    <row r="987" spans="1:8" ht="13.2" x14ac:dyDescent="0.25">
      <c r="A987" s="1" t="str">
        <f ca="1">IFERROR(__xludf.DUMMYFUNCTION("GOOGLETRANSLATE(English!A987, ""en"", ""bg"")"),"qa_12079")</f>
        <v>qa_12079</v>
      </c>
      <c r="B987" s="1" t="str">
        <f ca="1">IFERROR(__xludf.DUMMYFUNCTION("GOOGLETRANSLATE(English!B987, ""en"", ""bg"")"),"физика")</f>
        <v>физика</v>
      </c>
      <c r="C987" s="1" t="str">
        <f ca="1">IFERROR(__xludf.DUMMYFUNCTION("GOOGLETRANSLATE(English!C987, ""en"", ""bg"")"),"елементарен")</f>
        <v>елементарен</v>
      </c>
      <c r="D987" s="1" t="str">
        <f ca="1">IFERROR(__xludf.DUMMYFUNCTION("GOOGLETRANSLATE(English!D987, ""en"", ""bg"")"),"плаващ и потъващ")</f>
        <v>плаващ и потъващ</v>
      </c>
      <c r="E987" s="1" t="str">
        <f ca="1">IFERROR(__xludf.DUMMYFUNCTION("GOOGLETRANSLATE(English!E987, ""en"", ""bg"")"),"Можете ли да ми обясните какво е плаване и потъване?")</f>
        <v>Можете ли да ми обясните какво е плаване и потъване?</v>
      </c>
      <c r="F987" s="1" t="str">
        <f ca="1">IFERROR(__xludf.DUMMYFUNCTION("GOOGLETRANSLATE(English!F987,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987" s="1" t="str">
        <f ca="1">IFERROR(__xludf.DUMMYFUNCTION("GOOGLETRANSLATE(English!G987, ""en"", ""bg"")"),"direct_qa")</f>
        <v>direct_qa</v>
      </c>
      <c r="H987" s="1" t="str">
        <f ca="1">IFERROR(__xludf.DUMMYFUNCTION("GOOGLETRANSLATE(English!H987, ""en"", ""bg"")"),"заявка_за_знание")</f>
        <v>заявка_за_знание</v>
      </c>
    </row>
    <row r="988" spans="1:8" ht="13.2" x14ac:dyDescent="0.25">
      <c r="A988" s="1" t="str">
        <f ca="1">IFERROR(__xludf.DUMMYFUNCTION("GOOGLETRANSLATE(English!A988, ""en"", ""bg"")"),"conv_17191")</f>
        <v>conv_17191</v>
      </c>
      <c r="B988" s="1" t="str">
        <f ca="1">IFERROR(__xludf.DUMMYFUNCTION("GOOGLETRANSLATE(English!B988, ""en"", ""bg"")"),"физика")</f>
        <v>физика</v>
      </c>
      <c r="C988" s="1" t="str">
        <f ca="1">IFERROR(__xludf.DUMMYFUNCTION("GOOGLETRANSLATE(English!C988, ""en"", ""bg"")"),"елементарен")</f>
        <v>елементарен</v>
      </c>
      <c r="D988" s="1" t="str">
        <f ca="1">IFERROR(__xludf.DUMMYFUNCTION("GOOGLETRANSLATE(English!D988, ""en"", ""bg"")"),"плаващ и потъващ")</f>
        <v>плаващ и потъващ</v>
      </c>
      <c r="E988" s="1" t="str">
        <f ca="1">IFERROR(__xludf.DUMMYFUNCTION("GOOGLETRANSLATE(English!E988, ""en"", ""bg"")"),"Можете ли да ми помогнете? Защо е важно да се носиш и да потъваш?")</f>
        <v>Можете ли да ми помогнете? Защо е важно да се носиш и да потъваш?</v>
      </c>
      <c r="F988" s="1" t="str">
        <f ca="1">IFERROR(__xludf.DUMMYFUNCTION("GOOGLETRANSLATE(English!F988,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988" s="1" t="str">
        <f ca="1">IFERROR(__xludf.DUMMYFUNCTION("GOOGLETRANSLATE(English!G988, ""en"", ""bg"")"),"разговор")</f>
        <v>разговор</v>
      </c>
      <c r="H988" s="1" t="str">
        <f ca="1">IFERROR(__xludf.DUMMYFUNCTION("GOOGLETRANSLATE(English!H988, ""en"", ""bg"")"),"образователна_помощ")</f>
        <v>образователна_помощ</v>
      </c>
    </row>
    <row r="989" spans="1:8" ht="13.2" x14ac:dyDescent="0.25">
      <c r="A989" s="1" t="str">
        <f ca="1">IFERROR(__xludf.DUMMYFUNCTION("GOOGLETRANSLATE(English!A989, ""en"", ""bg"")"),"conv_01548")</f>
        <v>conv_01548</v>
      </c>
      <c r="B989" s="1" t="str">
        <f ca="1">IFERROR(__xludf.DUMMYFUNCTION("GOOGLETRANSLATE(English!B989, ""en"", ""bg"")"),"физика")</f>
        <v>физика</v>
      </c>
      <c r="C989" s="1" t="str">
        <f ca="1">IFERROR(__xludf.DUMMYFUNCTION("GOOGLETRANSLATE(English!C989, ""en"", ""bg"")"),"елементарен")</f>
        <v>елементарен</v>
      </c>
      <c r="D989" s="1" t="str">
        <f ca="1">IFERROR(__xludf.DUMMYFUNCTION("GOOGLETRANSLATE(English!D989, ""en"", ""bg"")"),"прости машини")</f>
        <v>прости машини</v>
      </c>
      <c r="E989" s="1" t="str">
        <f ca="1">IFERROR(__xludf.DUMMYFUNCTION("GOOGLETRANSLATE(English!E989, ""en"", ""bg"")"),"Можете ли да ми помогнете? Какво трябва да знам за простите машини?")</f>
        <v>Можете ли да ми помогнете? Какво трябва да знам за простите машини?</v>
      </c>
      <c r="F989" s="1" t="str">
        <f ca="1">IFERROR(__xludf.DUMMYFUNCTION("GOOGLETRANSLATE(English!F989,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989" s="1" t="str">
        <f ca="1">IFERROR(__xludf.DUMMYFUNCTION("GOOGLETRANSLATE(English!G989, ""en"", ""bg"")"),"разговор")</f>
        <v>разговор</v>
      </c>
      <c r="H989" s="1" t="str">
        <f ca="1">IFERROR(__xludf.DUMMYFUNCTION("GOOGLETRANSLATE(English!H989, ""en"", ""bg"")"),"образователна_помощ")</f>
        <v>образователна_помощ</v>
      </c>
    </row>
    <row r="990" spans="1:8" ht="13.2" x14ac:dyDescent="0.25">
      <c r="A990" s="1" t="str">
        <f ca="1">IFERROR(__xludf.DUMMYFUNCTION("GOOGLETRANSLATE(English!A990, ""en"", ""bg"")"),"qa_10678")</f>
        <v>qa_10678</v>
      </c>
      <c r="B990" s="1" t="str">
        <f ca="1">IFERROR(__xludf.DUMMYFUNCTION("GOOGLETRANSLATE(English!B990, ""en"", ""bg"")"),"химия")</f>
        <v>химия</v>
      </c>
      <c r="C990" s="1" t="str">
        <f ca="1">IFERROR(__xludf.DUMMYFUNCTION("GOOGLETRANSLATE(English!C990, ""en"", ""bg"")"),"елементарен")</f>
        <v>елементарен</v>
      </c>
      <c r="D990" s="1" t="str">
        <f ca="1">IFERROR(__xludf.DUMMYFUNCTION("GOOGLETRANSLATE(English!D990, ""en"", ""bg"")"),"разтваряне")</f>
        <v>разтваряне</v>
      </c>
      <c r="E990" s="1" t="str">
        <f ca="1">IFERROR(__xludf.DUMMYFUNCTION("GOOGLETRANSLATE(English!E990, ""en"", ""bg"")"),"Как работи разтварянето в химията?")</f>
        <v>Как работи разтварянето в химията?</v>
      </c>
      <c r="F990" s="1" t="str">
        <f ca="1">IFERROR(__xludf.DUMMYFUNCTION("GOOGLETRANSLATE(English!F990,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990" s="1" t="str">
        <f ca="1">IFERROR(__xludf.DUMMYFUNCTION("GOOGLETRANSLATE(English!G990, ""en"", ""bg"")"),"direct_qa")</f>
        <v>direct_qa</v>
      </c>
      <c r="H990" s="1" t="str">
        <f ca="1">IFERROR(__xludf.DUMMYFUNCTION("GOOGLETRANSLATE(English!H990, ""en"", ""bg"")"),"заявка_за_знание")</f>
        <v>заявка_за_знание</v>
      </c>
    </row>
    <row r="991" spans="1:8" ht="13.2" x14ac:dyDescent="0.25">
      <c r="A991" s="1" t="str">
        <f ca="1">IFERROR(__xludf.DUMMYFUNCTION("GOOGLETRANSLATE(English!A991, ""en"", ""bg"")"),"conv_18511")</f>
        <v>conv_18511</v>
      </c>
      <c r="B991" s="1" t="str">
        <f ca="1">IFERROR(__xludf.DUMMYFUNCTION("GOOGLETRANSLATE(English!B991, ""en"", ""bg"")"),"биология")</f>
        <v>биология</v>
      </c>
      <c r="C991" s="1" t="str">
        <f ca="1">IFERROR(__xludf.DUMMYFUNCTION("GOOGLETRANSLATE(English!C991, ""en"", ""bg"")"),"средата")</f>
        <v>средата</v>
      </c>
      <c r="D991" s="1" t="str">
        <f ca="1">IFERROR(__xludf.DUMMYFUNCTION("GOOGLETRANSLATE(English!D991, ""en"", ""bg"")"),"екосистеми")</f>
        <v>екосистеми</v>
      </c>
      <c r="E991" s="1" t="str">
        <f ca="1">IFERROR(__xludf.DUMMYFUNCTION("GOOGLETRANSLATE(English!E991, ""en"", ""bg"")"),"Имам научен въпрос. Как функционират екосистемите?")</f>
        <v>Имам научен въпрос. Как функционират екосистемите?</v>
      </c>
      <c r="F991" s="1" t="str">
        <f ca="1">IFERROR(__xludf.DUMMYFUNCTION("GOOGLETRANSLATE(English!F991,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991" s="1" t="str">
        <f ca="1">IFERROR(__xludf.DUMMYFUNCTION("GOOGLETRANSLATE(English!G991, ""en"", ""bg"")"),"разговор")</f>
        <v>разговор</v>
      </c>
      <c r="H991" s="1" t="str">
        <f ca="1">IFERROR(__xludf.DUMMYFUNCTION("GOOGLETRANSLATE(English!H991, ""en"", ""bg"")"),"образователна_помощ")</f>
        <v>образователна_помощ</v>
      </c>
    </row>
    <row r="992" spans="1:8" ht="13.2" x14ac:dyDescent="0.25">
      <c r="A992" s="1" t="str">
        <f ca="1">IFERROR(__xludf.DUMMYFUNCTION("GOOGLETRANSLATE(English!A992, ""en"", ""bg"")"),"conv_03283")</f>
        <v>conv_03283</v>
      </c>
      <c r="B992" s="1" t="str">
        <f ca="1">IFERROR(__xludf.DUMMYFUNCTION("GOOGLETRANSLATE(English!B992, ""en"", ""bg"")"),"биология")</f>
        <v>биология</v>
      </c>
      <c r="C992" s="1" t="str">
        <f ca="1">IFERROR(__xludf.DUMMYFUNCTION("GOOGLETRANSLATE(English!C992, ""en"", ""bg"")"),"средата")</f>
        <v>средата</v>
      </c>
      <c r="D992" s="1" t="str">
        <f ca="1">IFERROR(__xludf.DUMMYFUNCTION("GOOGLETRANSLATE(English!D992, ""en"", ""bg"")"),"основи на генетиката")</f>
        <v>основи на генетиката</v>
      </c>
      <c r="E992" s="1" t="str">
        <f ca="1">IFERROR(__xludf.DUMMYFUNCTION("GOOGLETRANSLATE(English!E992, ""en"", ""bg"")"),"Помогнете ми да уча за теста. Можете ли да ми разкажете за основите на генетиката?")</f>
        <v>Помогнете ми да уча за теста. Можете ли да ми разкажете за основите на генетиката?</v>
      </c>
      <c r="F992" s="1" t="str">
        <f ca="1">IFERROR(__xludf.DUMMYFUNCTION("GOOGLETRANSLATE(English!F992,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992" s="1" t="str">
        <f ca="1">IFERROR(__xludf.DUMMYFUNCTION("GOOGLETRANSLATE(English!G992, ""en"", ""bg"")"),"разговор")</f>
        <v>разговор</v>
      </c>
      <c r="H992" s="1" t="str">
        <f ca="1">IFERROR(__xludf.DUMMYFUNCTION("GOOGLETRANSLATE(English!H992, ""en"", ""bg"")"),"образователна_помощ")</f>
        <v>образователна_помощ</v>
      </c>
    </row>
    <row r="993" spans="1:8" ht="13.2" x14ac:dyDescent="0.25">
      <c r="A993" s="1" t="str">
        <f ca="1">IFERROR(__xludf.DUMMYFUNCTION("GOOGLETRANSLATE(English!A993, ""en"", ""bg"")"),"conv_11479")</f>
        <v>conv_11479</v>
      </c>
      <c r="B993" s="1" t="str">
        <f ca="1">IFERROR(__xludf.DUMMYFUNCTION("GOOGLETRANSLATE(English!B993, ""en"", ""bg"")"),"биология")</f>
        <v>биология</v>
      </c>
      <c r="C993" s="1" t="str">
        <f ca="1">IFERROR(__xludf.DUMMYFUNCTION("GOOGLETRANSLATE(English!C993, ""en"", ""bg"")"),"елементарен")</f>
        <v>елементарен</v>
      </c>
      <c r="D993" s="1" t="str">
        <f ca="1">IFERROR(__xludf.DUMMYFUNCTION("GOOGLETRANSLATE(English!D993, ""en"", ""bg"")"),"хранителни вериги")</f>
        <v>хранителни вериги</v>
      </c>
      <c r="E993" s="1" t="str">
        <f ca="1">IFERROR(__xludf.DUMMYFUNCTION("GOOGLETRANSLATE(English!E993, ""en"", ""bg"")"),"Помогнете ми да уча за теста си. Как работят хранителните вериги?")</f>
        <v>Помогнете ми да уча за теста си. Как работят хранителните вериги?</v>
      </c>
      <c r="F993" s="1" t="str">
        <f ca="1">IFERROR(__xludf.DUMMYFUNCTION("GOOGLETRANSLATE(English!F993,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993" s="1" t="str">
        <f ca="1">IFERROR(__xludf.DUMMYFUNCTION("GOOGLETRANSLATE(English!G993, ""en"", ""bg"")"),"разговор")</f>
        <v>разговор</v>
      </c>
      <c r="H993" s="1" t="str">
        <f ca="1">IFERROR(__xludf.DUMMYFUNCTION("GOOGLETRANSLATE(English!H993, ""en"", ""bg"")"),"образователна_помощ")</f>
        <v>образователна_помощ</v>
      </c>
    </row>
    <row r="994" spans="1:8" ht="13.2" x14ac:dyDescent="0.25">
      <c r="A994" s="1" t="str">
        <f ca="1">IFERROR(__xludf.DUMMYFUNCTION("GOOGLETRANSLATE(English!A994, ""en"", ""bg"")"),"conv_01306")</f>
        <v>conv_01306</v>
      </c>
      <c r="B994" s="1" t="str">
        <f ca="1">IFERROR(__xludf.DUMMYFUNCTION("GOOGLETRANSLATE(English!B994, ""en"", ""bg"")"),"химия")</f>
        <v>химия</v>
      </c>
      <c r="C994" s="1" t="str">
        <f ca="1">IFERROR(__xludf.DUMMYFUNCTION("GOOGLETRANSLATE(English!C994, ""en"", ""bg"")"),"високо")</f>
        <v>високо</v>
      </c>
      <c r="D994" s="1" t="str">
        <f ca="1">IFERROR(__xludf.DUMMYFUNCTION("GOOGLETRANSLATE(English!D994, ""en"", ""bg"")"),"електрохимия")</f>
        <v>електрохимия</v>
      </c>
      <c r="E994" s="1" t="str">
        <f ca="1">IFERROR(__xludf.DUMMYFUNCTION("GOOGLETRANSLATE(English!E994, ""en"", ""bg"")"),"Не разбирам тази тема. Как работи електрохимията в химията?")</f>
        <v>Не разбирам тази тема. Как работи електрохимията в химията?</v>
      </c>
      <c r="F994" s="1" t="str">
        <f ca="1">IFERROR(__xludf.DUMMYFUNCTION("GOOGLETRANSLATE(English!F994,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994" s="1" t="str">
        <f ca="1">IFERROR(__xludf.DUMMYFUNCTION("GOOGLETRANSLATE(English!G994, ""en"", ""bg"")"),"разговор")</f>
        <v>разговор</v>
      </c>
      <c r="H994" s="1" t="str">
        <f ca="1">IFERROR(__xludf.DUMMYFUNCTION("GOOGLETRANSLATE(English!H994, ""en"", ""bg"")"),"образователна_помощ")</f>
        <v>образователна_помощ</v>
      </c>
    </row>
    <row r="995" spans="1:8" ht="13.2" x14ac:dyDescent="0.25">
      <c r="A995" s="1" t="str">
        <f ca="1">IFERROR(__xludf.DUMMYFUNCTION("GOOGLETRANSLATE(English!A995, ""en"", ""bg"")"),"conv_08351")</f>
        <v>conv_08351</v>
      </c>
      <c r="B995" s="1" t="str">
        <f ca="1">IFERROR(__xludf.DUMMYFUNCTION("GOOGLETRANSLATE(English!B995, ""en"", ""bg"")"),"физика")</f>
        <v>физика</v>
      </c>
      <c r="C995" s="1" t="str">
        <f ca="1">IFERROR(__xludf.DUMMYFUNCTION("GOOGLETRANSLATE(English!C995, ""en"", ""bg"")"),"средата")</f>
        <v>средата</v>
      </c>
      <c r="D995" s="1" t="str">
        <f ca="1">IFERROR(__xludf.DUMMYFUNCTION("GOOGLETRANSLATE(English!D995, ""en"", ""bg"")"),"вълни")</f>
        <v>вълни</v>
      </c>
      <c r="E995" s="1" t="str">
        <f ca="1">IFERROR(__xludf.DUMMYFUNCTION("GOOGLETRANSLATE(English!E995, ""en"", ""bg"")"),"Имам научен въпрос. Какво трябва да знам за вълните?")</f>
        <v>Имам научен въпрос. Какво трябва да знам за вълните?</v>
      </c>
      <c r="F995" s="1" t="str">
        <f ca="1">IFERROR(__xludf.DUMMYFUNCTION("GOOGLETRANSLATE(English!F995,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995" s="1" t="str">
        <f ca="1">IFERROR(__xludf.DUMMYFUNCTION("GOOGLETRANSLATE(English!G995, ""en"", ""bg"")"),"разговор")</f>
        <v>разговор</v>
      </c>
      <c r="H995" s="1" t="str">
        <f ca="1">IFERROR(__xludf.DUMMYFUNCTION("GOOGLETRANSLATE(English!H995, ""en"", ""bg"")"),"образователна_помощ")</f>
        <v>образователна_помощ</v>
      </c>
    </row>
    <row r="996" spans="1:8" ht="13.2" x14ac:dyDescent="0.25">
      <c r="A996" s="1" t="str">
        <f ca="1">IFERROR(__xludf.DUMMYFUNCTION("GOOGLETRANSLATE(English!A996, ""en"", ""bg"")"),"hw_09015")</f>
        <v>hw_09015</v>
      </c>
      <c r="B996" s="1" t="str">
        <f ca="1">IFERROR(__xludf.DUMMYFUNCTION("GOOGLETRANSLATE(English!B996, ""en"", ""bg"")"),"физика")</f>
        <v>физика</v>
      </c>
      <c r="C996" s="1" t="str">
        <f ca="1">IFERROR(__xludf.DUMMYFUNCTION("GOOGLETRANSLATE(English!C996, ""en"", ""bg"")"),"елементарен")</f>
        <v>елементарен</v>
      </c>
      <c r="D996" s="1" t="str">
        <f ca="1">IFERROR(__xludf.DUMMYFUNCTION("GOOGLETRANSLATE(English!D996, ""en"", ""bg"")"),"горещо и студено")</f>
        <v>горещо и студено</v>
      </c>
      <c r="E996" s="1" t="str">
        <f ca="1">IFERROR(__xludf.DUMMYFUNCTION("GOOGLETRANSLATE(English!E996, ""en"", ""bg"")"),"Домашното ми по физика е за горещо и студено. Объркващо е!")</f>
        <v>Домашното ми по физика е за горещо и студено. Объркващо е!</v>
      </c>
      <c r="F996" s="1" t="str">
        <f ca="1">IFERROR(__xludf.DUMMYFUNCTION("GOOGLETRANSLATE(English!F996,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996" s="1" t="str">
        <f ca="1">IFERROR(__xludf.DUMMYFUNCTION("GOOGLETRANSLATE(English!G996, ""en"", ""bg"")"),"помощ_за_домашно_изпълнение")</f>
        <v>помощ_за_домашно_изпълнение</v>
      </c>
      <c r="H996" s="1" t="str">
        <f ca="1">IFERROR(__xludf.DUMMYFUNCTION("GOOGLETRANSLATE(English!H996, ""en"", ""bg"")"),"помощ_за_домашно_задаване")</f>
        <v>помощ_за_домашно_задаване</v>
      </c>
    </row>
    <row r="997" spans="1:8" ht="13.2" x14ac:dyDescent="0.25">
      <c r="A997" s="1" t="str">
        <f ca="1">IFERROR(__xludf.DUMMYFUNCTION("GOOGLETRANSLATE(English!A997, ""en"", ""bg"")"),"qa_04339")</f>
        <v>qa_04339</v>
      </c>
      <c r="B997" s="1" t="str">
        <f ca="1">IFERROR(__xludf.DUMMYFUNCTION("GOOGLETRANSLATE(English!B997, ""en"", ""bg"")"),"физика")</f>
        <v>физика</v>
      </c>
      <c r="C997" s="1" t="str">
        <f ca="1">IFERROR(__xludf.DUMMYFUNCTION("GOOGLETRANSLATE(English!C997, ""en"", ""bg"")"),"високо")</f>
        <v>високо</v>
      </c>
      <c r="D997" s="1" t="str">
        <f ca="1">IFERROR(__xludf.DUMMYFUNCTION("GOOGLETRANSLATE(English!D997, ""en"", ""bg"")"),"електромагнетизъм")</f>
        <v>електромагнетизъм</v>
      </c>
      <c r="E997" s="1" t="str">
        <f ca="1">IFERROR(__xludf.DUMMYFUNCTION("GOOGLETRANSLATE(English!E997, ""en"", ""bg"")"),"Как работи електромагнетизмът във физиката?")</f>
        <v>Как работи електромагнетизмът във физиката?</v>
      </c>
      <c r="F997" s="1" t="str">
        <f ca="1">IFERROR(__xludf.DUMMYFUNCTION("GOOGLETRANSLATE(English!F997,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997" s="1" t="str">
        <f ca="1">IFERROR(__xludf.DUMMYFUNCTION("GOOGLETRANSLATE(English!G997, ""en"", ""bg"")"),"direct_qa")</f>
        <v>direct_qa</v>
      </c>
      <c r="H997" s="1" t="str">
        <f ca="1">IFERROR(__xludf.DUMMYFUNCTION("GOOGLETRANSLATE(English!H997, ""en"", ""bg"")"),"заявка_за_знание")</f>
        <v>заявка_за_знание</v>
      </c>
    </row>
    <row r="998" spans="1:8" ht="13.2" x14ac:dyDescent="0.25">
      <c r="A998" s="1" t="str">
        <f ca="1">IFERROR(__xludf.DUMMYFUNCTION("GOOGLETRANSLATE(English!A998, ""en"", ""bg"")"),"conv_02094")</f>
        <v>conv_02094</v>
      </c>
      <c r="B998" s="1" t="str">
        <f ca="1">IFERROR(__xludf.DUMMYFUNCTION("GOOGLETRANSLATE(English!B998, ""en"", ""bg"")"),"физика")</f>
        <v>физика</v>
      </c>
      <c r="C998" s="1" t="str">
        <f ca="1">IFERROR(__xludf.DUMMYFUNCTION("GOOGLETRANSLATE(English!C998, ""en"", ""bg"")"),"средата")</f>
        <v>средата</v>
      </c>
      <c r="D998" s="1" t="str">
        <f ca="1">IFERROR(__xludf.DUMMYFUNCTION("GOOGLETRANSLATE(English!D998, ""en"", ""bg"")"),"плътност")</f>
        <v>плътност</v>
      </c>
      <c r="E998" s="1" t="str">
        <f ca="1">IFERROR(__xludf.DUMMYFUNCTION("GOOGLETRANSLATE(English!E998, ""en"", ""bg"")"),"Можете ли да ми помогнете? Как функционира плътността във физиката?")</f>
        <v>Можете ли да ми помогнете? Как функционира плътността във физиката?</v>
      </c>
      <c r="F998" s="1" t="str">
        <f ca="1">IFERROR(__xludf.DUMMYFUNCTION("GOOGLETRANSLATE(English!F998,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998" s="1" t="str">
        <f ca="1">IFERROR(__xludf.DUMMYFUNCTION("GOOGLETRANSLATE(English!G998, ""en"", ""bg"")"),"разговор")</f>
        <v>разговор</v>
      </c>
      <c r="H998" s="1" t="str">
        <f ca="1">IFERROR(__xludf.DUMMYFUNCTION("GOOGLETRANSLATE(English!H998, ""en"", ""bg"")"),"образователна_помощ")</f>
        <v>образователна_помощ</v>
      </c>
    </row>
    <row r="999" spans="1:8" ht="13.2" x14ac:dyDescent="0.25">
      <c r="A999" s="1" t="str">
        <f ca="1">IFERROR(__xludf.DUMMYFUNCTION("GOOGLETRANSLATE(English!A999, ""en"", ""bg"")"),"hw_02612")</f>
        <v>hw_02612</v>
      </c>
      <c r="B999" s="1" t="str">
        <f ca="1">IFERROR(__xludf.DUMMYFUNCTION("GOOGLETRANSLATE(English!B999, ""en"", ""bg"")"),"физика")</f>
        <v>физика</v>
      </c>
      <c r="C999" s="1" t="str">
        <f ca="1">IFERROR(__xludf.DUMMYFUNCTION("GOOGLETRANSLATE(English!C999, ""en"", ""bg"")"),"високо")</f>
        <v>високо</v>
      </c>
      <c r="D999" s="1" t="str">
        <f ca="1">IFERROR(__xludf.DUMMYFUNCTION("GOOGLETRANSLATE(English!D999, ""en"", ""bg"")"),"радиоактивност")</f>
        <v>радиоактивност</v>
      </c>
      <c r="E999" s="1" t="str">
        <f ca="1">IFERROR(__xludf.DUMMYFUNCTION("GOOGLETRANSLATE(English!E999,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999" s="1" t="str">
        <f ca="1">IFERROR(__xludf.DUMMYFUNCTION("GOOGLETRANSLATE(English!F999,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999" s="1" t="str">
        <f ca="1">IFERROR(__xludf.DUMMYFUNCTION("GOOGLETRANSLATE(English!G999, ""en"", ""bg"")"),"помощ_за_домашно_изпълнение")</f>
        <v>помощ_за_домашно_изпълнение</v>
      </c>
      <c r="H999" s="1" t="str">
        <f ca="1">IFERROR(__xludf.DUMMYFUNCTION("GOOGLETRANSLATE(English!H999, ""en"", ""bg"")"),"помощ_за_домашно_задаване")</f>
        <v>помощ_за_домашно_задаване</v>
      </c>
    </row>
    <row r="1000" spans="1:8" ht="13.2" x14ac:dyDescent="0.25">
      <c r="A1000" s="1" t="str">
        <f ca="1">IFERROR(__xludf.DUMMYFUNCTION("GOOGLETRANSLATE(English!A1000, ""en"", ""bg"")"),"conv_04908")</f>
        <v>conv_04908</v>
      </c>
      <c r="B1000" s="1" t="str">
        <f ca="1">IFERROR(__xludf.DUMMYFUNCTION("GOOGLETRANSLATE(English!B1000, ""en"", ""bg"")"),"биология")</f>
        <v>биология</v>
      </c>
      <c r="C1000" s="1" t="str">
        <f ca="1">IFERROR(__xludf.DUMMYFUNCTION("GOOGLETRANSLATE(English!C1000, ""en"", ""bg"")"),"високо")</f>
        <v>високо</v>
      </c>
      <c r="D1000" s="1" t="str">
        <f ca="1">IFERROR(__xludf.DUMMYFUNCTION("GOOGLETRANSLATE(English!D1000, ""en"", ""bg"")"),"митоза и мейоза")</f>
        <v>митоза и мейоза</v>
      </c>
      <c r="E1000" s="1" t="str">
        <f ca="1">IFERROR(__xludf.DUMMYFUNCTION("GOOGLETRANSLATE(English!E1000, ""en"", ""bg"")"),"Не разбирам тази тема. Можете ли да ми разкажете за митозата и мейозата?")</f>
        <v>Не разбирам тази тема. Можете ли да ми разкажете за митозата и мейозата?</v>
      </c>
      <c r="F1000" s="1" t="str">
        <f ca="1">IFERROR(__xludf.DUMMYFUNCTION("GOOGLETRANSLATE(English!F1000,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1000" s="1" t="str">
        <f ca="1">IFERROR(__xludf.DUMMYFUNCTION("GOOGLETRANSLATE(English!G1000, ""en"", ""bg"")"),"разговор")</f>
        <v>разговор</v>
      </c>
      <c r="H1000" s="1" t="str">
        <f ca="1">IFERROR(__xludf.DUMMYFUNCTION("GOOGLETRANSLATE(English!H1000, ""en"", ""bg"")"),"образователна_помощ")</f>
        <v>образователна_помощ</v>
      </c>
    </row>
    <row r="1001" spans="1:8" ht="13.2" x14ac:dyDescent="0.25">
      <c r="A1001" s="1" t="str">
        <f ca="1">IFERROR(__xludf.DUMMYFUNCTION("GOOGLETRANSLATE(English!A1001, ""en"", ""bg"")"),"qa_09370")</f>
        <v>qa_09370</v>
      </c>
      <c r="B1001" s="1" t="str">
        <f ca="1">IFERROR(__xludf.DUMMYFUNCTION("GOOGLETRANSLATE(English!B1001, ""en"", ""bg"")"),"физика")</f>
        <v>физика</v>
      </c>
      <c r="C1001" s="1" t="str">
        <f ca="1">IFERROR(__xludf.DUMMYFUNCTION("GOOGLETRANSLATE(English!C1001, ""en"", ""bg"")"),"средата")</f>
        <v>средата</v>
      </c>
      <c r="D1001" s="1" t="str">
        <f ca="1">IFERROR(__xludf.DUMMYFUNCTION("GOOGLETRANSLATE(English!D1001, ""en"", ""bg"")"),"състояния на материята")</f>
        <v>състояния на материята</v>
      </c>
      <c r="E1001" s="1" t="str">
        <f ca="1">IFERROR(__xludf.DUMMYFUNCTION("GOOGLETRANSLATE(English!E1001, ""en"", ""bg"")"),"Защо състоянията на материята са важни?")</f>
        <v>Защо състоянията на материята са важни?</v>
      </c>
      <c r="F1001" s="1" t="str">
        <f ca="1">IFERROR(__xludf.DUMMYFUNCTION("GOOGLETRANSLATE(English!F1001,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1001" s="1" t="str">
        <f ca="1">IFERROR(__xludf.DUMMYFUNCTION("GOOGLETRANSLATE(English!G1001, ""en"", ""bg"")"),"direct_qa")</f>
        <v>direct_qa</v>
      </c>
      <c r="H1001" s="1" t="str">
        <f ca="1">IFERROR(__xludf.DUMMYFUNCTION("GOOGLETRANSLATE(English!H1001, ""en"", ""bg"")"),"заявка_за_знание")</f>
        <v>заявка_за_знание</v>
      </c>
    </row>
    <row r="1002" spans="1:8" ht="13.2" x14ac:dyDescent="0.25">
      <c r="A1002" s="1" t="str">
        <f ca="1">IFERROR(__xludf.DUMMYFUNCTION("GOOGLETRANSLATE(English!A1002, ""en"", ""bg"")"),"hw_13730")</f>
        <v>hw_13730</v>
      </c>
      <c r="B1002" s="1" t="str">
        <f ca="1">IFERROR(__xludf.DUMMYFUNCTION("GOOGLETRANSLATE(English!B1002, ""en"", ""bg"")"),"биология")</f>
        <v>биология</v>
      </c>
      <c r="C1002" s="1" t="str">
        <f ca="1">IFERROR(__xludf.DUMMYFUNCTION("GOOGLETRANSLATE(English!C1002, ""en"", ""bg"")"),"средата")</f>
        <v>средата</v>
      </c>
      <c r="D1002" s="1" t="str">
        <f ca="1">IFERROR(__xludf.DUMMYFUNCTION("GOOGLETRANSLATE(English!D1002, ""en"", ""bg"")"),"клетки")</f>
        <v>клетки</v>
      </c>
      <c r="E1002" s="1" t="str">
        <f ca="1">IFERROR(__xludf.DUMMYFUNCTION("GOOGLETRANSLATE(English!E1002, ""en"", ""bg"")"),"Можете ли да обясните какво представляват клетките за моя научен проект?")</f>
        <v>Можете ли да обясните какво представляват клетките за моя научен проект?</v>
      </c>
      <c r="F1002" s="1" t="str">
        <f ca="1">IFERROR(__xludf.DUMMYFUNCTION("GOOGLETRANSLATE(English!F1002,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1002" s="1" t="str">
        <f ca="1">IFERROR(__xludf.DUMMYFUNCTION("GOOGLETRANSLATE(English!G1002, ""en"", ""bg"")"),"помощ_за_домашно_изпълнение")</f>
        <v>помощ_за_домашно_изпълнение</v>
      </c>
      <c r="H1002" s="1" t="str">
        <f ca="1">IFERROR(__xludf.DUMMYFUNCTION("GOOGLETRANSLATE(English!H1002, ""en"", ""bg"")"),"помощ_за_домашно_задаване")</f>
        <v>помощ_за_домашно_задаване</v>
      </c>
    </row>
    <row r="1003" spans="1:8" ht="13.2" x14ac:dyDescent="0.25">
      <c r="A1003" s="1" t="str">
        <f ca="1">IFERROR(__xludf.DUMMYFUNCTION("GOOGLETRANSLATE(English!A1003, ""en"", ""bg"")"),"qa_01572")</f>
        <v>qa_01572</v>
      </c>
      <c r="B1003" s="1" t="str">
        <f ca="1">IFERROR(__xludf.DUMMYFUNCTION("GOOGLETRANSLATE(English!B1003, ""en"", ""bg"")"),"химия")</f>
        <v>химия</v>
      </c>
      <c r="C1003" s="1" t="str">
        <f ca="1">IFERROR(__xludf.DUMMYFUNCTION("GOOGLETRANSLATE(English!C1003, ""en"", ""bg"")"),"средата")</f>
        <v>средата</v>
      </c>
      <c r="D1003" s="1" t="str">
        <f ca="1">IFERROR(__xludf.DUMMYFUNCTION("GOOGLETRANSLATE(English!D1003, ""en"", ""bg"")"),"съединения срещу елементи")</f>
        <v>съединения срещу елементи</v>
      </c>
      <c r="E1003" s="1" t="str">
        <f ca="1">IFERROR(__xludf.DUMMYFUNCTION("GOOGLETRANSLATE(English!E1003, ""en"", ""bg"")"),"Защо е важно да се изучават съединенията спрямо елементите?")</f>
        <v>Защо е важно да се изучават съединенията спрямо елементите?</v>
      </c>
      <c r="F1003" s="1" t="str">
        <f ca="1">IFERROR(__xludf.DUMMYFUNCTION("GOOGLETRANSLATE(English!F1003,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1003" s="1" t="str">
        <f ca="1">IFERROR(__xludf.DUMMYFUNCTION("GOOGLETRANSLATE(English!G1003, ""en"", ""bg"")"),"direct_qa")</f>
        <v>direct_qa</v>
      </c>
      <c r="H1003" s="1" t="str">
        <f ca="1">IFERROR(__xludf.DUMMYFUNCTION("GOOGLETRANSLATE(English!H1003, ""en"", ""bg"")"),"заявка_за_знание")</f>
        <v>заявка_за_знание</v>
      </c>
    </row>
    <row r="1004" spans="1:8" ht="13.2" x14ac:dyDescent="0.25">
      <c r="A1004" s="1" t="str">
        <f ca="1">IFERROR(__xludf.DUMMYFUNCTION("GOOGLETRANSLATE(English!A1004, ""en"", ""bg"")"),"conv_12502")</f>
        <v>conv_12502</v>
      </c>
      <c r="B1004" s="1" t="str">
        <f ca="1">IFERROR(__xludf.DUMMYFUNCTION("GOOGLETRANSLATE(English!B1004, ""en"", ""bg"")"),"химия")</f>
        <v>химия</v>
      </c>
      <c r="C1004" s="1" t="str">
        <f ca="1">IFERROR(__xludf.DUMMYFUNCTION("GOOGLETRANSLATE(English!C1004, ""en"", ""bg"")"),"средата")</f>
        <v>средата</v>
      </c>
      <c r="D1004" s="1" t="str">
        <f ca="1">IFERROR(__xludf.DUMMYFUNCTION("GOOGLETRANSLATE(English!D1004, ""en"", ""bg"")"),"киселини и основи")</f>
        <v>киселини и основи</v>
      </c>
      <c r="E1004" s="1" t="str">
        <f ca="1">IFERROR(__xludf.DUMMYFUNCTION("GOOGLETRANSLATE(English!E1004, ""en"", ""bg"")"),"Не разбирам тази тема. Защо е важно да се изучават киселини и основи?")</f>
        <v>Не разбирам тази тема. Защо е важно да се изучават киселини и основи?</v>
      </c>
      <c r="F1004" s="1" t="str">
        <f ca="1">IFERROR(__xludf.DUMMYFUNCTION("GOOGLETRANSLATE(English!F1004,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1004" s="1" t="str">
        <f ca="1">IFERROR(__xludf.DUMMYFUNCTION("GOOGLETRANSLATE(English!G1004, ""en"", ""bg"")"),"разговор")</f>
        <v>разговор</v>
      </c>
      <c r="H1004" s="1" t="str">
        <f ca="1">IFERROR(__xludf.DUMMYFUNCTION("GOOGLETRANSLATE(English!H1004, ""en"", ""bg"")"),"образователна_помощ")</f>
        <v>образователна_помощ</v>
      </c>
    </row>
    <row r="1005" spans="1:8" ht="13.2" x14ac:dyDescent="0.25">
      <c r="A1005" s="1" t="str">
        <f ca="1">IFERROR(__xludf.DUMMYFUNCTION("GOOGLETRANSLATE(English!A1005, ""en"", ""bg"")"),"hw_13088")</f>
        <v>hw_13088</v>
      </c>
      <c r="B1005" s="1" t="str">
        <f ca="1">IFERROR(__xludf.DUMMYFUNCTION("GOOGLETRANSLATE(English!B1005, ""en"", ""bg"")"),"биология")</f>
        <v>биология</v>
      </c>
      <c r="C1005" s="1" t="str">
        <f ca="1">IFERROR(__xludf.DUMMYFUNCTION("GOOGLETRANSLATE(English!C1005, ""en"", ""bg"")"),"високо")</f>
        <v>високо</v>
      </c>
      <c r="D1005" s="1" t="str">
        <f ca="1">IFERROR(__xludf.DUMMYFUNCTION("GOOGLETRANSLATE(English!D1005, ""en"", ""bg"")"),"синтез на протеини")</f>
        <v>синтез на протеини</v>
      </c>
      <c r="E1005" s="1" t="str">
        <f ca="1">IFERROR(__xludf.DUMMYFUNCTION("GOOGLETRANSLATE(English!E1005, ""en"", ""bg"")"),"Утре имам тест по протеинов синтез. Помогни ми да уча!")</f>
        <v>Утре имам тест по протеинов синтез. Помогни ми да уча!</v>
      </c>
      <c r="F1005" s="1" t="str">
        <f ca="1">IFERROR(__xludf.DUMMYFUNCTION("GOOGLETRANSLATE(English!F1005,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1005" s="1" t="str">
        <f ca="1">IFERROR(__xludf.DUMMYFUNCTION("GOOGLETRANSLATE(English!G1005, ""en"", ""bg"")"),"помощ_за_домашно_изпълнение")</f>
        <v>помощ_за_домашно_изпълнение</v>
      </c>
      <c r="H1005" s="1" t="str">
        <f ca="1">IFERROR(__xludf.DUMMYFUNCTION("GOOGLETRANSLATE(English!H1005, ""en"", ""bg"")"),"помощ_за_домашно_задаване")</f>
        <v>помощ_за_домашно_задаване</v>
      </c>
    </row>
    <row r="1006" spans="1:8" ht="13.2" x14ac:dyDescent="0.25">
      <c r="A1006" s="1" t="str">
        <f ca="1">IFERROR(__xludf.DUMMYFUNCTION("GOOGLETRANSLATE(English!A1006, ""en"", ""bg"")"),"qa_07283")</f>
        <v>qa_07283</v>
      </c>
      <c r="B1006" s="1" t="str">
        <f ca="1">IFERROR(__xludf.DUMMYFUNCTION("GOOGLETRANSLATE(English!B1006, ""en"", ""bg"")"),"химия")</f>
        <v>химия</v>
      </c>
      <c r="C1006" s="1" t="str">
        <f ca="1">IFERROR(__xludf.DUMMYFUNCTION("GOOGLETRANSLATE(English!C1006, ""en"", ""bg"")"),"елементарен")</f>
        <v>елементарен</v>
      </c>
      <c r="D1006" s="1" t="str">
        <f ca="1">IFERROR(__xludf.DUMMYFUNCTION("GOOGLETRANSLATE(English!D1006, ""en"", ""bg"")"),"промени в материалите")</f>
        <v>промени в материалите</v>
      </c>
      <c r="E1006" s="1" t="str">
        <f ca="1">IFERROR(__xludf.DUMMYFUNCTION("GOOGLETRANSLATE(English!E1006, ""en"", ""bg"")"),"Можете ли да ми помогнете да разбера промените в материалите?")</f>
        <v>Можете ли да ми помогнете да разбера промените в материалите?</v>
      </c>
      <c r="F1006" s="1" t="str">
        <f ca="1">IFERROR(__xludf.DUMMYFUNCTION("GOOGLETRANSLATE(English!F1006,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1006" s="1" t="str">
        <f ca="1">IFERROR(__xludf.DUMMYFUNCTION("GOOGLETRANSLATE(English!G1006, ""en"", ""bg"")"),"direct_qa")</f>
        <v>direct_qa</v>
      </c>
      <c r="H1006" s="1" t="str">
        <f ca="1">IFERROR(__xludf.DUMMYFUNCTION("GOOGLETRANSLATE(English!H1006, ""en"", ""bg"")"),"заявка_за_знание")</f>
        <v>заявка_за_знание</v>
      </c>
    </row>
    <row r="1007" spans="1:8" ht="13.2" x14ac:dyDescent="0.25">
      <c r="A1007" s="1" t="str">
        <f ca="1">IFERROR(__xludf.DUMMYFUNCTION("GOOGLETRANSLATE(English!A1007, ""en"", ""bg"")"),"conv_13805")</f>
        <v>conv_13805</v>
      </c>
      <c r="B1007" s="1" t="str">
        <f ca="1">IFERROR(__xludf.DUMMYFUNCTION("GOOGLETRANSLATE(English!B1007, ""en"", ""bg"")"),"химия")</f>
        <v>химия</v>
      </c>
      <c r="C1007" s="1" t="str">
        <f ca="1">IFERROR(__xludf.DUMMYFUNCTION("GOOGLETRANSLATE(English!C1007, ""en"", ""bg"")"),"средата")</f>
        <v>средата</v>
      </c>
      <c r="D1007" s="1" t="str">
        <f ca="1">IFERROR(__xludf.DUMMYFUNCTION("GOOGLETRANSLATE(English!D1007, ""en"", ""bg"")"),"съединения срещу елементи")</f>
        <v>съединения срещу елементи</v>
      </c>
      <c r="E1007" s="1" t="str">
        <f ca="1">IFERROR(__xludf.DUMMYFUNCTION("GOOGLETRANSLATE(English!E1007, ""en"", ""bg"")"),"Не разбирам тази тема. Как работят съединенията спрямо елементите в химията?")</f>
        <v>Не разбирам тази тема. Как работят съединенията спрямо елементите в химията?</v>
      </c>
      <c r="F1007" s="1" t="str">
        <f ca="1">IFERROR(__xludf.DUMMYFUNCTION("GOOGLETRANSLATE(English!F1007,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1007" s="1" t="str">
        <f ca="1">IFERROR(__xludf.DUMMYFUNCTION("GOOGLETRANSLATE(English!G1007, ""en"", ""bg"")"),"разговор")</f>
        <v>разговор</v>
      </c>
      <c r="H1007" s="1" t="str">
        <f ca="1">IFERROR(__xludf.DUMMYFUNCTION("GOOGLETRANSLATE(English!H1007, ""en"", ""bg"")"),"образователна_помощ")</f>
        <v>образователна_помощ</v>
      </c>
    </row>
    <row r="1008" spans="1:8" ht="13.2" x14ac:dyDescent="0.25">
      <c r="A1008" s="1" t="str">
        <f ca="1">IFERROR(__xludf.DUMMYFUNCTION("GOOGLETRANSLATE(English!A1008, ""en"", ""bg"")"),"conv_19531")</f>
        <v>conv_19531</v>
      </c>
      <c r="B1008" s="1" t="str">
        <f ca="1">IFERROR(__xludf.DUMMYFUNCTION("GOOGLETRANSLATE(English!B1008, ""en"", ""bg"")"),"физика")</f>
        <v>физика</v>
      </c>
      <c r="C1008" s="1" t="str">
        <f ca="1">IFERROR(__xludf.DUMMYFUNCTION("GOOGLETRANSLATE(English!C1008, ""en"", ""bg"")"),"средата")</f>
        <v>средата</v>
      </c>
      <c r="D1008" s="1" t="str">
        <f ca="1">IFERROR(__xludf.DUMMYFUNCTION("GOOGLETRANSLATE(English!D1008, ""en"", ""bg"")"),"състояния на материята")</f>
        <v>състояния на материята</v>
      </c>
      <c r="E1008" s="1" t="str">
        <f ca="1">IFERROR(__xludf.DUMMYFUNCTION("GOOGLETRANSLATE(English!E1008, ""en"", ""bg"")"),"Имам нужда от помощ с домашното. Какво трябва да знам за състоянията на материята?")</f>
        <v>Имам нужда от помощ с домашното. Какво трябва да знам за състоянията на материята?</v>
      </c>
      <c r="F1008" s="1" t="str">
        <f ca="1">IFERROR(__xludf.DUMMYFUNCTION("GOOGLETRANSLATE(English!F1008,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1008" s="1" t="str">
        <f ca="1">IFERROR(__xludf.DUMMYFUNCTION("GOOGLETRANSLATE(English!G1008, ""en"", ""bg"")"),"разговор")</f>
        <v>разговор</v>
      </c>
      <c r="H1008" s="1" t="str">
        <f ca="1">IFERROR(__xludf.DUMMYFUNCTION("GOOGLETRANSLATE(English!H1008, ""en"", ""bg"")"),"образователна_помощ")</f>
        <v>образователна_помощ</v>
      </c>
    </row>
    <row r="1009" spans="1:8" ht="13.2" x14ac:dyDescent="0.25">
      <c r="A1009" s="1" t="str">
        <f ca="1">IFERROR(__xludf.DUMMYFUNCTION("GOOGLETRANSLATE(English!A1009, ""en"", ""bg"")"),"conv_09647")</f>
        <v>conv_09647</v>
      </c>
      <c r="B1009" s="1" t="str">
        <f ca="1">IFERROR(__xludf.DUMMYFUNCTION("GOOGLETRANSLATE(English!B1009, ""en"", ""bg"")"),"физика")</f>
        <v>физика</v>
      </c>
      <c r="C1009" s="1" t="str">
        <f ca="1">IFERROR(__xludf.DUMMYFUNCTION("GOOGLETRANSLATE(English!C1009, ""en"", ""bg"")"),"високо")</f>
        <v>високо</v>
      </c>
      <c r="D1009" s="1" t="str">
        <f ca="1">IFERROR(__xludf.DUMMYFUNCTION("GOOGLETRANSLATE(English!D1009, ""en"", ""bg"")"),"електромагнетизъм")</f>
        <v>електромагнетизъм</v>
      </c>
      <c r="E1009" s="1" t="str">
        <f ca="1">IFERROR(__xludf.DUMMYFUNCTION("GOOGLETRANSLATE(English!E1009, ""en"", ""bg"")"),"Имам научен въпрос. Можете ли да ми обясните електромагнетизма?")</f>
        <v>Имам научен въпрос. Можете ли да ми обясните електромагнетизма?</v>
      </c>
      <c r="F1009" s="1" t="str">
        <f ca="1">IFERROR(__xludf.DUMMYFUNCTION("GOOGLETRANSLATE(English!F1009,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1009" s="1" t="str">
        <f ca="1">IFERROR(__xludf.DUMMYFUNCTION("GOOGLETRANSLATE(English!G1009, ""en"", ""bg"")"),"разговор")</f>
        <v>разговор</v>
      </c>
      <c r="H1009" s="1" t="str">
        <f ca="1">IFERROR(__xludf.DUMMYFUNCTION("GOOGLETRANSLATE(English!H1009, ""en"", ""bg"")"),"образователна_помощ")</f>
        <v>образователна_помощ</v>
      </c>
    </row>
    <row r="1010" spans="1:8" ht="13.2" x14ac:dyDescent="0.25">
      <c r="A1010" s="1" t="str">
        <f ca="1">IFERROR(__xludf.DUMMYFUNCTION("GOOGLETRANSLATE(English!A1010, ""en"", ""bg"")"),"qa_04452")</f>
        <v>qa_04452</v>
      </c>
      <c r="B1010" s="1" t="str">
        <f ca="1">IFERROR(__xludf.DUMMYFUNCTION("GOOGLETRANSLATE(English!B1010, ""en"", ""bg"")"),"физика")</f>
        <v>физика</v>
      </c>
      <c r="C1010" s="1" t="str">
        <f ca="1">IFERROR(__xludf.DUMMYFUNCTION("GOOGLETRANSLATE(English!C1010, ""en"", ""bg"")"),"високо")</f>
        <v>високо</v>
      </c>
      <c r="D1010" s="1" t="str">
        <f ca="1">IFERROR(__xludf.DUMMYFUNCTION("GOOGLETRANSLATE(English!D1010, ""en"", ""bg"")"),"термодинамика")</f>
        <v>термодинамика</v>
      </c>
      <c r="E1010" s="1" t="str">
        <f ca="1">IFERROR(__xludf.DUMMYFUNCTION("GOOGLETRANSLATE(English!E1010, ""en"", ""bg"")"),"Защо термодинамиката е важна?")</f>
        <v>Защо термодинамиката е важна?</v>
      </c>
      <c r="F1010" s="1" t="str">
        <f ca="1">IFERROR(__xludf.DUMMYFUNCTION("GOOGLETRANSLATE(English!F1010,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1010" s="1" t="str">
        <f ca="1">IFERROR(__xludf.DUMMYFUNCTION("GOOGLETRANSLATE(English!G1010, ""en"", ""bg"")"),"direct_qa")</f>
        <v>direct_qa</v>
      </c>
      <c r="H1010" s="1" t="str">
        <f ca="1">IFERROR(__xludf.DUMMYFUNCTION("GOOGLETRANSLATE(English!H1010, ""en"", ""bg"")"),"заявка_за_знание")</f>
        <v>заявка_за_знание</v>
      </c>
    </row>
    <row r="1011" spans="1:8" ht="13.2" x14ac:dyDescent="0.25">
      <c r="A1011" s="1" t="str">
        <f ca="1">IFERROR(__xludf.DUMMYFUNCTION("GOOGLETRANSLATE(English!A1011, ""en"", ""bg"")"),"hw_03061")</f>
        <v>hw_03061</v>
      </c>
      <c r="B1011" s="1" t="str">
        <f ca="1">IFERROR(__xludf.DUMMYFUNCTION("GOOGLETRANSLATE(English!B1011, ""en"", ""bg"")"),"физика")</f>
        <v>физика</v>
      </c>
      <c r="C1011" s="1" t="str">
        <f ca="1">IFERROR(__xludf.DUMMYFUNCTION("GOOGLETRANSLATE(English!C1011, ""en"", ""bg"")"),"елементарен")</f>
        <v>елементарен</v>
      </c>
      <c r="D1011" s="1" t="str">
        <f ca="1">IFERROR(__xludf.DUMMYFUNCTION("GOOGLETRANSLATE(English!D1011, ""en"", ""bg"")"),"горещо и студено")</f>
        <v>горещо и студено</v>
      </c>
      <c r="E1011" s="1" t="str">
        <f ca="1">IFERROR(__xludf.DUMMYFUNCTION("GOOGLETRANSLATE(English!E1011, ""en"", ""bg"")"),"Можеш ли да решиш този горещ и студен въпрос с мен?")</f>
        <v>Можеш ли да решиш този горещ и студен въпрос с мен?</v>
      </c>
      <c r="F1011" s="1" t="str">
        <f ca="1">IFERROR(__xludf.DUMMYFUNCTION("GOOGLETRANSLATE(English!F1011,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1011" s="1" t="str">
        <f ca="1">IFERROR(__xludf.DUMMYFUNCTION("GOOGLETRANSLATE(English!G1011, ""en"", ""bg"")"),"помощ_за_домашно_изпълнение")</f>
        <v>помощ_за_домашно_изпълнение</v>
      </c>
      <c r="H1011" s="1" t="str">
        <f ca="1">IFERROR(__xludf.DUMMYFUNCTION("GOOGLETRANSLATE(English!H1011, ""en"", ""bg"")"),"помощ_за_домашно_задаване")</f>
        <v>помощ_за_домашно_задаване</v>
      </c>
    </row>
    <row r="1012" spans="1:8" ht="13.2" x14ac:dyDescent="0.25">
      <c r="A1012" s="1" t="str">
        <f ca="1">IFERROR(__xludf.DUMMYFUNCTION("GOOGLETRANSLATE(English!A1012, ""en"", ""bg"")"),"conv_18376")</f>
        <v>conv_18376</v>
      </c>
      <c r="B1012" s="1" t="str">
        <f ca="1">IFERROR(__xludf.DUMMYFUNCTION("GOOGLETRANSLATE(English!B1012, ""en"", ""bg"")"),"физика")</f>
        <v>физика</v>
      </c>
      <c r="C1012" s="1" t="str">
        <f ca="1">IFERROR(__xludf.DUMMYFUNCTION("GOOGLETRANSLATE(English!C1012, ""en"", ""bg"")"),"средата")</f>
        <v>средата</v>
      </c>
      <c r="D1012" s="1" t="str">
        <f ca="1">IFERROR(__xludf.DUMMYFUNCTION("GOOGLETRANSLATE(English!D1012, ""en"", ""bg"")"),"вълни")</f>
        <v>вълни</v>
      </c>
      <c r="E1012" s="1" t="str">
        <f ca="1">IFERROR(__xludf.DUMMYFUNCTION("GOOGLETRANSLATE(English!E1012, ""en"", ""bg"")"),"Помогни ми да уча за теста. Можеш ли да ми обясниш вълните?")</f>
        <v>Помогни ми да уча за теста. Можеш ли да ми обясниш вълните?</v>
      </c>
      <c r="F1012" s="1" t="str">
        <f ca="1">IFERROR(__xludf.DUMMYFUNCTION("GOOGLETRANSLATE(English!F1012,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1012" s="1" t="str">
        <f ca="1">IFERROR(__xludf.DUMMYFUNCTION("GOOGLETRANSLATE(English!G1012, ""en"", ""bg"")"),"разговор")</f>
        <v>разговор</v>
      </c>
      <c r="H1012" s="1" t="str">
        <f ca="1">IFERROR(__xludf.DUMMYFUNCTION("GOOGLETRANSLATE(English!H1012, ""en"", ""bg"")"),"образователна_помощ")</f>
        <v>образователна_помощ</v>
      </c>
    </row>
    <row r="1013" spans="1:8" ht="13.2" x14ac:dyDescent="0.25">
      <c r="A1013" s="1" t="str">
        <f ca="1">IFERROR(__xludf.DUMMYFUNCTION("GOOGLETRANSLATE(English!A1013, ""en"", ""bg"")"),"conv_17036")</f>
        <v>conv_17036</v>
      </c>
      <c r="B1013" s="1" t="str">
        <f ca="1">IFERROR(__xludf.DUMMYFUNCTION("GOOGLETRANSLATE(English!B1013, ""en"", ""bg"")"),"химия")</f>
        <v>химия</v>
      </c>
      <c r="C1013" s="1" t="str">
        <f ca="1">IFERROR(__xludf.DUMMYFUNCTION("GOOGLETRANSLATE(English!C1013, ""en"", ""bg"")"),"средата")</f>
        <v>средата</v>
      </c>
      <c r="D1013" s="1" t="str">
        <f ca="1">IFERROR(__xludf.DUMMYFUNCTION("GOOGLETRANSLATE(English!D1013, ""en"", ""bg"")"),"съединения срещу елементи")</f>
        <v>съединения срещу елементи</v>
      </c>
      <c r="E1013" s="1" t="str">
        <f ca="1">IFERROR(__xludf.DUMMYFUNCTION("GOOGLETRANSLATE(English!E1013, ""en"", ""bg"")"),"Имам нужда от помощ с домашното. Какво представляват съединенията спрямо елементите?")</f>
        <v>Имам нужда от помощ с домашното. Какво представляват съединенията спрямо елементите?</v>
      </c>
      <c r="F1013" s="1" t="str">
        <f ca="1">IFERROR(__xludf.DUMMYFUNCTION("GOOGLETRANSLATE(English!F1013,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1013" s="1" t="str">
        <f ca="1">IFERROR(__xludf.DUMMYFUNCTION("GOOGLETRANSLATE(English!G1013, ""en"", ""bg"")"),"разговор")</f>
        <v>разговор</v>
      </c>
      <c r="H1013" s="1" t="str">
        <f ca="1">IFERROR(__xludf.DUMMYFUNCTION("GOOGLETRANSLATE(English!H1013, ""en"", ""bg"")"),"образователна_помощ")</f>
        <v>образователна_помощ</v>
      </c>
    </row>
    <row r="1014" spans="1:8" ht="13.2" x14ac:dyDescent="0.25">
      <c r="A1014" s="1" t="str">
        <f ca="1">IFERROR(__xludf.DUMMYFUNCTION("GOOGLETRANSLATE(English!A1014, ""en"", ""bg"")"),"conv_02659")</f>
        <v>conv_02659</v>
      </c>
      <c r="B1014" s="1" t="str">
        <f ca="1">IFERROR(__xludf.DUMMYFUNCTION("GOOGLETRANSLATE(English!B1014, ""en"", ""bg"")"),"химия")</f>
        <v>химия</v>
      </c>
      <c r="C1014" s="1" t="str">
        <f ca="1">IFERROR(__xludf.DUMMYFUNCTION("GOOGLETRANSLATE(English!C1014, ""en"", ""bg"")"),"елементарен")</f>
        <v>елементарен</v>
      </c>
      <c r="D1014" s="1" t="str">
        <f ca="1">IFERROR(__xludf.DUMMYFUNCTION("GOOGLETRANSLATE(English!D1014, ""en"", ""bg"")"),"смесване на материали")</f>
        <v>смесване на материали</v>
      </c>
      <c r="E1014" s="1" t="str">
        <f ca="1">IFERROR(__xludf.DUMMYFUNCTION("GOOGLETRANSLATE(English!E1014, ""en"", ""bg"")"),"Имам научен въпрос: Защо някои неща се разтварят, а други не?")</f>
        <v>Имам научен въпрос: Защо някои неща се разтварят, а други не?</v>
      </c>
      <c r="F1014" s="1" t="str">
        <f ca="1">IFERROR(__xludf.DUMMYFUNCTION("GOOGLETRANSLATE(English!F1014,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1014" s="1" t="str">
        <f ca="1">IFERROR(__xludf.DUMMYFUNCTION("GOOGLETRANSLATE(English!G1014, ""en"", ""bg"")"),"разговор")</f>
        <v>разговор</v>
      </c>
      <c r="H1014" s="1" t="str">
        <f ca="1">IFERROR(__xludf.DUMMYFUNCTION("GOOGLETRANSLATE(English!H1014, ""en"", ""bg"")"),"образователна_помощ")</f>
        <v>образователна_помощ</v>
      </c>
    </row>
    <row r="1015" spans="1:8" ht="13.2" x14ac:dyDescent="0.25">
      <c r="A1015" s="1" t="str">
        <f ca="1">IFERROR(__xludf.DUMMYFUNCTION("GOOGLETRANSLATE(English!A1015, ""en"", ""bg"")"),"conv_12784")</f>
        <v>conv_12784</v>
      </c>
      <c r="B1015" s="1" t="str">
        <f ca="1">IFERROR(__xludf.DUMMYFUNCTION("GOOGLETRANSLATE(English!B1015, ""en"", ""bg"")"),"химия")</f>
        <v>химия</v>
      </c>
      <c r="C1015" s="1" t="str">
        <f ca="1">IFERROR(__xludf.DUMMYFUNCTION("GOOGLETRANSLATE(English!C1015, ""en"", ""bg"")"),"средата")</f>
        <v>средата</v>
      </c>
      <c r="D1015" s="1" t="str">
        <f ca="1">IFERROR(__xludf.DUMMYFUNCTION("GOOGLETRANSLATE(English!D1015, ""en"", ""bg"")"),"химични реакции")</f>
        <v>химични реакции</v>
      </c>
      <c r="E1015" s="1" t="str">
        <f ca="1">IFERROR(__xludf.DUMMYFUNCTION("GOOGLETRANSLATE(English!E1015, ""en"", ""bg"")"),"Имам научен въпрос. Как разбирате дали е протекла химическа реакция?")</f>
        <v>Имам научен въпрос. Как разбирате дали е протекла химическа реакция?</v>
      </c>
      <c r="F1015" s="1" t="str">
        <f ca="1">IFERROR(__xludf.DUMMYFUNCTION("GOOGLETRANSLATE(English!F1015,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015" s="1" t="str">
        <f ca="1">IFERROR(__xludf.DUMMYFUNCTION("GOOGLETRANSLATE(English!G1015, ""en"", ""bg"")"),"разговор")</f>
        <v>разговор</v>
      </c>
      <c r="H1015" s="1" t="str">
        <f ca="1">IFERROR(__xludf.DUMMYFUNCTION("GOOGLETRANSLATE(English!H1015, ""en"", ""bg"")"),"образователна_помощ")</f>
        <v>образователна_помощ</v>
      </c>
    </row>
    <row r="1016" spans="1:8" ht="13.2" x14ac:dyDescent="0.25">
      <c r="A1016" s="1" t="str">
        <f ca="1">IFERROR(__xludf.DUMMYFUNCTION("GOOGLETRANSLATE(English!A1016, ""en"", ""bg"")"),"conv_08591")</f>
        <v>conv_08591</v>
      </c>
      <c r="B1016" s="1" t="str">
        <f ca="1">IFERROR(__xludf.DUMMYFUNCTION("GOOGLETRANSLATE(English!B1016, ""en"", ""bg"")"),"биология")</f>
        <v>биология</v>
      </c>
      <c r="C1016" s="1" t="str">
        <f ca="1">IFERROR(__xludf.DUMMYFUNCTION("GOOGLETRANSLATE(English!C1016, ""en"", ""bg"")"),"елементарен")</f>
        <v>елементарен</v>
      </c>
      <c r="D1016" s="1" t="str">
        <f ca="1">IFERROR(__xludf.DUMMYFUNCTION("GOOGLETRANSLATE(English!D1016, ""en"", ""bg"")"),"хранителни вериги")</f>
        <v>хранителни вериги</v>
      </c>
      <c r="E1016" s="1" t="str">
        <f ca="1">IFERROR(__xludf.DUMMYFUNCTION("GOOGLETRANSLATE(English!E1016, ""en"", ""bg"")"),"Имам нужда от помощ с домашното. Какво е важно да знаем за хранителните вериги?")</f>
        <v>Имам нужда от помощ с домашното. Какво е важно да знаем за хранителните вериги?</v>
      </c>
      <c r="F1016" s="1" t="str">
        <f ca="1">IFERROR(__xludf.DUMMYFUNCTION("GOOGLETRANSLATE(English!F1016,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1016" s="1" t="str">
        <f ca="1">IFERROR(__xludf.DUMMYFUNCTION("GOOGLETRANSLATE(English!G1016, ""en"", ""bg"")"),"разговор")</f>
        <v>разговор</v>
      </c>
      <c r="H1016" s="1" t="str">
        <f ca="1">IFERROR(__xludf.DUMMYFUNCTION("GOOGLETRANSLATE(English!H1016, ""en"", ""bg"")"),"образователна_помощ")</f>
        <v>образователна_помощ</v>
      </c>
    </row>
    <row r="1017" spans="1:8" ht="13.2" x14ac:dyDescent="0.25">
      <c r="A1017" s="1" t="str">
        <f ca="1">IFERROR(__xludf.DUMMYFUNCTION("GOOGLETRANSLATE(English!A1017, ""en"", ""bg"")"),"hw_02019")</f>
        <v>hw_02019</v>
      </c>
      <c r="B1017" s="1" t="str">
        <f ca="1">IFERROR(__xludf.DUMMYFUNCTION("GOOGLETRANSLATE(English!B1017, ""en"", ""bg"")"),"биология")</f>
        <v>биология</v>
      </c>
      <c r="C1017" s="1" t="str">
        <f ca="1">IFERROR(__xludf.DUMMYFUNCTION("GOOGLETRANSLATE(English!C1017, ""en"", ""bg"")"),"високо")</f>
        <v>високо</v>
      </c>
      <c r="D1017" s="1" t="str">
        <f ca="1">IFERROR(__xludf.DUMMYFUNCTION("GOOGLETRANSLATE(English!D1017, ""en"", ""bg"")"),"модели на наследяване")</f>
        <v>модели на наследяване</v>
      </c>
      <c r="E1017" s="1" t="str">
        <f ca="1">IFERROR(__xludf.DUMMYFUNCTION("GOOGLETRANSLATE(English!E1017,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1017" s="1" t="str">
        <f ca="1">IFERROR(__xludf.DUMMYFUNCTION("GOOGLETRANSLATE(English!F1017,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1017" s="1" t="str">
        <f ca="1">IFERROR(__xludf.DUMMYFUNCTION("GOOGLETRANSLATE(English!G1017, ""en"", ""bg"")"),"помощ_за_домашно_изпълнение")</f>
        <v>помощ_за_домашно_изпълнение</v>
      </c>
      <c r="H1017" s="1" t="str">
        <f ca="1">IFERROR(__xludf.DUMMYFUNCTION("GOOGLETRANSLATE(English!H1017, ""en"", ""bg"")"),"помощ_за_домашно_задаване")</f>
        <v>помощ_за_домашно_задаване</v>
      </c>
    </row>
    <row r="1018" spans="1:8" ht="13.2" x14ac:dyDescent="0.25">
      <c r="A1018" s="1" t="str">
        <f ca="1">IFERROR(__xludf.DUMMYFUNCTION("GOOGLETRANSLATE(English!A1018, ""en"", ""bg"")"),"qa_13449")</f>
        <v>qa_13449</v>
      </c>
      <c r="B1018" s="1" t="str">
        <f ca="1">IFERROR(__xludf.DUMMYFUNCTION("GOOGLETRANSLATE(English!B1018, ""en"", ""bg"")"),"биология")</f>
        <v>биология</v>
      </c>
      <c r="C1018" s="1" t="str">
        <f ca="1">IFERROR(__xludf.DUMMYFUNCTION("GOOGLETRANSLATE(English!C1018, ""en"", ""bg"")"),"елементарен")</f>
        <v>елементарен</v>
      </c>
      <c r="D1018" s="1" t="str">
        <f ca="1">IFERROR(__xludf.DUMMYFUNCTION("GOOGLETRANSLATE(English!D1018, ""en"", ""bg"")"),"домашни любимци срещу диви животни")</f>
        <v>домашни любимци срещу диви животни</v>
      </c>
      <c r="E1018" s="1" t="str">
        <f ca="1">IFERROR(__xludf.DUMMYFUNCTION("GOOGLETRANSLATE(English!E1018,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1018" s="1" t="str">
        <f ca="1">IFERROR(__xludf.DUMMYFUNCTION("GOOGLETRANSLATE(English!F1018,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1018" s="1" t="str">
        <f ca="1">IFERROR(__xludf.DUMMYFUNCTION("GOOGLETRANSLATE(English!G1018, ""en"", ""bg"")"),"direct_qa")</f>
        <v>direct_qa</v>
      </c>
      <c r="H1018" s="1" t="str">
        <f ca="1">IFERROR(__xludf.DUMMYFUNCTION("GOOGLETRANSLATE(English!H1018, ""en"", ""bg"")"),"заявка_за_знание")</f>
        <v>заявка_за_знание</v>
      </c>
    </row>
    <row r="1019" spans="1:8" ht="13.2" x14ac:dyDescent="0.25">
      <c r="A1019" s="1" t="str">
        <f ca="1">IFERROR(__xludf.DUMMYFUNCTION("GOOGLETRANSLATE(English!A1019, ""en"", ""bg"")"),"hw_09076")</f>
        <v>hw_09076</v>
      </c>
      <c r="B1019" s="1" t="str">
        <f ca="1">IFERROR(__xludf.DUMMYFUNCTION("GOOGLETRANSLATE(English!B1019, ""en"", ""bg"")"),"химия")</f>
        <v>химия</v>
      </c>
      <c r="C1019" s="1" t="str">
        <f ca="1">IFERROR(__xludf.DUMMYFUNCTION("GOOGLETRANSLATE(English!C1019, ""en"", ""bg"")"),"елементарен")</f>
        <v>елементарен</v>
      </c>
      <c r="D1019" s="1" t="str">
        <f ca="1">IFERROR(__xludf.DUMMYFUNCTION("GOOGLETRANSLATE(English!D1019, ""en"", ""bg"")"),"смесване на материали")</f>
        <v>смесване на материали</v>
      </c>
      <c r="E1019" s="1" t="str">
        <f ca="1">IFERROR(__xludf.DUMMYFUNCTION("GOOGLETRANSLATE(English!E1019, ""en"", ""bg"")"),"Трудно ми е да смесвам материали в домашните си.")</f>
        <v>Трудно ми е да смесвам материали в домашните си.</v>
      </c>
      <c r="F1019" s="1" t="str">
        <f ca="1">IFERROR(__xludf.DUMMYFUNCTION("GOOGLETRANSLATE(English!F1019,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1019" s="1" t="str">
        <f ca="1">IFERROR(__xludf.DUMMYFUNCTION("GOOGLETRANSLATE(English!G1019, ""en"", ""bg"")"),"помощ_за_домашно_изпълнение")</f>
        <v>помощ_за_домашно_изпълнение</v>
      </c>
      <c r="H1019" s="1" t="str">
        <f ca="1">IFERROR(__xludf.DUMMYFUNCTION("GOOGLETRANSLATE(English!H1019, ""en"", ""bg"")"),"помощ_за_домашно_задаване")</f>
        <v>помощ_за_домашно_задаване</v>
      </c>
    </row>
    <row r="1020" spans="1:8" ht="13.2" x14ac:dyDescent="0.25">
      <c r="A1020" s="1" t="str">
        <f ca="1">IFERROR(__xludf.DUMMYFUNCTION("GOOGLETRANSLATE(English!A1020, ""en"", ""bg"")"),"conv_14588")</f>
        <v>conv_14588</v>
      </c>
      <c r="B1020" s="1" t="str">
        <f ca="1">IFERROR(__xludf.DUMMYFUNCTION("GOOGLETRANSLATE(English!B1020, ""en"", ""bg"")"),"физика")</f>
        <v>физика</v>
      </c>
      <c r="C1020" s="1" t="str">
        <f ca="1">IFERROR(__xludf.DUMMYFUNCTION("GOOGLETRANSLATE(English!C1020, ""en"", ""bg"")"),"високо")</f>
        <v>високо</v>
      </c>
      <c r="D1020" s="1" t="str">
        <f ca="1">IFERROR(__xludf.DUMMYFUNCTION("GOOGLETRANSLATE(English!D1020, ""en"", ""bg"")"),"механика")</f>
        <v>механика</v>
      </c>
      <c r="E1020" s="1" t="str">
        <f ca="1">IFERROR(__xludf.DUMMYFUNCTION("GOOGLETRANSLATE(English!E1020, ""en"", ""bg"")"),"Можете ли да ми помогнете? Какво трябва да знам за механиката?")</f>
        <v>Можете ли да ми помогнете? Какво трябва да знам за механиката?</v>
      </c>
      <c r="F1020" s="1" t="str">
        <f ca="1">IFERROR(__xludf.DUMMYFUNCTION("GOOGLETRANSLATE(English!F1020,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1020" s="1" t="str">
        <f ca="1">IFERROR(__xludf.DUMMYFUNCTION("GOOGLETRANSLATE(English!G1020, ""en"", ""bg"")"),"разговор")</f>
        <v>разговор</v>
      </c>
      <c r="H1020" s="1" t="str">
        <f ca="1">IFERROR(__xludf.DUMMYFUNCTION("GOOGLETRANSLATE(English!H1020, ""en"", ""bg"")"),"образователна_помощ")</f>
        <v>образователна_помощ</v>
      </c>
    </row>
    <row r="1021" spans="1:8" ht="13.2" x14ac:dyDescent="0.25">
      <c r="A1021" s="1" t="str">
        <f ca="1">IFERROR(__xludf.DUMMYFUNCTION("GOOGLETRANSLATE(English!A1021, ""en"", ""bg"")"),"hw_00039")</f>
        <v>hw_00039</v>
      </c>
      <c r="B1021" s="1" t="str">
        <f ca="1">IFERROR(__xludf.DUMMYFUNCTION("GOOGLETRANSLATE(English!B1021, ""en"", ""bg"")"),"физика")</f>
        <v>физика</v>
      </c>
      <c r="C1021" s="1" t="str">
        <f ca="1">IFERROR(__xludf.DUMMYFUNCTION("GOOGLETRANSLATE(English!C1021, ""en"", ""bg"")"),"средата")</f>
        <v>средата</v>
      </c>
      <c r="D1021" s="1" t="str">
        <f ca="1">IFERROR(__xludf.DUMMYFUNCTION("GOOGLETRANSLATE(English!D1021, ""en"", ""bg"")"),"вълни")</f>
        <v>вълни</v>
      </c>
      <c r="E1021" s="1" t="str">
        <f ca="1">IFERROR(__xludf.DUMMYFUNCTION("GOOGLETRANSLATE(English!E1021, ""en"", ""bg"")"),"Заседнал съм с този проблем с вълните. Можете ли да помогнете?")</f>
        <v>Заседнал съм с този проблем с вълните. Можете ли да помогнете?</v>
      </c>
      <c r="F1021" s="1" t="str">
        <f ca="1">IFERROR(__xludf.DUMMYFUNCTION("GOOGLETRANSLATE(English!F1021,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1021" s="1" t="str">
        <f ca="1">IFERROR(__xludf.DUMMYFUNCTION("GOOGLETRANSLATE(English!G1021, ""en"", ""bg"")"),"помощ_за_домашно_изпълнение")</f>
        <v>помощ_за_домашно_изпълнение</v>
      </c>
      <c r="H1021" s="1" t="str">
        <f ca="1">IFERROR(__xludf.DUMMYFUNCTION("GOOGLETRANSLATE(English!H1021, ""en"", ""bg"")"),"помощ_за_домашно_задаване")</f>
        <v>помощ_за_домашно_задаване</v>
      </c>
    </row>
    <row r="1022" spans="1:8" ht="13.2" x14ac:dyDescent="0.25">
      <c r="A1022" s="1" t="str">
        <f ca="1">IFERROR(__xludf.DUMMYFUNCTION("GOOGLETRANSLATE(English!A1022, ""en"", ""bg"")"),"conv_17180")</f>
        <v>conv_17180</v>
      </c>
      <c r="B1022" s="1" t="str">
        <f ca="1">IFERROR(__xludf.DUMMYFUNCTION("GOOGLETRANSLATE(English!B1022, ""en"", ""bg"")"),"биология")</f>
        <v>биология</v>
      </c>
      <c r="C1022" s="1" t="str">
        <f ca="1">IFERROR(__xludf.DUMMYFUNCTION("GOOGLETRANSLATE(English!C1022, ""en"", ""bg"")"),"средата")</f>
        <v>средата</v>
      </c>
      <c r="D1022" s="1" t="str">
        <f ca="1">IFERROR(__xludf.DUMMYFUNCTION("GOOGLETRANSLATE(English!D1022, ""en"", ""bg"")"),"основи на еволюцията")</f>
        <v>основи на еволюцията</v>
      </c>
      <c r="E1022" s="1" t="str">
        <f ca="1">IFERROR(__xludf.DUMMYFUNCTION("GOOGLETRANSLATE(English!E1022, ""en"", ""bg"")"),"Не разбирам тази тема. Как работят основите на еволюцията?")</f>
        <v>Не разбирам тази тема. Как работят основите на еволюцията?</v>
      </c>
      <c r="F1022" s="1" t="str">
        <f ca="1">IFERROR(__xludf.DUMMYFUNCTION("GOOGLETRANSLATE(English!F1022,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1022" s="1" t="str">
        <f ca="1">IFERROR(__xludf.DUMMYFUNCTION("GOOGLETRANSLATE(English!G1022, ""en"", ""bg"")"),"разговор")</f>
        <v>разговор</v>
      </c>
      <c r="H1022" s="1" t="str">
        <f ca="1">IFERROR(__xludf.DUMMYFUNCTION("GOOGLETRANSLATE(English!H1022, ""en"", ""bg"")"),"образователна_помощ")</f>
        <v>образователна_помощ</v>
      </c>
    </row>
    <row r="1023" spans="1:8" ht="13.2" x14ac:dyDescent="0.25">
      <c r="A1023" s="1" t="str">
        <f ca="1">IFERROR(__xludf.DUMMYFUNCTION("GOOGLETRANSLATE(English!A1023, ""en"", ""bg"")"),"conv_11281")</f>
        <v>conv_11281</v>
      </c>
      <c r="B1023" s="1" t="str">
        <f ca="1">IFERROR(__xludf.DUMMYFUNCTION("GOOGLETRANSLATE(English!B1023, ""en"", ""bg"")"),"физика")</f>
        <v>физика</v>
      </c>
      <c r="C1023" s="1" t="str">
        <f ca="1">IFERROR(__xludf.DUMMYFUNCTION("GOOGLETRANSLATE(English!C1023, ""en"", ""bg"")"),"елементарен")</f>
        <v>елементарен</v>
      </c>
      <c r="D1023" s="1" t="str">
        <f ca="1">IFERROR(__xludf.DUMMYFUNCTION("GOOGLETRANSLATE(English!D1023, ""en"", ""bg"")"),"плаващ и потъващ")</f>
        <v>плаващ и потъващ</v>
      </c>
      <c r="E1023" s="1" t="str">
        <f ca="1">IFERROR(__xludf.DUMMYFUNCTION("GOOGLETRANSLATE(English!E1023, ""en"", ""bg"")"),"Можете ли да ми обясните това? Защо е важно да се носите и да потъвате?")</f>
        <v>Можете ли да ми обясните това? Защо е важно да се носите и да потъвате?</v>
      </c>
      <c r="F1023" s="1" t="str">
        <f ca="1">IFERROR(__xludf.DUMMYFUNCTION("GOOGLETRANSLATE(English!F1023,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1023" s="1" t="str">
        <f ca="1">IFERROR(__xludf.DUMMYFUNCTION("GOOGLETRANSLATE(English!G1023, ""en"", ""bg"")"),"разговор")</f>
        <v>разговор</v>
      </c>
      <c r="H1023" s="1" t="str">
        <f ca="1">IFERROR(__xludf.DUMMYFUNCTION("GOOGLETRANSLATE(English!H1023, ""en"", ""bg"")"),"образователна_помощ")</f>
        <v>образователна_помощ</v>
      </c>
    </row>
    <row r="1024" spans="1:8" ht="13.2" x14ac:dyDescent="0.25">
      <c r="A1024" s="1" t="str">
        <f ca="1">IFERROR(__xludf.DUMMYFUNCTION("GOOGLETRANSLATE(English!A1024, ""en"", ""bg"")"),"conv_16952")</f>
        <v>conv_16952</v>
      </c>
      <c r="B1024" s="1" t="str">
        <f ca="1">IFERROR(__xludf.DUMMYFUNCTION("GOOGLETRANSLATE(English!B1024, ""en"", ""bg"")"),"химия")</f>
        <v>химия</v>
      </c>
      <c r="C1024" s="1" t="str">
        <f ca="1">IFERROR(__xludf.DUMMYFUNCTION("GOOGLETRANSLATE(English!C1024, ""en"", ""bg"")"),"средата")</f>
        <v>средата</v>
      </c>
      <c r="D1024" s="1" t="str">
        <f ca="1">IFERROR(__xludf.DUMMYFUNCTION("GOOGLETRANSLATE(English!D1024, ""en"", ""bg"")"),"киселини и основи")</f>
        <v>киселини и основи</v>
      </c>
      <c r="E1024" s="1" t="str">
        <f ca="1">IFERROR(__xludf.DUMMYFUNCTION("GOOGLETRANSLATE(English!E1024, ""en"", ""bg"")"),"Имам научен въпрос. Защо е важно да се изучават киселини и основи?")</f>
        <v>Имам научен въпрос. Защо е важно да се изучават киселини и основи?</v>
      </c>
      <c r="F1024" s="1" t="str">
        <f ca="1">IFERROR(__xludf.DUMMYFUNCTION("GOOGLETRANSLATE(English!F1024,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1024" s="1" t="str">
        <f ca="1">IFERROR(__xludf.DUMMYFUNCTION("GOOGLETRANSLATE(English!G1024, ""en"", ""bg"")"),"разговор")</f>
        <v>разговор</v>
      </c>
      <c r="H1024" s="1" t="str">
        <f ca="1">IFERROR(__xludf.DUMMYFUNCTION("GOOGLETRANSLATE(English!H1024, ""en"", ""bg"")"),"образователна_помощ")</f>
        <v>образователна_помощ</v>
      </c>
    </row>
    <row r="1025" spans="1:8" ht="13.2" x14ac:dyDescent="0.25">
      <c r="A1025" s="1" t="str">
        <f ca="1">IFERROR(__xludf.DUMMYFUNCTION("GOOGLETRANSLATE(English!A1025, ""en"", ""bg"")"),"hw_01321")</f>
        <v>hw_01321</v>
      </c>
      <c r="B1025" s="1" t="str">
        <f ca="1">IFERROR(__xludf.DUMMYFUNCTION("GOOGLETRANSLATE(English!B1025, ""en"", ""bg"")"),"физика")</f>
        <v>физика</v>
      </c>
      <c r="C1025" s="1" t="str">
        <f ca="1">IFERROR(__xludf.DUMMYFUNCTION("GOOGLETRANSLATE(English!C1025, ""en"", ""bg"")"),"високо")</f>
        <v>високо</v>
      </c>
      <c r="D1025" s="1" t="str">
        <f ca="1">IFERROR(__xludf.DUMMYFUNCTION("GOOGLETRANSLATE(English!D1025, ""en"", ""bg"")"),"механика")</f>
        <v>механика</v>
      </c>
      <c r="E1025" s="1" t="str">
        <f ca="1">IFERROR(__xludf.DUMMYFUNCTION("GOOGLETRANSLATE(English!E1025, ""en"", ""bg"")"),"Можеш ли да решиш този механичен въпрос с мен?")</f>
        <v>Можеш ли да решиш този механичен въпрос с мен?</v>
      </c>
      <c r="F1025" s="1" t="str">
        <f ca="1">IFERROR(__xludf.DUMMYFUNCTION("GOOGLETRANSLATE(English!F1025,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1025" s="1" t="str">
        <f ca="1">IFERROR(__xludf.DUMMYFUNCTION("GOOGLETRANSLATE(English!G1025, ""en"", ""bg"")"),"помощ_за_домашно_изпълнение")</f>
        <v>помощ_за_домашно_изпълнение</v>
      </c>
      <c r="H1025" s="1" t="str">
        <f ca="1">IFERROR(__xludf.DUMMYFUNCTION("GOOGLETRANSLATE(English!H1025, ""en"", ""bg"")"),"помощ_за_домашно_задаване")</f>
        <v>помощ_за_домашно_задаване</v>
      </c>
    </row>
    <row r="1026" spans="1:8" ht="13.2" x14ac:dyDescent="0.25">
      <c r="A1026" s="1" t="str">
        <f ca="1">IFERROR(__xludf.DUMMYFUNCTION("GOOGLETRANSLATE(English!A1026, ""en"", ""bg"")"),"qa_09466")</f>
        <v>qa_09466</v>
      </c>
      <c r="B1026" s="1" t="str">
        <f ca="1">IFERROR(__xludf.DUMMYFUNCTION("GOOGLETRANSLATE(English!B1026, ""en"", ""bg"")"),"физика")</f>
        <v>физика</v>
      </c>
      <c r="C1026" s="1" t="str">
        <f ca="1">IFERROR(__xludf.DUMMYFUNCTION("GOOGLETRANSLATE(English!C1026, ""en"", ""bg"")"),"елементарен")</f>
        <v>елементарен</v>
      </c>
      <c r="D1026" s="1" t="str">
        <f ca="1">IFERROR(__xludf.DUMMYFUNCTION("GOOGLETRANSLATE(English!D1026, ""en"", ""bg"")"),"магнити")</f>
        <v>магнити</v>
      </c>
      <c r="E1026" s="1" t="str">
        <f ca="1">IFERROR(__xludf.DUMMYFUNCTION("GOOGLETRANSLATE(English!E1026, ""en"", ""bg"")"),"Как работят магнитите?")</f>
        <v>Как работят магнитите?</v>
      </c>
      <c r="F1026" s="1" t="str">
        <f ca="1">IFERROR(__xludf.DUMMYFUNCTION("GOOGLETRANSLATE(English!F1026,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1026" s="1" t="str">
        <f ca="1">IFERROR(__xludf.DUMMYFUNCTION("GOOGLETRANSLATE(English!G1026, ""en"", ""bg"")"),"direct_qa")</f>
        <v>direct_qa</v>
      </c>
      <c r="H1026" s="1" t="str">
        <f ca="1">IFERROR(__xludf.DUMMYFUNCTION("GOOGLETRANSLATE(English!H1026, ""en"", ""bg"")"),"заявка_за_знание")</f>
        <v>заявка_за_знание</v>
      </c>
    </row>
    <row r="1027" spans="1:8" ht="13.2" x14ac:dyDescent="0.25">
      <c r="A1027" s="1" t="str">
        <f ca="1">IFERROR(__xludf.DUMMYFUNCTION("GOOGLETRANSLATE(English!A1027, ""en"", ""bg"")"),"hw_04055")</f>
        <v>hw_04055</v>
      </c>
      <c r="B1027" s="1" t="str">
        <f ca="1">IFERROR(__xludf.DUMMYFUNCTION("GOOGLETRANSLATE(English!B1027, ""en"", ""bg"")"),"физика")</f>
        <v>физика</v>
      </c>
      <c r="C1027" s="1" t="str">
        <f ca="1">IFERROR(__xludf.DUMMYFUNCTION("GOOGLETRANSLATE(English!C1027, ""en"", ""bg"")"),"високо")</f>
        <v>високо</v>
      </c>
      <c r="D1027" s="1" t="str">
        <f ca="1">IFERROR(__xludf.DUMMYFUNCTION("GOOGLETRANSLATE(English!D1027, ""en"", ""bg"")"),"механика")</f>
        <v>механика</v>
      </c>
      <c r="E1027" s="1" t="str">
        <f ca="1">IFERROR(__xludf.DUMMYFUNCTION("GOOGLETRANSLATE(English!E1027, ""en"", ""bg"")"),"Можеш ли да решиш този механичен въпрос с мен?")</f>
        <v>Можеш ли да решиш този механичен въпрос с мен?</v>
      </c>
      <c r="F1027" s="1" t="str">
        <f ca="1">IFERROR(__xludf.DUMMYFUNCTION("GOOGLETRANSLATE(English!F1027,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1027" s="1" t="str">
        <f ca="1">IFERROR(__xludf.DUMMYFUNCTION("GOOGLETRANSLATE(English!G1027, ""en"", ""bg"")"),"помощ_за_домашно_изпълнение")</f>
        <v>помощ_за_домашно_изпълнение</v>
      </c>
      <c r="H1027" s="1" t="str">
        <f ca="1">IFERROR(__xludf.DUMMYFUNCTION("GOOGLETRANSLATE(English!H1027, ""en"", ""bg"")"),"помощ_за_домашно_задаване")</f>
        <v>помощ_за_домашно_задаване</v>
      </c>
    </row>
    <row r="1028" spans="1:8" ht="13.2" x14ac:dyDescent="0.25">
      <c r="A1028" s="1" t="str">
        <f ca="1">IFERROR(__xludf.DUMMYFUNCTION("GOOGLETRANSLATE(English!A1028, ""en"", ""bg"")"),"qa_01919")</f>
        <v>qa_01919</v>
      </c>
      <c r="B1028" s="1" t="str">
        <f ca="1">IFERROR(__xludf.DUMMYFUNCTION("GOOGLETRANSLATE(English!B1028, ""en"", ""bg"")"),"химия")</f>
        <v>химия</v>
      </c>
      <c r="C1028" s="1" t="str">
        <f ca="1">IFERROR(__xludf.DUMMYFUNCTION("GOOGLETRANSLATE(English!C1028, ""en"", ""bg"")"),"елементарен")</f>
        <v>елементарен</v>
      </c>
      <c r="D1028" s="1" t="str">
        <f ca="1">IFERROR(__xludf.DUMMYFUNCTION("GOOGLETRANSLATE(English!D1028, ""en"", ""bg"")"),"смесване на материали")</f>
        <v>смесване на материали</v>
      </c>
      <c r="E1028" s="1" t="str">
        <f ca="1">IFERROR(__xludf.DUMMYFUNCTION("GOOGLETRANSLATE(English!E1028, ""en"", ""bg"")"),"Какво е решение?")</f>
        <v>Какво е решение?</v>
      </c>
      <c r="F1028" s="1" t="str">
        <f ca="1">IFERROR(__xludf.DUMMYFUNCTION("GOOGLETRANSLATE(English!F1028,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1028" s="1" t="str">
        <f ca="1">IFERROR(__xludf.DUMMYFUNCTION("GOOGLETRANSLATE(English!G1028, ""en"", ""bg"")"),"direct_qa")</f>
        <v>direct_qa</v>
      </c>
      <c r="H1028" s="1" t="str">
        <f ca="1">IFERROR(__xludf.DUMMYFUNCTION("GOOGLETRANSLATE(English!H1028, ""en"", ""bg"")"),"заявка_за_знание")</f>
        <v>заявка_за_знание</v>
      </c>
    </row>
    <row r="1029" spans="1:8" ht="13.2" x14ac:dyDescent="0.25">
      <c r="A1029" s="1" t="str">
        <f ca="1">IFERROR(__xludf.DUMMYFUNCTION("GOOGLETRANSLATE(English!A1029, ""en"", ""bg"")"),"conv_14585")</f>
        <v>conv_14585</v>
      </c>
      <c r="B1029" s="1" t="str">
        <f ca="1">IFERROR(__xludf.DUMMYFUNCTION("GOOGLETRANSLATE(English!B1029, ""en"", ""bg"")"),"биология")</f>
        <v>биология</v>
      </c>
      <c r="C1029" s="1" t="str">
        <f ca="1">IFERROR(__xludf.DUMMYFUNCTION("GOOGLETRANSLATE(English!C1029, ""en"", ""bg"")"),"средата")</f>
        <v>средата</v>
      </c>
      <c r="D1029" s="1" t="str">
        <f ca="1">IFERROR(__xludf.DUMMYFUNCTION("GOOGLETRANSLATE(English!D1029, ""en"", ""bg"")"),"размножаване")</f>
        <v>размножаване</v>
      </c>
      <c r="E1029" s="1" t="str">
        <f ca="1">IFERROR(__xludf.DUMMYFUNCTION("GOOGLETRANSLATE(English!E1029, ""en"", ""bg"")"),"Можете ли да ми помогнете? Можете ли да ми разкажете за размножаването?")</f>
        <v>Можете ли да ми помогнете? Можете ли да ми разкажете за размножаването?</v>
      </c>
      <c r="F1029" s="1" t="str">
        <f ca="1">IFERROR(__xludf.DUMMYFUNCTION("GOOGLETRANSLATE(English!F1029,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1029" s="1" t="str">
        <f ca="1">IFERROR(__xludf.DUMMYFUNCTION("GOOGLETRANSLATE(English!G1029, ""en"", ""bg"")"),"разговор")</f>
        <v>разговор</v>
      </c>
      <c r="H1029" s="1" t="str">
        <f ca="1">IFERROR(__xludf.DUMMYFUNCTION("GOOGLETRANSLATE(English!H1029, ""en"", ""bg"")"),"образователна_помощ")</f>
        <v>образователна_помощ</v>
      </c>
    </row>
    <row r="1030" spans="1:8" ht="13.2" x14ac:dyDescent="0.25">
      <c r="A1030" s="1" t="str">
        <f ca="1">IFERROR(__xludf.DUMMYFUNCTION("GOOGLETRANSLATE(English!A1030, ""en"", ""bg"")"),"conv_16258")</f>
        <v>conv_16258</v>
      </c>
      <c r="B1030" s="1" t="str">
        <f ca="1">IFERROR(__xludf.DUMMYFUNCTION("GOOGLETRANSLATE(English!B1030, ""en"", ""bg"")"),"физика")</f>
        <v>физика</v>
      </c>
      <c r="C1030" s="1" t="str">
        <f ca="1">IFERROR(__xludf.DUMMYFUNCTION("GOOGLETRANSLATE(English!C1030, ""en"", ""bg"")"),"средата")</f>
        <v>средата</v>
      </c>
      <c r="D1030" s="1" t="str">
        <f ca="1">IFERROR(__xludf.DUMMYFUNCTION("GOOGLETRANSLATE(English!D1030, ""en"", ""bg"")"),"състояния на материята")</f>
        <v>състояния на материята</v>
      </c>
      <c r="E1030" s="1" t="str">
        <f ca="1">IFERROR(__xludf.DUMMYFUNCTION("GOOGLETRANSLATE(English!E1030, ""en"", ""bg"")"),"Можете ли да ми обясните това? Какво трябва да знам за състоянията на материята?")</f>
        <v>Можете ли да ми обясните това? Какво трябва да знам за състоянията на материята?</v>
      </c>
      <c r="F1030" s="1" t="str">
        <f ca="1">IFERROR(__xludf.DUMMYFUNCTION("GOOGLETRANSLATE(English!F1030,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1030" s="1" t="str">
        <f ca="1">IFERROR(__xludf.DUMMYFUNCTION("GOOGLETRANSLATE(English!G1030, ""en"", ""bg"")"),"разговор")</f>
        <v>разговор</v>
      </c>
      <c r="H1030" s="1" t="str">
        <f ca="1">IFERROR(__xludf.DUMMYFUNCTION("GOOGLETRANSLATE(English!H1030, ""en"", ""bg"")"),"образователна_помощ")</f>
        <v>образователна_помощ</v>
      </c>
    </row>
    <row r="1031" spans="1:8" ht="13.2" x14ac:dyDescent="0.25">
      <c r="A1031" s="1" t="str">
        <f ca="1">IFERROR(__xludf.DUMMYFUNCTION("GOOGLETRANSLATE(English!A1031, ""en"", ""bg"")"),"conv_09517")</f>
        <v>conv_09517</v>
      </c>
      <c r="B1031" s="1" t="str">
        <f ca="1">IFERROR(__xludf.DUMMYFUNCTION("GOOGLETRANSLATE(English!B1031, ""en"", ""bg"")"),"физика")</f>
        <v>физика</v>
      </c>
      <c r="C1031" s="1" t="str">
        <f ca="1">IFERROR(__xludf.DUMMYFUNCTION("GOOGLETRANSLATE(English!C1031, ""en"", ""bg"")"),"средата")</f>
        <v>средата</v>
      </c>
      <c r="D1031" s="1" t="str">
        <f ca="1">IFERROR(__xludf.DUMMYFUNCTION("GOOGLETRANSLATE(English!D1031, ""en"", ""bg"")"),"плътност")</f>
        <v>плътност</v>
      </c>
      <c r="E1031" s="1" t="str">
        <f ca="1">IFERROR(__xludf.DUMMYFUNCTION("GOOGLETRANSLATE(English!E1031, ""en"", ""bg"")"),"Можете ли да ми обясните това? Как работи плътността във физиката?")</f>
        <v>Можете ли да ми обясните това? Как работи плътността във физиката?</v>
      </c>
      <c r="F1031" s="1" t="str">
        <f ca="1">IFERROR(__xludf.DUMMYFUNCTION("GOOGLETRANSLATE(English!F1031,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1031" s="1" t="str">
        <f ca="1">IFERROR(__xludf.DUMMYFUNCTION("GOOGLETRANSLATE(English!G1031, ""en"", ""bg"")"),"разговор")</f>
        <v>разговор</v>
      </c>
      <c r="H1031" s="1" t="str">
        <f ca="1">IFERROR(__xludf.DUMMYFUNCTION("GOOGLETRANSLATE(English!H1031, ""en"", ""bg"")"),"образователна_помощ")</f>
        <v>образователна_помощ</v>
      </c>
    </row>
    <row r="1032" spans="1:8" ht="13.2" x14ac:dyDescent="0.25">
      <c r="A1032" s="1" t="str">
        <f ca="1">IFERROR(__xludf.DUMMYFUNCTION("GOOGLETRANSLATE(English!A1032, ""en"", ""bg"")"),"hw_05697")</f>
        <v>hw_05697</v>
      </c>
      <c r="B1032" s="1" t="str">
        <f ca="1">IFERROR(__xludf.DUMMYFUNCTION("GOOGLETRANSLATE(English!B1032, ""en"", ""bg"")"),"физика")</f>
        <v>физика</v>
      </c>
      <c r="C1032" s="1" t="str">
        <f ca="1">IFERROR(__xludf.DUMMYFUNCTION("GOOGLETRANSLATE(English!C1032, ""en"", ""bg"")"),"високо")</f>
        <v>високо</v>
      </c>
      <c r="D1032" s="1" t="str">
        <f ca="1">IFERROR(__xludf.DUMMYFUNCTION("GOOGLETRANSLATE(English!D1032, ""en"", ""bg"")"),"електромагнетизъм")</f>
        <v>електромагнетизъм</v>
      </c>
      <c r="E1032" s="1" t="str">
        <f ca="1">IFERROR(__xludf.DUMMYFUNCTION("GOOGLETRANSLATE(English!E1032, ""en"", ""bg"")"),"Заседнал съм с този проблем с електромагнетизма. Можете ли да помогнете?")</f>
        <v>Заседнал съм с този проблем с електромагнетизма. Можете ли да помогнете?</v>
      </c>
      <c r="F1032" s="1" t="str">
        <f ca="1">IFERROR(__xludf.DUMMYFUNCTION("GOOGLETRANSLATE(English!F1032,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1032" s="1" t="str">
        <f ca="1">IFERROR(__xludf.DUMMYFUNCTION("GOOGLETRANSLATE(English!G1032, ""en"", ""bg"")"),"помощ_за_домашно_изпълнение")</f>
        <v>помощ_за_домашно_изпълнение</v>
      </c>
      <c r="H1032" s="1" t="str">
        <f ca="1">IFERROR(__xludf.DUMMYFUNCTION("GOOGLETRANSLATE(English!H1032, ""en"", ""bg"")"),"помощ_за_домашно_задаване")</f>
        <v>помощ_за_домашно_задаване</v>
      </c>
    </row>
    <row r="1033" spans="1:8" ht="13.2" x14ac:dyDescent="0.25">
      <c r="A1033" s="1" t="str">
        <f ca="1">IFERROR(__xludf.DUMMYFUNCTION("GOOGLETRANSLATE(English!A1033, ""en"", ""bg"")"),"conv_04290")</f>
        <v>conv_04290</v>
      </c>
      <c r="B1033" s="1" t="str">
        <f ca="1">IFERROR(__xludf.DUMMYFUNCTION("GOOGLETRANSLATE(English!B1033, ""en"", ""bg"")"),"биология")</f>
        <v>биология</v>
      </c>
      <c r="C1033" s="1" t="str">
        <f ca="1">IFERROR(__xludf.DUMMYFUNCTION("GOOGLETRANSLATE(English!C1033, ""en"", ""bg"")"),"високо")</f>
        <v>високо</v>
      </c>
      <c r="D1033" s="1" t="str">
        <f ca="1">IFERROR(__xludf.DUMMYFUNCTION("GOOGLETRANSLATE(English!D1033, ""en"", ""bg"")"),"митоза и мейоза")</f>
        <v>митоза и мейоза</v>
      </c>
      <c r="E1033" s="1" t="str">
        <f ca="1">IFERROR(__xludf.DUMMYFUNCTION("GOOGLETRANSLATE(English!E1033, ""en"", ""bg"")"),"Можете ли да ми помогнете? Защо митозата и мейозата са важни в биологията?")</f>
        <v>Можете ли да ми помогнете? Защо митозата и мейозата са важни в биологията?</v>
      </c>
      <c r="F1033" s="1" t="str">
        <f ca="1">IFERROR(__xludf.DUMMYFUNCTION("GOOGLETRANSLATE(English!F1033,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1033" s="1" t="str">
        <f ca="1">IFERROR(__xludf.DUMMYFUNCTION("GOOGLETRANSLATE(English!G1033, ""en"", ""bg"")"),"разговор")</f>
        <v>разговор</v>
      </c>
      <c r="H1033" s="1" t="str">
        <f ca="1">IFERROR(__xludf.DUMMYFUNCTION("GOOGLETRANSLATE(English!H1033, ""en"", ""bg"")"),"образователна_помощ")</f>
        <v>образователна_помощ</v>
      </c>
    </row>
    <row r="1034" spans="1:8" ht="13.2" x14ac:dyDescent="0.25">
      <c r="A1034" s="1" t="str">
        <f ca="1">IFERROR(__xludf.DUMMYFUNCTION("GOOGLETRANSLATE(English!A1034, ""en"", ""bg"")"),"conv_01023")</f>
        <v>conv_01023</v>
      </c>
      <c r="B1034" s="1" t="str">
        <f ca="1">IFERROR(__xludf.DUMMYFUNCTION("GOOGLETRANSLATE(English!B1034, ""en"", ""bg"")"),"химия")</f>
        <v>химия</v>
      </c>
      <c r="C1034" s="1" t="str">
        <f ca="1">IFERROR(__xludf.DUMMYFUNCTION("GOOGLETRANSLATE(English!C1034, ""en"", ""bg"")"),"средата")</f>
        <v>средата</v>
      </c>
      <c r="D1034" s="1" t="str">
        <f ca="1">IFERROR(__xludf.DUMMYFUNCTION("GOOGLETRANSLATE(English!D1034, ""en"", ""bg"")"),"съединения срещу елементи")</f>
        <v>съединения срещу елементи</v>
      </c>
      <c r="E1034" s="1" t="str">
        <f ca="1">IFERROR(__xludf.DUMMYFUNCTION("GOOGLETRANSLATE(English!E1034, ""en"", ""bg"")"),"Помогнете ми да уча за теста. Можете ли да ми помогнете да разбера по-добре съединенията спрямо елементите?")</f>
        <v>Помогнете ми да уча за теста. Можете ли да ми помогнете да разбера по-добре съединенията спрямо елементите?</v>
      </c>
      <c r="F1034" s="1" t="str">
        <f ca="1">IFERROR(__xludf.DUMMYFUNCTION("GOOGLETRANSLATE(English!F1034,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1034" s="1" t="str">
        <f ca="1">IFERROR(__xludf.DUMMYFUNCTION("GOOGLETRANSLATE(English!G1034, ""en"", ""bg"")"),"разговор")</f>
        <v>разговор</v>
      </c>
      <c r="H1034" s="1" t="str">
        <f ca="1">IFERROR(__xludf.DUMMYFUNCTION("GOOGLETRANSLATE(English!H1034, ""en"", ""bg"")"),"образователна_помощ")</f>
        <v>образователна_помощ</v>
      </c>
    </row>
    <row r="1035" spans="1:8" ht="13.2" x14ac:dyDescent="0.25">
      <c r="A1035" s="1" t="str">
        <f ca="1">IFERROR(__xludf.DUMMYFUNCTION("GOOGLETRANSLATE(English!A1035, ""en"", ""bg"")"),"hw_11387")</f>
        <v>hw_11387</v>
      </c>
      <c r="B1035" s="1" t="str">
        <f ca="1">IFERROR(__xludf.DUMMYFUNCTION("GOOGLETRANSLATE(English!B1035, ""en"", ""bg"")"),"химия")</f>
        <v>химия</v>
      </c>
      <c r="C1035" s="1" t="str">
        <f ca="1">IFERROR(__xludf.DUMMYFUNCTION("GOOGLETRANSLATE(English!C1035, ""en"", ""bg"")"),"средата")</f>
        <v>средата</v>
      </c>
      <c r="D1035" s="1" t="str">
        <f ca="1">IFERROR(__xludf.DUMMYFUNCTION("GOOGLETRANSLATE(English!D1035, ""en"", ""bg"")"),"атоми и молекули")</f>
        <v>атоми и молекули</v>
      </c>
      <c r="E1035" s="1" t="str">
        <f ca="1">IFERROR(__xludf.DUMMYFUNCTION("GOOGLETRANSLATE(English!E1035, ""en"", ""bg"")"),"Затруднявам се с атомите и молекулите в домашното си.")</f>
        <v>Затруднявам се с атомите и молекулите в домашното си.</v>
      </c>
      <c r="F1035" s="1" t="str">
        <f ca="1">IFERROR(__xludf.DUMMYFUNCTION("GOOGLETRANSLATE(English!F1035,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1035" s="1" t="str">
        <f ca="1">IFERROR(__xludf.DUMMYFUNCTION("GOOGLETRANSLATE(English!G1035, ""en"", ""bg"")"),"помощ_за_домашно_изпълнение")</f>
        <v>помощ_за_домашно_изпълнение</v>
      </c>
      <c r="H1035" s="1" t="str">
        <f ca="1">IFERROR(__xludf.DUMMYFUNCTION("GOOGLETRANSLATE(English!H1035, ""en"", ""bg"")"),"помощ_за_домашно_задаване")</f>
        <v>помощ_за_домашно_задаване</v>
      </c>
    </row>
    <row r="1036" spans="1:8" ht="13.2" x14ac:dyDescent="0.25">
      <c r="A1036" s="1" t="str">
        <f ca="1">IFERROR(__xludf.DUMMYFUNCTION("GOOGLETRANSLATE(English!A1036, ""en"", ""bg"")"),"qa_09828")</f>
        <v>qa_09828</v>
      </c>
      <c r="B1036" s="1" t="str">
        <f ca="1">IFERROR(__xludf.DUMMYFUNCTION("GOOGLETRANSLATE(English!B1036, ""en"", ""bg"")"),"физика")</f>
        <v>физика</v>
      </c>
      <c r="C1036" s="1" t="str">
        <f ca="1">IFERROR(__xludf.DUMMYFUNCTION("GOOGLETRANSLATE(English!C1036, ""en"", ""bg"")"),"високо")</f>
        <v>високо</v>
      </c>
      <c r="D1036" s="1" t="str">
        <f ca="1">IFERROR(__xludf.DUMMYFUNCTION("GOOGLETRANSLATE(English!D1036, ""en"", ""bg"")"),"радиоактивност")</f>
        <v>радиоактивност</v>
      </c>
      <c r="E1036" s="1" t="str">
        <f ca="1">IFERROR(__xludf.DUMMYFUNCTION("GOOGLETRANSLATE(English!E1036, ""en"", ""bg"")"),"Можете ли да ми обясните какво е радиоактивност?")</f>
        <v>Можете ли да ми обясните какво е радиоактивност?</v>
      </c>
      <c r="F1036" s="1" t="str">
        <f ca="1">IFERROR(__xludf.DUMMYFUNCTION("GOOGLETRANSLATE(English!F1036,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1036" s="1" t="str">
        <f ca="1">IFERROR(__xludf.DUMMYFUNCTION("GOOGLETRANSLATE(English!G1036, ""en"", ""bg"")"),"direct_qa")</f>
        <v>direct_qa</v>
      </c>
      <c r="H1036" s="1" t="str">
        <f ca="1">IFERROR(__xludf.DUMMYFUNCTION("GOOGLETRANSLATE(English!H1036, ""en"", ""bg"")"),"заявка_за_знание")</f>
        <v>заявка_за_знание</v>
      </c>
    </row>
    <row r="1037" spans="1:8" ht="13.2" x14ac:dyDescent="0.25">
      <c r="A1037" s="1" t="str">
        <f ca="1">IFERROR(__xludf.DUMMYFUNCTION("GOOGLETRANSLATE(English!A1037, ""en"", ""bg"")"),"conv_17834")</f>
        <v>conv_17834</v>
      </c>
      <c r="B1037" s="1" t="str">
        <f ca="1">IFERROR(__xludf.DUMMYFUNCTION("GOOGLETRANSLATE(English!B1037, ""en"", ""bg"")"),"физика")</f>
        <v>физика</v>
      </c>
      <c r="C1037" s="1" t="str">
        <f ca="1">IFERROR(__xludf.DUMMYFUNCTION("GOOGLETRANSLATE(English!C1037, ""en"", ""bg"")"),"елементарен")</f>
        <v>елементарен</v>
      </c>
      <c r="D1037" s="1" t="str">
        <f ca="1">IFERROR(__xludf.DUMMYFUNCTION("GOOGLETRANSLATE(English!D1037, ""en"", ""bg"")"),"горещо и студено")</f>
        <v>горещо и студено</v>
      </c>
      <c r="E1037" s="1" t="str">
        <f ca="1">IFERROR(__xludf.DUMMYFUNCTION("GOOGLETRANSLATE(English!E1037, ""en"", ""bg"")"),"Не разбирам тази тема. Какво трябва да знам за топлото и студеното?")</f>
        <v>Не разбирам тази тема. Какво трябва да знам за топлото и студеното?</v>
      </c>
      <c r="F1037" s="1" t="str">
        <f ca="1">IFERROR(__xludf.DUMMYFUNCTION("GOOGLETRANSLATE(English!F1037,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1037" s="1" t="str">
        <f ca="1">IFERROR(__xludf.DUMMYFUNCTION("GOOGLETRANSLATE(English!G1037, ""en"", ""bg"")"),"разговор")</f>
        <v>разговор</v>
      </c>
      <c r="H1037" s="1" t="str">
        <f ca="1">IFERROR(__xludf.DUMMYFUNCTION("GOOGLETRANSLATE(English!H1037, ""en"", ""bg"")"),"образователна_помощ")</f>
        <v>образователна_помощ</v>
      </c>
    </row>
    <row r="1038" spans="1:8" ht="13.2" x14ac:dyDescent="0.25">
      <c r="A1038" s="1" t="str">
        <f ca="1">IFERROR(__xludf.DUMMYFUNCTION("GOOGLETRANSLATE(English!A1038, ""en"", ""bg"")"),"hw_13261")</f>
        <v>hw_13261</v>
      </c>
      <c r="B1038" s="1" t="str">
        <f ca="1">IFERROR(__xludf.DUMMYFUNCTION("GOOGLETRANSLATE(English!B1038, ""en"", ""bg"")"),"биология")</f>
        <v>биология</v>
      </c>
      <c r="C1038" s="1" t="str">
        <f ca="1">IFERROR(__xludf.DUMMYFUNCTION("GOOGLETRANSLATE(English!C1038, ""en"", ""bg"")"),"средата")</f>
        <v>средата</v>
      </c>
      <c r="D1038" s="1" t="str">
        <f ca="1">IFERROR(__xludf.DUMMYFUNCTION("GOOGLETRANSLATE(English!D1038, ""en"", ""bg"")"),"дишане")</f>
        <v>дишане</v>
      </c>
      <c r="E1038" s="1" t="str">
        <f ca="1">IFERROR(__xludf.DUMMYFUNCTION("GOOGLETRANSLATE(English!E1038, ""en"", ""bg"")"),"Домашното ми пита за дишането. Не го разбирам.")</f>
        <v>Домашното ми пита за дишането. Не го разбирам.</v>
      </c>
      <c r="F1038" s="1" t="str">
        <f ca="1">IFERROR(__xludf.DUMMYFUNCTION("GOOGLETRANSLATE(English!F1038,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1038" s="1" t="str">
        <f ca="1">IFERROR(__xludf.DUMMYFUNCTION("GOOGLETRANSLATE(English!G1038, ""en"", ""bg"")"),"помощ_за_домашно_изпълнение")</f>
        <v>помощ_за_домашно_изпълнение</v>
      </c>
      <c r="H1038" s="1" t="str">
        <f ca="1">IFERROR(__xludf.DUMMYFUNCTION("GOOGLETRANSLATE(English!H1038, ""en"", ""bg"")"),"помощ_за_домашно_задаване")</f>
        <v>помощ_за_домашно_задаване</v>
      </c>
    </row>
    <row r="1039" spans="1:8" ht="13.2" x14ac:dyDescent="0.25">
      <c r="A1039" s="1" t="str">
        <f ca="1">IFERROR(__xludf.DUMMYFUNCTION("GOOGLETRANSLATE(English!A1039, ""en"", ""bg"")"),"qa_10447")</f>
        <v>qa_10447</v>
      </c>
      <c r="B1039" s="1" t="str">
        <f ca="1">IFERROR(__xludf.DUMMYFUNCTION("GOOGLETRANSLATE(English!B1039, ""en"", ""bg"")"),"физика")</f>
        <v>физика</v>
      </c>
      <c r="C1039" s="1" t="str">
        <f ca="1">IFERROR(__xludf.DUMMYFUNCTION("GOOGLETRANSLATE(English!C1039, ""en"", ""bg"")"),"средата")</f>
        <v>средата</v>
      </c>
      <c r="D1039" s="1" t="str">
        <f ca="1">IFERROR(__xludf.DUMMYFUNCTION("GOOGLETRANSLATE(English!D1039, ""en"", ""bg"")"),"видове енергия")</f>
        <v>видове енергия</v>
      </c>
      <c r="E1039" s="1" t="str">
        <f ca="1">IFERROR(__xludf.DUMMYFUNCTION("GOOGLETRANSLATE(English!E1039, ""en"", ""bg"")"),"Какво е потенциална енергия?")</f>
        <v>Какво е потенциална енергия?</v>
      </c>
      <c r="F1039" s="1" t="str">
        <f ca="1">IFERROR(__xludf.DUMMYFUNCTION("GOOGLETRANSLATE(English!F1039,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1039" s="1" t="str">
        <f ca="1">IFERROR(__xludf.DUMMYFUNCTION("GOOGLETRANSLATE(English!G1039, ""en"", ""bg"")"),"direct_qa")</f>
        <v>direct_qa</v>
      </c>
      <c r="H1039" s="1" t="str">
        <f ca="1">IFERROR(__xludf.DUMMYFUNCTION("GOOGLETRANSLATE(English!H1039, ""en"", ""bg"")"),"заявка_за_знание")</f>
        <v>заявка_за_знание</v>
      </c>
    </row>
    <row r="1040" spans="1:8" ht="13.2" x14ac:dyDescent="0.25">
      <c r="A1040" s="1" t="str">
        <f ca="1">IFERROR(__xludf.DUMMYFUNCTION("GOOGLETRANSLATE(English!A1040, ""en"", ""bg"")"),"hw_07397")</f>
        <v>hw_07397</v>
      </c>
      <c r="B1040" s="1" t="str">
        <f ca="1">IFERROR(__xludf.DUMMYFUNCTION("GOOGLETRANSLATE(English!B1040, ""en"", ""bg"")"),"биология")</f>
        <v>биология</v>
      </c>
      <c r="C1040" s="1" t="str">
        <f ca="1">IFERROR(__xludf.DUMMYFUNCTION("GOOGLETRANSLATE(English!C1040, ""en"", ""bg"")"),"високо")</f>
        <v>високо</v>
      </c>
      <c r="D1040" s="1" t="str">
        <f ca="1">IFERROR(__xludf.DUMMYFUNCTION("GOOGLETRANSLATE(English!D1040, ""en"", ""bg"")"),"модели на наследяване")</f>
        <v>модели на наследяване</v>
      </c>
      <c r="E1040" s="1" t="str">
        <f ca="1">IFERROR(__xludf.DUMMYFUNCTION("GOOGLETRANSLATE(English!E1040,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1040" s="1" t="str">
        <f ca="1">IFERROR(__xludf.DUMMYFUNCTION("GOOGLETRANSLATE(English!F1040,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1040" s="1" t="str">
        <f ca="1">IFERROR(__xludf.DUMMYFUNCTION("GOOGLETRANSLATE(English!G1040, ""en"", ""bg"")"),"помощ_за_домашно_изпълнение")</f>
        <v>помощ_за_домашно_изпълнение</v>
      </c>
      <c r="H1040" s="1" t="str">
        <f ca="1">IFERROR(__xludf.DUMMYFUNCTION("GOOGLETRANSLATE(English!H1040, ""en"", ""bg"")"),"помощ_за_домашно_задаване")</f>
        <v>помощ_за_домашно_задаване</v>
      </c>
    </row>
    <row r="1041" spans="1:8" ht="13.2" x14ac:dyDescent="0.25">
      <c r="A1041" s="1" t="str">
        <f ca="1">IFERROR(__xludf.DUMMYFUNCTION("GOOGLETRANSLATE(English!A1041, ""en"", ""bg"")"),"qa_13907")</f>
        <v>qa_13907</v>
      </c>
      <c r="B1041" s="1" t="str">
        <f ca="1">IFERROR(__xludf.DUMMYFUNCTION("GOOGLETRANSLATE(English!B1041, ""en"", ""bg"")"),"химия")</f>
        <v>химия</v>
      </c>
      <c r="C1041" s="1" t="str">
        <f ca="1">IFERROR(__xludf.DUMMYFUNCTION("GOOGLETRANSLATE(English!C1041, ""en"", ""bg"")"),"средата")</f>
        <v>средата</v>
      </c>
      <c r="D1041" s="1" t="str">
        <f ca="1">IFERROR(__xludf.DUMMYFUNCTION("GOOGLETRANSLATE(English!D1041, ""en"", ""bg"")"),"химични промени")</f>
        <v>химични промени</v>
      </c>
      <c r="E1041" s="1" t="str">
        <f ca="1">IFERROR(__xludf.DUMMYFUNCTION("GOOGLETRANSLATE(English!E1041, ""en"", ""bg"")"),"Можете ли да ми помогнете да разбера химичните промени?")</f>
        <v>Можете ли да ми помогнете да разбера химичните промени?</v>
      </c>
      <c r="F1041" s="1" t="str">
        <f ca="1">IFERROR(__xludf.DUMMYFUNCTION("GOOGLETRANSLATE(English!F1041,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1041" s="1" t="str">
        <f ca="1">IFERROR(__xludf.DUMMYFUNCTION("GOOGLETRANSLATE(English!G1041, ""en"", ""bg"")"),"direct_qa")</f>
        <v>direct_qa</v>
      </c>
      <c r="H1041" s="1" t="str">
        <f ca="1">IFERROR(__xludf.DUMMYFUNCTION("GOOGLETRANSLATE(English!H1041, ""en"", ""bg"")"),"заявка_за_знание")</f>
        <v>заявка_за_знание</v>
      </c>
    </row>
    <row r="1042" spans="1:8" ht="13.2" x14ac:dyDescent="0.25">
      <c r="A1042" s="1" t="str">
        <f ca="1">IFERROR(__xludf.DUMMYFUNCTION("GOOGLETRANSLATE(English!A1042, ""en"", ""bg"")"),"qa_00828")</f>
        <v>qa_00828</v>
      </c>
      <c r="B1042" s="1" t="str">
        <f ca="1">IFERROR(__xludf.DUMMYFUNCTION("GOOGLETRANSLATE(English!B1042, ""en"", ""bg"")"),"физика")</f>
        <v>физика</v>
      </c>
      <c r="C1042" s="1" t="str">
        <f ca="1">IFERROR(__xludf.DUMMYFUNCTION("GOOGLETRANSLATE(English!C1042, ""en"", ""bg"")"),"високо")</f>
        <v>високо</v>
      </c>
      <c r="D1042" s="1" t="str">
        <f ca="1">IFERROR(__xludf.DUMMYFUNCTION("GOOGLETRANSLATE(English!D1042, ""en"", ""bg"")"),"атомна структура")</f>
        <v>атомна структура</v>
      </c>
      <c r="E1042" s="1" t="str">
        <f ca="1">IFERROR(__xludf.DUMMYFUNCTION("GOOGLETRANSLATE(English!E1042, ""en"", ""bg"")"),"Можете ли да ми обясните структурата на атома?")</f>
        <v>Можете ли да ми обясните структурата на атома?</v>
      </c>
      <c r="F1042" s="1" t="str">
        <f ca="1">IFERROR(__xludf.DUMMYFUNCTION("GOOGLETRANSLATE(English!F1042,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1042" s="1" t="str">
        <f ca="1">IFERROR(__xludf.DUMMYFUNCTION("GOOGLETRANSLATE(English!G1042, ""en"", ""bg"")"),"direct_qa")</f>
        <v>direct_qa</v>
      </c>
      <c r="H1042" s="1" t="str">
        <f ca="1">IFERROR(__xludf.DUMMYFUNCTION("GOOGLETRANSLATE(English!H1042, ""en"", ""bg"")"),"заявка_за_знание")</f>
        <v>заявка_за_знание</v>
      </c>
    </row>
    <row r="1043" spans="1:8" ht="13.2" x14ac:dyDescent="0.25">
      <c r="A1043" s="1" t="str">
        <f ca="1">IFERROR(__xludf.DUMMYFUNCTION("GOOGLETRANSLATE(English!A1043, ""en"", ""bg"")"),"hw_14661")</f>
        <v>hw_14661</v>
      </c>
      <c r="B1043" s="1" t="str">
        <f ca="1">IFERROR(__xludf.DUMMYFUNCTION("GOOGLETRANSLATE(English!B1043, ""en"", ""bg"")"),"физика")</f>
        <v>физика</v>
      </c>
      <c r="C1043" s="1" t="str">
        <f ca="1">IFERROR(__xludf.DUMMYFUNCTION("GOOGLETRANSLATE(English!C1043, ""en"", ""bg"")"),"елементарен")</f>
        <v>елементарен</v>
      </c>
      <c r="D1043" s="1" t="str">
        <f ca="1">IFERROR(__xludf.DUMMYFUNCTION("GOOGLETRANSLATE(English!D1043, ""en"", ""bg"")"),"бутане и дърпане")</f>
        <v>бутане и дърпане</v>
      </c>
      <c r="E1043" s="1" t="str">
        <f ca="1">IFERROR(__xludf.DUMMYFUNCTION("GOOGLETRANSLATE(English!E1043, ""en"", ""bg"")"),"Домашното ми по физика е за бутане и дърпане. Объркващо е!")</f>
        <v>Домашното ми по физика е за бутане и дърпане. Объркващо е!</v>
      </c>
      <c r="F1043" s="1" t="str">
        <f ca="1">IFERROR(__xludf.DUMMYFUNCTION("GOOGLETRANSLATE(English!F1043,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1043" s="1" t="str">
        <f ca="1">IFERROR(__xludf.DUMMYFUNCTION("GOOGLETRANSLATE(English!G1043, ""en"", ""bg"")"),"помощ_за_домашно_изпълнение")</f>
        <v>помощ_за_домашно_изпълнение</v>
      </c>
      <c r="H1043" s="1" t="str">
        <f ca="1">IFERROR(__xludf.DUMMYFUNCTION("GOOGLETRANSLATE(English!H1043, ""en"", ""bg"")"),"помощ_за_домашно_задаване")</f>
        <v>помощ_за_домашно_задаване</v>
      </c>
    </row>
    <row r="1044" spans="1:8" ht="13.2" x14ac:dyDescent="0.25">
      <c r="A1044" s="1" t="str">
        <f ca="1">IFERROR(__xludf.DUMMYFUNCTION("GOOGLETRANSLATE(English!A1044, ""en"", ""bg"")"),"qa_12944")</f>
        <v>qa_12944</v>
      </c>
      <c r="B1044" s="1" t="str">
        <f ca="1">IFERROR(__xludf.DUMMYFUNCTION("GOOGLETRANSLATE(English!B1044, ""en"", ""bg"")"),"физика")</f>
        <v>физика</v>
      </c>
      <c r="C1044" s="1" t="str">
        <f ca="1">IFERROR(__xludf.DUMMYFUNCTION("GOOGLETRANSLATE(English!C1044, ""en"", ""bg"")"),"средата")</f>
        <v>средата</v>
      </c>
      <c r="D1044" s="1" t="str">
        <f ca="1">IFERROR(__xludf.DUMMYFUNCTION("GOOGLETRANSLATE(English!D1044, ""en"", ""bg"")"),"видове енергия")</f>
        <v>видове енергия</v>
      </c>
      <c r="E1044" s="1" t="str">
        <f ca="1">IFERROR(__xludf.DUMMYFUNCTION("GOOGLETRANSLATE(English!E1044, ""en"", ""bg"")"),"Какво е кинетична енергия?")</f>
        <v>Какво е кинетична енергия?</v>
      </c>
      <c r="F1044" s="1" t="str">
        <f ca="1">IFERROR(__xludf.DUMMYFUNCTION("GOOGLETRANSLATE(English!F1044,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1044" s="1" t="str">
        <f ca="1">IFERROR(__xludf.DUMMYFUNCTION("GOOGLETRANSLATE(English!G1044, ""en"", ""bg"")"),"direct_qa")</f>
        <v>direct_qa</v>
      </c>
      <c r="H1044" s="1" t="str">
        <f ca="1">IFERROR(__xludf.DUMMYFUNCTION("GOOGLETRANSLATE(English!H1044, ""en"", ""bg"")"),"заявка_за_знание")</f>
        <v>заявка_за_знание</v>
      </c>
    </row>
    <row r="1045" spans="1:8" ht="13.2" x14ac:dyDescent="0.25">
      <c r="A1045" s="1" t="str">
        <f ca="1">IFERROR(__xludf.DUMMYFUNCTION("GOOGLETRANSLATE(English!A1045, ""en"", ""bg"")"),"conv_12565")</f>
        <v>conv_12565</v>
      </c>
      <c r="B1045" s="1" t="str">
        <f ca="1">IFERROR(__xludf.DUMMYFUNCTION("GOOGLETRANSLATE(English!B1045, ""en"", ""bg"")"),"физика")</f>
        <v>физика</v>
      </c>
      <c r="C1045" s="1" t="str">
        <f ca="1">IFERROR(__xludf.DUMMYFUNCTION("GOOGLETRANSLATE(English!C1045, ""en"", ""bg"")"),"елементарен")</f>
        <v>елементарен</v>
      </c>
      <c r="D1045" s="1" t="str">
        <f ca="1">IFERROR(__xludf.DUMMYFUNCTION("GOOGLETRANSLATE(English!D1045, ""en"", ""bg"")"),"прости машини")</f>
        <v>прости машини</v>
      </c>
      <c r="E1045" s="1" t="str">
        <f ca="1">IFERROR(__xludf.DUMMYFUNCTION("GOOGLETRANSLATE(English!E1045, ""en"", ""bg"")"),"Не разбирам тази тема. Можете ли да ми обясните прости машини?")</f>
        <v>Не разбирам тази тема. Можете ли да ми обясните прости машини?</v>
      </c>
      <c r="F1045" s="1" t="str">
        <f ca="1">IFERROR(__xludf.DUMMYFUNCTION("GOOGLETRANSLATE(English!F1045,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1045" s="1" t="str">
        <f ca="1">IFERROR(__xludf.DUMMYFUNCTION("GOOGLETRANSLATE(English!G1045, ""en"", ""bg"")"),"разговор")</f>
        <v>разговор</v>
      </c>
      <c r="H1045" s="1" t="str">
        <f ca="1">IFERROR(__xludf.DUMMYFUNCTION("GOOGLETRANSLATE(English!H1045, ""en"", ""bg"")"),"образователна_помощ")</f>
        <v>образователна_помощ</v>
      </c>
    </row>
    <row r="1046" spans="1:8" ht="13.2" x14ac:dyDescent="0.25">
      <c r="A1046" s="1" t="str">
        <f ca="1">IFERROR(__xludf.DUMMYFUNCTION("GOOGLETRANSLATE(English!A1046, ""en"", ""bg"")"),"qa_12272")</f>
        <v>qa_12272</v>
      </c>
      <c r="B1046" s="1" t="str">
        <f ca="1">IFERROR(__xludf.DUMMYFUNCTION("GOOGLETRANSLATE(English!B1046, ""en"", ""bg"")"),"физика")</f>
        <v>физика</v>
      </c>
      <c r="C1046" s="1" t="str">
        <f ca="1">IFERROR(__xludf.DUMMYFUNCTION("GOOGLETRANSLATE(English!C1046, ""en"", ""bg"")"),"високо")</f>
        <v>високо</v>
      </c>
      <c r="D1046" s="1" t="str">
        <f ca="1">IFERROR(__xludf.DUMMYFUNCTION("GOOGLETRANSLATE(English!D1046, ""en"", ""bg"")"),"механика")</f>
        <v>механика</v>
      </c>
      <c r="E1046" s="1" t="str">
        <f ca="1">IFERROR(__xludf.DUMMYFUNCTION("GOOGLETRANSLATE(English!E1046, ""en"", ""bg"")"),"Защо механиката е важна?")</f>
        <v>Защо механиката е важна?</v>
      </c>
      <c r="F1046" s="1" t="str">
        <f ca="1">IFERROR(__xludf.DUMMYFUNCTION("GOOGLETRANSLATE(English!F1046,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1046" s="1" t="str">
        <f ca="1">IFERROR(__xludf.DUMMYFUNCTION("GOOGLETRANSLATE(English!G1046, ""en"", ""bg"")"),"direct_qa")</f>
        <v>direct_qa</v>
      </c>
      <c r="H1046" s="1" t="str">
        <f ca="1">IFERROR(__xludf.DUMMYFUNCTION("GOOGLETRANSLATE(English!H1046, ""en"", ""bg"")"),"заявка_за_знание")</f>
        <v>заявка_за_знание</v>
      </c>
    </row>
    <row r="1047" spans="1:8" ht="13.2" x14ac:dyDescent="0.25">
      <c r="A1047" s="1" t="str">
        <f ca="1">IFERROR(__xludf.DUMMYFUNCTION("GOOGLETRANSLATE(English!A1047, ""en"", ""bg"")"),"hw_07508")</f>
        <v>hw_07508</v>
      </c>
      <c r="B1047" s="1" t="str">
        <f ca="1">IFERROR(__xludf.DUMMYFUNCTION("GOOGLETRANSLATE(English!B1047, ""en"", ""bg"")"),"химия")</f>
        <v>химия</v>
      </c>
      <c r="C1047" s="1" t="str">
        <f ca="1">IFERROR(__xludf.DUMMYFUNCTION("GOOGLETRANSLATE(English!C1047, ""en"", ""bg"")"),"високо")</f>
        <v>високо</v>
      </c>
      <c r="D1047" s="1" t="str">
        <f ca="1">IFERROR(__xludf.DUMMYFUNCTION("GOOGLETRANSLATE(English!D1047, ""en"", ""bg"")"),"химическо свързване")</f>
        <v>химическо свързване</v>
      </c>
      <c r="E1047" s="1" t="str">
        <f ca="1">IFERROR(__xludf.DUMMYFUNCTION("GOOGLETRANSLATE(English!E1047,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1047" s="1" t="str">
        <f ca="1">IFERROR(__xludf.DUMMYFUNCTION("GOOGLETRANSLATE(English!F1047,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1047" s="1" t="str">
        <f ca="1">IFERROR(__xludf.DUMMYFUNCTION("GOOGLETRANSLATE(English!G1047, ""en"", ""bg"")"),"помощ_за_домашно_изпълнение")</f>
        <v>помощ_за_домашно_изпълнение</v>
      </c>
      <c r="H1047" s="1" t="str">
        <f ca="1">IFERROR(__xludf.DUMMYFUNCTION("GOOGLETRANSLATE(English!H1047, ""en"", ""bg"")"),"помощ_за_домашно_задаване")</f>
        <v>помощ_за_домашно_задаване</v>
      </c>
    </row>
    <row r="1048" spans="1:8" ht="13.2" x14ac:dyDescent="0.25">
      <c r="A1048" s="1" t="str">
        <f ca="1">IFERROR(__xludf.DUMMYFUNCTION("GOOGLETRANSLATE(English!A1048, ""en"", ""bg"")"),"conv_01001")</f>
        <v>conv_01001</v>
      </c>
      <c r="B1048" s="1" t="str">
        <f ca="1">IFERROR(__xludf.DUMMYFUNCTION("GOOGLETRANSLATE(English!B1048, ""en"", ""bg"")"),"биология")</f>
        <v>биология</v>
      </c>
      <c r="C1048" s="1" t="str">
        <f ca="1">IFERROR(__xludf.DUMMYFUNCTION("GOOGLETRANSLATE(English!C1048, ""en"", ""bg"")"),"средата")</f>
        <v>средата</v>
      </c>
      <c r="D1048" s="1" t="str">
        <f ca="1">IFERROR(__xludf.DUMMYFUNCTION("GOOGLETRANSLATE(English!D1048, ""en"", ""bg"")"),"основи на генетиката")</f>
        <v>основи на генетиката</v>
      </c>
      <c r="E1048" s="1" t="str">
        <f ca="1">IFERROR(__xludf.DUMMYFUNCTION("GOOGLETRANSLATE(English!E1048, ""en"", ""bg"")"),"Можете ли да ми обясните това? Какво е важно да знаем за основите на генетиката?")</f>
        <v>Можете ли да ми обясните това? Какво е важно да знаем за основите на генетиката?</v>
      </c>
      <c r="F1048" s="1" t="str">
        <f ca="1">IFERROR(__xludf.DUMMYFUNCTION("GOOGLETRANSLATE(English!F1048,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1048" s="1" t="str">
        <f ca="1">IFERROR(__xludf.DUMMYFUNCTION("GOOGLETRANSLATE(English!G1048, ""en"", ""bg"")"),"разговор")</f>
        <v>разговор</v>
      </c>
      <c r="H1048" s="1" t="str">
        <f ca="1">IFERROR(__xludf.DUMMYFUNCTION("GOOGLETRANSLATE(English!H1048, ""en"", ""bg"")"),"образователна_помощ")</f>
        <v>образователна_помощ</v>
      </c>
    </row>
    <row r="1049" spans="1:8" ht="13.2" x14ac:dyDescent="0.25">
      <c r="A1049" s="1" t="str">
        <f ca="1">IFERROR(__xludf.DUMMYFUNCTION("GOOGLETRANSLATE(English!A1049, ""en"", ""bg"")"),"hw_13125")</f>
        <v>hw_13125</v>
      </c>
      <c r="B1049" s="1" t="str">
        <f ca="1">IFERROR(__xludf.DUMMYFUNCTION("GOOGLETRANSLATE(English!B1049, ""en"", ""bg"")"),"биология")</f>
        <v>биология</v>
      </c>
      <c r="C1049" s="1" t="str">
        <f ca="1">IFERROR(__xludf.DUMMYFUNCTION("GOOGLETRANSLATE(English!C1049, ""en"", ""bg"")"),"елементарен")</f>
        <v>елементарен</v>
      </c>
      <c r="D1049" s="1" t="str">
        <f ca="1">IFERROR(__xludf.DUMMYFUNCTION("GOOGLETRANSLATE(English!D1049, ""en"", ""bg"")"),"растения")</f>
        <v>растения</v>
      </c>
      <c r="E1049" s="1" t="str">
        <f ca="1">IFERROR(__xludf.DUMMYFUNCTION("GOOGLETRANSLATE(English!E1049, ""en"", ""bg"")"),"Домашното ми пита за растенията. Не го разбирам.")</f>
        <v>Домашното ми пита за растенията. Не го разбирам.</v>
      </c>
      <c r="F1049" s="1" t="str">
        <f ca="1">IFERROR(__xludf.DUMMYFUNCTION("GOOGLETRANSLATE(English!F1049,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1049" s="1" t="str">
        <f ca="1">IFERROR(__xludf.DUMMYFUNCTION("GOOGLETRANSLATE(English!G1049, ""en"", ""bg"")"),"помощ_за_домашно_изпълнение")</f>
        <v>помощ_за_домашно_изпълнение</v>
      </c>
      <c r="H1049" s="1" t="str">
        <f ca="1">IFERROR(__xludf.DUMMYFUNCTION("GOOGLETRANSLATE(English!H1049, ""en"", ""bg"")"),"помощ_за_домашно_задаване")</f>
        <v>помощ_за_домашно_задаване</v>
      </c>
    </row>
    <row r="1050" spans="1:8" ht="13.2" x14ac:dyDescent="0.25">
      <c r="A1050" s="1" t="str">
        <f ca="1">IFERROR(__xludf.DUMMYFUNCTION("GOOGLETRANSLATE(English!A1050, ""en"", ""bg"")"),"conv_10702")</f>
        <v>conv_10702</v>
      </c>
      <c r="B1050" s="1" t="str">
        <f ca="1">IFERROR(__xludf.DUMMYFUNCTION("GOOGLETRANSLATE(English!B1050, ""en"", ""bg"")"),"химия")</f>
        <v>химия</v>
      </c>
      <c r="C1050" s="1" t="str">
        <f ca="1">IFERROR(__xludf.DUMMYFUNCTION("GOOGLETRANSLATE(English!C1050, ""en"", ""bg"")"),"високо")</f>
        <v>високо</v>
      </c>
      <c r="D1050" s="1" t="str">
        <f ca="1">IFERROR(__xludf.DUMMYFUNCTION("GOOGLETRANSLATE(English!D1050, ""en"", ""bg"")"),"електрохимия")</f>
        <v>електрохимия</v>
      </c>
      <c r="E1050" s="1" t="str">
        <f ca="1">IFERROR(__xludf.DUMMYFUNCTION("GOOGLETRANSLATE(English!E1050, ""en"", ""bg"")"),"Помогнете ми да уча за теста си. Как работи електрохимията в химията?")</f>
        <v>Помогнете ми да уча за теста си. Как работи електрохимията в химията?</v>
      </c>
      <c r="F1050" s="1" t="str">
        <f ca="1">IFERROR(__xludf.DUMMYFUNCTION("GOOGLETRANSLATE(English!F1050,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1050" s="1" t="str">
        <f ca="1">IFERROR(__xludf.DUMMYFUNCTION("GOOGLETRANSLATE(English!G1050, ""en"", ""bg"")"),"разговор")</f>
        <v>разговор</v>
      </c>
      <c r="H1050" s="1" t="str">
        <f ca="1">IFERROR(__xludf.DUMMYFUNCTION("GOOGLETRANSLATE(English!H1050, ""en"", ""bg"")"),"образователна_помощ")</f>
        <v>образователна_помощ</v>
      </c>
    </row>
    <row r="1051" spans="1:8" ht="13.2" x14ac:dyDescent="0.25">
      <c r="A1051" s="1" t="str">
        <f ca="1">IFERROR(__xludf.DUMMYFUNCTION("GOOGLETRANSLATE(English!A1051, ""en"", ""bg"")"),"qa_08794")</f>
        <v>qa_08794</v>
      </c>
      <c r="B1051" s="1" t="str">
        <f ca="1">IFERROR(__xludf.DUMMYFUNCTION("GOOGLETRANSLATE(English!B1051, ""en"", ""bg"")"),"физика")</f>
        <v>физика</v>
      </c>
      <c r="C1051" s="1" t="str">
        <f ca="1">IFERROR(__xludf.DUMMYFUNCTION("GOOGLETRANSLATE(English!C1051, ""en"", ""bg"")"),"елементарен")</f>
        <v>елементарен</v>
      </c>
      <c r="D1051" s="1" t="str">
        <f ca="1">IFERROR(__xludf.DUMMYFUNCTION("GOOGLETRANSLATE(English!D1051, ""en"", ""bg"")"),"горещо и студено")</f>
        <v>горещо и студено</v>
      </c>
      <c r="E1051" s="1" t="str">
        <f ca="1">IFERROR(__xludf.DUMMYFUNCTION("GOOGLETRANSLATE(English!E1051, ""en"", ""bg"")"),"Как работят топлото и студеното във физиката?")</f>
        <v>Как работят топлото и студеното във физиката?</v>
      </c>
      <c r="F1051" s="1" t="str">
        <f ca="1">IFERROR(__xludf.DUMMYFUNCTION("GOOGLETRANSLATE(English!F1051,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051" s="1" t="str">
        <f ca="1">IFERROR(__xludf.DUMMYFUNCTION("GOOGLETRANSLATE(English!G1051, ""en"", ""bg"")"),"direct_qa")</f>
        <v>direct_qa</v>
      </c>
      <c r="H1051" s="1" t="str">
        <f ca="1">IFERROR(__xludf.DUMMYFUNCTION("GOOGLETRANSLATE(English!H1051, ""en"", ""bg"")"),"заявка_за_знание")</f>
        <v>заявка_за_знание</v>
      </c>
    </row>
    <row r="1052" spans="1:8" ht="13.2" x14ac:dyDescent="0.25">
      <c r="A1052" s="1" t="str">
        <f ca="1">IFERROR(__xludf.DUMMYFUNCTION("GOOGLETRANSLATE(English!A1052, ""en"", ""bg"")"),"qa_02401")</f>
        <v>qa_02401</v>
      </c>
      <c r="B1052" s="1" t="str">
        <f ca="1">IFERROR(__xludf.DUMMYFUNCTION("GOOGLETRANSLATE(English!B1052, ""en"", ""bg"")"),"химия")</f>
        <v>химия</v>
      </c>
      <c r="C1052" s="1" t="str">
        <f ca="1">IFERROR(__xludf.DUMMYFUNCTION("GOOGLETRANSLATE(English!C1052, ""en"", ""bg"")"),"средата")</f>
        <v>средата</v>
      </c>
      <c r="D1052" s="1" t="str">
        <f ca="1">IFERROR(__xludf.DUMMYFUNCTION("GOOGLETRANSLATE(English!D1052, ""en"", ""bg"")"),"химични реакции")</f>
        <v>химични реакции</v>
      </c>
      <c r="E1052" s="1" t="str">
        <f ca="1">IFERROR(__xludf.DUMMYFUNCTION("GOOGLETRANSLATE(English!E1052, ""en"", ""bg"")"),"Как да разберете дали е възникнала химическа реакция?")</f>
        <v>Как да разберете дали е възникнала химическа реакция?</v>
      </c>
      <c r="F1052" s="1" t="str">
        <f ca="1">IFERROR(__xludf.DUMMYFUNCTION("GOOGLETRANSLATE(English!F1052,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052" s="1" t="str">
        <f ca="1">IFERROR(__xludf.DUMMYFUNCTION("GOOGLETRANSLATE(English!G1052, ""en"", ""bg"")"),"direct_qa")</f>
        <v>direct_qa</v>
      </c>
      <c r="H1052" s="1" t="str">
        <f ca="1">IFERROR(__xludf.DUMMYFUNCTION("GOOGLETRANSLATE(English!H1052, ""en"", ""bg"")"),"заявка_за_знание")</f>
        <v>заявка_за_знание</v>
      </c>
    </row>
    <row r="1053" spans="1:8" ht="13.2" x14ac:dyDescent="0.25">
      <c r="A1053" s="1" t="str">
        <f ca="1">IFERROR(__xludf.DUMMYFUNCTION("GOOGLETRANSLATE(English!A1053, ""en"", ""bg"")"),"hw_04155")</f>
        <v>hw_04155</v>
      </c>
      <c r="B1053" s="1" t="str">
        <f ca="1">IFERROR(__xludf.DUMMYFUNCTION("GOOGLETRANSLATE(English!B1053, ""en"", ""bg"")"),"биология")</f>
        <v>биология</v>
      </c>
      <c r="C1053" s="1" t="str">
        <f ca="1">IFERROR(__xludf.DUMMYFUNCTION("GOOGLETRANSLATE(English!C1053, ""en"", ""bg"")"),"средата")</f>
        <v>средата</v>
      </c>
      <c r="D1053" s="1" t="str">
        <f ca="1">IFERROR(__xludf.DUMMYFUNCTION("GOOGLETRANSLATE(English!D1053, ""en"", ""bg"")"),"клетки")</f>
        <v>клетки</v>
      </c>
      <c r="E1053" s="1" t="str">
        <f ca="1">IFERROR(__xludf.DUMMYFUNCTION("GOOGLETRANSLATE(English!E1053, ""en"", ""bg"")"),"Утре имам тест по клетки. Помогни ми да уча!")</f>
        <v>Утре имам тест по клетки. Помогни ми да уча!</v>
      </c>
      <c r="F1053" s="1" t="str">
        <f ca="1">IFERROR(__xludf.DUMMYFUNCTION("GOOGLETRANSLATE(English!F1053,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1053" s="1" t="str">
        <f ca="1">IFERROR(__xludf.DUMMYFUNCTION("GOOGLETRANSLATE(English!G1053, ""en"", ""bg"")"),"помощ_за_домашно_изпълнение")</f>
        <v>помощ_за_домашно_изпълнение</v>
      </c>
      <c r="H1053" s="1" t="str">
        <f ca="1">IFERROR(__xludf.DUMMYFUNCTION("GOOGLETRANSLATE(English!H1053, ""en"", ""bg"")"),"помощ_за_домашно_задаване")</f>
        <v>помощ_за_домашно_задаване</v>
      </c>
    </row>
    <row r="1054" spans="1:8" ht="13.2" x14ac:dyDescent="0.25">
      <c r="A1054" s="1" t="str">
        <f ca="1">IFERROR(__xludf.DUMMYFUNCTION("GOOGLETRANSLATE(English!A1054, ""en"", ""bg"")"),"qa_09287")</f>
        <v>qa_09287</v>
      </c>
      <c r="B1054" s="1" t="str">
        <f ca="1">IFERROR(__xludf.DUMMYFUNCTION("GOOGLETRANSLATE(English!B1054, ""en"", ""bg"")"),"биология")</f>
        <v>биология</v>
      </c>
      <c r="C1054" s="1" t="str">
        <f ca="1">IFERROR(__xludf.DUMMYFUNCTION("GOOGLETRANSLATE(English!C1054, ""en"", ""bg"")"),"средата")</f>
        <v>средата</v>
      </c>
      <c r="D1054" s="1" t="str">
        <f ca="1">IFERROR(__xludf.DUMMYFUNCTION("GOOGLETRANSLATE(English!D1054, ""en"", ""bg"")"),"класификация")</f>
        <v>класификация</v>
      </c>
      <c r="E1054" s="1" t="str">
        <f ca="1">IFERROR(__xludf.DUMMYFUNCTION("GOOGLETRANSLATE(English!E1054, ""en"", ""bg"")"),"Как работи класификацията?")</f>
        <v>Как работи класификацията?</v>
      </c>
      <c r="F1054" s="1" t="str">
        <f ca="1">IFERROR(__xludf.DUMMYFUNCTION("GOOGLETRANSLATE(English!F1054,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1054" s="1" t="str">
        <f ca="1">IFERROR(__xludf.DUMMYFUNCTION("GOOGLETRANSLATE(English!G1054, ""en"", ""bg"")"),"direct_qa")</f>
        <v>direct_qa</v>
      </c>
      <c r="H1054" s="1" t="str">
        <f ca="1">IFERROR(__xludf.DUMMYFUNCTION("GOOGLETRANSLATE(English!H1054, ""en"", ""bg"")"),"заявка_за_знание")</f>
        <v>заявка_за_знание</v>
      </c>
    </row>
    <row r="1055" spans="1:8" ht="13.2" x14ac:dyDescent="0.25">
      <c r="A1055" s="1" t="str">
        <f ca="1">IFERROR(__xludf.DUMMYFUNCTION("GOOGLETRANSLATE(English!A1055, ""en"", ""bg"")"),"conv_18058")</f>
        <v>conv_18058</v>
      </c>
      <c r="B1055" s="1" t="str">
        <f ca="1">IFERROR(__xludf.DUMMYFUNCTION("GOOGLETRANSLATE(English!B1055, ""en"", ""bg"")"),"биология")</f>
        <v>биология</v>
      </c>
      <c r="C1055" s="1" t="str">
        <f ca="1">IFERROR(__xludf.DUMMYFUNCTION("GOOGLETRANSLATE(English!C1055, ""en"", ""bg"")"),"високо")</f>
        <v>високо</v>
      </c>
      <c r="D1055" s="1" t="str">
        <f ca="1">IFERROR(__xludf.DUMMYFUNCTION("GOOGLETRANSLATE(English!D1055, ""en"", ""bg"")"),"модели на наследяване")</f>
        <v>модели на наследяване</v>
      </c>
      <c r="E1055" s="1" t="str">
        <f ca="1">IFERROR(__xludf.DUMMYFUNCTION("GOOGLETRANSLATE(English!E1055, ""en"", ""bg"")"),"Имам нужда от помощ с домашното. Какво е важно да знаем за моделите на наследяване?")</f>
        <v>Имам нужда от помощ с домашното. Какво е важно да знаем за моделите на наследяване?</v>
      </c>
      <c r="F1055" s="1" t="str">
        <f ca="1">IFERROR(__xludf.DUMMYFUNCTION("GOOGLETRANSLATE(English!F1055, ""en"", ""bg"")"),"Най-важното нещо за моделите на наследяване е как те се свързват с други части на живота и природата.")</f>
        <v>Най-важното нещо за моделите на наследяване е как те се свързват с други части на живота и природата.</v>
      </c>
      <c r="G1055" s="1" t="str">
        <f ca="1">IFERROR(__xludf.DUMMYFUNCTION("GOOGLETRANSLATE(English!G1055, ""en"", ""bg"")"),"разговор")</f>
        <v>разговор</v>
      </c>
      <c r="H1055" s="1" t="str">
        <f ca="1">IFERROR(__xludf.DUMMYFUNCTION("GOOGLETRANSLATE(English!H1055, ""en"", ""bg"")"),"образователна_помощ")</f>
        <v>образователна_помощ</v>
      </c>
    </row>
    <row r="1056" spans="1:8" ht="13.2" x14ac:dyDescent="0.25">
      <c r="A1056" s="1" t="str">
        <f ca="1">IFERROR(__xludf.DUMMYFUNCTION("GOOGLETRANSLATE(English!A1056, ""en"", ""bg"")"),"conv_03618")</f>
        <v>conv_03618</v>
      </c>
      <c r="B1056" s="1" t="str">
        <f ca="1">IFERROR(__xludf.DUMMYFUNCTION("GOOGLETRANSLATE(English!B1056, ""en"", ""bg"")"),"химия")</f>
        <v>химия</v>
      </c>
      <c r="C1056" s="1" t="str">
        <f ca="1">IFERROR(__xludf.DUMMYFUNCTION("GOOGLETRANSLATE(English!C1056, ""en"", ""bg"")"),"високо")</f>
        <v>високо</v>
      </c>
      <c r="D1056" s="1" t="str">
        <f ca="1">IFERROR(__xludf.DUMMYFUNCTION("GOOGLETRANSLATE(English!D1056, ""en"", ""bg"")"),"равновесие")</f>
        <v>равновесие</v>
      </c>
      <c r="E1056" s="1" t="str">
        <f ca="1">IFERROR(__xludf.DUMMYFUNCTION("GOOGLETRANSLATE(English!E1056, ""en"", ""bg"")"),"Не разбирам тази тема. Как работи равновесието в химията?")</f>
        <v>Не разбирам тази тема. Как работи равновесието в химията?</v>
      </c>
      <c r="F1056" s="1" t="str">
        <f ca="1">IFERROR(__xludf.DUMMYFUNCTION("GOOGLETRANSLATE(English!F1056,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1056" s="1" t="str">
        <f ca="1">IFERROR(__xludf.DUMMYFUNCTION("GOOGLETRANSLATE(English!G1056, ""en"", ""bg"")"),"разговор")</f>
        <v>разговор</v>
      </c>
      <c r="H1056" s="1" t="str">
        <f ca="1">IFERROR(__xludf.DUMMYFUNCTION("GOOGLETRANSLATE(English!H1056, ""en"", ""bg"")"),"образователна_помощ")</f>
        <v>образователна_помощ</v>
      </c>
    </row>
    <row r="1057" spans="1:8" ht="13.2" x14ac:dyDescent="0.25">
      <c r="A1057" s="1" t="str">
        <f ca="1">IFERROR(__xludf.DUMMYFUNCTION("GOOGLETRANSLATE(English!A1057, ""en"", ""bg"")"),"hw_04400")</f>
        <v>hw_04400</v>
      </c>
      <c r="B1057" s="1" t="str">
        <f ca="1">IFERROR(__xludf.DUMMYFUNCTION("GOOGLETRANSLATE(English!B1057, ""en"", ""bg"")"),"биология")</f>
        <v>биология</v>
      </c>
      <c r="C1057" s="1" t="str">
        <f ca="1">IFERROR(__xludf.DUMMYFUNCTION("GOOGLETRANSLATE(English!C1057, ""en"", ""bg"")"),"високо")</f>
        <v>високо</v>
      </c>
      <c r="D1057" s="1" t="str">
        <f ca="1">IFERROR(__xludf.DUMMYFUNCTION("GOOGLETRANSLATE(English!D1057, ""en"", ""bg"")"),"митоза и мейоза")</f>
        <v>митоза и мейоза</v>
      </c>
      <c r="E1057" s="1" t="str">
        <f ca="1">IFERROR(__xludf.DUMMYFUNCTION("GOOGLETRANSLATE(English!E1057, ""en"", ""bg"")"),"Трябва да напиша доклад за митозата и мейозата. Можете ли да ми помогнете да започна?")</f>
        <v>Трябва да напиша доклад за митозата и мейозата. Можете ли да ми помогнете да започна?</v>
      </c>
      <c r="F1057" s="1" t="str">
        <f ca="1">IFERROR(__xludf.DUMMYFUNCTION("GOOGLETRANSLATE(English!F1057,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057" s="1" t="str">
        <f ca="1">IFERROR(__xludf.DUMMYFUNCTION("GOOGLETRANSLATE(English!G1057, ""en"", ""bg"")"),"помощ_за_домашно_изпълнение")</f>
        <v>помощ_за_домашно_изпълнение</v>
      </c>
      <c r="H1057" s="1" t="str">
        <f ca="1">IFERROR(__xludf.DUMMYFUNCTION("GOOGLETRANSLATE(English!H1057, ""en"", ""bg"")"),"помощ_за_домашно_задаване")</f>
        <v>помощ_за_домашно_задаване</v>
      </c>
    </row>
    <row r="1058" spans="1:8" ht="13.2" x14ac:dyDescent="0.25">
      <c r="A1058" s="1" t="str">
        <f ca="1">IFERROR(__xludf.DUMMYFUNCTION("GOOGLETRANSLATE(English!A1058, ""en"", ""bg"")"),"hw_06798")</f>
        <v>hw_06798</v>
      </c>
      <c r="B1058" s="1" t="str">
        <f ca="1">IFERROR(__xludf.DUMMYFUNCTION("GOOGLETRANSLATE(English!B1058, ""en"", ""bg"")"),"химия")</f>
        <v>химия</v>
      </c>
      <c r="C1058" s="1" t="str">
        <f ca="1">IFERROR(__xludf.DUMMYFUNCTION("GOOGLETRANSLATE(English!C1058, ""en"", ""bg"")"),"елементарен")</f>
        <v>елементарен</v>
      </c>
      <c r="D1058" s="1" t="str">
        <f ca="1">IFERROR(__xludf.DUMMYFUNCTION("GOOGLETRANSLATE(English!D1058, ""en"", ""bg"")"),"смесване на материали")</f>
        <v>смесване на материали</v>
      </c>
      <c r="E1058" s="1" t="str">
        <f ca="1">IFERROR(__xludf.DUMMYFUNCTION("GOOGLETRANSLATE(English!E1058, ""en"", ""bg"")"),"Не разбирам тази концепция за смесване на материали. Моля, обяснете!")</f>
        <v>Не разбирам тази концепция за смесване на материали. Моля, обяснете!</v>
      </c>
      <c r="F1058" s="1" t="str">
        <f ca="1">IFERROR(__xludf.DUMMYFUNCTION("GOOGLETRANSLATE(English!F1058,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1058" s="1" t="str">
        <f ca="1">IFERROR(__xludf.DUMMYFUNCTION("GOOGLETRANSLATE(English!G1058, ""en"", ""bg"")"),"помощ_за_домашно_изпълнение")</f>
        <v>помощ_за_домашно_изпълнение</v>
      </c>
      <c r="H1058" s="1" t="str">
        <f ca="1">IFERROR(__xludf.DUMMYFUNCTION("GOOGLETRANSLATE(English!H1058, ""en"", ""bg"")"),"помощ_за_домашно_задаване")</f>
        <v>помощ_за_домашно_задаване</v>
      </c>
    </row>
    <row r="1059" spans="1:8" ht="13.2" x14ac:dyDescent="0.25">
      <c r="A1059" s="1" t="str">
        <f ca="1">IFERROR(__xludf.DUMMYFUNCTION("GOOGLETRANSLATE(English!A1059, ""en"", ""bg"")"),"qa_05134")</f>
        <v>qa_05134</v>
      </c>
      <c r="B1059" s="1" t="str">
        <f ca="1">IFERROR(__xludf.DUMMYFUNCTION("GOOGLETRANSLATE(English!B1059, ""en"", ""bg"")"),"химия")</f>
        <v>химия</v>
      </c>
      <c r="C1059" s="1" t="str">
        <f ca="1">IFERROR(__xludf.DUMMYFUNCTION("GOOGLETRANSLATE(English!C1059, ""en"", ""bg"")"),"елементарен")</f>
        <v>елементарен</v>
      </c>
      <c r="D1059" s="1" t="str">
        <f ca="1">IFERROR(__xludf.DUMMYFUNCTION("GOOGLETRANSLATE(English!D1059, ""en"", ""bg"")"),"смесване на материали")</f>
        <v>смесване на материали</v>
      </c>
      <c r="E1059" s="1" t="str">
        <f ca="1">IFERROR(__xludf.DUMMYFUNCTION("GOOGLETRANSLATE(English!E1059, ""en"", ""bg"")"),"Какво е решение?")</f>
        <v>Какво е решение?</v>
      </c>
      <c r="F1059" s="1" t="str">
        <f ca="1">IFERROR(__xludf.DUMMYFUNCTION("GOOGLETRANSLATE(English!F1059,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1059" s="1" t="str">
        <f ca="1">IFERROR(__xludf.DUMMYFUNCTION("GOOGLETRANSLATE(English!G1059, ""en"", ""bg"")"),"direct_qa")</f>
        <v>direct_qa</v>
      </c>
      <c r="H1059" s="1" t="str">
        <f ca="1">IFERROR(__xludf.DUMMYFUNCTION("GOOGLETRANSLATE(English!H1059, ""en"", ""bg"")"),"заявка_за_знание")</f>
        <v>заявка_за_знание</v>
      </c>
    </row>
    <row r="1060" spans="1:8" ht="13.2" x14ac:dyDescent="0.25">
      <c r="A1060" s="1" t="str">
        <f ca="1">IFERROR(__xludf.DUMMYFUNCTION("GOOGLETRANSLATE(English!A1060, ""en"", ""bg"")"),"hw_01514")</f>
        <v>hw_01514</v>
      </c>
      <c r="B1060" s="1" t="str">
        <f ca="1">IFERROR(__xludf.DUMMYFUNCTION("GOOGLETRANSLATE(English!B1060, ""en"", ""bg"")"),"химия")</f>
        <v>химия</v>
      </c>
      <c r="C1060" s="1" t="str">
        <f ca="1">IFERROR(__xludf.DUMMYFUNCTION("GOOGLETRANSLATE(English!C1060, ""en"", ""bg"")"),"високо")</f>
        <v>високо</v>
      </c>
      <c r="D1060" s="1" t="str">
        <f ca="1">IFERROR(__xludf.DUMMYFUNCTION("GOOGLETRANSLATE(English!D1060, ""en"", ""bg"")"),"химическо свързване")</f>
        <v>химическо свързване</v>
      </c>
      <c r="E1060" s="1" t="str">
        <f ca="1">IFERROR(__xludf.DUMMYFUNCTION("GOOGLETRANSLATE(English!E1060,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1060" s="1" t="str">
        <f ca="1">IFERROR(__xludf.DUMMYFUNCTION("GOOGLETRANSLATE(English!F1060,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1060" s="1" t="str">
        <f ca="1">IFERROR(__xludf.DUMMYFUNCTION("GOOGLETRANSLATE(English!G1060, ""en"", ""bg"")"),"помощ_за_домашно_изпълнение")</f>
        <v>помощ_за_домашно_изпълнение</v>
      </c>
      <c r="H1060" s="1" t="str">
        <f ca="1">IFERROR(__xludf.DUMMYFUNCTION("GOOGLETRANSLATE(English!H1060, ""en"", ""bg"")"),"помощ_за_домашно_задаване")</f>
        <v>помощ_за_домашно_задаване</v>
      </c>
    </row>
    <row r="1061" spans="1:8" ht="13.2" x14ac:dyDescent="0.25">
      <c r="A1061" s="1" t="str">
        <f ca="1">IFERROR(__xludf.DUMMYFUNCTION("GOOGLETRANSLATE(English!A1061, ""en"", ""bg"")"),"qa_06189")</f>
        <v>qa_06189</v>
      </c>
      <c r="B1061" s="1" t="str">
        <f ca="1">IFERROR(__xludf.DUMMYFUNCTION("GOOGLETRANSLATE(English!B1061, ""en"", ""bg"")"),"химия")</f>
        <v>химия</v>
      </c>
      <c r="C1061" s="1" t="str">
        <f ca="1">IFERROR(__xludf.DUMMYFUNCTION("GOOGLETRANSLATE(English!C1061, ""en"", ""bg"")"),"средата")</f>
        <v>средата</v>
      </c>
      <c r="D1061" s="1" t="str">
        <f ca="1">IFERROR(__xludf.DUMMYFUNCTION("GOOGLETRANSLATE(English!D1061, ""en"", ""bg"")"),"химични реакции")</f>
        <v>химични реакции</v>
      </c>
      <c r="E1061" s="1" t="str">
        <f ca="1">IFERROR(__xludf.DUMMYFUNCTION("GOOGLETRANSLATE(English!E1061, ""en"", ""bg"")"),"Как да разберете дали е възникнала химическа реакция?")</f>
        <v>Как да разберете дали е възникнала химическа реакция?</v>
      </c>
      <c r="F1061" s="1" t="str">
        <f ca="1">IFERROR(__xludf.DUMMYFUNCTION("GOOGLETRANSLATE(English!F1061,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061" s="1" t="str">
        <f ca="1">IFERROR(__xludf.DUMMYFUNCTION("GOOGLETRANSLATE(English!G1061, ""en"", ""bg"")"),"direct_qa")</f>
        <v>direct_qa</v>
      </c>
      <c r="H1061" s="1" t="str">
        <f ca="1">IFERROR(__xludf.DUMMYFUNCTION("GOOGLETRANSLATE(English!H1061, ""en"", ""bg"")"),"заявка_за_знание")</f>
        <v>заявка_за_знание</v>
      </c>
    </row>
    <row r="1062" spans="1:8" ht="13.2" x14ac:dyDescent="0.25">
      <c r="A1062" s="1" t="str">
        <f ca="1">IFERROR(__xludf.DUMMYFUNCTION("GOOGLETRANSLATE(English!A1062, ""en"", ""bg"")"),"qa_05695")</f>
        <v>qa_05695</v>
      </c>
      <c r="B1062" s="1" t="str">
        <f ca="1">IFERROR(__xludf.DUMMYFUNCTION("GOOGLETRANSLATE(English!B1062, ""en"", ""bg"")"),"физика")</f>
        <v>физика</v>
      </c>
      <c r="C1062" s="1" t="str">
        <f ca="1">IFERROR(__xludf.DUMMYFUNCTION("GOOGLETRANSLATE(English!C1062, ""en"", ""bg"")"),"средата")</f>
        <v>средата</v>
      </c>
      <c r="D1062" s="1" t="str">
        <f ca="1">IFERROR(__xludf.DUMMYFUNCTION("GOOGLETRANSLATE(English!D1062, ""en"", ""bg"")"),"видове енергия")</f>
        <v>видове енергия</v>
      </c>
      <c r="E1062" s="1" t="str">
        <f ca="1">IFERROR(__xludf.DUMMYFUNCTION("GOOGLETRANSLATE(English!E1062, ""en"", ""bg"")"),"Какви са различните видове енергия?")</f>
        <v>Какви са различните видове енергия?</v>
      </c>
      <c r="F1062" s="1" t="str">
        <f ca="1">IFERROR(__xludf.DUMMYFUNCTION("GOOGLETRANSLATE(English!F1062,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1062" s="1" t="str">
        <f ca="1">IFERROR(__xludf.DUMMYFUNCTION("GOOGLETRANSLATE(English!G1062, ""en"", ""bg"")"),"direct_qa")</f>
        <v>direct_qa</v>
      </c>
      <c r="H1062" s="1" t="str">
        <f ca="1">IFERROR(__xludf.DUMMYFUNCTION("GOOGLETRANSLATE(English!H1062, ""en"", ""bg"")"),"заявка_за_знание")</f>
        <v>заявка_за_знание</v>
      </c>
    </row>
    <row r="1063" spans="1:8" ht="13.2" x14ac:dyDescent="0.25">
      <c r="A1063" s="1" t="str">
        <f ca="1">IFERROR(__xludf.DUMMYFUNCTION("GOOGLETRANSLATE(English!A1063, ""en"", ""bg"")"),"hw_07337")</f>
        <v>hw_07337</v>
      </c>
      <c r="B1063" s="1" t="str">
        <f ca="1">IFERROR(__xludf.DUMMYFUNCTION("GOOGLETRANSLATE(English!B1063, ""en"", ""bg"")"),"физика")</f>
        <v>физика</v>
      </c>
      <c r="C1063" s="1" t="str">
        <f ca="1">IFERROR(__xludf.DUMMYFUNCTION("GOOGLETRANSLATE(English!C1063, ""en"", ""bg"")"),"елементарен")</f>
        <v>елементарен</v>
      </c>
      <c r="D1063" s="1" t="str">
        <f ca="1">IFERROR(__xludf.DUMMYFUNCTION("GOOGLETRANSLATE(English!D1063, ""en"", ""bg"")"),"звук")</f>
        <v>звук</v>
      </c>
      <c r="E1063" s="1" t="str">
        <f ca="1">IFERROR(__xludf.DUMMYFUNCTION("GOOGLETRANSLATE(English!E1063, ""en"", ""bg"")"),"Домашното ми по физика е за звук. Объркващо е!")</f>
        <v>Домашното ми по физика е за звук. Объркващо е!</v>
      </c>
      <c r="F1063" s="1" t="str">
        <f ca="1">IFERROR(__xludf.DUMMYFUNCTION("GOOGLETRANSLATE(English!F1063,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063" s="1" t="str">
        <f ca="1">IFERROR(__xludf.DUMMYFUNCTION("GOOGLETRANSLATE(English!G1063, ""en"", ""bg"")"),"помощ_за_домашно_изпълнение")</f>
        <v>помощ_за_домашно_изпълнение</v>
      </c>
      <c r="H1063" s="1" t="str">
        <f ca="1">IFERROR(__xludf.DUMMYFUNCTION("GOOGLETRANSLATE(English!H1063, ""en"", ""bg"")"),"помощ_за_домашно_задаване")</f>
        <v>помощ_за_домашно_задаване</v>
      </c>
    </row>
    <row r="1064" spans="1:8" ht="13.2" x14ac:dyDescent="0.25">
      <c r="A1064" s="1" t="str">
        <f ca="1">IFERROR(__xludf.DUMMYFUNCTION("GOOGLETRANSLATE(English!A1064, ""en"", ""bg"")"),"hw_14865")</f>
        <v>hw_14865</v>
      </c>
      <c r="B1064" s="1" t="str">
        <f ca="1">IFERROR(__xludf.DUMMYFUNCTION("GOOGLETRANSLATE(English!B1064, ""en"", ""bg"")"),"биология")</f>
        <v>биология</v>
      </c>
      <c r="C1064" s="1" t="str">
        <f ca="1">IFERROR(__xludf.DUMMYFUNCTION("GOOGLETRANSLATE(English!C1064, ""en"", ""bg"")"),"елементарен")</f>
        <v>елементарен</v>
      </c>
      <c r="D1064" s="1" t="str">
        <f ca="1">IFERROR(__xludf.DUMMYFUNCTION("GOOGLETRANSLATE(English!D1064, ""en"", ""bg"")"),"основни нужди")</f>
        <v>основни нужди</v>
      </c>
      <c r="E1064" s="1" t="str">
        <f ca="1">IFERROR(__xludf.DUMMYFUNCTION("GOOGLETRANSLATE(English!E1064, ""en"", ""bg"")"),"Трябва да напиша доклад за основните нужди. Можете ли да ми помогнете да започна?")</f>
        <v>Трябва да напиша доклад за основните нужди. Можете ли да ми помогнете да започна?</v>
      </c>
      <c r="F1064" s="1" t="str">
        <f ca="1">IFERROR(__xludf.DUMMYFUNCTION("GOOGLETRANSLATE(English!F1064,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1064" s="1" t="str">
        <f ca="1">IFERROR(__xludf.DUMMYFUNCTION("GOOGLETRANSLATE(English!G1064, ""en"", ""bg"")"),"помощ_за_домашно_изпълнение")</f>
        <v>помощ_за_домашно_изпълнение</v>
      </c>
      <c r="H1064" s="1" t="str">
        <f ca="1">IFERROR(__xludf.DUMMYFUNCTION("GOOGLETRANSLATE(English!H1064, ""en"", ""bg"")"),"помощ_за_домашно_задаване")</f>
        <v>помощ_за_домашно_задаване</v>
      </c>
    </row>
    <row r="1065" spans="1:8" ht="13.2" x14ac:dyDescent="0.25">
      <c r="A1065" s="1" t="str">
        <f ca="1">IFERROR(__xludf.DUMMYFUNCTION("GOOGLETRANSLATE(English!A1065, ""en"", ""bg"")"),"conv_13743")</f>
        <v>conv_13743</v>
      </c>
      <c r="B1065" s="1" t="str">
        <f ca="1">IFERROR(__xludf.DUMMYFUNCTION("GOOGLETRANSLATE(English!B1065, ""en"", ""bg"")"),"физика")</f>
        <v>физика</v>
      </c>
      <c r="C1065" s="1" t="str">
        <f ca="1">IFERROR(__xludf.DUMMYFUNCTION("GOOGLETRANSLATE(English!C1065, ""en"", ""bg"")"),"елементарен")</f>
        <v>елементарен</v>
      </c>
      <c r="D1065" s="1" t="str">
        <f ca="1">IFERROR(__xludf.DUMMYFUNCTION("GOOGLETRANSLATE(English!D1065, ""en"", ""bg"")"),"звук")</f>
        <v>звук</v>
      </c>
      <c r="E1065" s="1" t="str">
        <f ca="1">IFERROR(__xludf.DUMMYFUNCTION("GOOGLETRANSLATE(English!E1065, ""en"", ""bg"")"),"Здравей, преподавателю! Как работи звукът във физиката?")</f>
        <v>Здравей, преподавателю! Как работи звукът във физиката?</v>
      </c>
      <c r="F1065" s="1" t="str">
        <f ca="1">IFERROR(__xludf.DUMMYFUNCTION("GOOGLETRANSLATE(English!F1065,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1065" s="1" t="str">
        <f ca="1">IFERROR(__xludf.DUMMYFUNCTION("GOOGLETRANSLATE(English!G1065, ""en"", ""bg"")"),"разговор")</f>
        <v>разговор</v>
      </c>
      <c r="H1065" s="1" t="str">
        <f ca="1">IFERROR(__xludf.DUMMYFUNCTION("GOOGLETRANSLATE(English!H1065, ""en"", ""bg"")"),"образователна_помощ")</f>
        <v>образователна_помощ</v>
      </c>
    </row>
    <row r="1066" spans="1:8" ht="13.2" x14ac:dyDescent="0.25">
      <c r="A1066" s="1" t="str">
        <f ca="1">IFERROR(__xludf.DUMMYFUNCTION("GOOGLETRANSLATE(English!A1066, ""en"", ""bg"")"),"conv_07935")</f>
        <v>conv_07935</v>
      </c>
      <c r="B1066" s="1" t="str">
        <f ca="1">IFERROR(__xludf.DUMMYFUNCTION("GOOGLETRANSLATE(English!B1066, ""en"", ""bg"")"),"физика")</f>
        <v>физика</v>
      </c>
      <c r="C1066" s="1" t="str">
        <f ca="1">IFERROR(__xludf.DUMMYFUNCTION("GOOGLETRANSLATE(English!C1066, ""en"", ""bg"")"),"средата")</f>
        <v>средата</v>
      </c>
      <c r="D1066" s="1" t="str">
        <f ca="1">IFERROR(__xludf.DUMMYFUNCTION("GOOGLETRANSLATE(English!D1066, ""en"", ""bg"")"),"вълни")</f>
        <v>вълни</v>
      </c>
      <c r="E1066" s="1" t="str">
        <f ca="1">IFERROR(__xludf.DUMMYFUNCTION("GOOGLETRANSLATE(English!E1066, ""en"", ""bg"")"),"Помогнете ми да уча за теста си. Какво трябва да знам за вълните?")</f>
        <v>Помогнете ми да уча за теста си. Какво трябва да знам за вълните?</v>
      </c>
      <c r="F1066" s="1" t="str">
        <f ca="1">IFERROR(__xludf.DUMMYFUNCTION("GOOGLETRANSLATE(English!F1066,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1066" s="1" t="str">
        <f ca="1">IFERROR(__xludf.DUMMYFUNCTION("GOOGLETRANSLATE(English!G1066, ""en"", ""bg"")"),"разговор")</f>
        <v>разговор</v>
      </c>
      <c r="H1066" s="1" t="str">
        <f ca="1">IFERROR(__xludf.DUMMYFUNCTION("GOOGLETRANSLATE(English!H1066, ""en"", ""bg"")"),"образователна_помощ")</f>
        <v>образователна_помощ</v>
      </c>
    </row>
    <row r="1067" spans="1:8" ht="13.2" x14ac:dyDescent="0.25">
      <c r="A1067" s="1" t="str">
        <f ca="1">IFERROR(__xludf.DUMMYFUNCTION("GOOGLETRANSLATE(English!A1067, ""en"", ""bg"")"),"hw_01708")</f>
        <v>hw_01708</v>
      </c>
      <c r="B1067" s="1" t="str">
        <f ca="1">IFERROR(__xludf.DUMMYFUNCTION("GOOGLETRANSLATE(English!B1067, ""en"", ""bg"")"),"биология")</f>
        <v>биология</v>
      </c>
      <c r="C1067" s="1" t="str">
        <f ca="1">IFERROR(__xludf.DUMMYFUNCTION("GOOGLETRANSLATE(English!C1067, ""en"", ""bg"")"),"средата")</f>
        <v>средата</v>
      </c>
      <c r="D1067" s="1" t="str">
        <f ca="1">IFERROR(__xludf.DUMMYFUNCTION("GOOGLETRANSLATE(English!D1067, ""en"", ""bg"")"),"размножаване")</f>
        <v>размножаване</v>
      </c>
      <c r="E1067" s="1" t="str">
        <f ca="1">IFERROR(__xludf.DUMMYFUNCTION("GOOGLETRANSLATE(English!E1067, ""en"", ""bg"")"),"Утре имам тест по репродукция. Помогни ми да уча!")</f>
        <v>Утре имам тест по репродукция. Помогни ми да уча!</v>
      </c>
      <c r="F1067" s="1" t="str">
        <f ca="1">IFERROR(__xludf.DUMMYFUNCTION("GOOGLETRANSLATE(English!F1067,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1067" s="1" t="str">
        <f ca="1">IFERROR(__xludf.DUMMYFUNCTION("GOOGLETRANSLATE(English!G1067, ""en"", ""bg"")"),"помощ_за_домашно_изпълнение")</f>
        <v>помощ_за_домашно_изпълнение</v>
      </c>
      <c r="H1067" s="1" t="str">
        <f ca="1">IFERROR(__xludf.DUMMYFUNCTION("GOOGLETRANSLATE(English!H1067, ""en"", ""bg"")"),"помощ_за_домашно_задаване")</f>
        <v>помощ_за_домашно_задаване</v>
      </c>
    </row>
    <row r="1068" spans="1:8" ht="13.2" x14ac:dyDescent="0.25">
      <c r="A1068" s="1" t="str">
        <f ca="1">IFERROR(__xludf.DUMMYFUNCTION("GOOGLETRANSLATE(English!A1068, ""en"", ""bg"")"),"hw_06786")</f>
        <v>hw_06786</v>
      </c>
      <c r="B1068" s="1" t="str">
        <f ca="1">IFERROR(__xludf.DUMMYFUNCTION("GOOGLETRANSLATE(English!B1068, ""en"", ""bg"")"),"химия")</f>
        <v>химия</v>
      </c>
      <c r="C1068" s="1" t="str">
        <f ca="1">IFERROR(__xludf.DUMMYFUNCTION("GOOGLETRANSLATE(English!C1068, ""en"", ""bg"")"),"средата")</f>
        <v>средата</v>
      </c>
      <c r="D1068" s="1" t="str">
        <f ca="1">IFERROR(__xludf.DUMMYFUNCTION("GOOGLETRANSLATE(English!D1068, ""en"", ""bg"")"),"химични реакции")</f>
        <v>химични реакции</v>
      </c>
      <c r="E1068" s="1" t="str">
        <f ca="1">IFERROR(__xludf.DUMMYFUNCTION("GOOGLETRANSLATE(English!E1068, ""en"", ""bg"")"),"Можете ли да ми помогнете с изчисленията на химичните реакции?")</f>
        <v>Можете ли да ми помогнете с изчисленията на химичните реакции?</v>
      </c>
      <c r="F1068" s="1" t="str">
        <f ca="1">IFERROR(__xludf.DUMMYFUNCTION("GOOGLETRANSLATE(English!F1068,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1068" s="1" t="str">
        <f ca="1">IFERROR(__xludf.DUMMYFUNCTION("GOOGLETRANSLATE(English!G1068, ""en"", ""bg"")"),"помощ_за_домашно_изпълнение")</f>
        <v>помощ_за_домашно_изпълнение</v>
      </c>
      <c r="H1068" s="1" t="str">
        <f ca="1">IFERROR(__xludf.DUMMYFUNCTION("GOOGLETRANSLATE(English!H1068, ""en"", ""bg"")"),"помощ_за_домашно_задаване")</f>
        <v>помощ_за_домашно_задаване</v>
      </c>
    </row>
    <row r="1069" spans="1:8" ht="13.2" x14ac:dyDescent="0.25">
      <c r="A1069" s="1" t="str">
        <f ca="1">IFERROR(__xludf.DUMMYFUNCTION("GOOGLETRANSLATE(English!A1069, ""en"", ""bg"")"),"hw_10113")</f>
        <v>hw_10113</v>
      </c>
      <c r="B1069" s="1" t="str">
        <f ca="1">IFERROR(__xludf.DUMMYFUNCTION("GOOGLETRANSLATE(English!B1069, ""en"", ""bg"")"),"биология")</f>
        <v>биология</v>
      </c>
      <c r="C1069" s="1" t="str">
        <f ca="1">IFERROR(__xludf.DUMMYFUNCTION("GOOGLETRANSLATE(English!C1069, ""en"", ""bg"")"),"средата")</f>
        <v>средата</v>
      </c>
      <c r="D1069" s="1" t="str">
        <f ca="1">IFERROR(__xludf.DUMMYFUNCTION("GOOGLETRANSLATE(English!D1069, ""en"", ""bg"")"),"клетки")</f>
        <v>клетки</v>
      </c>
      <c r="E1069" s="1" t="str">
        <f ca="1">IFERROR(__xludf.DUMMYFUNCTION("GOOGLETRANSLATE(English!E1069, ""en"", ""bg"")"),"Можете ли да обясните какво представляват клетките за моя научен проект?")</f>
        <v>Можете ли да обясните какво представляват клетките за моя научен проект?</v>
      </c>
      <c r="F1069" s="1" t="str">
        <f ca="1">IFERROR(__xludf.DUMMYFUNCTION("GOOGLETRANSLATE(English!F1069,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1069" s="1" t="str">
        <f ca="1">IFERROR(__xludf.DUMMYFUNCTION("GOOGLETRANSLATE(English!G1069, ""en"", ""bg"")"),"помощ_за_домашно_изпълнение")</f>
        <v>помощ_за_домашно_изпълнение</v>
      </c>
      <c r="H1069" s="1" t="str">
        <f ca="1">IFERROR(__xludf.DUMMYFUNCTION("GOOGLETRANSLATE(English!H1069, ""en"", ""bg"")"),"помощ_за_домашно_задаване")</f>
        <v>помощ_за_домашно_задаване</v>
      </c>
    </row>
    <row r="1070" spans="1:8" ht="13.2" x14ac:dyDescent="0.25">
      <c r="A1070" s="1" t="str">
        <f ca="1">IFERROR(__xludf.DUMMYFUNCTION("GOOGLETRANSLATE(English!A1070, ""en"", ""bg"")"),"conv_07987")</f>
        <v>conv_07987</v>
      </c>
      <c r="B1070" s="1" t="str">
        <f ca="1">IFERROR(__xludf.DUMMYFUNCTION("GOOGLETRANSLATE(English!B1070, ""en"", ""bg"")"),"физика")</f>
        <v>физика</v>
      </c>
      <c r="C1070" s="1" t="str">
        <f ca="1">IFERROR(__xludf.DUMMYFUNCTION("GOOGLETRANSLATE(English!C1070, ""en"", ""bg"")"),"елементарен")</f>
        <v>елементарен</v>
      </c>
      <c r="D1070" s="1" t="str">
        <f ca="1">IFERROR(__xludf.DUMMYFUNCTION("GOOGLETRANSLATE(English!D1070, ""en"", ""bg"")"),"светлина и сянка")</f>
        <v>светлина и сянка</v>
      </c>
      <c r="E1070" s="1" t="str">
        <f ca="1">IFERROR(__xludf.DUMMYFUNCTION("GOOGLETRANSLATE(English!E1070, ""en"", ""bg"")"),"Здравей, преподавателю! Как се правят сенките?")</f>
        <v>Здравей, преподавателю! Как се правят сенките?</v>
      </c>
      <c r="F1070" s="1" t="str">
        <f ca="1">IFERROR(__xludf.DUMMYFUNCTION("GOOGLETRANSLATE(English!F1070,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1070" s="1" t="str">
        <f ca="1">IFERROR(__xludf.DUMMYFUNCTION("GOOGLETRANSLATE(English!G1070, ""en"", ""bg"")"),"разговор")</f>
        <v>разговор</v>
      </c>
      <c r="H1070" s="1" t="str">
        <f ca="1">IFERROR(__xludf.DUMMYFUNCTION("GOOGLETRANSLATE(English!H1070, ""en"", ""bg"")"),"образователна_помощ")</f>
        <v>образователна_помощ</v>
      </c>
    </row>
    <row r="1071" spans="1:8" ht="13.2" x14ac:dyDescent="0.25">
      <c r="A1071" s="1" t="str">
        <f ca="1">IFERROR(__xludf.DUMMYFUNCTION("GOOGLETRANSLATE(English!A1071, ""en"", ""bg"")"),"hw_14771")</f>
        <v>hw_14771</v>
      </c>
      <c r="B1071" s="1" t="str">
        <f ca="1">IFERROR(__xludf.DUMMYFUNCTION("GOOGLETRANSLATE(English!B1071, ""en"", ""bg"")"),"биология")</f>
        <v>биология</v>
      </c>
      <c r="C1071" s="1" t="str">
        <f ca="1">IFERROR(__xludf.DUMMYFUNCTION("GOOGLETRANSLATE(English!C1071, ""en"", ""bg"")"),"елементарен")</f>
        <v>елементарен</v>
      </c>
      <c r="D1071" s="1" t="str">
        <f ca="1">IFERROR(__xludf.DUMMYFUNCTION("GOOGLETRANSLATE(English!D1071, ""en"", ""bg"")"),"сетива")</f>
        <v>сетива</v>
      </c>
      <c r="E1071" s="1" t="str">
        <f ca="1">IFERROR(__xludf.DUMMYFUNCTION("GOOGLETRANSLATE(English!E1071, ""en"", ""bg"")"),"Трябва да напиша доклад за сетивата. Можете ли да ми помогнете да започна?")</f>
        <v>Трябва да напиша доклад за сетивата. Можете ли да ми помогнете да започна?</v>
      </c>
      <c r="F1071" s="1" t="str">
        <f ca="1">IFERROR(__xludf.DUMMYFUNCTION("GOOGLETRANSLATE(English!F1071,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1071" s="1" t="str">
        <f ca="1">IFERROR(__xludf.DUMMYFUNCTION("GOOGLETRANSLATE(English!G1071, ""en"", ""bg"")"),"помощ_за_домашно_изпълнение")</f>
        <v>помощ_за_домашно_изпълнение</v>
      </c>
      <c r="H1071" s="1" t="str">
        <f ca="1">IFERROR(__xludf.DUMMYFUNCTION("GOOGLETRANSLATE(English!H1071, ""en"", ""bg"")"),"помощ_за_домашно_задаване")</f>
        <v>помощ_за_домашно_задаване</v>
      </c>
    </row>
    <row r="1072" spans="1:8" ht="13.2" x14ac:dyDescent="0.25">
      <c r="A1072" s="1" t="str">
        <f ca="1">IFERROR(__xludf.DUMMYFUNCTION("GOOGLETRANSLATE(English!A1072, ""en"", ""bg"")"),"qa_06571")</f>
        <v>qa_06571</v>
      </c>
      <c r="B1072" s="1" t="str">
        <f ca="1">IFERROR(__xludf.DUMMYFUNCTION("GOOGLETRANSLATE(English!B1072, ""en"", ""bg"")"),"химия")</f>
        <v>химия</v>
      </c>
      <c r="C1072" s="1" t="str">
        <f ca="1">IFERROR(__xludf.DUMMYFUNCTION("GOOGLETRANSLATE(English!C1072, ""en"", ""bg"")"),"елементарен")</f>
        <v>елементарен</v>
      </c>
      <c r="D1072" s="1" t="str">
        <f ca="1">IFERROR(__xludf.DUMMYFUNCTION("GOOGLETRANSLATE(English!D1072, ""en"", ""bg"")"),"смесване на материали")</f>
        <v>смесване на материали</v>
      </c>
      <c r="E1072" s="1" t="str">
        <f ca="1">IFERROR(__xludf.DUMMYFUNCTION("GOOGLETRANSLATE(English!E1072, ""en"", ""bg"")"),"Какво е решение?")</f>
        <v>Какво е решение?</v>
      </c>
      <c r="F1072" s="1" t="str">
        <f ca="1">IFERROR(__xludf.DUMMYFUNCTION("GOOGLETRANSLATE(English!F1072,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1072" s="1" t="str">
        <f ca="1">IFERROR(__xludf.DUMMYFUNCTION("GOOGLETRANSLATE(English!G1072, ""en"", ""bg"")"),"direct_qa")</f>
        <v>direct_qa</v>
      </c>
      <c r="H1072" s="1" t="str">
        <f ca="1">IFERROR(__xludf.DUMMYFUNCTION("GOOGLETRANSLATE(English!H1072, ""en"", ""bg"")"),"заявка_за_знание")</f>
        <v>заявка_за_знание</v>
      </c>
    </row>
    <row r="1073" spans="1:8" ht="13.2" x14ac:dyDescent="0.25">
      <c r="A1073" s="1" t="str">
        <f ca="1">IFERROR(__xludf.DUMMYFUNCTION("GOOGLETRANSLATE(English!A1073, ""en"", ""bg"")"),"qa_14723")</f>
        <v>qa_14723</v>
      </c>
      <c r="B1073" s="1" t="str">
        <f ca="1">IFERROR(__xludf.DUMMYFUNCTION("GOOGLETRANSLATE(English!B1073, ""en"", ""bg"")"),"физика")</f>
        <v>физика</v>
      </c>
      <c r="C1073" s="1" t="str">
        <f ca="1">IFERROR(__xludf.DUMMYFUNCTION("GOOGLETRANSLATE(English!C1073, ""en"", ""bg"")"),"средата")</f>
        <v>средата</v>
      </c>
      <c r="D1073" s="1" t="str">
        <f ca="1">IFERROR(__xludf.DUMMYFUNCTION("GOOGLETRANSLATE(English!D1073, ""en"", ""bg"")"),"прости схеми")</f>
        <v>прости схеми</v>
      </c>
      <c r="E1073" s="1" t="str">
        <f ca="1">IFERROR(__xludf.DUMMYFUNCTION("GOOGLETRANSLATE(English!E1073, ""en"", ""bg"")"),"Защо простите електрически вериги са важни?")</f>
        <v>Защо простите електрически вериги са важни?</v>
      </c>
      <c r="F1073" s="1" t="str">
        <f ca="1">IFERROR(__xludf.DUMMYFUNCTION("GOOGLETRANSLATE(English!F1073,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073" s="1" t="str">
        <f ca="1">IFERROR(__xludf.DUMMYFUNCTION("GOOGLETRANSLATE(English!G1073, ""en"", ""bg"")"),"direct_qa")</f>
        <v>direct_qa</v>
      </c>
      <c r="H1073" s="1" t="str">
        <f ca="1">IFERROR(__xludf.DUMMYFUNCTION("GOOGLETRANSLATE(English!H1073, ""en"", ""bg"")"),"заявка_за_знание")</f>
        <v>заявка_за_знание</v>
      </c>
    </row>
    <row r="1074" spans="1:8" ht="13.2" x14ac:dyDescent="0.25">
      <c r="A1074" s="1" t="str">
        <f ca="1">IFERROR(__xludf.DUMMYFUNCTION("GOOGLETRANSLATE(English!A1074, ""en"", ""bg"")"),"conv_06260")</f>
        <v>conv_06260</v>
      </c>
      <c r="B1074" s="1" t="str">
        <f ca="1">IFERROR(__xludf.DUMMYFUNCTION("GOOGLETRANSLATE(English!B1074, ""en"", ""bg"")"),"физика")</f>
        <v>физика</v>
      </c>
      <c r="C1074" s="1" t="str">
        <f ca="1">IFERROR(__xludf.DUMMYFUNCTION("GOOGLETRANSLATE(English!C1074, ""en"", ""bg"")"),"средата")</f>
        <v>средата</v>
      </c>
      <c r="D1074" s="1" t="str">
        <f ca="1">IFERROR(__xludf.DUMMYFUNCTION("GOOGLETRANSLATE(English!D1074, ""en"", ""bg"")"),"вълни")</f>
        <v>вълни</v>
      </c>
      <c r="E1074" s="1" t="str">
        <f ca="1">IFERROR(__xludf.DUMMYFUNCTION("GOOGLETRANSLATE(English!E1074, ""en"", ""bg"")"),"Можете ли да ми обясните това? Защо вълните са важни?")</f>
        <v>Можете ли да ми обясните това? Защо вълните са важни?</v>
      </c>
      <c r="F1074" s="1" t="str">
        <f ca="1">IFERROR(__xludf.DUMMYFUNCTION("GOOGLETRANSLATE(English!F1074,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1074" s="1" t="str">
        <f ca="1">IFERROR(__xludf.DUMMYFUNCTION("GOOGLETRANSLATE(English!G1074, ""en"", ""bg"")"),"разговор")</f>
        <v>разговор</v>
      </c>
      <c r="H1074" s="1" t="str">
        <f ca="1">IFERROR(__xludf.DUMMYFUNCTION("GOOGLETRANSLATE(English!H1074, ""en"", ""bg"")"),"образователна_помощ")</f>
        <v>образователна_помощ</v>
      </c>
    </row>
    <row r="1075" spans="1:8" ht="13.2" x14ac:dyDescent="0.25">
      <c r="A1075" s="1" t="str">
        <f ca="1">IFERROR(__xludf.DUMMYFUNCTION("GOOGLETRANSLATE(English!A1075, ""en"", ""bg"")"),"qa_13326")</f>
        <v>qa_13326</v>
      </c>
      <c r="B1075" s="1" t="str">
        <f ca="1">IFERROR(__xludf.DUMMYFUNCTION("GOOGLETRANSLATE(English!B1075, ""en"", ""bg"")"),"физика")</f>
        <v>физика</v>
      </c>
      <c r="C1075" s="1" t="str">
        <f ca="1">IFERROR(__xludf.DUMMYFUNCTION("GOOGLETRANSLATE(English!C1075, ""en"", ""bg"")"),"средата")</f>
        <v>средата</v>
      </c>
      <c r="D1075" s="1" t="str">
        <f ca="1">IFERROR(__xludf.DUMMYFUNCTION("GOOGLETRANSLATE(English!D1075, ""en"", ""bg"")"),"основи на електричеството")</f>
        <v>основи на електричеството</v>
      </c>
      <c r="E1075" s="1" t="str">
        <f ca="1">IFERROR(__xludf.DUMMYFUNCTION("GOOGLETRANSLATE(English!E1075, ""en"", ""bg"")"),"Как работят основите на електричеството във физиката?")</f>
        <v>Как работят основите на електричеството във физиката?</v>
      </c>
      <c r="F1075" s="1" t="str">
        <f ca="1">IFERROR(__xludf.DUMMYFUNCTION("GOOGLETRANSLATE(English!F1075,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1075" s="1" t="str">
        <f ca="1">IFERROR(__xludf.DUMMYFUNCTION("GOOGLETRANSLATE(English!G1075, ""en"", ""bg"")"),"direct_qa")</f>
        <v>direct_qa</v>
      </c>
      <c r="H1075" s="1" t="str">
        <f ca="1">IFERROR(__xludf.DUMMYFUNCTION("GOOGLETRANSLATE(English!H1075, ""en"", ""bg"")"),"заявка_за_знание")</f>
        <v>заявка_за_знание</v>
      </c>
    </row>
    <row r="1076" spans="1:8" ht="13.2" x14ac:dyDescent="0.25">
      <c r="A1076" s="1" t="str">
        <f ca="1">IFERROR(__xludf.DUMMYFUNCTION("GOOGLETRANSLATE(English!A1076, ""en"", ""bg"")"),"hw_04339")</f>
        <v>hw_04339</v>
      </c>
      <c r="B1076" s="1" t="str">
        <f ca="1">IFERROR(__xludf.DUMMYFUNCTION("GOOGLETRANSLATE(English!B1076, ""en"", ""bg"")"),"биология")</f>
        <v>биология</v>
      </c>
      <c r="C1076" s="1" t="str">
        <f ca="1">IFERROR(__xludf.DUMMYFUNCTION("GOOGLETRANSLATE(English!C1076, ""en"", ""bg"")"),"средата")</f>
        <v>средата</v>
      </c>
      <c r="D1076" s="1" t="str">
        <f ca="1">IFERROR(__xludf.DUMMYFUNCTION("GOOGLETRANSLATE(English!D1076, ""en"", ""bg"")"),"екосистеми")</f>
        <v>екосистеми</v>
      </c>
      <c r="E1076" s="1" t="str">
        <f ca="1">IFERROR(__xludf.DUMMYFUNCTION("GOOGLETRANSLATE(English!E1076, ""en"", ""bg"")"),"Утре имам тест по екосистеми. Помогни ми да уча!")</f>
        <v>Утре имам тест по екосистеми. Помогни ми да уча!</v>
      </c>
      <c r="F1076" s="1" t="str">
        <f ca="1">IFERROR(__xludf.DUMMYFUNCTION("GOOGLETRANSLATE(English!F1076,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076" s="1" t="str">
        <f ca="1">IFERROR(__xludf.DUMMYFUNCTION("GOOGLETRANSLATE(English!G1076, ""en"", ""bg"")"),"помощ_за_домашно_изпълнение")</f>
        <v>помощ_за_домашно_изпълнение</v>
      </c>
      <c r="H1076" s="1" t="str">
        <f ca="1">IFERROR(__xludf.DUMMYFUNCTION("GOOGLETRANSLATE(English!H1076, ""en"", ""bg"")"),"помощ_за_домашно_задаване")</f>
        <v>помощ_за_домашно_задаване</v>
      </c>
    </row>
    <row r="1077" spans="1:8" ht="13.2" x14ac:dyDescent="0.25">
      <c r="A1077" s="1" t="str">
        <f ca="1">IFERROR(__xludf.DUMMYFUNCTION("GOOGLETRANSLATE(English!A1077, ""en"", ""bg"")"),"qa_11511")</f>
        <v>qa_11511</v>
      </c>
      <c r="B1077" s="1" t="str">
        <f ca="1">IFERROR(__xludf.DUMMYFUNCTION("GOOGLETRANSLATE(English!B1077, ""en"", ""bg"")"),"физика")</f>
        <v>физика</v>
      </c>
      <c r="C1077" s="1" t="str">
        <f ca="1">IFERROR(__xludf.DUMMYFUNCTION("GOOGLETRANSLATE(English!C1077, ""en"", ""bg"")"),"високо")</f>
        <v>високо</v>
      </c>
      <c r="D1077" s="1" t="str">
        <f ca="1">IFERROR(__xludf.DUMMYFUNCTION("GOOGLETRANSLATE(English!D1077, ""en"", ""bg"")"),"термодинамика")</f>
        <v>термодинамика</v>
      </c>
      <c r="E1077" s="1" t="str">
        <f ca="1">IFERROR(__xludf.DUMMYFUNCTION("GOOGLETRANSLATE(English!E1077, ""en"", ""bg"")"),"Можете ли да ми обясните термодинамиката?")</f>
        <v>Можете ли да ми обясните термодинамиката?</v>
      </c>
      <c r="F1077" s="1" t="str">
        <f ca="1">IFERROR(__xludf.DUMMYFUNCTION("GOOGLETRANSLATE(English!F1077,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1077" s="1" t="str">
        <f ca="1">IFERROR(__xludf.DUMMYFUNCTION("GOOGLETRANSLATE(English!G1077, ""en"", ""bg"")"),"direct_qa")</f>
        <v>direct_qa</v>
      </c>
      <c r="H1077" s="1" t="str">
        <f ca="1">IFERROR(__xludf.DUMMYFUNCTION("GOOGLETRANSLATE(English!H1077, ""en"", ""bg"")"),"заявка_за_знание")</f>
        <v>заявка_за_знание</v>
      </c>
    </row>
    <row r="1078" spans="1:8" ht="13.2" x14ac:dyDescent="0.25">
      <c r="A1078" s="1" t="str">
        <f ca="1">IFERROR(__xludf.DUMMYFUNCTION("GOOGLETRANSLATE(English!A1078, ""en"", ""bg"")"),"qa_14872")</f>
        <v>qa_14872</v>
      </c>
      <c r="B1078" s="1" t="str">
        <f ca="1">IFERROR(__xludf.DUMMYFUNCTION("GOOGLETRANSLATE(English!B1078, ""en"", ""bg"")"),"биология")</f>
        <v>биология</v>
      </c>
      <c r="C1078" s="1" t="str">
        <f ca="1">IFERROR(__xludf.DUMMYFUNCTION("GOOGLETRANSLATE(English!C1078, ""en"", ""bg"")"),"високо")</f>
        <v>високо</v>
      </c>
      <c r="D1078" s="1" t="str">
        <f ca="1">IFERROR(__xludf.DUMMYFUNCTION("GOOGLETRANSLATE(English!D1078, ""en"", ""bg"")"),"синтез на протеини")</f>
        <v>синтез на протеини</v>
      </c>
      <c r="E1078" s="1" t="str">
        <f ca="1">IFERROR(__xludf.DUMMYFUNCTION("GOOGLETRANSLATE(English!E1078, ""en"", ""bg"")"),"Какво е важно да знаем за синтеза на протеини?")</f>
        <v>Какво е важно да знаем за синтеза на протеини?</v>
      </c>
      <c r="F1078" s="1" t="str">
        <f ca="1">IFERROR(__xludf.DUMMYFUNCTION("GOOGLETRANSLATE(English!F1078,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1078" s="1" t="str">
        <f ca="1">IFERROR(__xludf.DUMMYFUNCTION("GOOGLETRANSLATE(English!G1078, ""en"", ""bg"")"),"direct_qa")</f>
        <v>direct_qa</v>
      </c>
      <c r="H1078" s="1" t="str">
        <f ca="1">IFERROR(__xludf.DUMMYFUNCTION("GOOGLETRANSLATE(English!H1078, ""en"", ""bg"")"),"заявка_за_знание")</f>
        <v>заявка_за_знание</v>
      </c>
    </row>
    <row r="1079" spans="1:8" ht="13.2" x14ac:dyDescent="0.25">
      <c r="A1079" s="1" t="str">
        <f ca="1">IFERROR(__xludf.DUMMYFUNCTION("GOOGLETRANSLATE(English!A1079, ""en"", ""bg"")"),"conv_05256")</f>
        <v>conv_05256</v>
      </c>
      <c r="B1079" s="1" t="str">
        <f ca="1">IFERROR(__xludf.DUMMYFUNCTION("GOOGLETRANSLATE(English!B1079, ""en"", ""bg"")"),"физика")</f>
        <v>физика</v>
      </c>
      <c r="C1079" s="1" t="str">
        <f ca="1">IFERROR(__xludf.DUMMYFUNCTION("GOOGLETRANSLATE(English!C1079, ""en"", ""bg"")"),"средата")</f>
        <v>средата</v>
      </c>
      <c r="D1079" s="1" t="str">
        <f ca="1">IFERROR(__xludf.DUMMYFUNCTION("GOOGLETRANSLATE(English!D1079, ""en"", ""bg"")"),"плътност")</f>
        <v>плътност</v>
      </c>
      <c r="E1079" s="1" t="str">
        <f ca="1">IFERROR(__xludf.DUMMYFUNCTION("GOOGLETRANSLATE(English!E1079, ""en"", ""bg"")"),"Помогнете ми да се подготвя за теста. Какво трябва да знам за плътността?")</f>
        <v>Помогнете ми да се подготвя за теста. Какво трябва да знам за плътността?</v>
      </c>
      <c r="F1079" s="1" t="str">
        <f ca="1">IFERROR(__xludf.DUMMYFUNCTION("GOOGLETRANSLATE(English!F1079,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1079" s="1" t="str">
        <f ca="1">IFERROR(__xludf.DUMMYFUNCTION("GOOGLETRANSLATE(English!G1079, ""en"", ""bg"")"),"разговор")</f>
        <v>разговор</v>
      </c>
      <c r="H1079" s="1" t="str">
        <f ca="1">IFERROR(__xludf.DUMMYFUNCTION("GOOGLETRANSLATE(English!H1079, ""en"", ""bg"")"),"образователна_помощ")</f>
        <v>образователна_помощ</v>
      </c>
    </row>
    <row r="1080" spans="1:8" ht="13.2" x14ac:dyDescent="0.25">
      <c r="A1080" s="1" t="str">
        <f ca="1">IFERROR(__xludf.DUMMYFUNCTION("GOOGLETRANSLATE(English!A1080, ""en"", ""bg"")"),"hw_11519")</f>
        <v>hw_11519</v>
      </c>
      <c r="B1080" s="1" t="str">
        <f ca="1">IFERROR(__xludf.DUMMYFUNCTION("GOOGLETRANSLATE(English!B1080, ""en"", ""bg"")"),"химия")</f>
        <v>химия</v>
      </c>
      <c r="C1080" s="1" t="str">
        <f ca="1">IFERROR(__xludf.DUMMYFUNCTION("GOOGLETRANSLATE(English!C1080, ""en"", ""bg"")"),"елементарен")</f>
        <v>елементарен</v>
      </c>
      <c r="D1080" s="1" t="str">
        <f ca="1">IFERROR(__xludf.DUMMYFUNCTION("GOOGLETRANSLATE(English!D1080, ""en"", ""bg"")"),"безопасност")</f>
        <v>безопасност</v>
      </c>
      <c r="E1080" s="1" t="str">
        <f ca="1">IFERROR(__xludf.DUMMYFUNCTION("GOOGLETRANSLATE(English!E1080, ""en"", ""bg"")"),"Можете ли да ми помогнете с изчисленията за безопасност?")</f>
        <v>Можете ли да ми помогнете с изчисленията за безопасност?</v>
      </c>
      <c r="F1080" s="1" t="str">
        <f ca="1">IFERROR(__xludf.DUMMYFUNCTION("GOOGLETRANSLATE(English!F1080,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1080" s="1" t="str">
        <f ca="1">IFERROR(__xludf.DUMMYFUNCTION("GOOGLETRANSLATE(English!G1080, ""en"", ""bg"")"),"помощ_за_домашно_изпълнение")</f>
        <v>помощ_за_домашно_изпълнение</v>
      </c>
      <c r="H1080" s="1" t="str">
        <f ca="1">IFERROR(__xludf.DUMMYFUNCTION("GOOGLETRANSLATE(English!H1080, ""en"", ""bg"")"),"помощ_за_домашно_задаване")</f>
        <v>помощ_за_домашно_задаване</v>
      </c>
    </row>
    <row r="1081" spans="1:8" ht="13.2" x14ac:dyDescent="0.25">
      <c r="A1081" s="1" t="str">
        <f ca="1">IFERROR(__xludf.DUMMYFUNCTION("GOOGLETRANSLATE(English!A1081, ""en"", ""bg"")"),"conv_05703")</f>
        <v>conv_05703</v>
      </c>
      <c r="B1081" s="1" t="str">
        <f ca="1">IFERROR(__xludf.DUMMYFUNCTION("GOOGLETRANSLATE(English!B1081, ""en"", ""bg"")"),"физика")</f>
        <v>физика</v>
      </c>
      <c r="C1081" s="1" t="str">
        <f ca="1">IFERROR(__xludf.DUMMYFUNCTION("GOOGLETRANSLATE(English!C1081, ""en"", ""bg"")"),"елементарен")</f>
        <v>елементарен</v>
      </c>
      <c r="D1081" s="1" t="str">
        <f ca="1">IFERROR(__xludf.DUMMYFUNCTION("GOOGLETRANSLATE(English!D1081, ""en"", ""bg"")"),"горещо и студено")</f>
        <v>горещо и студено</v>
      </c>
      <c r="E1081" s="1" t="str">
        <f ca="1">IFERROR(__xludf.DUMMYFUNCTION("GOOGLETRANSLATE(English!E1081, ""en"", ""bg"")"),"Здравей, преподавателю! Защо е важно топлото и студеното?")</f>
        <v>Здравей, преподавателю! Защо е важно топлото и студеното?</v>
      </c>
      <c r="F1081" s="1" t="str">
        <f ca="1">IFERROR(__xludf.DUMMYFUNCTION("GOOGLETRANSLATE(English!F1081,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1081" s="1" t="str">
        <f ca="1">IFERROR(__xludf.DUMMYFUNCTION("GOOGLETRANSLATE(English!G1081, ""en"", ""bg"")"),"разговор")</f>
        <v>разговор</v>
      </c>
      <c r="H1081" s="1" t="str">
        <f ca="1">IFERROR(__xludf.DUMMYFUNCTION("GOOGLETRANSLATE(English!H1081, ""en"", ""bg"")"),"образователна_помощ")</f>
        <v>образователна_помощ</v>
      </c>
    </row>
    <row r="1082" spans="1:8" ht="13.2" x14ac:dyDescent="0.25">
      <c r="A1082" s="1" t="str">
        <f ca="1">IFERROR(__xludf.DUMMYFUNCTION("GOOGLETRANSLATE(English!A1082, ""en"", ""bg"")"),"conv_02701")</f>
        <v>conv_02701</v>
      </c>
      <c r="B1082" s="1" t="str">
        <f ca="1">IFERROR(__xludf.DUMMYFUNCTION("GOOGLETRANSLATE(English!B1082, ""en"", ""bg"")"),"физика")</f>
        <v>физика</v>
      </c>
      <c r="C1082" s="1" t="str">
        <f ca="1">IFERROR(__xludf.DUMMYFUNCTION("GOOGLETRANSLATE(English!C1082, ""en"", ""bg"")"),"високо")</f>
        <v>високо</v>
      </c>
      <c r="D1082" s="1" t="str">
        <f ca="1">IFERROR(__xludf.DUMMYFUNCTION("GOOGLETRANSLATE(English!D1082, ""en"", ""bg"")"),"оптика")</f>
        <v>оптика</v>
      </c>
      <c r="E1082" s="1" t="str">
        <f ca="1">IFERROR(__xludf.DUMMYFUNCTION("GOOGLETRANSLATE(English!E1082, ""en"", ""bg"")"),"Можете ли да ми обясните това? Защо оптиката е важна?")</f>
        <v>Можете ли да ми обясните това? Защо оптиката е важна?</v>
      </c>
      <c r="F1082" s="1" t="str">
        <f ca="1">IFERROR(__xludf.DUMMYFUNCTION("GOOGLETRANSLATE(English!F1082,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1082" s="1" t="str">
        <f ca="1">IFERROR(__xludf.DUMMYFUNCTION("GOOGLETRANSLATE(English!G1082, ""en"", ""bg"")"),"разговор")</f>
        <v>разговор</v>
      </c>
      <c r="H1082" s="1" t="str">
        <f ca="1">IFERROR(__xludf.DUMMYFUNCTION("GOOGLETRANSLATE(English!H1082, ""en"", ""bg"")"),"образователна_помощ")</f>
        <v>образователна_помощ</v>
      </c>
    </row>
    <row r="1083" spans="1:8" ht="13.2" x14ac:dyDescent="0.25">
      <c r="A1083" s="1" t="str">
        <f ca="1">IFERROR(__xludf.DUMMYFUNCTION("GOOGLETRANSLATE(English!A1083, ""en"", ""bg"")"),"conv_02687")</f>
        <v>conv_02687</v>
      </c>
      <c r="B1083" s="1" t="str">
        <f ca="1">IFERROR(__xludf.DUMMYFUNCTION("GOOGLETRANSLATE(English!B1083, ""en"", ""bg"")"),"биология")</f>
        <v>биология</v>
      </c>
      <c r="C1083" s="1" t="str">
        <f ca="1">IFERROR(__xludf.DUMMYFUNCTION("GOOGLETRANSLATE(English!C1083, ""en"", ""bg"")"),"средата")</f>
        <v>средата</v>
      </c>
      <c r="D1083" s="1" t="str">
        <f ca="1">IFERROR(__xludf.DUMMYFUNCTION("GOOGLETRANSLATE(English!D1083, ""en"", ""bg"")"),"клетки")</f>
        <v>клетки</v>
      </c>
      <c r="E1083" s="1" t="str">
        <f ca="1">IFERROR(__xludf.DUMMYFUNCTION("GOOGLETRANSLATE(English!E1083, ""en"", ""bg"")"),"Здравей, преподавателю! Какво прави ядрото?")</f>
        <v>Здравей, преподавателю! Какво прави ядрото?</v>
      </c>
      <c r="F1083" s="1" t="str">
        <f ca="1">IFERROR(__xludf.DUMMYFUNCTION("GOOGLETRANSLATE(English!F1083, ""en"", ""bg"")"),"Ядрото е като мозъка на клетката - то контролира какво прави клетката и съдържа ДНК.")</f>
        <v>Ядрото е като мозъка на клетката - то контролира какво прави клетката и съдържа ДНК.</v>
      </c>
      <c r="G1083" s="1" t="str">
        <f ca="1">IFERROR(__xludf.DUMMYFUNCTION("GOOGLETRANSLATE(English!G1083, ""en"", ""bg"")"),"разговор")</f>
        <v>разговор</v>
      </c>
      <c r="H1083" s="1" t="str">
        <f ca="1">IFERROR(__xludf.DUMMYFUNCTION("GOOGLETRANSLATE(English!H1083, ""en"", ""bg"")"),"образователна_помощ")</f>
        <v>образователна_помощ</v>
      </c>
    </row>
    <row r="1084" spans="1:8" ht="13.2" x14ac:dyDescent="0.25">
      <c r="A1084" s="1" t="str">
        <f ca="1">IFERROR(__xludf.DUMMYFUNCTION("GOOGLETRANSLATE(English!A1084, ""en"", ""bg"")"),"conv_16806")</f>
        <v>conv_16806</v>
      </c>
      <c r="B1084" s="1" t="str">
        <f ca="1">IFERROR(__xludf.DUMMYFUNCTION("GOOGLETRANSLATE(English!B1084, ""en"", ""bg"")"),"химия")</f>
        <v>химия</v>
      </c>
      <c r="C1084" s="1" t="str">
        <f ca="1">IFERROR(__xludf.DUMMYFUNCTION("GOOGLETRANSLATE(English!C1084, ""en"", ""bg"")"),"елементарен")</f>
        <v>елементарен</v>
      </c>
      <c r="D1084" s="1" t="str">
        <f ca="1">IFERROR(__xludf.DUMMYFUNCTION("GOOGLETRANSLATE(English!D1084, ""en"", ""bg"")"),"смесване на материали")</f>
        <v>смесване на материали</v>
      </c>
      <c r="E1084" s="1" t="str">
        <f ca="1">IFERROR(__xludf.DUMMYFUNCTION("GOOGLETRANSLATE(English!E1084, ""en"", ""bg"")"),"Не разбирам тази тема. Как може да се отдели солта от водата?")</f>
        <v>Не разбирам тази тема. Как може да се отдели солта от водата?</v>
      </c>
      <c r="F1084" s="1" t="str">
        <f ca="1">IFERROR(__xludf.DUMMYFUNCTION("GOOGLETRANSLATE(English!F1084,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1084" s="1" t="str">
        <f ca="1">IFERROR(__xludf.DUMMYFUNCTION("GOOGLETRANSLATE(English!G1084, ""en"", ""bg"")"),"разговор")</f>
        <v>разговор</v>
      </c>
      <c r="H1084" s="1" t="str">
        <f ca="1">IFERROR(__xludf.DUMMYFUNCTION("GOOGLETRANSLATE(English!H1084, ""en"", ""bg"")"),"образователна_помощ")</f>
        <v>образователна_помощ</v>
      </c>
    </row>
    <row r="1085" spans="1:8" ht="13.2" x14ac:dyDescent="0.25">
      <c r="A1085" s="1" t="str">
        <f ca="1">IFERROR(__xludf.DUMMYFUNCTION("GOOGLETRANSLATE(English!A1085, ""en"", ""bg"")"),"qa_12508")</f>
        <v>qa_12508</v>
      </c>
      <c r="B1085" s="1" t="str">
        <f ca="1">IFERROR(__xludf.DUMMYFUNCTION("GOOGLETRANSLATE(English!B1085, ""en"", ""bg"")"),"химия")</f>
        <v>химия</v>
      </c>
      <c r="C1085" s="1" t="str">
        <f ca="1">IFERROR(__xludf.DUMMYFUNCTION("GOOGLETRANSLATE(English!C1085, ""en"", ""bg"")"),"елементарен")</f>
        <v>елементарен</v>
      </c>
      <c r="D1085" s="1" t="str">
        <f ca="1">IFERROR(__xludf.DUMMYFUNCTION("GOOGLETRANSLATE(English!D1085, ""en"", ""bg"")"),"промени в материалите")</f>
        <v>промени в материалите</v>
      </c>
      <c r="E1085" s="1" t="str">
        <f ca="1">IFERROR(__xludf.DUMMYFUNCTION("GOOGLETRANSLATE(English!E1085, ""en"", ""bg"")"),"Защо е важно да се изучават промените в материалите?")</f>
        <v>Защо е важно да се изучават промените в материалите?</v>
      </c>
      <c r="F1085" s="1" t="str">
        <f ca="1">IFERROR(__xludf.DUMMYFUNCTION("GOOGLETRANSLATE(English!F1085,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1085" s="1" t="str">
        <f ca="1">IFERROR(__xludf.DUMMYFUNCTION("GOOGLETRANSLATE(English!G1085, ""en"", ""bg"")"),"direct_qa")</f>
        <v>direct_qa</v>
      </c>
      <c r="H1085" s="1" t="str">
        <f ca="1">IFERROR(__xludf.DUMMYFUNCTION("GOOGLETRANSLATE(English!H1085, ""en"", ""bg"")"),"заявка_за_знание")</f>
        <v>заявка_за_знание</v>
      </c>
    </row>
    <row r="1086" spans="1:8" ht="13.2" x14ac:dyDescent="0.25">
      <c r="A1086" s="1" t="str">
        <f ca="1">IFERROR(__xludf.DUMMYFUNCTION("GOOGLETRANSLATE(English!A1086, ""en"", ""bg"")"),"conv_12701")</f>
        <v>conv_12701</v>
      </c>
      <c r="B1086" s="1" t="str">
        <f ca="1">IFERROR(__xludf.DUMMYFUNCTION("GOOGLETRANSLATE(English!B1086, ""en"", ""bg"")"),"физика")</f>
        <v>физика</v>
      </c>
      <c r="C1086" s="1" t="str">
        <f ca="1">IFERROR(__xludf.DUMMYFUNCTION("GOOGLETRANSLATE(English!C1086, ""en"", ""bg"")"),"средата")</f>
        <v>средата</v>
      </c>
      <c r="D1086" s="1" t="str">
        <f ca="1">IFERROR(__xludf.DUMMYFUNCTION("GOOGLETRANSLATE(English!D1086, ""en"", ""bg"")"),"прости схеми")</f>
        <v>прости схеми</v>
      </c>
      <c r="E1086" s="1" t="str">
        <f ca="1">IFERROR(__xludf.DUMMYFUNCTION("GOOGLETRANSLATE(English!E1086, ""en"", ""bg"")"),"Имам научен въпрос. Защо простите електрически вериги са важни?")</f>
        <v>Имам научен въпрос. Защо простите електрически вериги са важни?</v>
      </c>
      <c r="F1086" s="1" t="str">
        <f ca="1">IFERROR(__xludf.DUMMYFUNCTION("GOOGLETRANSLATE(English!F1086,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086" s="1" t="str">
        <f ca="1">IFERROR(__xludf.DUMMYFUNCTION("GOOGLETRANSLATE(English!G1086, ""en"", ""bg"")"),"разговор")</f>
        <v>разговор</v>
      </c>
      <c r="H1086" s="1" t="str">
        <f ca="1">IFERROR(__xludf.DUMMYFUNCTION("GOOGLETRANSLATE(English!H1086, ""en"", ""bg"")"),"образователна_помощ")</f>
        <v>образователна_помощ</v>
      </c>
    </row>
    <row r="1087" spans="1:8" ht="13.2" x14ac:dyDescent="0.25">
      <c r="A1087" s="1" t="str">
        <f ca="1">IFERROR(__xludf.DUMMYFUNCTION("GOOGLETRANSLATE(English!A1087, ""en"", ""bg"")"),"hw_07440")</f>
        <v>hw_07440</v>
      </c>
      <c r="B1087" s="1" t="str">
        <f ca="1">IFERROR(__xludf.DUMMYFUNCTION("GOOGLETRANSLATE(English!B1087, ""en"", ""bg"")"),"физика")</f>
        <v>физика</v>
      </c>
      <c r="C1087" s="1" t="str">
        <f ca="1">IFERROR(__xludf.DUMMYFUNCTION("GOOGLETRANSLATE(English!C1087, ""en"", ""bg"")"),"средата")</f>
        <v>средата</v>
      </c>
      <c r="D1087" s="1" t="str">
        <f ca="1">IFERROR(__xludf.DUMMYFUNCTION("GOOGLETRANSLATE(English!D1087, ""en"", ""bg"")"),"прости схеми")</f>
        <v>прости схеми</v>
      </c>
      <c r="E1087" s="1" t="str">
        <f ca="1">IFERROR(__xludf.DUMMYFUNCTION("GOOGLETRANSLATE(English!E1087, ""en"", ""bg"")"),"Домашното ми по физика е за прости електрически вериги. Объркващо е!")</f>
        <v>Домашното ми по физика е за прости електрически вериги. Объркващо е!</v>
      </c>
      <c r="F1087" s="1" t="str">
        <f ca="1">IFERROR(__xludf.DUMMYFUNCTION("GOOGLETRANSLATE(English!F1087,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087" s="1" t="str">
        <f ca="1">IFERROR(__xludf.DUMMYFUNCTION("GOOGLETRANSLATE(English!G1087, ""en"", ""bg"")"),"помощ_за_домашно_изпълнение")</f>
        <v>помощ_за_домашно_изпълнение</v>
      </c>
      <c r="H1087" s="1" t="str">
        <f ca="1">IFERROR(__xludf.DUMMYFUNCTION("GOOGLETRANSLATE(English!H1087, ""en"", ""bg"")"),"помощ_за_домашно_задаване")</f>
        <v>помощ_за_домашно_задаване</v>
      </c>
    </row>
    <row r="1088" spans="1:8" ht="13.2" x14ac:dyDescent="0.25">
      <c r="A1088" s="1" t="str">
        <f ca="1">IFERROR(__xludf.DUMMYFUNCTION("GOOGLETRANSLATE(English!A1088, ""en"", ""bg"")"),"conv_13600")</f>
        <v>conv_13600</v>
      </c>
      <c r="B1088" s="1" t="str">
        <f ca="1">IFERROR(__xludf.DUMMYFUNCTION("GOOGLETRANSLATE(English!B1088, ""en"", ""bg"")"),"физика")</f>
        <v>физика</v>
      </c>
      <c r="C1088" s="1" t="str">
        <f ca="1">IFERROR(__xludf.DUMMYFUNCTION("GOOGLETRANSLATE(English!C1088, ""en"", ""bg"")"),"високо")</f>
        <v>високо</v>
      </c>
      <c r="D1088" s="1" t="str">
        <f ca="1">IFERROR(__xludf.DUMMYFUNCTION("GOOGLETRANSLATE(English!D1088, ""en"", ""bg"")"),"атомна структура")</f>
        <v>атомна структура</v>
      </c>
      <c r="E1088" s="1" t="str">
        <f ca="1">IFERROR(__xludf.DUMMYFUNCTION("GOOGLETRANSLATE(English!E1088, ""en"", ""bg"")"),"Не разбирам тази тема. Защо атомната структура е важна?")</f>
        <v>Не разбирам тази тема. Защо атомната структура е важна?</v>
      </c>
      <c r="F1088" s="1" t="str">
        <f ca="1">IFERROR(__xludf.DUMMYFUNCTION("GOOGLETRANSLATE(English!F1088,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1088" s="1" t="str">
        <f ca="1">IFERROR(__xludf.DUMMYFUNCTION("GOOGLETRANSLATE(English!G1088, ""en"", ""bg"")"),"разговор")</f>
        <v>разговор</v>
      </c>
      <c r="H1088" s="1" t="str">
        <f ca="1">IFERROR(__xludf.DUMMYFUNCTION("GOOGLETRANSLATE(English!H1088, ""en"", ""bg"")"),"образователна_помощ")</f>
        <v>образователна_помощ</v>
      </c>
    </row>
    <row r="1089" spans="1:8" ht="13.2" x14ac:dyDescent="0.25">
      <c r="A1089" s="1" t="str">
        <f ca="1">IFERROR(__xludf.DUMMYFUNCTION("GOOGLETRANSLATE(English!A1089, ""en"", ""bg"")"),"qa_04601")</f>
        <v>qa_04601</v>
      </c>
      <c r="B1089" s="1" t="str">
        <f ca="1">IFERROR(__xludf.DUMMYFUNCTION("GOOGLETRANSLATE(English!B1089, ""en"", ""bg"")"),"физика")</f>
        <v>физика</v>
      </c>
      <c r="C1089" s="1" t="str">
        <f ca="1">IFERROR(__xludf.DUMMYFUNCTION("GOOGLETRANSLATE(English!C1089, ""en"", ""bg"")"),"високо")</f>
        <v>високо</v>
      </c>
      <c r="D1089" s="1" t="str">
        <f ca="1">IFERROR(__xludf.DUMMYFUNCTION("GOOGLETRANSLATE(English!D1089, ""en"", ""bg"")"),"радиоактивност")</f>
        <v>радиоактивност</v>
      </c>
      <c r="E1089" s="1" t="str">
        <f ca="1">IFERROR(__xludf.DUMMYFUNCTION("GOOGLETRANSLATE(English!E1089, ""en"", ""bg"")"),"Можете ли да ми обясните какво е радиоактивност?")</f>
        <v>Можете ли да ми обясните какво е радиоактивност?</v>
      </c>
      <c r="F1089" s="1" t="str">
        <f ca="1">IFERROR(__xludf.DUMMYFUNCTION("GOOGLETRANSLATE(English!F1089,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1089" s="1" t="str">
        <f ca="1">IFERROR(__xludf.DUMMYFUNCTION("GOOGLETRANSLATE(English!G1089, ""en"", ""bg"")"),"direct_qa")</f>
        <v>direct_qa</v>
      </c>
      <c r="H1089" s="1" t="str">
        <f ca="1">IFERROR(__xludf.DUMMYFUNCTION("GOOGLETRANSLATE(English!H1089, ""en"", ""bg"")"),"заявка_за_знание")</f>
        <v>заявка_за_знание</v>
      </c>
    </row>
    <row r="1090" spans="1:8" ht="13.2" x14ac:dyDescent="0.25">
      <c r="A1090" s="1" t="str">
        <f ca="1">IFERROR(__xludf.DUMMYFUNCTION("GOOGLETRANSLATE(English!A1090, ""en"", ""bg"")"),"qa_10253")</f>
        <v>qa_10253</v>
      </c>
      <c r="B1090" s="1" t="str">
        <f ca="1">IFERROR(__xludf.DUMMYFUNCTION("GOOGLETRANSLATE(English!B1090, ""en"", ""bg"")"),"химия")</f>
        <v>химия</v>
      </c>
      <c r="C1090" s="1" t="str">
        <f ca="1">IFERROR(__xludf.DUMMYFUNCTION("GOOGLETRANSLATE(English!C1090, ""en"", ""bg"")"),"средата")</f>
        <v>средата</v>
      </c>
      <c r="D1090" s="1" t="str">
        <f ca="1">IFERROR(__xludf.DUMMYFUNCTION("GOOGLETRANSLATE(English!D1090, ""en"", ""bg"")"),"основи на периодичната таблица")</f>
        <v>основи на периодичната таблица</v>
      </c>
      <c r="E1090" s="1" t="str">
        <f ca="1">IFERROR(__xludf.DUMMYFUNCTION("GOOGLETRANSLATE(English!E1090,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1090" s="1" t="str">
        <f ca="1">IFERROR(__xludf.DUMMYFUNCTION("GOOGLETRANSLATE(English!F1090,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1090" s="1" t="str">
        <f ca="1">IFERROR(__xludf.DUMMYFUNCTION("GOOGLETRANSLATE(English!G1090, ""en"", ""bg"")"),"direct_qa")</f>
        <v>direct_qa</v>
      </c>
      <c r="H1090" s="1" t="str">
        <f ca="1">IFERROR(__xludf.DUMMYFUNCTION("GOOGLETRANSLATE(English!H1090, ""en"", ""bg"")"),"заявка_за_знание")</f>
        <v>заявка_за_знание</v>
      </c>
    </row>
    <row r="1091" spans="1:8" ht="13.2" x14ac:dyDescent="0.25">
      <c r="A1091" s="1" t="str">
        <f ca="1">IFERROR(__xludf.DUMMYFUNCTION("GOOGLETRANSLATE(English!A1091, ""en"", ""bg"")"),"qa_13398")</f>
        <v>qa_13398</v>
      </c>
      <c r="B1091" s="1" t="str">
        <f ca="1">IFERROR(__xludf.DUMMYFUNCTION("GOOGLETRANSLATE(English!B1091, ""en"", ""bg"")"),"химия")</f>
        <v>химия</v>
      </c>
      <c r="C1091" s="1" t="str">
        <f ca="1">IFERROR(__xludf.DUMMYFUNCTION("GOOGLETRANSLATE(English!C1091, ""en"", ""bg"")"),"високо")</f>
        <v>високо</v>
      </c>
      <c r="D1091" s="1" t="str">
        <f ca="1">IFERROR(__xludf.DUMMYFUNCTION("GOOGLETRANSLATE(English!D1091, ""en"", ""bg"")"),"химическо свързване")</f>
        <v>химическо свързване</v>
      </c>
      <c r="E1091" s="1" t="str">
        <f ca="1">IFERROR(__xludf.DUMMYFUNCTION("GOOGLETRANSLATE(English!E1091, ""en"", ""bg"")"),"Как работи химическата връзка в химията?")</f>
        <v>Как работи химическата връзка в химията?</v>
      </c>
      <c r="F1091" s="1" t="str">
        <f ca="1">IFERROR(__xludf.DUMMYFUNCTION("GOOGLETRANSLATE(English!F1091,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1091" s="1" t="str">
        <f ca="1">IFERROR(__xludf.DUMMYFUNCTION("GOOGLETRANSLATE(English!G1091, ""en"", ""bg"")"),"direct_qa")</f>
        <v>direct_qa</v>
      </c>
      <c r="H1091" s="1" t="str">
        <f ca="1">IFERROR(__xludf.DUMMYFUNCTION("GOOGLETRANSLATE(English!H1091, ""en"", ""bg"")"),"заявка_за_знание")</f>
        <v>заявка_за_знание</v>
      </c>
    </row>
    <row r="1092" spans="1:8" ht="13.2" x14ac:dyDescent="0.25">
      <c r="A1092" s="1" t="str">
        <f ca="1">IFERROR(__xludf.DUMMYFUNCTION("GOOGLETRANSLATE(English!A1092, ""en"", ""bg"")"),"hw_05988")</f>
        <v>hw_05988</v>
      </c>
      <c r="B1092" s="1" t="str">
        <f ca="1">IFERROR(__xludf.DUMMYFUNCTION("GOOGLETRANSLATE(English!B1092, ""en"", ""bg"")"),"химия")</f>
        <v>химия</v>
      </c>
      <c r="C1092" s="1" t="str">
        <f ca="1">IFERROR(__xludf.DUMMYFUNCTION("GOOGLETRANSLATE(English!C1092, ""en"", ""bg"")"),"високо")</f>
        <v>високо</v>
      </c>
      <c r="D1092" s="1" t="str">
        <f ca="1">IFERROR(__xludf.DUMMYFUNCTION("GOOGLETRANSLATE(English!D1092, ""en"", ""bg"")"),"химическо свързване")</f>
        <v>химическо свързване</v>
      </c>
      <c r="E1092" s="1" t="str">
        <f ca="1">IFERROR(__xludf.DUMMYFUNCTION("GOOGLETRANSLATE(English!E1092, ""en"", ""bg"")"),"Можете ли да ми помогнете с изчисленията за химични връзки?")</f>
        <v>Можете ли да ми помогнете с изчисленията за химични връзки?</v>
      </c>
      <c r="F1092" s="1" t="str">
        <f ca="1">IFERROR(__xludf.DUMMYFUNCTION("GOOGLETRANSLATE(English!F1092,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1092" s="1" t="str">
        <f ca="1">IFERROR(__xludf.DUMMYFUNCTION("GOOGLETRANSLATE(English!G1092, ""en"", ""bg"")"),"помощ_за_домашно_изпълнение")</f>
        <v>помощ_за_домашно_изпълнение</v>
      </c>
      <c r="H1092" s="1" t="str">
        <f ca="1">IFERROR(__xludf.DUMMYFUNCTION("GOOGLETRANSLATE(English!H1092, ""en"", ""bg"")"),"помощ_за_домашно_задаване")</f>
        <v>помощ_за_домашно_задаване</v>
      </c>
    </row>
    <row r="1093" spans="1:8" ht="13.2" x14ac:dyDescent="0.25">
      <c r="A1093" s="1" t="str">
        <f ca="1">IFERROR(__xludf.DUMMYFUNCTION("GOOGLETRANSLATE(English!A1093, ""en"", ""bg"")"),"hw_05666")</f>
        <v>hw_05666</v>
      </c>
      <c r="B1093" s="1" t="str">
        <f ca="1">IFERROR(__xludf.DUMMYFUNCTION("GOOGLETRANSLATE(English!B1093, ""en"", ""bg"")"),"физика")</f>
        <v>физика</v>
      </c>
      <c r="C1093" s="1" t="str">
        <f ca="1">IFERROR(__xludf.DUMMYFUNCTION("GOOGLETRANSLATE(English!C1093, ""en"", ""bg"")"),"елементарен")</f>
        <v>елементарен</v>
      </c>
      <c r="D1093" s="1" t="str">
        <f ca="1">IFERROR(__xludf.DUMMYFUNCTION("GOOGLETRANSLATE(English!D1093, ""en"", ""bg"")"),"светлина и сянка")</f>
        <v>светлина и сянка</v>
      </c>
      <c r="E1093" s="1" t="str">
        <f ca="1">IFERROR(__xludf.DUMMYFUNCTION("GOOGLETRANSLATE(English!E1093, ""en"", ""bg"")"),"Домашното ми по физика е за светлина и сянка. Объркващо е!")</f>
        <v>Домашното ми по физика е за светлина и сянка. Объркващо е!</v>
      </c>
      <c r="F1093" s="1" t="str">
        <f ca="1">IFERROR(__xludf.DUMMYFUNCTION("GOOGLETRANSLATE(English!F1093,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1093" s="1" t="str">
        <f ca="1">IFERROR(__xludf.DUMMYFUNCTION("GOOGLETRANSLATE(English!G1093, ""en"", ""bg"")"),"помощ_за_домашно_изпълнение")</f>
        <v>помощ_за_домашно_изпълнение</v>
      </c>
      <c r="H1093" s="1" t="str">
        <f ca="1">IFERROR(__xludf.DUMMYFUNCTION("GOOGLETRANSLATE(English!H1093, ""en"", ""bg"")"),"помощ_за_домашно_задаване")</f>
        <v>помощ_за_домашно_задаване</v>
      </c>
    </row>
    <row r="1094" spans="1:8" ht="13.2" x14ac:dyDescent="0.25">
      <c r="A1094" s="1" t="str">
        <f ca="1">IFERROR(__xludf.DUMMYFUNCTION("GOOGLETRANSLATE(English!A1094, ""en"", ""bg"")"),"hw_11291")</f>
        <v>hw_11291</v>
      </c>
      <c r="B1094" s="1" t="str">
        <f ca="1">IFERROR(__xludf.DUMMYFUNCTION("GOOGLETRANSLATE(English!B1094, ""en"", ""bg"")"),"физика")</f>
        <v>физика</v>
      </c>
      <c r="C1094" s="1" t="str">
        <f ca="1">IFERROR(__xludf.DUMMYFUNCTION("GOOGLETRANSLATE(English!C1094, ""en"", ""bg"")"),"високо")</f>
        <v>високо</v>
      </c>
      <c r="D1094" s="1" t="str">
        <f ca="1">IFERROR(__xludf.DUMMYFUNCTION("GOOGLETRANSLATE(English!D1094, ""en"", ""bg"")"),"механика")</f>
        <v>механика</v>
      </c>
      <c r="E1094" s="1" t="str">
        <f ca="1">IFERROR(__xludf.DUMMYFUNCTION("GOOGLETRANSLATE(English!E1094, ""en"", ""bg"")"),"Домашното ми по физика е за механика. Объркващо е!")</f>
        <v>Домашното ми по физика е за механика. Объркващо е!</v>
      </c>
      <c r="F1094" s="1" t="str">
        <f ca="1">IFERROR(__xludf.DUMMYFUNCTION("GOOGLETRANSLATE(English!F1094,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1094" s="1" t="str">
        <f ca="1">IFERROR(__xludf.DUMMYFUNCTION("GOOGLETRANSLATE(English!G1094, ""en"", ""bg"")"),"помощ_за_домашно_изпълнение")</f>
        <v>помощ_за_домашно_изпълнение</v>
      </c>
      <c r="H1094" s="1" t="str">
        <f ca="1">IFERROR(__xludf.DUMMYFUNCTION("GOOGLETRANSLATE(English!H1094, ""en"", ""bg"")"),"помощ_за_домашно_задаване")</f>
        <v>помощ_за_домашно_задаване</v>
      </c>
    </row>
    <row r="1095" spans="1:8" ht="13.2" x14ac:dyDescent="0.25">
      <c r="A1095" s="1" t="str">
        <f ca="1">IFERROR(__xludf.DUMMYFUNCTION("GOOGLETRANSLATE(English!A1095, ""en"", ""bg"")"),"hw_03113")</f>
        <v>hw_03113</v>
      </c>
      <c r="B1095" s="1" t="str">
        <f ca="1">IFERROR(__xludf.DUMMYFUNCTION("GOOGLETRANSLATE(English!B1095, ""en"", ""bg"")"),"физика")</f>
        <v>физика</v>
      </c>
      <c r="C1095" s="1" t="str">
        <f ca="1">IFERROR(__xludf.DUMMYFUNCTION("GOOGLETRANSLATE(English!C1095, ""en"", ""bg"")"),"елементарен")</f>
        <v>елементарен</v>
      </c>
      <c r="D1095" s="1" t="str">
        <f ca="1">IFERROR(__xludf.DUMMYFUNCTION("GOOGLETRANSLATE(English!D1095, ""en"", ""bg"")"),"светлина и сянка")</f>
        <v>светлина и сянка</v>
      </c>
      <c r="E1095" s="1" t="str">
        <f ca="1">IFERROR(__xludf.DUMMYFUNCTION("GOOGLETRANSLATE(English!E1095,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1095" s="1" t="str">
        <f ca="1">IFERROR(__xludf.DUMMYFUNCTION("GOOGLETRANSLATE(English!F1095,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1095" s="1" t="str">
        <f ca="1">IFERROR(__xludf.DUMMYFUNCTION("GOOGLETRANSLATE(English!G1095, ""en"", ""bg"")"),"помощ_за_домашно_изпълнение")</f>
        <v>помощ_за_домашно_изпълнение</v>
      </c>
      <c r="H1095" s="1" t="str">
        <f ca="1">IFERROR(__xludf.DUMMYFUNCTION("GOOGLETRANSLATE(English!H1095, ""en"", ""bg"")"),"помощ_за_домашно_задаване")</f>
        <v>помощ_за_домашно_задаване</v>
      </c>
    </row>
    <row r="1096" spans="1:8" ht="13.2" x14ac:dyDescent="0.25">
      <c r="A1096" s="1" t="str">
        <f ca="1">IFERROR(__xludf.DUMMYFUNCTION("GOOGLETRANSLATE(English!A1096, ""en"", ""bg"")"),"conv_16793")</f>
        <v>conv_16793</v>
      </c>
      <c r="B1096" s="1" t="str">
        <f ca="1">IFERROR(__xludf.DUMMYFUNCTION("GOOGLETRANSLATE(English!B1096, ""en"", ""bg"")"),"биология")</f>
        <v>биология</v>
      </c>
      <c r="C1096" s="1" t="str">
        <f ca="1">IFERROR(__xludf.DUMMYFUNCTION("GOOGLETRANSLATE(English!C1096, ""en"", ""bg"")"),"средата")</f>
        <v>средата</v>
      </c>
      <c r="D1096" s="1" t="str">
        <f ca="1">IFERROR(__xludf.DUMMYFUNCTION("GOOGLETRANSLATE(English!D1096, ""en"", ""bg"")"),"фотосинтеза")</f>
        <v>фотосинтеза</v>
      </c>
      <c r="E1096" s="1" t="str">
        <f ca="1">IFERROR(__xludf.DUMMYFUNCTION("GOOGLETRANSLATE(English!E1096, ""en"", ""bg"")"),"Не разбирам тази тема. Защо фотосинтезата е важна в биологията?")</f>
        <v>Не разбирам тази тема. Защо фотосинтезата е важна в биологията?</v>
      </c>
      <c r="F1096" s="1" t="str">
        <f ca="1">IFERROR(__xludf.DUMMYFUNCTION("GOOGLETRANSLATE(English!F1096,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1096" s="1" t="str">
        <f ca="1">IFERROR(__xludf.DUMMYFUNCTION("GOOGLETRANSLATE(English!G1096, ""en"", ""bg"")"),"разговор")</f>
        <v>разговор</v>
      </c>
      <c r="H1096" s="1" t="str">
        <f ca="1">IFERROR(__xludf.DUMMYFUNCTION("GOOGLETRANSLATE(English!H1096, ""en"", ""bg"")"),"образователна_помощ")</f>
        <v>образователна_помощ</v>
      </c>
    </row>
    <row r="1097" spans="1:8" ht="13.2" x14ac:dyDescent="0.25">
      <c r="A1097" s="1" t="str">
        <f ca="1">IFERROR(__xludf.DUMMYFUNCTION("GOOGLETRANSLATE(English!A1097, ""en"", ""bg"")"),"qa_12445")</f>
        <v>qa_12445</v>
      </c>
      <c r="B1097" s="1" t="str">
        <f ca="1">IFERROR(__xludf.DUMMYFUNCTION("GOOGLETRANSLATE(English!B1097, ""en"", ""bg"")"),"физика")</f>
        <v>физика</v>
      </c>
      <c r="C1097" s="1" t="str">
        <f ca="1">IFERROR(__xludf.DUMMYFUNCTION("GOOGLETRANSLATE(English!C1097, ""en"", ""bg"")"),"високо")</f>
        <v>високо</v>
      </c>
      <c r="D1097" s="1" t="str">
        <f ca="1">IFERROR(__xludf.DUMMYFUNCTION("GOOGLETRANSLATE(English!D1097, ""en"", ""bg"")"),"оптика")</f>
        <v>оптика</v>
      </c>
      <c r="E1097" s="1" t="str">
        <f ca="1">IFERROR(__xludf.DUMMYFUNCTION("GOOGLETRANSLATE(English!E1097, ""en"", ""bg"")"),"Как работи оптиката във физиката?")</f>
        <v>Как работи оптиката във физиката?</v>
      </c>
      <c r="F1097" s="1" t="str">
        <f ca="1">IFERROR(__xludf.DUMMYFUNCTION("GOOGLETRANSLATE(English!F1097,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1097" s="1" t="str">
        <f ca="1">IFERROR(__xludf.DUMMYFUNCTION("GOOGLETRANSLATE(English!G1097, ""en"", ""bg"")"),"direct_qa")</f>
        <v>direct_qa</v>
      </c>
      <c r="H1097" s="1" t="str">
        <f ca="1">IFERROR(__xludf.DUMMYFUNCTION("GOOGLETRANSLATE(English!H1097, ""en"", ""bg"")"),"заявка_за_знание")</f>
        <v>заявка_за_знание</v>
      </c>
    </row>
    <row r="1098" spans="1:8" ht="13.2" x14ac:dyDescent="0.25">
      <c r="A1098" s="1" t="str">
        <f ca="1">IFERROR(__xludf.DUMMYFUNCTION("GOOGLETRANSLATE(English!A1098, ""en"", ""bg"")"),"qa_10616")</f>
        <v>qa_10616</v>
      </c>
      <c r="B1098" s="1" t="str">
        <f ca="1">IFERROR(__xludf.DUMMYFUNCTION("GOOGLETRANSLATE(English!B1098, ""en"", ""bg"")"),"биология")</f>
        <v>биология</v>
      </c>
      <c r="C1098" s="1" t="str">
        <f ca="1">IFERROR(__xludf.DUMMYFUNCTION("GOOGLETRANSLATE(English!C1098, ""en"", ""bg"")"),"елементарен")</f>
        <v>елементарен</v>
      </c>
      <c r="D1098" s="1" t="str">
        <f ca="1">IFERROR(__xludf.DUMMYFUNCTION("GOOGLETRANSLATE(English!D1098, ""en"", ""bg"")"),"хранителни вериги")</f>
        <v>хранителни вериги</v>
      </c>
      <c r="E1098" s="1" t="str">
        <f ca="1">IFERROR(__xludf.DUMMYFUNCTION("GOOGLETRANSLATE(English!E1098, ""en"", ""bg"")"),"Какво е важно да знаем за хранителните вериги?")</f>
        <v>Какво е важно да знаем за хранителните вериги?</v>
      </c>
      <c r="F1098" s="1" t="str">
        <f ca="1">IFERROR(__xludf.DUMMYFUNCTION("GOOGLETRANSLATE(English!F1098,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1098" s="1" t="str">
        <f ca="1">IFERROR(__xludf.DUMMYFUNCTION("GOOGLETRANSLATE(English!G1098, ""en"", ""bg"")"),"direct_qa")</f>
        <v>direct_qa</v>
      </c>
      <c r="H1098" s="1" t="str">
        <f ca="1">IFERROR(__xludf.DUMMYFUNCTION("GOOGLETRANSLATE(English!H1098, ""en"", ""bg"")"),"заявка_за_знание")</f>
        <v>заявка_за_знание</v>
      </c>
    </row>
    <row r="1099" spans="1:8" ht="13.2" x14ac:dyDescent="0.25">
      <c r="A1099" s="1" t="str">
        <f ca="1">IFERROR(__xludf.DUMMYFUNCTION("GOOGLETRANSLATE(English!A1099, ""en"", ""bg"")"),"hw_04279")</f>
        <v>hw_04279</v>
      </c>
      <c r="B1099" s="1" t="str">
        <f ca="1">IFERROR(__xludf.DUMMYFUNCTION("GOOGLETRANSLATE(English!B1099, ""en"", ""bg"")"),"биология")</f>
        <v>биология</v>
      </c>
      <c r="C1099" s="1" t="str">
        <f ca="1">IFERROR(__xludf.DUMMYFUNCTION("GOOGLETRANSLATE(English!C1099, ""en"", ""bg"")"),"високо")</f>
        <v>високо</v>
      </c>
      <c r="D1099" s="1" t="str">
        <f ca="1">IFERROR(__xludf.DUMMYFUNCTION("GOOGLETRANSLATE(English!D1099, ""en"", ""bg"")"),"клетъчно дишане")</f>
        <v>клетъчно дишане</v>
      </c>
      <c r="E1099" s="1" t="str">
        <f ca="1">IFERROR(__xludf.DUMMYFUNCTION("GOOGLETRANSLATE(English!E1099,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1099" s="1" t="str">
        <f ca="1">IFERROR(__xludf.DUMMYFUNCTION("GOOGLETRANSLATE(English!F1099,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099" s="1" t="str">
        <f ca="1">IFERROR(__xludf.DUMMYFUNCTION("GOOGLETRANSLATE(English!G1099, ""en"", ""bg"")"),"помощ_за_домашно_изпълнение")</f>
        <v>помощ_за_домашно_изпълнение</v>
      </c>
      <c r="H1099" s="1" t="str">
        <f ca="1">IFERROR(__xludf.DUMMYFUNCTION("GOOGLETRANSLATE(English!H1099, ""en"", ""bg"")"),"помощ_за_домашно_задаване")</f>
        <v>помощ_за_домашно_задаване</v>
      </c>
    </row>
    <row r="1100" spans="1:8" ht="13.2" x14ac:dyDescent="0.25">
      <c r="A1100" s="1" t="str">
        <f ca="1">IFERROR(__xludf.DUMMYFUNCTION("GOOGLETRANSLATE(English!A1100, ""en"", ""bg"")"),"qa_13495")</f>
        <v>qa_13495</v>
      </c>
      <c r="B1100" s="1" t="str">
        <f ca="1">IFERROR(__xludf.DUMMYFUNCTION("GOOGLETRANSLATE(English!B1100, ""en"", ""bg"")"),"биология")</f>
        <v>биология</v>
      </c>
      <c r="C1100" s="1" t="str">
        <f ca="1">IFERROR(__xludf.DUMMYFUNCTION("GOOGLETRANSLATE(English!C1100, ""en"", ""bg"")"),"високо")</f>
        <v>високо</v>
      </c>
      <c r="D1100" s="1" t="str">
        <f ca="1">IFERROR(__xludf.DUMMYFUNCTION("GOOGLETRANSLATE(English!D1100, ""en"", ""bg"")"),"синтез на протеини")</f>
        <v>синтез на протеини</v>
      </c>
      <c r="E1100" s="1" t="str">
        <f ca="1">IFERROR(__xludf.DUMMYFUNCTION("GOOGLETRANSLATE(English!E1100, ""en"", ""bg"")"),"Можете ли да ми разкажете за синтеза на протеини?")</f>
        <v>Можете ли да ми разкажете за синтеза на протеини?</v>
      </c>
      <c r="F1100" s="1" t="str">
        <f ca="1">IFERROR(__xludf.DUMMYFUNCTION("GOOGLETRANSLATE(English!F1100,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1100" s="1" t="str">
        <f ca="1">IFERROR(__xludf.DUMMYFUNCTION("GOOGLETRANSLATE(English!G1100, ""en"", ""bg"")"),"direct_qa")</f>
        <v>direct_qa</v>
      </c>
      <c r="H1100" s="1" t="str">
        <f ca="1">IFERROR(__xludf.DUMMYFUNCTION("GOOGLETRANSLATE(English!H1100, ""en"", ""bg"")"),"заявка_за_знание")</f>
        <v>заявка_за_знание</v>
      </c>
    </row>
    <row r="1101" spans="1:8" ht="13.2" x14ac:dyDescent="0.25">
      <c r="A1101" s="1" t="str">
        <f ca="1">IFERROR(__xludf.DUMMYFUNCTION("GOOGLETRANSLATE(English!A1101, ""en"", ""bg"")"),"qa_13855")</f>
        <v>qa_13855</v>
      </c>
      <c r="B1101" s="1" t="str">
        <f ca="1">IFERROR(__xludf.DUMMYFUNCTION("GOOGLETRANSLATE(English!B1101, ""en"", ""bg"")"),"физика")</f>
        <v>физика</v>
      </c>
      <c r="C1101" s="1" t="str">
        <f ca="1">IFERROR(__xludf.DUMMYFUNCTION("GOOGLETRANSLATE(English!C1101, ""en"", ""bg"")"),"елементарен")</f>
        <v>елементарен</v>
      </c>
      <c r="D1101" s="1" t="str">
        <f ca="1">IFERROR(__xludf.DUMMYFUNCTION("GOOGLETRANSLATE(English!D1101, ""en"", ""bg"")"),"плаващ и потъващ")</f>
        <v>плаващ и потъващ</v>
      </c>
      <c r="E1101" s="1" t="str">
        <f ca="1">IFERROR(__xludf.DUMMYFUNCTION("GOOGLETRANSLATE(English!E1101, ""en"", ""bg"")"),"Защо е важно да се носиш и да потъваш?")</f>
        <v>Защо е важно да се носиш и да потъваш?</v>
      </c>
      <c r="F1101" s="1" t="str">
        <f ca="1">IFERROR(__xludf.DUMMYFUNCTION("GOOGLETRANSLATE(English!F1101,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1101" s="1" t="str">
        <f ca="1">IFERROR(__xludf.DUMMYFUNCTION("GOOGLETRANSLATE(English!G1101, ""en"", ""bg"")"),"direct_qa")</f>
        <v>direct_qa</v>
      </c>
      <c r="H1101" s="1" t="str">
        <f ca="1">IFERROR(__xludf.DUMMYFUNCTION("GOOGLETRANSLATE(English!H1101, ""en"", ""bg"")"),"заявка_за_знание")</f>
        <v>заявка_за_знание</v>
      </c>
    </row>
    <row r="1102" spans="1:8" ht="13.2" x14ac:dyDescent="0.25">
      <c r="A1102" s="1" t="str">
        <f ca="1">IFERROR(__xludf.DUMMYFUNCTION("GOOGLETRANSLATE(English!A1102, ""en"", ""bg"")"),"qa_14912")</f>
        <v>qa_14912</v>
      </c>
      <c r="B1102" s="1" t="str">
        <f ca="1">IFERROR(__xludf.DUMMYFUNCTION("GOOGLETRANSLATE(English!B1102, ""en"", ""bg"")"),"физика")</f>
        <v>физика</v>
      </c>
      <c r="C1102" s="1" t="str">
        <f ca="1">IFERROR(__xludf.DUMMYFUNCTION("GOOGLETRANSLATE(English!C1102, ""en"", ""bg"")"),"елементарен")</f>
        <v>елементарен</v>
      </c>
      <c r="D1102" s="1" t="str">
        <f ca="1">IFERROR(__xludf.DUMMYFUNCTION("GOOGLETRANSLATE(English!D1102, ""en"", ""bg"")"),"магнити")</f>
        <v>магнити</v>
      </c>
      <c r="E1102" s="1" t="str">
        <f ca="1">IFERROR(__xludf.DUMMYFUNCTION("GOOGLETRANSLATE(English!E1102, ""en"", ""bg"")"),"Защо някои неща се залепват за магнити?")</f>
        <v>Защо някои неща се залепват за магнити?</v>
      </c>
      <c r="F1102" s="1" t="str">
        <f ca="1">IFERROR(__xludf.DUMMYFUNCTION("GOOGLETRANSLATE(English!F1102,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1102" s="1" t="str">
        <f ca="1">IFERROR(__xludf.DUMMYFUNCTION("GOOGLETRANSLATE(English!G1102, ""en"", ""bg"")"),"direct_qa")</f>
        <v>direct_qa</v>
      </c>
      <c r="H1102" s="1" t="str">
        <f ca="1">IFERROR(__xludf.DUMMYFUNCTION("GOOGLETRANSLATE(English!H1102, ""en"", ""bg"")"),"заявка_за_знание")</f>
        <v>заявка_за_знание</v>
      </c>
    </row>
    <row r="1103" spans="1:8" ht="13.2" x14ac:dyDescent="0.25">
      <c r="A1103" s="1" t="str">
        <f ca="1">IFERROR(__xludf.DUMMYFUNCTION("GOOGLETRANSLATE(English!A1103, ""en"", ""bg"")"),"hw_13577")</f>
        <v>hw_13577</v>
      </c>
      <c r="B1103" s="1" t="str">
        <f ca="1">IFERROR(__xludf.DUMMYFUNCTION("GOOGLETRANSLATE(English!B1103, ""en"", ""bg"")"),"биология")</f>
        <v>биология</v>
      </c>
      <c r="C1103" s="1" t="str">
        <f ca="1">IFERROR(__xludf.DUMMYFUNCTION("GOOGLETRANSLATE(English!C1103, ""en"", ""bg"")"),"елементарен")</f>
        <v>елементарен</v>
      </c>
      <c r="D1103" s="1" t="str">
        <f ca="1">IFERROR(__xludf.DUMMYFUNCTION("GOOGLETRANSLATE(English!D1103, ""en"", ""bg"")"),"човешкото тяло")</f>
        <v>човешкото тяло</v>
      </c>
      <c r="E1103" s="1" t="str">
        <f ca="1">IFERROR(__xludf.DUMMYFUNCTION("GOOGLETRANSLATE(English!E1103, ""en"", ""bg"")"),"Утре имам тест по човешко тяло. Помогни ми да уча!")</f>
        <v>Утре имам тест по човешко тяло. Помогни ми да уча!</v>
      </c>
      <c r="F1103" s="1" t="str">
        <f ca="1">IFERROR(__xludf.DUMMYFUNCTION("GOOGLETRANSLATE(English!F1103,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1103" s="1" t="str">
        <f ca="1">IFERROR(__xludf.DUMMYFUNCTION("GOOGLETRANSLATE(English!G1103, ""en"", ""bg"")"),"помощ_за_домашно_изпълнение")</f>
        <v>помощ_за_домашно_изпълнение</v>
      </c>
      <c r="H1103" s="1" t="str">
        <f ca="1">IFERROR(__xludf.DUMMYFUNCTION("GOOGLETRANSLATE(English!H1103, ""en"", ""bg"")"),"помощ_за_домашно_задаване")</f>
        <v>помощ_за_домашно_задаване</v>
      </c>
    </row>
    <row r="1104" spans="1:8" ht="13.2" x14ac:dyDescent="0.25">
      <c r="A1104" s="1" t="str">
        <f ca="1">IFERROR(__xludf.DUMMYFUNCTION("GOOGLETRANSLATE(English!A1104, ""en"", ""bg"")"),"conv_02465")</f>
        <v>conv_02465</v>
      </c>
      <c r="B1104" s="1" t="str">
        <f ca="1">IFERROR(__xludf.DUMMYFUNCTION("GOOGLETRANSLATE(English!B1104, ""en"", ""bg"")"),"биология")</f>
        <v>биология</v>
      </c>
      <c r="C1104" s="1" t="str">
        <f ca="1">IFERROR(__xludf.DUMMYFUNCTION("GOOGLETRANSLATE(English!C1104, ""en"", ""bg"")"),"елементарен")</f>
        <v>елементарен</v>
      </c>
      <c r="D1104" s="1" t="str">
        <f ca="1">IFERROR(__xludf.DUMMYFUNCTION("GOOGLETRANSLATE(English!D1104, ""en"", ""bg"")"),"хранителни вериги")</f>
        <v>хранителни вериги</v>
      </c>
      <c r="E1104" s="1" t="str">
        <f ca="1">IFERROR(__xludf.DUMMYFUNCTION("GOOGLETRANSLATE(English!E1104, ""en"", ""bg"")"),"Имам нужда от помощ с домашното. Какво е важно да знаем за хранителните вериги?")</f>
        <v>Имам нужда от помощ с домашното. Какво е важно да знаем за хранителните вериги?</v>
      </c>
      <c r="F1104" s="1" t="str">
        <f ca="1">IFERROR(__xludf.DUMMYFUNCTION("GOOGLETRANSLATE(English!F1104,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1104" s="1" t="str">
        <f ca="1">IFERROR(__xludf.DUMMYFUNCTION("GOOGLETRANSLATE(English!G1104, ""en"", ""bg"")"),"разговор")</f>
        <v>разговор</v>
      </c>
      <c r="H1104" s="1" t="str">
        <f ca="1">IFERROR(__xludf.DUMMYFUNCTION("GOOGLETRANSLATE(English!H1104, ""en"", ""bg"")"),"образователна_помощ")</f>
        <v>образователна_помощ</v>
      </c>
    </row>
    <row r="1105" spans="1:8" ht="13.2" x14ac:dyDescent="0.25">
      <c r="A1105" s="1" t="str">
        <f ca="1">IFERROR(__xludf.DUMMYFUNCTION("GOOGLETRANSLATE(English!A1105, ""en"", ""bg"")"),"hw_12223")</f>
        <v>hw_12223</v>
      </c>
      <c r="B1105" s="1" t="str">
        <f ca="1">IFERROR(__xludf.DUMMYFUNCTION("GOOGLETRANSLATE(English!B1105, ""en"", ""bg"")"),"физика")</f>
        <v>физика</v>
      </c>
      <c r="C1105" s="1" t="str">
        <f ca="1">IFERROR(__xludf.DUMMYFUNCTION("GOOGLETRANSLATE(English!C1105, ""en"", ""bg"")"),"високо")</f>
        <v>високо</v>
      </c>
      <c r="D1105" s="1" t="str">
        <f ca="1">IFERROR(__xludf.DUMMYFUNCTION("GOOGLETRANSLATE(English!D1105, ""en"", ""bg"")"),"оптика")</f>
        <v>оптика</v>
      </c>
      <c r="E1105" s="1" t="str">
        <f ca="1">IFERROR(__xludf.DUMMYFUNCTION("GOOGLETRANSLATE(English!E1105, ""en"", ""bg"")"),"Заседнал съм с този проблем с оптиката. Можете ли да помогнете?")</f>
        <v>Заседнал съм с този проблем с оптиката. Можете ли да помогнете?</v>
      </c>
      <c r="F1105" s="1" t="str">
        <f ca="1">IFERROR(__xludf.DUMMYFUNCTION("GOOGLETRANSLATE(English!F1105,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1105" s="1" t="str">
        <f ca="1">IFERROR(__xludf.DUMMYFUNCTION("GOOGLETRANSLATE(English!G1105, ""en"", ""bg"")"),"помощ_за_домашно_изпълнение")</f>
        <v>помощ_за_домашно_изпълнение</v>
      </c>
      <c r="H1105" s="1" t="str">
        <f ca="1">IFERROR(__xludf.DUMMYFUNCTION("GOOGLETRANSLATE(English!H1105, ""en"", ""bg"")"),"помощ_за_домашно_задаване")</f>
        <v>помощ_за_домашно_задаване</v>
      </c>
    </row>
    <row r="1106" spans="1:8" ht="13.2" x14ac:dyDescent="0.25">
      <c r="A1106" s="1" t="str">
        <f ca="1">IFERROR(__xludf.DUMMYFUNCTION("GOOGLETRANSLATE(English!A1106, ""en"", ""bg"")"),"hw_08646")</f>
        <v>hw_08646</v>
      </c>
      <c r="B1106" s="1" t="str">
        <f ca="1">IFERROR(__xludf.DUMMYFUNCTION("GOOGLETRANSLATE(English!B1106, ""en"", ""bg"")"),"физика")</f>
        <v>физика</v>
      </c>
      <c r="C1106" s="1" t="str">
        <f ca="1">IFERROR(__xludf.DUMMYFUNCTION("GOOGLETRANSLATE(English!C1106, ""en"", ""bg"")"),"средата")</f>
        <v>средата</v>
      </c>
      <c r="D1106" s="1" t="str">
        <f ca="1">IFERROR(__xludf.DUMMYFUNCTION("GOOGLETRANSLATE(English!D1106, ""en"", ""bg"")"),"прости схеми")</f>
        <v>прости схеми</v>
      </c>
      <c r="E1106" s="1" t="str">
        <f ca="1">IFERROR(__xludf.DUMMYFUNCTION("GOOGLETRANSLATE(English!E1106, ""en"", ""bg"")"),"Трябва да разбирам прости електрически схеми за изпита си.")</f>
        <v>Трябва да разбирам прости електрически схеми за изпита си.</v>
      </c>
      <c r="F1106" s="1" t="str">
        <f ca="1">IFERROR(__xludf.DUMMYFUNCTION("GOOGLETRANSLATE(English!F1106,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106" s="1" t="str">
        <f ca="1">IFERROR(__xludf.DUMMYFUNCTION("GOOGLETRANSLATE(English!G1106, ""en"", ""bg"")"),"помощ_за_домашно_изпълнение")</f>
        <v>помощ_за_домашно_изпълнение</v>
      </c>
      <c r="H1106" s="1" t="str">
        <f ca="1">IFERROR(__xludf.DUMMYFUNCTION("GOOGLETRANSLATE(English!H1106, ""en"", ""bg"")"),"помощ_за_домашно_задаване")</f>
        <v>помощ_за_домашно_задаване</v>
      </c>
    </row>
    <row r="1107" spans="1:8" ht="13.2" x14ac:dyDescent="0.25">
      <c r="A1107" s="1" t="str">
        <f ca="1">IFERROR(__xludf.DUMMYFUNCTION("GOOGLETRANSLATE(English!A1107, ""en"", ""bg"")"),"qa_09445")</f>
        <v>qa_09445</v>
      </c>
      <c r="B1107" s="1" t="str">
        <f ca="1">IFERROR(__xludf.DUMMYFUNCTION("GOOGLETRANSLATE(English!B1107, ""en"", ""bg"")"),"физика")</f>
        <v>физика</v>
      </c>
      <c r="C1107" s="1" t="str">
        <f ca="1">IFERROR(__xludf.DUMMYFUNCTION("GOOGLETRANSLATE(English!C1107, ""en"", ""bg"")"),"високо")</f>
        <v>високо</v>
      </c>
      <c r="D1107" s="1" t="str">
        <f ca="1">IFERROR(__xludf.DUMMYFUNCTION("GOOGLETRANSLATE(English!D1107, ""en"", ""bg"")"),"радиоактивност")</f>
        <v>радиоактивност</v>
      </c>
      <c r="E1107" s="1" t="str">
        <f ca="1">IFERROR(__xludf.DUMMYFUNCTION("GOOGLETRANSLATE(English!E1107, ""en"", ""bg"")"),"Можете ли да ми обясните какво е радиоактивност?")</f>
        <v>Можете ли да ми обясните какво е радиоактивност?</v>
      </c>
      <c r="F1107" s="1" t="str">
        <f ca="1">IFERROR(__xludf.DUMMYFUNCTION("GOOGLETRANSLATE(English!F1107,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1107" s="1" t="str">
        <f ca="1">IFERROR(__xludf.DUMMYFUNCTION("GOOGLETRANSLATE(English!G1107, ""en"", ""bg"")"),"direct_qa")</f>
        <v>direct_qa</v>
      </c>
      <c r="H1107" s="1" t="str">
        <f ca="1">IFERROR(__xludf.DUMMYFUNCTION("GOOGLETRANSLATE(English!H1107, ""en"", ""bg"")"),"заявка_за_знание")</f>
        <v>заявка_за_знание</v>
      </c>
    </row>
    <row r="1108" spans="1:8" ht="13.2" x14ac:dyDescent="0.25">
      <c r="A1108" s="1" t="str">
        <f ca="1">IFERROR(__xludf.DUMMYFUNCTION("GOOGLETRANSLATE(English!A1108, ""en"", ""bg"")"),"hw_01256")</f>
        <v>hw_01256</v>
      </c>
      <c r="B1108" s="1" t="str">
        <f ca="1">IFERROR(__xludf.DUMMYFUNCTION("GOOGLETRANSLATE(English!B1108, ""en"", ""bg"")"),"химия")</f>
        <v>химия</v>
      </c>
      <c r="C1108" s="1" t="str">
        <f ca="1">IFERROR(__xludf.DUMMYFUNCTION("GOOGLETRANSLATE(English!C1108, ""en"", ""bg"")"),"високо")</f>
        <v>високо</v>
      </c>
      <c r="D1108" s="1" t="str">
        <f ca="1">IFERROR(__xludf.DUMMYFUNCTION("GOOGLETRANSLATE(English!D1108, ""en"", ""bg"")"),"равновесие")</f>
        <v>равновесие</v>
      </c>
      <c r="E1108" s="1" t="str">
        <f ca="1">IFERROR(__xludf.DUMMYFUNCTION("GOOGLETRANSLATE(English!E1108, ""en"", ""bg"")"),"Можете ли да ми помогнете с изчисленията за равновесие?")</f>
        <v>Можете ли да ми помогнете с изчисленията за равновесие?</v>
      </c>
      <c r="F1108" s="1" t="str">
        <f ca="1">IFERROR(__xludf.DUMMYFUNCTION("GOOGLETRANSLATE(English!F1108,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108" s="1" t="str">
        <f ca="1">IFERROR(__xludf.DUMMYFUNCTION("GOOGLETRANSLATE(English!G1108, ""en"", ""bg"")"),"помощ_за_домашно_изпълнение")</f>
        <v>помощ_за_домашно_изпълнение</v>
      </c>
      <c r="H1108" s="1" t="str">
        <f ca="1">IFERROR(__xludf.DUMMYFUNCTION("GOOGLETRANSLATE(English!H1108, ""en"", ""bg"")"),"помощ_за_домашно_задаване")</f>
        <v>помощ_за_домашно_задаване</v>
      </c>
    </row>
    <row r="1109" spans="1:8" ht="13.2" x14ac:dyDescent="0.25">
      <c r="A1109" s="1" t="str">
        <f ca="1">IFERROR(__xludf.DUMMYFUNCTION("GOOGLETRANSLATE(English!A1109, ""en"", ""bg"")"),"hw_06138")</f>
        <v>hw_06138</v>
      </c>
      <c r="B1109" s="1" t="str">
        <f ca="1">IFERROR(__xludf.DUMMYFUNCTION("GOOGLETRANSLATE(English!B1109, ""en"", ""bg"")"),"физика")</f>
        <v>физика</v>
      </c>
      <c r="C1109" s="1" t="str">
        <f ca="1">IFERROR(__xludf.DUMMYFUNCTION("GOOGLETRANSLATE(English!C1109, ""en"", ""bg"")"),"елементарен")</f>
        <v>елементарен</v>
      </c>
      <c r="D1109" s="1" t="str">
        <f ca="1">IFERROR(__xludf.DUMMYFUNCTION("GOOGLETRANSLATE(English!D1109, ""en"", ""bg"")"),"звук")</f>
        <v>звук</v>
      </c>
      <c r="E1109" s="1" t="str">
        <f ca="1">IFERROR(__xludf.DUMMYFUNCTION("GOOGLETRANSLATE(English!E1109,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1109" s="1" t="str">
        <f ca="1">IFERROR(__xludf.DUMMYFUNCTION("GOOGLETRANSLATE(English!F1109,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109" s="1" t="str">
        <f ca="1">IFERROR(__xludf.DUMMYFUNCTION("GOOGLETRANSLATE(English!G1109, ""en"", ""bg"")"),"помощ_за_домашно_изпълнение")</f>
        <v>помощ_за_домашно_изпълнение</v>
      </c>
      <c r="H1109" s="1" t="str">
        <f ca="1">IFERROR(__xludf.DUMMYFUNCTION("GOOGLETRANSLATE(English!H1109, ""en"", ""bg"")"),"помощ_за_домашно_задаване")</f>
        <v>помощ_за_домашно_задаване</v>
      </c>
    </row>
    <row r="1110" spans="1:8" ht="13.2" x14ac:dyDescent="0.25">
      <c r="A1110" s="1" t="str">
        <f ca="1">IFERROR(__xludf.DUMMYFUNCTION("GOOGLETRANSLATE(English!A1110, ""en"", ""bg"")"),"conv_07965")</f>
        <v>conv_07965</v>
      </c>
      <c r="B1110" s="1" t="str">
        <f ca="1">IFERROR(__xludf.DUMMYFUNCTION("GOOGLETRANSLATE(English!B1110, ""en"", ""bg"")"),"физика")</f>
        <v>физика</v>
      </c>
      <c r="C1110" s="1" t="str">
        <f ca="1">IFERROR(__xludf.DUMMYFUNCTION("GOOGLETRANSLATE(English!C1110, ""en"", ""bg"")"),"високо")</f>
        <v>високо</v>
      </c>
      <c r="D1110" s="1" t="str">
        <f ca="1">IFERROR(__xludf.DUMMYFUNCTION("GOOGLETRANSLATE(English!D1110, ""en"", ""bg"")"),"радиоактивност")</f>
        <v>радиоактивност</v>
      </c>
      <c r="E1110" s="1" t="str">
        <f ca="1">IFERROR(__xludf.DUMMYFUNCTION("GOOGLETRANSLATE(English!E1110, ""en"", ""bg"")"),"Можете ли да ми помогнете? Какво трябва да знам за радиоактивността?")</f>
        <v>Можете ли да ми помогнете? Какво трябва да знам за радиоактивността?</v>
      </c>
      <c r="F1110" s="1" t="str">
        <f ca="1">IFERROR(__xludf.DUMMYFUNCTION("GOOGLETRANSLATE(English!F1110,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1110" s="1" t="str">
        <f ca="1">IFERROR(__xludf.DUMMYFUNCTION("GOOGLETRANSLATE(English!G1110, ""en"", ""bg"")"),"разговор")</f>
        <v>разговор</v>
      </c>
      <c r="H1110" s="1" t="str">
        <f ca="1">IFERROR(__xludf.DUMMYFUNCTION("GOOGLETRANSLATE(English!H1110, ""en"", ""bg"")"),"образователна_помощ")</f>
        <v>образователна_помощ</v>
      </c>
    </row>
    <row r="1111" spans="1:8" ht="13.2" x14ac:dyDescent="0.25">
      <c r="A1111" s="1" t="str">
        <f ca="1">IFERROR(__xludf.DUMMYFUNCTION("GOOGLETRANSLATE(English!A1111, ""en"", ""bg"")"),"qa_13836")</f>
        <v>qa_13836</v>
      </c>
      <c r="B1111" s="1" t="str">
        <f ca="1">IFERROR(__xludf.DUMMYFUNCTION("GOOGLETRANSLATE(English!B1111, ""en"", ""bg"")"),"биология")</f>
        <v>биология</v>
      </c>
      <c r="C1111" s="1" t="str">
        <f ca="1">IFERROR(__xludf.DUMMYFUNCTION("GOOGLETRANSLATE(English!C1111, ""en"", ""bg"")"),"средата")</f>
        <v>средата</v>
      </c>
      <c r="D1111" s="1" t="str">
        <f ca="1">IFERROR(__xludf.DUMMYFUNCTION("GOOGLETRANSLATE(English!D1111, ""en"", ""bg"")"),"основи на генетиката")</f>
        <v>основи на генетиката</v>
      </c>
      <c r="E1111" s="1" t="str">
        <f ca="1">IFERROR(__xludf.DUMMYFUNCTION("GOOGLETRANSLATE(English!E1111, ""en"", ""bg"")"),"Какво е важно да знаем за основите на генетиката?")</f>
        <v>Какво е важно да знаем за основите на генетиката?</v>
      </c>
      <c r="F1111" s="1" t="str">
        <f ca="1">IFERROR(__xludf.DUMMYFUNCTION("GOOGLETRANSLATE(English!F1111,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1111" s="1" t="str">
        <f ca="1">IFERROR(__xludf.DUMMYFUNCTION("GOOGLETRANSLATE(English!G1111, ""en"", ""bg"")"),"direct_qa")</f>
        <v>direct_qa</v>
      </c>
      <c r="H1111" s="1" t="str">
        <f ca="1">IFERROR(__xludf.DUMMYFUNCTION("GOOGLETRANSLATE(English!H1111, ""en"", ""bg"")"),"заявка_за_знание")</f>
        <v>заявка_за_знание</v>
      </c>
    </row>
    <row r="1112" spans="1:8" ht="13.2" x14ac:dyDescent="0.25">
      <c r="A1112" s="1" t="str">
        <f ca="1">IFERROR(__xludf.DUMMYFUNCTION("GOOGLETRANSLATE(English!A1112, ""en"", ""bg"")"),"conv_19387")</f>
        <v>conv_19387</v>
      </c>
      <c r="B1112" s="1" t="str">
        <f ca="1">IFERROR(__xludf.DUMMYFUNCTION("GOOGLETRANSLATE(English!B1112, ""en"", ""bg"")"),"биология")</f>
        <v>биология</v>
      </c>
      <c r="C1112" s="1" t="str">
        <f ca="1">IFERROR(__xludf.DUMMYFUNCTION("GOOGLETRANSLATE(English!C1112, ""en"", ""bg"")"),"високо")</f>
        <v>високо</v>
      </c>
      <c r="D1112" s="1" t="str">
        <f ca="1">IFERROR(__xludf.DUMMYFUNCTION("GOOGLETRANSLATE(English!D1112, ""en"", ""bg"")"),"молекулярна биология")</f>
        <v>молекулярна биология</v>
      </c>
      <c r="E1112" s="1" t="str">
        <f ca="1">IFERROR(__xludf.DUMMYFUNCTION("GOOGLETRANSLATE(English!E1112, ""en"", ""bg"")"),"Не разбирам тази тема. Можете ли да ми разкажете за молекулярната биология?")</f>
        <v>Не разбирам тази тема. Можете ли да ми разкажете за молекулярната биология?</v>
      </c>
      <c r="F1112" s="1" t="str">
        <f ca="1">IFERROR(__xludf.DUMMYFUNCTION("GOOGLETRANSLATE(English!F1112,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1112" s="1" t="str">
        <f ca="1">IFERROR(__xludf.DUMMYFUNCTION("GOOGLETRANSLATE(English!G1112, ""en"", ""bg"")"),"разговор")</f>
        <v>разговор</v>
      </c>
      <c r="H1112" s="1" t="str">
        <f ca="1">IFERROR(__xludf.DUMMYFUNCTION("GOOGLETRANSLATE(English!H1112, ""en"", ""bg"")"),"образователна_помощ")</f>
        <v>образователна_помощ</v>
      </c>
    </row>
    <row r="1113" spans="1:8" ht="13.2" x14ac:dyDescent="0.25">
      <c r="A1113" s="1" t="str">
        <f ca="1">IFERROR(__xludf.DUMMYFUNCTION("GOOGLETRANSLATE(English!A1113, ""en"", ""bg"")"),"qa_12083")</f>
        <v>qa_12083</v>
      </c>
      <c r="B1113" s="1" t="str">
        <f ca="1">IFERROR(__xludf.DUMMYFUNCTION("GOOGLETRANSLATE(English!B1113, ""en"", ""bg"")"),"биология")</f>
        <v>биология</v>
      </c>
      <c r="C1113" s="1" t="str">
        <f ca="1">IFERROR(__xludf.DUMMYFUNCTION("GOOGLETRANSLATE(English!C1113, ""en"", ""bg"")"),"елементарен")</f>
        <v>елементарен</v>
      </c>
      <c r="D1113" s="1" t="str">
        <f ca="1">IFERROR(__xludf.DUMMYFUNCTION("GOOGLETRANSLATE(English!D1113, ""en"", ""bg"")"),"човешкото тяло")</f>
        <v>човешкото тяло</v>
      </c>
      <c r="E1113" s="1" t="str">
        <f ca="1">IFERROR(__xludf.DUMMYFUNCTION("GOOGLETRANSLATE(English!E1113, ""en"", ""bg"")"),"Как работи човешкото тяло?")</f>
        <v>Как работи човешкото тяло?</v>
      </c>
      <c r="F1113" s="1" t="str">
        <f ca="1">IFERROR(__xludf.DUMMYFUNCTION("GOOGLETRANSLATE(English!F1113,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1113" s="1" t="str">
        <f ca="1">IFERROR(__xludf.DUMMYFUNCTION("GOOGLETRANSLATE(English!G1113, ""en"", ""bg"")"),"direct_qa")</f>
        <v>direct_qa</v>
      </c>
      <c r="H1113" s="1" t="str">
        <f ca="1">IFERROR(__xludf.DUMMYFUNCTION("GOOGLETRANSLATE(English!H1113, ""en"", ""bg"")"),"заявка_за_знание")</f>
        <v>заявка_за_знание</v>
      </c>
    </row>
    <row r="1114" spans="1:8" ht="13.2" x14ac:dyDescent="0.25">
      <c r="A1114" s="1" t="str">
        <f ca="1">IFERROR(__xludf.DUMMYFUNCTION("GOOGLETRANSLATE(English!A1114, ""en"", ""bg"")"),"conv_19029")</f>
        <v>conv_19029</v>
      </c>
      <c r="B1114" s="1" t="str">
        <f ca="1">IFERROR(__xludf.DUMMYFUNCTION("GOOGLETRANSLATE(English!B1114, ""en"", ""bg"")"),"химия")</f>
        <v>химия</v>
      </c>
      <c r="C1114" s="1" t="str">
        <f ca="1">IFERROR(__xludf.DUMMYFUNCTION("GOOGLETRANSLATE(English!C1114, ""en"", ""bg"")"),"средата")</f>
        <v>средата</v>
      </c>
      <c r="D1114" s="1" t="str">
        <f ca="1">IFERROR(__xludf.DUMMYFUNCTION("GOOGLETRANSLATE(English!D1114, ""en"", ""bg"")"),"атоми и молекули")</f>
        <v>атоми и молекули</v>
      </c>
      <c r="E1114" s="1" t="str">
        <f ca="1">IFERROR(__xludf.DUMMYFUNCTION("GOOGLETRANSLATE(English!E1114, ""en"", ""bg"")"),"Имам научен въпрос. Коя е най-малката част от един елемент?")</f>
        <v>Имам научен въпрос. Коя е най-малката част от един елемент?</v>
      </c>
      <c r="F1114" s="1" t="str">
        <f ca="1">IFERROR(__xludf.DUMMYFUNCTION("GOOGLETRANSLATE(English!F1114,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1114" s="1" t="str">
        <f ca="1">IFERROR(__xludf.DUMMYFUNCTION("GOOGLETRANSLATE(English!G1114, ""en"", ""bg"")"),"разговор")</f>
        <v>разговор</v>
      </c>
      <c r="H1114" s="1" t="str">
        <f ca="1">IFERROR(__xludf.DUMMYFUNCTION("GOOGLETRANSLATE(English!H1114, ""en"", ""bg"")"),"образователна_помощ")</f>
        <v>образователна_помощ</v>
      </c>
    </row>
    <row r="1115" spans="1:8" ht="13.2" x14ac:dyDescent="0.25">
      <c r="A1115" s="1" t="str">
        <f ca="1">IFERROR(__xludf.DUMMYFUNCTION("GOOGLETRANSLATE(English!A1115, ""en"", ""bg"")"),"qa_06048")</f>
        <v>qa_06048</v>
      </c>
      <c r="B1115" s="1" t="str">
        <f ca="1">IFERROR(__xludf.DUMMYFUNCTION("GOOGLETRANSLATE(English!B1115, ""en"", ""bg"")"),"биология")</f>
        <v>биология</v>
      </c>
      <c r="C1115" s="1" t="str">
        <f ca="1">IFERROR(__xludf.DUMMYFUNCTION("GOOGLETRANSLATE(English!C1115, ""en"", ""bg"")"),"средата")</f>
        <v>средата</v>
      </c>
      <c r="D1115" s="1" t="str">
        <f ca="1">IFERROR(__xludf.DUMMYFUNCTION("GOOGLETRANSLATE(English!D1115, ""en"", ""bg"")"),"основи на генетиката")</f>
        <v>основи на генетиката</v>
      </c>
      <c r="E1115" s="1" t="str">
        <f ca="1">IFERROR(__xludf.DUMMYFUNCTION("GOOGLETRANSLATE(English!E1115, ""en"", ""bg"")"),"Можете ли да ми разкажете за основите на генетиката?")</f>
        <v>Можете ли да ми разкажете за основите на генетиката?</v>
      </c>
      <c r="F1115" s="1" t="str">
        <f ca="1">IFERROR(__xludf.DUMMYFUNCTION("GOOGLETRANSLATE(English!F1115,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1115" s="1" t="str">
        <f ca="1">IFERROR(__xludf.DUMMYFUNCTION("GOOGLETRANSLATE(English!G1115, ""en"", ""bg"")"),"direct_qa")</f>
        <v>direct_qa</v>
      </c>
      <c r="H1115" s="1" t="str">
        <f ca="1">IFERROR(__xludf.DUMMYFUNCTION("GOOGLETRANSLATE(English!H1115, ""en"", ""bg"")"),"заявка_за_знание")</f>
        <v>заявка_за_знание</v>
      </c>
    </row>
    <row r="1116" spans="1:8" ht="13.2" x14ac:dyDescent="0.25">
      <c r="A1116" s="1" t="str">
        <f ca="1">IFERROR(__xludf.DUMMYFUNCTION("GOOGLETRANSLATE(English!A1116, ""en"", ""bg"")"),"conv_03870")</f>
        <v>conv_03870</v>
      </c>
      <c r="B1116" s="1" t="str">
        <f ca="1">IFERROR(__xludf.DUMMYFUNCTION("GOOGLETRANSLATE(English!B1116, ""en"", ""bg"")"),"физика")</f>
        <v>физика</v>
      </c>
      <c r="C1116" s="1" t="str">
        <f ca="1">IFERROR(__xludf.DUMMYFUNCTION("GOOGLETRANSLATE(English!C1116, ""en"", ""bg"")"),"средата")</f>
        <v>средата</v>
      </c>
      <c r="D1116" s="1" t="str">
        <f ca="1">IFERROR(__xludf.DUMMYFUNCTION("GOOGLETRANSLATE(English!D1116, ""en"", ""bg"")"),"прости схеми")</f>
        <v>прости схеми</v>
      </c>
      <c r="E1116" s="1" t="str">
        <f ca="1">IFERROR(__xludf.DUMMYFUNCTION("GOOGLETRANSLATE(English!E1116, ""en"", ""bg"")"),"Имам нужда от помощ с домашното си. Как работят прости електрически вериги във физиката?")</f>
        <v>Имам нужда от помощ с домашното си. Как работят прости електрически вериги във физиката?</v>
      </c>
      <c r="F1116" s="1" t="str">
        <f ca="1">IFERROR(__xludf.DUMMYFUNCTION("GOOGLETRANSLATE(English!F1116,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1116" s="1" t="str">
        <f ca="1">IFERROR(__xludf.DUMMYFUNCTION("GOOGLETRANSLATE(English!G1116, ""en"", ""bg"")"),"разговор")</f>
        <v>разговор</v>
      </c>
      <c r="H1116" s="1" t="str">
        <f ca="1">IFERROR(__xludf.DUMMYFUNCTION("GOOGLETRANSLATE(English!H1116, ""en"", ""bg"")"),"образователна_помощ")</f>
        <v>образователна_помощ</v>
      </c>
    </row>
    <row r="1117" spans="1:8" ht="13.2" x14ac:dyDescent="0.25">
      <c r="A1117" s="1" t="str">
        <f ca="1">IFERROR(__xludf.DUMMYFUNCTION("GOOGLETRANSLATE(English!A1117, ""en"", ""bg"")"),"conv_17454")</f>
        <v>conv_17454</v>
      </c>
      <c r="B1117" s="1" t="str">
        <f ca="1">IFERROR(__xludf.DUMMYFUNCTION("GOOGLETRANSLATE(English!B1117, ""en"", ""bg"")"),"химия")</f>
        <v>химия</v>
      </c>
      <c r="C1117" s="1" t="str">
        <f ca="1">IFERROR(__xludf.DUMMYFUNCTION("GOOGLETRANSLATE(English!C1117, ""en"", ""bg"")"),"високо")</f>
        <v>високо</v>
      </c>
      <c r="D1117" s="1" t="str">
        <f ca="1">IFERROR(__xludf.DUMMYFUNCTION("GOOGLETRANSLATE(English!D1117, ""en"", ""bg"")"),"химическо свързване")</f>
        <v>химическо свързване</v>
      </c>
      <c r="E1117" s="1" t="str">
        <f ca="1">IFERROR(__xludf.DUMMYFUNCTION("GOOGLETRANSLATE(English!E1117, ""en"", ""bg"")"),"Помогнете ми да уча за теста. Можете ли да ми помогнете да разбера химичните връзки?")</f>
        <v>Помогнете ми да уча за теста. Можете ли да ми помогнете да разбера химичните връзки?</v>
      </c>
      <c r="F1117" s="1" t="str">
        <f ca="1">IFERROR(__xludf.DUMMYFUNCTION("GOOGLETRANSLATE(English!F1117,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1117" s="1" t="str">
        <f ca="1">IFERROR(__xludf.DUMMYFUNCTION("GOOGLETRANSLATE(English!G1117, ""en"", ""bg"")"),"разговор")</f>
        <v>разговор</v>
      </c>
      <c r="H1117" s="1" t="str">
        <f ca="1">IFERROR(__xludf.DUMMYFUNCTION("GOOGLETRANSLATE(English!H1117, ""en"", ""bg"")"),"образователна_помощ")</f>
        <v>образователна_помощ</v>
      </c>
    </row>
    <row r="1118" spans="1:8" ht="13.2" x14ac:dyDescent="0.25">
      <c r="A1118" s="1" t="str">
        <f ca="1">IFERROR(__xludf.DUMMYFUNCTION("GOOGLETRANSLATE(English!A1118, ""en"", ""bg"")"),"conv_19686")</f>
        <v>conv_19686</v>
      </c>
      <c r="B1118" s="1" t="str">
        <f ca="1">IFERROR(__xludf.DUMMYFUNCTION("GOOGLETRANSLATE(English!B1118, ""en"", ""bg"")"),"биология")</f>
        <v>биология</v>
      </c>
      <c r="C1118" s="1" t="str">
        <f ca="1">IFERROR(__xludf.DUMMYFUNCTION("GOOGLETRANSLATE(English!C1118, ""en"", ""bg"")"),"високо")</f>
        <v>високо</v>
      </c>
      <c r="D1118" s="1" t="str">
        <f ca="1">IFERROR(__xludf.DUMMYFUNCTION("GOOGLETRANSLATE(English!D1118, ""en"", ""bg"")"),"синтез на протеини")</f>
        <v>синтез на протеини</v>
      </c>
      <c r="E1118" s="1" t="str">
        <f ca="1">IFERROR(__xludf.DUMMYFUNCTION("GOOGLETRANSLATE(English!E1118, ""en"", ""bg"")"),"Имам научен въпрос. Можете ли да ми разкажете за синтеза на протеини?")</f>
        <v>Имам научен въпрос. Можете ли да ми разкажете за синтеза на протеини?</v>
      </c>
      <c r="F1118" s="1" t="str">
        <f ca="1">IFERROR(__xludf.DUMMYFUNCTION("GOOGLETRANSLATE(English!F1118,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1118" s="1" t="str">
        <f ca="1">IFERROR(__xludf.DUMMYFUNCTION("GOOGLETRANSLATE(English!G1118, ""en"", ""bg"")"),"разговор")</f>
        <v>разговор</v>
      </c>
      <c r="H1118" s="1" t="str">
        <f ca="1">IFERROR(__xludf.DUMMYFUNCTION("GOOGLETRANSLATE(English!H1118, ""en"", ""bg"")"),"образователна_помощ")</f>
        <v>образователна_помощ</v>
      </c>
    </row>
    <row r="1119" spans="1:8" ht="13.2" x14ac:dyDescent="0.25">
      <c r="A1119" s="1" t="str">
        <f ca="1">IFERROR(__xludf.DUMMYFUNCTION("GOOGLETRANSLATE(English!A1119, ""en"", ""bg"")"),"hw_10058")</f>
        <v>hw_10058</v>
      </c>
      <c r="B1119" s="1" t="str">
        <f ca="1">IFERROR(__xludf.DUMMYFUNCTION("GOOGLETRANSLATE(English!B1119, ""en"", ""bg"")"),"биология")</f>
        <v>биология</v>
      </c>
      <c r="C1119" s="1" t="str">
        <f ca="1">IFERROR(__xludf.DUMMYFUNCTION("GOOGLETRANSLATE(English!C1119, ""en"", ""bg"")"),"високо")</f>
        <v>високо</v>
      </c>
      <c r="D1119" s="1" t="str">
        <f ca="1">IFERROR(__xludf.DUMMYFUNCTION("GOOGLETRANSLATE(English!D1119, ""en"", ""bg"")"),"митоза и мейоза")</f>
        <v>митоза и мейоза</v>
      </c>
      <c r="E1119" s="1" t="str">
        <f ca="1">IFERROR(__xludf.DUMMYFUNCTION("GOOGLETRANSLATE(English!E1119, ""en"", ""bg"")"),"Трябва да напиша доклад за митозата и мейозата. Можете ли да ми помогнете да започна?")</f>
        <v>Трябва да напиша доклад за митозата и мейозата. Можете ли да ми помогнете да започна?</v>
      </c>
      <c r="F1119" s="1" t="str">
        <f ca="1">IFERROR(__xludf.DUMMYFUNCTION("GOOGLETRANSLATE(English!F1119,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119" s="1" t="str">
        <f ca="1">IFERROR(__xludf.DUMMYFUNCTION("GOOGLETRANSLATE(English!G1119, ""en"", ""bg"")"),"помощ_за_домашно_изпълнение")</f>
        <v>помощ_за_домашно_изпълнение</v>
      </c>
      <c r="H1119" s="1" t="str">
        <f ca="1">IFERROR(__xludf.DUMMYFUNCTION("GOOGLETRANSLATE(English!H1119, ""en"", ""bg"")"),"помощ_за_домашно_задаване")</f>
        <v>помощ_за_домашно_задаване</v>
      </c>
    </row>
    <row r="1120" spans="1:8" ht="13.2" x14ac:dyDescent="0.25">
      <c r="A1120" s="1" t="str">
        <f ca="1">IFERROR(__xludf.DUMMYFUNCTION("GOOGLETRANSLATE(English!A1120, ""en"", ""bg"")"),"qa_10005")</f>
        <v>qa_10005</v>
      </c>
      <c r="B1120" s="1" t="str">
        <f ca="1">IFERROR(__xludf.DUMMYFUNCTION("GOOGLETRANSLATE(English!B1120, ""en"", ""bg"")"),"химия")</f>
        <v>химия</v>
      </c>
      <c r="C1120" s="1" t="str">
        <f ca="1">IFERROR(__xludf.DUMMYFUNCTION("GOOGLETRANSLATE(English!C1120, ""en"", ""bg"")"),"средата")</f>
        <v>средата</v>
      </c>
      <c r="D1120" s="1" t="str">
        <f ca="1">IFERROR(__xludf.DUMMYFUNCTION("GOOGLETRANSLATE(English!D1120, ""en"", ""bg"")"),"химични реакции")</f>
        <v>химични реакции</v>
      </c>
      <c r="E1120" s="1" t="str">
        <f ca="1">IFERROR(__xludf.DUMMYFUNCTION("GOOGLETRANSLATE(English!E1120, ""en"", ""bg"")"),"Как да разберете дали е възникнала химическа реакция?")</f>
        <v>Как да разберете дали е възникнала химическа реакция?</v>
      </c>
      <c r="F1120" s="1" t="str">
        <f ca="1">IFERROR(__xludf.DUMMYFUNCTION("GOOGLETRANSLATE(English!F1120,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120" s="1" t="str">
        <f ca="1">IFERROR(__xludf.DUMMYFUNCTION("GOOGLETRANSLATE(English!G1120, ""en"", ""bg"")"),"direct_qa")</f>
        <v>direct_qa</v>
      </c>
      <c r="H1120" s="1" t="str">
        <f ca="1">IFERROR(__xludf.DUMMYFUNCTION("GOOGLETRANSLATE(English!H1120, ""en"", ""bg"")"),"заявка_за_знание")</f>
        <v>заявка_за_знание</v>
      </c>
    </row>
    <row r="1121" spans="1:8" ht="13.2" x14ac:dyDescent="0.25">
      <c r="A1121" s="1" t="str">
        <f ca="1">IFERROR(__xludf.DUMMYFUNCTION("GOOGLETRANSLATE(English!A1121, ""en"", ""bg"")"),"qa_13903")</f>
        <v>qa_13903</v>
      </c>
      <c r="B1121" s="1" t="str">
        <f ca="1">IFERROR(__xludf.DUMMYFUNCTION("GOOGLETRANSLATE(English!B1121, ""en"", ""bg"")"),"физика")</f>
        <v>физика</v>
      </c>
      <c r="C1121" s="1" t="str">
        <f ca="1">IFERROR(__xludf.DUMMYFUNCTION("GOOGLETRANSLATE(English!C1121, ""en"", ""bg"")"),"високо")</f>
        <v>високо</v>
      </c>
      <c r="D1121" s="1" t="str">
        <f ca="1">IFERROR(__xludf.DUMMYFUNCTION("GOOGLETRANSLATE(English!D1121, ""en"", ""bg"")"),"електромагнетизъм")</f>
        <v>електромагнетизъм</v>
      </c>
      <c r="E1121" s="1" t="str">
        <f ca="1">IFERROR(__xludf.DUMMYFUNCTION("GOOGLETRANSLATE(English!E1121, ""en"", ""bg"")"),"Как работи електромагнетизмът във физиката?")</f>
        <v>Как работи електромагнетизмът във физиката?</v>
      </c>
      <c r="F1121" s="1" t="str">
        <f ca="1">IFERROR(__xludf.DUMMYFUNCTION("GOOGLETRANSLATE(English!F1121,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1121" s="1" t="str">
        <f ca="1">IFERROR(__xludf.DUMMYFUNCTION("GOOGLETRANSLATE(English!G1121, ""en"", ""bg"")"),"direct_qa")</f>
        <v>direct_qa</v>
      </c>
      <c r="H1121" s="1" t="str">
        <f ca="1">IFERROR(__xludf.DUMMYFUNCTION("GOOGLETRANSLATE(English!H1121, ""en"", ""bg"")"),"заявка_за_знание")</f>
        <v>заявка_за_знание</v>
      </c>
    </row>
    <row r="1122" spans="1:8" ht="13.2" x14ac:dyDescent="0.25">
      <c r="A1122" s="1" t="str">
        <f ca="1">IFERROR(__xludf.DUMMYFUNCTION("GOOGLETRANSLATE(English!A1122, ""en"", ""bg"")"),"conv_00523")</f>
        <v>conv_00523</v>
      </c>
      <c r="B1122" s="1" t="str">
        <f ca="1">IFERROR(__xludf.DUMMYFUNCTION("GOOGLETRANSLATE(English!B1122, ""en"", ""bg"")"),"биология")</f>
        <v>биология</v>
      </c>
      <c r="C1122" s="1" t="str">
        <f ca="1">IFERROR(__xludf.DUMMYFUNCTION("GOOGLETRANSLATE(English!C1122, ""en"", ""bg"")"),"елементарен")</f>
        <v>елементарен</v>
      </c>
      <c r="D1122" s="1" t="str">
        <f ca="1">IFERROR(__xludf.DUMMYFUNCTION("GOOGLETRANSLATE(English!D1122, ""en"", ""bg"")"),"основни нужди")</f>
        <v>основни нужди</v>
      </c>
      <c r="E1122" s="1" t="str">
        <f ca="1">IFERROR(__xludf.DUMMYFUNCTION("GOOGLETRANSLATE(English!E1122, ""en"", ""bg"")"),"Можете ли да ми помогнете? Как работят основните потребности?")</f>
        <v>Можете ли да ми помогнете? Как работят основните потребности?</v>
      </c>
      <c r="F1122" s="1" t="str">
        <f ca="1">IFERROR(__xludf.DUMMYFUNCTION("GOOGLETRANSLATE(English!F1122,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1122" s="1" t="str">
        <f ca="1">IFERROR(__xludf.DUMMYFUNCTION("GOOGLETRANSLATE(English!G1122, ""en"", ""bg"")"),"разговор")</f>
        <v>разговор</v>
      </c>
      <c r="H1122" s="1" t="str">
        <f ca="1">IFERROR(__xludf.DUMMYFUNCTION("GOOGLETRANSLATE(English!H1122, ""en"", ""bg"")"),"образователна_помощ")</f>
        <v>образователна_помощ</v>
      </c>
    </row>
    <row r="1123" spans="1:8" ht="13.2" x14ac:dyDescent="0.25">
      <c r="A1123" s="1" t="str">
        <f ca="1">IFERROR(__xludf.DUMMYFUNCTION("GOOGLETRANSLATE(English!A1123, ""en"", ""bg"")"),"qa_08580")</f>
        <v>qa_08580</v>
      </c>
      <c r="B1123" s="1" t="str">
        <f ca="1">IFERROR(__xludf.DUMMYFUNCTION("GOOGLETRANSLATE(English!B1123, ""en"", ""bg"")"),"биология")</f>
        <v>биология</v>
      </c>
      <c r="C1123" s="1" t="str">
        <f ca="1">IFERROR(__xludf.DUMMYFUNCTION("GOOGLETRANSLATE(English!C1123, ""en"", ""bg"")"),"елементарен")</f>
        <v>елементарен</v>
      </c>
      <c r="D1123" s="1" t="str">
        <f ca="1">IFERROR(__xludf.DUMMYFUNCTION("GOOGLETRANSLATE(English!D1123, ""en"", ""bg"")"),"сетива")</f>
        <v>сетива</v>
      </c>
      <c r="E1123" s="1" t="str">
        <f ca="1">IFERROR(__xludf.DUMMYFUNCTION("GOOGLETRANSLATE(English!E1123, ""en"", ""bg"")"),"Какво е важно да знаем за сетивата?")</f>
        <v>Какво е важно да знаем за сетивата?</v>
      </c>
      <c r="F1123" s="1" t="str">
        <f ca="1">IFERROR(__xludf.DUMMYFUNCTION("GOOGLETRANSLATE(English!F1123,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1123" s="1" t="str">
        <f ca="1">IFERROR(__xludf.DUMMYFUNCTION("GOOGLETRANSLATE(English!G1123, ""en"", ""bg"")"),"direct_qa")</f>
        <v>direct_qa</v>
      </c>
      <c r="H1123" s="1" t="str">
        <f ca="1">IFERROR(__xludf.DUMMYFUNCTION("GOOGLETRANSLATE(English!H1123, ""en"", ""bg"")"),"заявка_за_знание")</f>
        <v>заявка_за_знание</v>
      </c>
    </row>
    <row r="1124" spans="1:8" ht="13.2" x14ac:dyDescent="0.25">
      <c r="A1124" s="1" t="str">
        <f ca="1">IFERROR(__xludf.DUMMYFUNCTION("GOOGLETRANSLATE(English!A1124, ""en"", ""bg"")"),"qa_01826")</f>
        <v>qa_01826</v>
      </c>
      <c r="B1124" s="1" t="str">
        <f ca="1">IFERROR(__xludf.DUMMYFUNCTION("GOOGLETRANSLATE(English!B1124, ""en"", ""bg"")"),"физика")</f>
        <v>физика</v>
      </c>
      <c r="C1124" s="1" t="str">
        <f ca="1">IFERROR(__xludf.DUMMYFUNCTION("GOOGLETRANSLATE(English!C1124, ""en"", ""bg"")"),"елементарен")</f>
        <v>елементарен</v>
      </c>
      <c r="D1124" s="1" t="str">
        <f ca="1">IFERROR(__xludf.DUMMYFUNCTION("GOOGLETRANSLATE(English!D1124, ""en"", ""bg"")"),"плаващ и потъващ")</f>
        <v>плаващ и потъващ</v>
      </c>
      <c r="E1124" s="1" t="str">
        <f ca="1">IFERROR(__xludf.DUMMYFUNCTION("GOOGLETRANSLATE(English!E1124, ""en"", ""bg"")"),"Можете ли да ми обясните какво е плаване и потъване?")</f>
        <v>Можете ли да ми обясните какво е плаване и потъване?</v>
      </c>
      <c r="F1124" s="1" t="str">
        <f ca="1">IFERROR(__xludf.DUMMYFUNCTION("GOOGLETRANSLATE(English!F1124,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1124" s="1" t="str">
        <f ca="1">IFERROR(__xludf.DUMMYFUNCTION("GOOGLETRANSLATE(English!G1124, ""en"", ""bg"")"),"direct_qa")</f>
        <v>direct_qa</v>
      </c>
      <c r="H1124" s="1" t="str">
        <f ca="1">IFERROR(__xludf.DUMMYFUNCTION("GOOGLETRANSLATE(English!H1124, ""en"", ""bg"")"),"заявка_за_знание")</f>
        <v>заявка_за_знание</v>
      </c>
    </row>
    <row r="1125" spans="1:8" ht="13.2" x14ac:dyDescent="0.25">
      <c r="A1125" s="1" t="str">
        <f ca="1">IFERROR(__xludf.DUMMYFUNCTION("GOOGLETRANSLATE(English!A1125, ""en"", ""bg"")"),"qa_12409")</f>
        <v>qa_12409</v>
      </c>
      <c r="B1125" s="1" t="str">
        <f ca="1">IFERROR(__xludf.DUMMYFUNCTION("GOOGLETRANSLATE(English!B1125, ""en"", ""bg"")"),"физика")</f>
        <v>физика</v>
      </c>
      <c r="C1125" s="1" t="str">
        <f ca="1">IFERROR(__xludf.DUMMYFUNCTION("GOOGLETRANSLATE(English!C1125, ""en"", ""bg"")"),"средата")</f>
        <v>средата</v>
      </c>
      <c r="D1125" s="1" t="str">
        <f ca="1">IFERROR(__xludf.DUMMYFUNCTION("GOOGLETRANSLATE(English!D1125, ""en"", ""bg"")"),"плътност")</f>
        <v>плътност</v>
      </c>
      <c r="E1125" s="1" t="str">
        <f ca="1">IFERROR(__xludf.DUMMYFUNCTION("GOOGLETRANSLATE(English!E1125, ""en"", ""bg"")"),"Как работи плътността във физиката?")</f>
        <v>Как работи плътността във физиката?</v>
      </c>
      <c r="F1125" s="1" t="str">
        <f ca="1">IFERROR(__xludf.DUMMYFUNCTION("GOOGLETRANSLATE(English!F1125,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1125" s="1" t="str">
        <f ca="1">IFERROR(__xludf.DUMMYFUNCTION("GOOGLETRANSLATE(English!G1125, ""en"", ""bg"")"),"direct_qa")</f>
        <v>direct_qa</v>
      </c>
      <c r="H1125" s="1" t="str">
        <f ca="1">IFERROR(__xludf.DUMMYFUNCTION("GOOGLETRANSLATE(English!H1125, ""en"", ""bg"")"),"заявка_за_знание")</f>
        <v>заявка_за_знание</v>
      </c>
    </row>
    <row r="1126" spans="1:8" ht="13.2" x14ac:dyDescent="0.25">
      <c r="A1126" s="1" t="str">
        <f ca="1">IFERROR(__xludf.DUMMYFUNCTION("GOOGLETRANSLATE(English!A1126, ""en"", ""bg"")"),"hw_07319")</f>
        <v>hw_07319</v>
      </c>
      <c r="B1126" s="1" t="str">
        <f ca="1">IFERROR(__xludf.DUMMYFUNCTION("GOOGLETRANSLATE(English!B1126, ""en"", ""bg"")"),"биология")</f>
        <v>биология</v>
      </c>
      <c r="C1126" s="1" t="str">
        <f ca="1">IFERROR(__xludf.DUMMYFUNCTION("GOOGLETRANSLATE(English!C1126, ""en"", ""bg"")"),"високо")</f>
        <v>високо</v>
      </c>
      <c r="D1126" s="1" t="str">
        <f ca="1">IFERROR(__xludf.DUMMYFUNCTION("GOOGLETRANSLATE(English!D1126, ""en"", ""bg"")"),"митоза и мейоза")</f>
        <v>митоза и мейоза</v>
      </c>
      <c r="E1126" s="1" t="str">
        <f ca="1">IFERROR(__xludf.DUMMYFUNCTION("GOOGLETRANSLATE(English!E1126, ""en"", ""bg"")"),"Домашното ми пита за митоза и мейоза. Не го разбирам.")</f>
        <v>Домашното ми пита за митоза и мейоза. Не го разбирам.</v>
      </c>
      <c r="F1126" s="1" t="str">
        <f ca="1">IFERROR(__xludf.DUMMYFUNCTION("GOOGLETRANSLATE(English!F1126,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126" s="1" t="str">
        <f ca="1">IFERROR(__xludf.DUMMYFUNCTION("GOOGLETRANSLATE(English!G1126, ""en"", ""bg"")"),"помощ_за_домашно_изпълнение")</f>
        <v>помощ_за_домашно_изпълнение</v>
      </c>
      <c r="H1126" s="1" t="str">
        <f ca="1">IFERROR(__xludf.DUMMYFUNCTION("GOOGLETRANSLATE(English!H1126, ""en"", ""bg"")"),"помощ_за_домашно_задаване")</f>
        <v>помощ_за_домашно_задаване</v>
      </c>
    </row>
    <row r="1127" spans="1:8" ht="13.2" x14ac:dyDescent="0.25">
      <c r="A1127" s="1" t="str">
        <f ca="1">IFERROR(__xludf.DUMMYFUNCTION("GOOGLETRANSLATE(English!A1127, ""en"", ""bg"")"),"qa_00984")</f>
        <v>qa_00984</v>
      </c>
      <c r="B1127" s="1" t="str">
        <f ca="1">IFERROR(__xludf.DUMMYFUNCTION("GOOGLETRANSLATE(English!B1127, ""en"", ""bg"")"),"химия")</f>
        <v>химия</v>
      </c>
      <c r="C1127" s="1" t="str">
        <f ca="1">IFERROR(__xludf.DUMMYFUNCTION("GOOGLETRANSLATE(English!C1127, ""en"", ""bg"")"),"високо")</f>
        <v>високо</v>
      </c>
      <c r="D1127" s="1" t="str">
        <f ca="1">IFERROR(__xludf.DUMMYFUNCTION("GOOGLETRANSLATE(English!D1127, ""en"", ""bg"")"),"скорости на реакция")</f>
        <v>скорости на реакция</v>
      </c>
      <c r="E1127" s="1" t="str">
        <f ca="1">IFERROR(__xludf.DUMMYFUNCTION("GOOGLETRANSLATE(English!E1127, ""en"", ""bg"")"),"Какво представляват скоростите на реакция?")</f>
        <v>Какво представляват скоростите на реакция?</v>
      </c>
      <c r="F1127" s="1" t="str">
        <f ca="1">IFERROR(__xludf.DUMMYFUNCTION("GOOGLETRANSLATE(English!F1127,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1127" s="1" t="str">
        <f ca="1">IFERROR(__xludf.DUMMYFUNCTION("GOOGLETRANSLATE(English!G1127, ""en"", ""bg"")"),"direct_qa")</f>
        <v>direct_qa</v>
      </c>
      <c r="H1127" s="1" t="str">
        <f ca="1">IFERROR(__xludf.DUMMYFUNCTION("GOOGLETRANSLATE(English!H1127, ""en"", ""bg"")"),"заявка_за_знание")</f>
        <v>заявка_за_знание</v>
      </c>
    </row>
    <row r="1128" spans="1:8" ht="13.2" x14ac:dyDescent="0.25">
      <c r="A1128" s="1" t="str">
        <f ca="1">IFERROR(__xludf.DUMMYFUNCTION("GOOGLETRANSLATE(English!A1128, ""en"", ""bg"")"),"hw_08198")</f>
        <v>hw_08198</v>
      </c>
      <c r="B1128" s="1" t="str">
        <f ca="1">IFERROR(__xludf.DUMMYFUNCTION("GOOGLETRANSLATE(English!B1128, ""en"", ""bg"")"),"физика")</f>
        <v>физика</v>
      </c>
      <c r="C1128" s="1" t="str">
        <f ca="1">IFERROR(__xludf.DUMMYFUNCTION("GOOGLETRANSLATE(English!C1128, ""en"", ""bg"")"),"високо")</f>
        <v>високо</v>
      </c>
      <c r="D1128" s="1" t="str">
        <f ca="1">IFERROR(__xludf.DUMMYFUNCTION("GOOGLETRANSLATE(English!D1128, ""en"", ""bg"")"),"оптика")</f>
        <v>оптика</v>
      </c>
      <c r="E1128" s="1" t="str">
        <f ca="1">IFERROR(__xludf.DUMMYFUNCTION("GOOGLETRANSLATE(English!E1128, ""en"", ""bg"")"),"Трябва да разбирам оптиката за изпита си.")</f>
        <v>Трябва да разбирам оптиката за изпита си.</v>
      </c>
      <c r="F1128" s="1" t="str">
        <f ca="1">IFERROR(__xludf.DUMMYFUNCTION("GOOGLETRANSLATE(English!F1128,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1128" s="1" t="str">
        <f ca="1">IFERROR(__xludf.DUMMYFUNCTION("GOOGLETRANSLATE(English!G1128, ""en"", ""bg"")"),"помощ_за_домашно_изпълнение")</f>
        <v>помощ_за_домашно_изпълнение</v>
      </c>
      <c r="H1128" s="1" t="str">
        <f ca="1">IFERROR(__xludf.DUMMYFUNCTION("GOOGLETRANSLATE(English!H1128, ""en"", ""bg"")"),"помощ_за_домашно_задаване")</f>
        <v>помощ_за_домашно_задаване</v>
      </c>
    </row>
    <row r="1129" spans="1:8" ht="13.2" x14ac:dyDescent="0.25">
      <c r="A1129" s="1" t="str">
        <f ca="1">IFERROR(__xludf.DUMMYFUNCTION("GOOGLETRANSLATE(English!A1129, ""en"", ""bg"")"),"hw_10694")</f>
        <v>hw_10694</v>
      </c>
      <c r="B1129" s="1" t="str">
        <f ca="1">IFERROR(__xludf.DUMMYFUNCTION("GOOGLETRANSLATE(English!B1129, ""en"", ""bg"")"),"химия")</f>
        <v>химия</v>
      </c>
      <c r="C1129" s="1" t="str">
        <f ca="1">IFERROR(__xludf.DUMMYFUNCTION("GOOGLETRANSLATE(English!C1129, ""en"", ""bg"")"),"високо")</f>
        <v>високо</v>
      </c>
      <c r="D1129" s="1" t="str">
        <f ca="1">IFERROR(__xludf.DUMMYFUNCTION("GOOGLETRANSLATE(English!D1129, ""en"", ""bg"")"),"химическо свързване")</f>
        <v>химическо свързване</v>
      </c>
      <c r="E1129" s="1" t="str">
        <f ca="1">IFERROR(__xludf.DUMMYFUNCTION("GOOGLETRANSLATE(English!E1129, ""en"", ""bg"")"),"Можете ли да ми помогнете с изчисленията за химични връзки?")</f>
        <v>Можете ли да ми помогнете с изчисленията за химични връзки?</v>
      </c>
      <c r="F1129" s="1" t="str">
        <f ca="1">IFERROR(__xludf.DUMMYFUNCTION("GOOGLETRANSLATE(English!F1129,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1129" s="1" t="str">
        <f ca="1">IFERROR(__xludf.DUMMYFUNCTION("GOOGLETRANSLATE(English!G1129, ""en"", ""bg"")"),"помощ_за_домашно_изпълнение")</f>
        <v>помощ_за_домашно_изпълнение</v>
      </c>
      <c r="H1129" s="1" t="str">
        <f ca="1">IFERROR(__xludf.DUMMYFUNCTION("GOOGLETRANSLATE(English!H1129, ""en"", ""bg"")"),"помощ_за_домашно_задаване")</f>
        <v>помощ_за_домашно_задаване</v>
      </c>
    </row>
    <row r="1130" spans="1:8" ht="13.2" x14ac:dyDescent="0.25">
      <c r="A1130" s="1" t="str">
        <f ca="1">IFERROR(__xludf.DUMMYFUNCTION("GOOGLETRANSLATE(English!A1130, ""en"", ""bg"")"),"hw_11336")</f>
        <v>hw_11336</v>
      </c>
      <c r="B1130" s="1" t="str">
        <f ca="1">IFERROR(__xludf.DUMMYFUNCTION("GOOGLETRANSLATE(English!B1130, ""en"", ""bg"")"),"биология")</f>
        <v>биология</v>
      </c>
      <c r="C1130" s="1" t="str">
        <f ca="1">IFERROR(__xludf.DUMMYFUNCTION("GOOGLETRANSLATE(English!C1130, ""en"", ""bg"")"),"средата")</f>
        <v>средата</v>
      </c>
      <c r="D1130" s="1" t="str">
        <f ca="1">IFERROR(__xludf.DUMMYFUNCTION("GOOGLETRANSLATE(English!D1130, ""en"", ""bg"")"),"екосистеми")</f>
        <v>екосистеми</v>
      </c>
      <c r="E1130" s="1" t="str">
        <f ca="1">IFERROR(__xludf.DUMMYFUNCTION("GOOGLETRANSLATE(English!E1130, ""en"", ""bg"")"),"Можете ли да обясните екосистемите за моя научен проект?")</f>
        <v>Можете ли да обясните екосистемите за моя научен проект?</v>
      </c>
      <c r="F1130" s="1" t="str">
        <f ca="1">IFERROR(__xludf.DUMMYFUNCTION("GOOGLETRANSLATE(English!F1130,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130" s="1" t="str">
        <f ca="1">IFERROR(__xludf.DUMMYFUNCTION("GOOGLETRANSLATE(English!G1130, ""en"", ""bg"")"),"помощ_за_домашно_изпълнение")</f>
        <v>помощ_за_домашно_изпълнение</v>
      </c>
      <c r="H1130" s="1" t="str">
        <f ca="1">IFERROR(__xludf.DUMMYFUNCTION("GOOGLETRANSLATE(English!H1130, ""en"", ""bg"")"),"помощ_за_домашно_задаване")</f>
        <v>помощ_за_домашно_задаване</v>
      </c>
    </row>
    <row r="1131" spans="1:8" ht="13.2" x14ac:dyDescent="0.25">
      <c r="A1131" s="1" t="str">
        <f ca="1">IFERROR(__xludf.DUMMYFUNCTION("GOOGLETRANSLATE(English!A1131, ""en"", ""bg"")"),"hw_04266")</f>
        <v>hw_04266</v>
      </c>
      <c r="B1131" s="1" t="str">
        <f ca="1">IFERROR(__xludf.DUMMYFUNCTION("GOOGLETRANSLATE(English!B1131, ""en"", ""bg"")"),"химия")</f>
        <v>химия</v>
      </c>
      <c r="C1131" s="1" t="str">
        <f ca="1">IFERROR(__xludf.DUMMYFUNCTION("GOOGLETRANSLATE(English!C1131, ""en"", ""bg"")"),"средата")</f>
        <v>средата</v>
      </c>
      <c r="D1131" s="1" t="str">
        <f ca="1">IFERROR(__xludf.DUMMYFUNCTION("GOOGLETRANSLATE(English!D1131, ""en"", ""bg"")"),"основи на периодичната таблица")</f>
        <v>основи на периодичната таблица</v>
      </c>
      <c r="E1131" s="1" t="str">
        <f ca="1">IFERROR(__xludf.DUMMYFUNCTION("GOOGLETRANSLATE(English!E1131, ""en"", ""bg"")"),"Имам затруднения с основите на периодичната таблица в домашното си.")</f>
        <v>Имам затруднения с основите на периодичната таблица в домашното си.</v>
      </c>
      <c r="F1131" s="1" t="str">
        <f ca="1">IFERROR(__xludf.DUMMYFUNCTION("GOOGLETRANSLATE(English!F1131,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1131" s="1" t="str">
        <f ca="1">IFERROR(__xludf.DUMMYFUNCTION("GOOGLETRANSLATE(English!G1131, ""en"", ""bg"")"),"помощ_за_домашно_изпълнение")</f>
        <v>помощ_за_домашно_изпълнение</v>
      </c>
      <c r="H1131" s="1" t="str">
        <f ca="1">IFERROR(__xludf.DUMMYFUNCTION("GOOGLETRANSLATE(English!H1131, ""en"", ""bg"")"),"помощ_за_домашно_задаване")</f>
        <v>помощ_за_домашно_задаване</v>
      </c>
    </row>
    <row r="1132" spans="1:8" ht="13.2" x14ac:dyDescent="0.25">
      <c r="A1132" s="1" t="str">
        <f ca="1">IFERROR(__xludf.DUMMYFUNCTION("GOOGLETRANSLATE(English!A1132, ""en"", ""bg"")"),"hw_02749")</f>
        <v>hw_02749</v>
      </c>
      <c r="B1132" s="1" t="str">
        <f ca="1">IFERROR(__xludf.DUMMYFUNCTION("GOOGLETRANSLATE(English!B1132, ""en"", ""bg"")"),"биология")</f>
        <v>биология</v>
      </c>
      <c r="C1132" s="1" t="str">
        <f ca="1">IFERROR(__xludf.DUMMYFUNCTION("GOOGLETRANSLATE(English!C1132, ""en"", ""bg"")"),"средата")</f>
        <v>средата</v>
      </c>
      <c r="D1132" s="1" t="str">
        <f ca="1">IFERROR(__xludf.DUMMYFUNCTION("GOOGLETRANSLATE(English!D1132, ""en"", ""bg"")"),"класификация")</f>
        <v>класификация</v>
      </c>
      <c r="E1132" s="1" t="str">
        <f ca="1">IFERROR(__xludf.DUMMYFUNCTION("GOOGLETRANSLATE(English!E1132, ""en"", ""bg"")"),"Утре имам тест по класификация. Помогни ми да уча!")</f>
        <v>Утре имам тест по класификация. Помогни ми да уча!</v>
      </c>
      <c r="F1132" s="1" t="str">
        <f ca="1">IFERROR(__xludf.DUMMYFUNCTION("GOOGLETRANSLATE(English!F1132,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1132" s="1" t="str">
        <f ca="1">IFERROR(__xludf.DUMMYFUNCTION("GOOGLETRANSLATE(English!G1132, ""en"", ""bg"")"),"помощ_за_домашно_изпълнение")</f>
        <v>помощ_за_домашно_изпълнение</v>
      </c>
      <c r="H1132" s="1" t="str">
        <f ca="1">IFERROR(__xludf.DUMMYFUNCTION("GOOGLETRANSLATE(English!H1132, ""en"", ""bg"")"),"помощ_за_домашно_задаване")</f>
        <v>помощ_за_домашно_задаване</v>
      </c>
    </row>
    <row r="1133" spans="1:8" ht="13.2" x14ac:dyDescent="0.25">
      <c r="A1133" s="1" t="str">
        <f ca="1">IFERROR(__xludf.DUMMYFUNCTION("GOOGLETRANSLATE(English!A1133, ""en"", ""bg"")"),"hw_04119")</f>
        <v>hw_04119</v>
      </c>
      <c r="B1133" s="1" t="str">
        <f ca="1">IFERROR(__xludf.DUMMYFUNCTION("GOOGLETRANSLATE(English!B1133, ""en"", ""bg"")"),"биология")</f>
        <v>биология</v>
      </c>
      <c r="C1133" s="1" t="str">
        <f ca="1">IFERROR(__xludf.DUMMYFUNCTION("GOOGLETRANSLATE(English!C1133, ""en"", ""bg"")"),"високо")</f>
        <v>високо</v>
      </c>
      <c r="D1133" s="1" t="str">
        <f ca="1">IFERROR(__xludf.DUMMYFUNCTION("GOOGLETRANSLATE(English!D1133, ""en"", ""bg"")"),"клетъчно дишане")</f>
        <v>клетъчно дишане</v>
      </c>
      <c r="E1133" s="1" t="str">
        <f ca="1">IFERROR(__xludf.DUMMYFUNCTION("GOOGLETRANSLATE(English!E1133, ""en"", ""bg"")"),"Утре имам тест по клетъчно дишане. Помогни ми да уча!")</f>
        <v>Утре имам тест по клетъчно дишане. Помогни ми да уча!</v>
      </c>
      <c r="F1133" s="1" t="str">
        <f ca="1">IFERROR(__xludf.DUMMYFUNCTION("GOOGLETRANSLATE(English!F1133,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133" s="1" t="str">
        <f ca="1">IFERROR(__xludf.DUMMYFUNCTION("GOOGLETRANSLATE(English!G1133, ""en"", ""bg"")"),"помощ_за_домашно_изпълнение")</f>
        <v>помощ_за_домашно_изпълнение</v>
      </c>
      <c r="H1133" s="1" t="str">
        <f ca="1">IFERROR(__xludf.DUMMYFUNCTION("GOOGLETRANSLATE(English!H1133, ""en"", ""bg"")"),"помощ_за_домашно_задаване")</f>
        <v>помощ_за_домашно_задаване</v>
      </c>
    </row>
    <row r="1134" spans="1:8" ht="13.2" x14ac:dyDescent="0.25">
      <c r="A1134" s="1" t="str">
        <f ca="1">IFERROR(__xludf.DUMMYFUNCTION("GOOGLETRANSLATE(English!A1134, ""en"", ""bg"")"),"qa_08157")</f>
        <v>qa_08157</v>
      </c>
      <c r="B1134" s="1" t="str">
        <f ca="1">IFERROR(__xludf.DUMMYFUNCTION("GOOGLETRANSLATE(English!B1134, ""en"", ""bg"")"),"биология")</f>
        <v>биология</v>
      </c>
      <c r="C1134" s="1" t="str">
        <f ca="1">IFERROR(__xludf.DUMMYFUNCTION("GOOGLETRANSLATE(English!C1134, ""en"", ""bg"")"),"елементарен")</f>
        <v>елементарен</v>
      </c>
      <c r="D1134" s="1" t="str">
        <f ca="1">IFERROR(__xludf.DUMMYFUNCTION("GOOGLETRANSLATE(English!D1134, ""en"", ""bg"")"),"животни")</f>
        <v>животни</v>
      </c>
      <c r="E1134" s="1" t="str">
        <f ca="1">IFERROR(__xludf.DUMMYFUNCTION("GOOGLETRANSLATE(English!E1134, ""en"", ""bg"")"),"Какво ядат лъвовете?")</f>
        <v>Какво ядат лъвовете?</v>
      </c>
      <c r="F1134" s="1" t="str">
        <f ca="1">IFERROR(__xludf.DUMMYFUNCTION("GOOGLETRANSLATE(English!F1134,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1134" s="1" t="str">
        <f ca="1">IFERROR(__xludf.DUMMYFUNCTION("GOOGLETRANSLATE(English!G1134, ""en"", ""bg"")"),"direct_qa")</f>
        <v>direct_qa</v>
      </c>
      <c r="H1134" s="1" t="str">
        <f ca="1">IFERROR(__xludf.DUMMYFUNCTION("GOOGLETRANSLATE(English!H1134, ""en"", ""bg"")"),"заявка_за_знание")</f>
        <v>заявка_за_знание</v>
      </c>
    </row>
    <row r="1135" spans="1:8" ht="13.2" x14ac:dyDescent="0.25">
      <c r="A1135" s="1" t="str">
        <f ca="1">IFERROR(__xludf.DUMMYFUNCTION("GOOGLETRANSLATE(English!A1135, ""en"", ""bg"")"),"hw_10744")</f>
        <v>hw_10744</v>
      </c>
      <c r="B1135" s="1" t="str">
        <f ca="1">IFERROR(__xludf.DUMMYFUNCTION("GOOGLETRANSLATE(English!B1135, ""en"", ""bg"")"),"биология")</f>
        <v>биология</v>
      </c>
      <c r="C1135" s="1" t="str">
        <f ca="1">IFERROR(__xludf.DUMMYFUNCTION("GOOGLETRANSLATE(English!C1135, ""en"", ""bg"")"),"елементарен")</f>
        <v>елементарен</v>
      </c>
      <c r="D1135" s="1" t="str">
        <f ca="1">IFERROR(__xludf.DUMMYFUNCTION("GOOGLETRANSLATE(English!D1135, ""en"", ""bg"")"),"жизнени цикли")</f>
        <v>жизнени цикли</v>
      </c>
      <c r="E1135" s="1" t="str">
        <f ca="1">IFERROR(__xludf.DUMMYFUNCTION("GOOGLETRANSLATE(English!E1135, ""en"", ""bg"")"),"Можете ли да обясните жизнените цикли за моя научен проект?")</f>
        <v>Можете ли да обясните жизнените цикли за моя научен проект?</v>
      </c>
      <c r="F1135" s="1" t="str">
        <f ca="1">IFERROR(__xludf.DUMMYFUNCTION("GOOGLETRANSLATE(English!F1135,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1135" s="1" t="str">
        <f ca="1">IFERROR(__xludf.DUMMYFUNCTION("GOOGLETRANSLATE(English!G1135, ""en"", ""bg"")"),"помощ_за_домашно_изпълнение")</f>
        <v>помощ_за_домашно_изпълнение</v>
      </c>
      <c r="H1135" s="1" t="str">
        <f ca="1">IFERROR(__xludf.DUMMYFUNCTION("GOOGLETRANSLATE(English!H1135, ""en"", ""bg"")"),"помощ_за_домашно_задаване")</f>
        <v>помощ_за_домашно_задаване</v>
      </c>
    </row>
    <row r="1136" spans="1:8" ht="13.2" x14ac:dyDescent="0.25">
      <c r="A1136" s="1" t="str">
        <f ca="1">IFERROR(__xludf.DUMMYFUNCTION("GOOGLETRANSLATE(English!A1136, ""en"", ""bg"")"),"hw_03343")</f>
        <v>hw_03343</v>
      </c>
      <c r="B1136" s="1" t="str">
        <f ca="1">IFERROR(__xludf.DUMMYFUNCTION("GOOGLETRANSLATE(English!B1136, ""en"", ""bg"")"),"биология")</f>
        <v>биология</v>
      </c>
      <c r="C1136" s="1" t="str">
        <f ca="1">IFERROR(__xludf.DUMMYFUNCTION("GOOGLETRANSLATE(English!C1136, ""en"", ""bg"")"),"средата")</f>
        <v>средата</v>
      </c>
      <c r="D1136" s="1" t="str">
        <f ca="1">IFERROR(__xludf.DUMMYFUNCTION("GOOGLETRANSLATE(English!D1136, ""en"", ""bg"")"),"фотосинтеза")</f>
        <v>фотосинтеза</v>
      </c>
      <c r="E1136" s="1" t="str">
        <f ca="1">IFERROR(__xludf.DUMMYFUNCTION("GOOGLETRANSLATE(English!E1136, ""en"", ""bg"")"),"Трябва да напиша доклад за фотосинтезата. Можете ли да ми помогнете да започна?")</f>
        <v>Трябва да напиша доклад за фотосинтезата. Можете ли да ми помогнете да започна?</v>
      </c>
      <c r="F1136" s="1" t="str">
        <f ca="1">IFERROR(__xludf.DUMMYFUNCTION("GOOGLETRANSLATE(English!F1136,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136" s="1" t="str">
        <f ca="1">IFERROR(__xludf.DUMMYFUNCTION("GOOGLETRANSLATE(English!G1136, ""en"", ""bg"")"),"помощ_за_домашно_изпълнение")</f>
        <v>помощ_за_домашно_изпълнение</v>
      </c>
      <c r="H1136" s="1" t="str">
        <f ca="1">IFERROR(__xludf.DUMMYFUNCTION("GOOGLETRANSLATE(English!H1136, ""en"", ""bg"")"),"помощ_за_домашно_задаване")</f>
        <v>помощ_за_домашно_задаване</v>
      </c>
    </row>
    <row r="1137" spans="1:8" ht="13.2" x14ac:dyDescent="0.25">
      <c r="A1137" s="1" t="str">
        <f ca="1">IFERROR(__xludf.DUMMYFUNCTION("GOOGLETRANSLATE(English!A1137, ""en"", ""bg"")"),"hw_02494")</f>
        <v>hw_02494</v>
      </c>
      <c r="B1137" s="1" t="str">
        <f ca="1">IFERROR(__xludf.DUMMYFUNCTION("GOOGLETRANSLATE(English!B1137, ""en"", ""bg"")"),"физика")</f>
        <v>физика</v>
      </c>
      <c r="C1137" s="1" t="str">
        <f ca="1">IFERROR(__xludf.DUMMYFUNCTION("GOOGLETRANSLATE(English!C1137, ""en"", ""bg"")"),"високо")</f>
        <v>високо</v>
      </c>
      <c r="D1137" s="1" t="str">
        <f ca="1">IFERROR(__xludf.DUMMYFUNCTION("GOOGLETRANSLATE(English!D1137, ""en"", ""bg"")"),"механика")</f>
        <v>механика</v>
      </c>
      <c r="E1137" s="1" t="str">
        <f ca="1">IFERROR(__xludf.DUMMYFUNCTION("GOOGLETRANSLATE(English!E1137, ""en"", ""bg"")"),"Домашното ми по физика е за механика. Объркващо е!")</f>
        <v>Домашното ми по физика е за механика. Объркващо е!</v>
      </c>
      <c r="F1137" s="1" t="str">
        <f ca="1">IFERROR(__xludf.DUMMYFUNCTION("GOOGLETRANSLATE(English!F1137,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1137" s="1" t="str">
        <f ca="1">IFERROR(__xludf.DUMMYFUNCTION("GOOGLETRANSLATE(English!G1137, ""en"", ""bg"")"),"помощ_за_домашно_изпълнение")</f>
        <v>помощ_за_домашно_изпълнение</v>
      </c>
      <c r="H1137" s="1" t="str">
        <f ca="1">IFERROR(__xludf.DUMMYFUNCTION("GOOGLETRANSLATE(English!H1137, ""en"", ""bg"")"),"помощ_за_домашно_задаване")</f>
        <v>помощ_за_домашно_задаване</v>
      </c>
    </row>
    <row r="1138" spans="1:8" ht="13.2" x14ac:dyDescent="0.25">
      <c r="A1138" s="1" t="str">
        <f ca="1">IFERROR(__xludf.DUMMYFUNCTION("GOOGLETRANSLATE(English!A1138, ""en"", ""bg"")"),"conv_09609")</f>
        <v>conv_09609</v>
      </c>
      <c r="B1138" s="1" t="str">
        <f ca="1">IFERROR(__xludf.DUMMYFUNCTION("GOOGLETRANSLATE(English!B1138, ""en"", ""bg"")"),"биология")</f>
        <v>биология</v>
      </c>
      <c r="C1138" s="1" t="str">
        <f ca="1">IFERROR(__xludf.DUMMYFUNCTION("GOOGLETRANSLATE(English!C1138, ""en"", ""bg"")"),"средата")</f>
        <v>средата</v>
      </c>
      <c r="D1138" s="1" t="str">
        <f ca="1">IFERROR(__xludf.DUMMYFUNCTION("GOOGLETRANSLATE(English!D1138, ""en"", ""bg"")"),"размножаване")</f>
        <v>размножаване</v>
      </c>
      <c r="E1138" s="1" t="str">
        <f ca="1">IFERROR(__xludf.DUMMYFUNCTION("GOOGLETRANSLATE(English!E1138, ""en"", ""bg"")"),"Помогнете ми да уча за теста. Можете ли да ми разкажете за размножаването?")</f>
        <v>Помогнете ми да уча за теста. Можете ли да ми разкажете за размножаването?</v>
      </c>
      <c r="F1138" s="1" t="str">
        <f ca="1">IFERROR(__xludf.DUMMYFUNCTION("GOOGLETRANSLATE(English!F1138,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1138" s="1" t="str">
        <f ca="1">IFERROR(__xludf.DUMMYFUNCTION("GOOGLETRANSLATE(English!G1138, ""en"", ""bg"")"),"разговор")</f>
        <v>разговор</v>
      </c>
      <c r="H1138" s="1" t="str">
        <f ca="1">IFERROR(__xludf.DUMMYFUNCTION("GOOGLETRANSLATE(English!H1138, ""en"", ""bg"")"),"образователна_помощ")</f>
        <v>образователна_помощ</v>
      </c>
    </row>
    <row r="1139" spans="1:8" ht="13.2" x14ac:dyDescent="0.25">
      <c r="A1139" s="1" t="str">
        <f ca="1">IFERROR(__xludf.DUMMYFUNCTION("GOOGLETRANSLATE(English!A1139, ""en"", ""bg"")"),"conv_17235")</f>
        <v>conv_17235</v>
      </c>
      <c r="B1139" s="1" t="str">
        <f ca="1">IFERROR(__xludf.DUMMYFUNCTION("GOOGLETRANSLATE(English!B1139, ""en"", ""bg"")"),"физика")</f>
        <v>физика</v>
      </c>
      <c r="C1139" s="1" t="str">
        <f ca="1">IFERROR(__xludf.DUMMYFUNCTION("GOOGLETRANSLATE(English!C1139, ""en"", ""bg"")"),"средата")</f>
        <v>средата</v>
      </c>
      <c r="D1139" s="1" t="str">
        <f ca="1">IFERROR(__xludf.DUMMYFUNCTION("GOOGLETRANSLATE(English!D1139, ""en"", ""bg"")"),"сили и движение")</f>
        <v>сили и движение</v>
      </c>
      <c r="E1139" s="1" t="str">
        <f ca="1">IFERROR(__xludf.DUMMYFUNCTION("GOOGLETRANSLATE(English!E1139, ""en"", ""bg"")"),"Имам научен въпрос: Защо обектите падат с еднаква скорост?")</f>
        <v>Имам научен въпрос: Защо обектите падат с еднаква скорост?</v>
      </c>
      <c r="F1139" s="1" t="str">
        <f ca="1">IFERROR(__xludf.DUMMYFUNCTION("GOOGLETRANSLATE(English!F1139,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1139" s="1" t="str">
        <f ca="1">IFERROR(__xludf.DUMMYFUNCTION("GOOGLETRANSLATE(English!G1139, ""en"", ""bg"")"),"разговор")</f>
        <v>разговор</v>
      </c>
      <c r="H1139" s="1" t="str">
        <f ca="1">IFERROR(__xludf.DUMMYFUNCTION("GOOGLETRANSLATE(English!H1139, ""en"", ""bg"")"),"образователна_помощ")</f>
        <v>образователна_помощ</v>
      </c>
    </row>
    <row r="1140" spans="1:8" ht="13.2" x14ac:dyDescent="0.25">
      <c r="A1140" s="1" t="str">
        <f ca="1">IFERROR(__xludf.DUMMYFUNCTION("GOOGLETRANSLATE(English!A1140, ""en"", ""bg"")"),"qa_14071")</f>
        <v>qa_14071</v>
      </c>
      <c r="B1140" s="1" t="str">
        <f ca="1">IFERROR(__xludf.DUMMYFUNCTION("GOOGLETRANSLATE(English!B1140, ""en"", ""bg"")"),"физика")</f>
        <v>физика</v>
      </c>
      <c r="C1140" s="1" t="str">
        <f ca="1">IFERROR(__xludf.DUMMYFUNCTION("GOOGLETRANSLATE(English!C1140, ""en"", ""bg"")"),"високо")</f>
        <v>високо</v>
      </c>
      <c r="D1140" s="1" t="str">
        <f ca="1">IFERROR(__xludf.DUMMYFUNCTION("GOOGLETRANSLATE(English!D1140, ""en"", ""bg"")"),"електромагнетизъм")</f>
        <v>електромагнетизъм</v>
      </c>
      <c r="E1140" s="1" t="str">
        <f ca="1">IFERROR(__xludf.DUMMYFUNCTION("GOOGLETRANSLATE(English!E1140, ""en"", ""bg"")"),"Как работи електромагнетизмът във физиката?")</f>
        <v>Как работи електромагнетизмът във физиката?</v>
      </c>
      <c r="F1140" s="1" t="str">
        <f ca="1">IFERROR(__xludf.DUMMYFUNCTION("GOOGLETRANSLATE(English!F1140,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1140" s="1" t="str">
        <f ca="1">IFERROR(__xludf.DUMMYFUNCTION("GOOGLETRANSLATE(English!G1140, ""en"", ""bg"")"),"direct_qa")</f>
        <v>direct_qa</v>
      </c>
      <c r="H1140" s="1" t="str">
        <f ca="1">IFERROR(__xludf.DUMMYFUNCTION("GOOGLETRANSLATE(English!H1140, ""en"", ""bg"")"),"заявка_за_знание")</f>
        <v>заявка_за_знание</v>
      </c>
    </row>
    <row r="1141" spans="1:8" ht="13.2" x14ac:dyDescent="0.25">
      <c r="A1141" s="1" t="str">
        <f ca="1">IFERROR(__xludf.DUMMYFUNCTION("GOOGLETRANSLATE(English!A1141, ""en"", ""bg"")"),"conv_14552")</f>
        <v>conv_14552</v>
      </c>
      <c r="B1141" s="1" t="str">
        <f ca="1">IFERROR(__xludf.DUMMYFUNCTION("GOOGLETRANSLATE(English!B1141, ""en"", ""bg"")"),"физика")</f>
        <v>физика</v>
      </c>
      <c r="C1141" s="1" t="str">
        <f ca="1">IFERROR(__xludf.DUMMYFUNCTION("GOOGLETRANSLATE(English!C1141, ""en"", ""bg"")"),"високо")</f>
        <v>високо</v>
      </c>
      <c r="D1141" s="1" t="str">
        <f ca="1">IFERROR(__xludf.DUMMYFUNCTION("GOOGLETRANSLATE(English!D1141, ""en"", ""bg"")"),"механика")</f>
        <v>механика</v>
      </c>
      <c r="E1141" s="1" t="str">
        <f ca="1">IFERROR(__xludf.DUMMYFUNCTION("GOOGLETRANSLATE(English!E1141, ""en"", ""bg"")"),"Имам нужда от помощ с домашното. Какво трябва да знам за механиката?")</f>
        <v>Имам нужда от помощ с домашното. Какво трябва да знам за механиката?</v>
      </c>
      <c r="F1141" s="1" t="str">
        <f ca="1">IFERROR(__xludf.DUMMYFUNCTION("GOOGLETRANSLATE(English!F1141,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1141" s="1" t="str">
        <f ca="1">IFERROR(__xludf.DUMMYFUNCTION("GOOGLETRANSLATE(English!G1141, ""en"", ""bg"")"),"разговор")</f>
        <v>разговор</v>
      </c>
      <c r="H1141" s="1" t="str">
        <f ca="1">IFERROR(__xludf.DUMMYFUNCTION("GOOGLETRANSLATE(English!H1141, ""en"", ""bg"")"),"образователна_помощ")</f>
        <v>образователна_помощ</v>
      </c>
    </row>
    <row r="1142" spans="1:8" ht="13.2" x14ac:dyDescent="0.25">
      <c r="A1142" s="1" t="str">
        <f ca="1">IFERROR(__xludf.DUMMYFUNCTION("GOOGLETRANSLATE(English!A1142, ""en"", ""bg"")"),"conv_18740")</f>
        <v>conv_18740</v>
      </c>
      <c r="B1142" s="1" t="str">
        <f ca="1">IFERROR(__xludf.DUMMYFUNCTION("GOOGLETRANSLATE(English!B1142, ""en"", ""bg"")"),"химия")</f>
        <v>химия</v>
      </c>
      <c r="C1142" s="1" t="str">
        <f ca="1">IFERROR(__xludf.DUMMYFUNCTION("GOOGLETRANSLATE(English!C1142, ""en"", ""bg"")"),"елементарен")</f>
        <v>елементарен</v>
      </c>
      <c r="D1142" s="1" t="str">
        <f ca="1">IFERROR(__xludf.DUMMYFUNCTION("GOOGLETRANSLATE(English!D1142, ""en"", ""bg"")"),"твърди вещества, течности, газове")</f>
        <v>твърди вещества, течности, газове</v>
      </c>
      <c r="E1142" s="1" t="str">
        <f ca="1">IFERROR(__xludf.DUMMYFUNCTION("GOOGLETRANSLATE(English!E1142, ""en"", ""bg"")"),"Можете ли да ми обясните това? Защо ледът плава по водата?")</f>
        <v>Можете ли да ми обясните това? Защо ледът плава по водата?</v>
      </c>
      <c r="F1142" s="1" t="str">
        <f ca="1">IFERROR(__xludf.DUMMYFUNCTION("GOOGLETRANSLATE(English!F1142,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1142" s="1" t="str">
        <f ca="1">IFERROR(__xludf.DUMMYFUNCTION("GOOGLETRANSLATE(English!G1142, ""en"", ""bg"")"),"разговор")</f>
        <v>разговор</v>
      </c>
      <c r="H1142" s="1" t="str">
        <f ca="1">IFERROR(__xludf.DUMMYFUNCTION("GOOGLETRANSLATE(English!H1142, ""en"", ""bg"")"),"образователна_помощ")</f>
        <v>образователна_помощ</v>
      </c>
    </row>
    <row r="1143" spans="1:8" ht="13.2" x14ac:dyDescent="0.25">
      <c r="A1143" s="1" t="str">
        <f ca="1">IFERROR(__xludf.DUMMYFUNCTION("GOOGLETRANSLATE(English!A1143, ""en"", ""bg"")"),"conv_18193")</f>
        <v>conv_18193</v>
      </c>
      <c r="B1143" s="1" t="str">
        <f ca="1">IFERROR(__xludf.DUMMYFUNCTION("GOOGLETRANSLATE(English!B1143, ""en"", ""bg"")"),"биология")</f>
        <v>биология</v>
      </c>
      <c r="C1143" s="1" t="str">
        <f ca="1">IFERROR(__xludf.DUMMYFUNCTION("GOOGLETRANSLATE(English!C1143, ""en"", ""bg"")"),"елементарен")</f>
        <v>елементарен</v>
      </c>
      <c r="D1143" s="1" t="str">
        <f ca="1">IFERROR(__xludf.DUMMYFUNCTION("GOOGLETRANSLATE(English!D1143, ""en"", ""bg"")"),"домашни любимци срещу диви животни")</f>
        <v>домашни любимци срещу диви животни</v>
      </c>
      <c r="E1143" s="1" t="str">
        <f ca="1">IFERROR(__xludf.DUMMYFUNCTION("GOOGLETRANSLATE(English!E1143, ""en"", ""bg"")"),"Здравей, преподавателю! Как се различават домашните любимци от дивите животни?")</f>
        <v>Здравей, преподавателю! Как се различават домашните любимци от дивите животни?</v>
      </c>
      <c r="F1143" s="1" t="str">
        <f ca="1">IFERROR(__xludf.DUMMYFUNCTION("GOOGLETRANSLATE(English!F1143,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1143" s="1" t="str">
        <f ca="1">IFERROR(__xludf.DUMMYFUNCTION("GOOGLETRANSLATE(English!G1143, ""en"", ""bg"")"),"разговор")</f>
        <v>разговор</v>
      </c>
      <c r="H1143" s="1" t="str">
        <f ca="1">IFERROR(__xludf.DUMMYFUNCTION("GOOGLETRANSLATE(English!H1143, ""en"", ""bg"")"),"образователна_помощ")</f>
        <v>образователна_помощ</v>
      </c>
    </row>
    <row r="1144" spans="1:8" ht="13.2" x14ac:dyDescent="0.25">
      <c r="A1144" s="1" t="str">
        <f ca="1">IFERROR(__xludf.DUMMYFUNCTION("GOOGLETRANSLATE(English!A1144, ""en"", ""bg"")"),"qa_08003")</f>
        <v>qa_08003</v>
      </c>
      <c r="B1144" s="1" t="str">
        <f ca="1">IFERROR(__xludf.DUMMYFUNCTION("GOOGLETRANSLATE(English!B1144, ""en"", ""bg"")"),"физика")</f>
        <v>физика</v>
      </c>
      <c r="C1144" s="1" t="str">
        <f ca="1">IFERROR(__xludf.DUMMYFUNCTION("GOOGLETRANSLATE(English!C1144, ""en"", ""bg"")"),"средата")</f>
        <v>средата</v>
      </c>
      <c r="D1144" s="1" t="str">
        <f ca="1">IFERROR(__xludf.DUMMYFUNCTION("GOOGLETRANSLATE(English!D1144, ""en"", ""bg"")"),"плътност")</f>
        <v>плътност</v>
      </c>
      <c r="E1144" s="1" t="str">
        <f ca="1">IFERROR(__xludf.DUMMYFUNCTION("GOOGLETRANSLATE(English!E1144, ""en"", ""bg"")"),"Защо плътността е важна?")</f>
        <v>Защо плътността е важна?</v>
      </c>
      <c r="F1144" s="1" t="str">
        <f ca="1">IFERROR(__xludf.DUMMYFUNCTION("GOOGLETRANSLATE(English!F1144,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1144" s="1" t="str">
        <f ca="1">IFERROR(__xludf.DUMMYFUNCTION("GOOGLETRANSLATE(English!G1144, ""en"", ""bg"")"),"direct_qa")</f>
        <v>direct_qa</v>
      </c>
      <c r="H1144" s="1" t="str">
        <f ca="1">IFERROR(__xludf.DUMMYFUNCTION("GOOGLETRANSLATE(English!H1144, ""en"", ""bg"")"),"заявка_за_знание")</f>
        <v>заявка_за_знание</v>
      </c>
    </row>
    <row r="1145" spans="1:8" ht="13.2" x14ac:dyDescent="0.25">
      <c r="A1145" s="1" t="str">
        <f ca="1">IFERROR(__xludf.DUMMYFUNCTION("GOOGLETRANSLATE(English!A1145, ""en"", ""bg"")"),"qa_12968")</f>
        <v>qa_12968</v>
      </c>
      <c r="B1145" s="1" t="str">
        <f ca="1">IFERROR(__xludf.DUMMYFUNCTION("GOOGLETRANSLATE(English!B1145, ""en"", ""bg"")"),"химия")</f>
        <v>химия</v>
      </c>
      <c r="C1145" s="1" t="str">
        <f ca="1">IFERROR(__xludf.DUMMYFUNCTION("GOOGLETRANSLATE(English!C1145, ""en"", ""bg"")"),"елементарен")</f>
        <v>елементарен</v>
      </c>
      <c r="D1145" s="1" t="str">
        <f ca="1">IFERROR(__xludf.DUMMYFUNCTION("GOOGLETRANSLATE(English!D1145, ""en"", ""bg"")"),"разтваряне")</f>
        <v>разтваряне</v>
      </c>
      <c r="E1145" s="1" t="str">
        <f ca="1">IFERROR(__xludf.DUMMYFUNCTION("GOOGLETRANSLATE(English!E1145, ""en"", ""bg"")"),"Какво е разтварянето?")</f>
        <v>Какво е разтварянето?</v>
      </c>
      <c r="F1145" s="1" t="str">
        <f ca="1">IFERROR(__xludf.DUMMYFUNCTION("GOOGLETRANSLATE(English!F1145,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1145" s="1" t="str">
        <f ca="1">IFERROR(__xludf.DUMMYFUNCTION("GOOGLETRANSLATE(English!G1145, ""en"", ""bg"")"),"direct_qa")</f>
        <v>direct_qa</v>
      </c>
      <c r="H1145" s="1" t="str">
        <f ca="1">IFERROR(__xludf.DUMMYFUNCTION("GOOGLETRANSLATE(English!H1145, ""en"", ""bg"")"),"заявка_за_знание")</f>
        <v>заявка_за_знание</v>
      </c>
    </row>
    <row r="1146" spans="1:8" ht="13.2" x14ac:dyDescent="0.25">
      <c r="A1146" s="1" t="str">
        <f ca="1">IFERROR(__xludf.DUMMYFUNCTION("GOOGLETRANSLATE(English!A1146, ""en"", ""bg"")"),"conv_00962")</f>
        <v>conv_00962</v>
      </c>
      <c r="B1146" s="1" t="str">
        <f ca="1">IFERROR(__xludf.DUMMYFUNCTION("GOOGLETRANSLATE(English!B1146, ""en"", ""bg"")"),"физика")</f>
        <v>физика</v>
      </c>
      <c r="C1146" s="1" t="str">
        <f ca="1">IFERROR(__xludf.DUMMYFUNCTION("GOOGLETRANSLATE(English!C1146, ""en"", ""bg"")"),"високо")</f>
        <v>високо</v>
      </c>
      <c r="D1146" s="1" t="str">
        <f ca="1">IFERROR(__xludf.DUMMYFUNCTION("GOOGLETRANSLATE(English!D1146, ""en"", ""bg"")"),"електромагнетизъм")</f>
        <v>електромагнетизъм</v>
      </c>
      <c r="E1146" s="1" t="str">
        <f ca="1">IFERROR(__xludf.DUMMYFUNCTION("GOOGLETRANSLATE(English!E1146, ""en"", ""bg"")"),"Помогнете ми да уча за теста. Можете ли да ми обясните електромагнетизма?")</f>
        <v>Помогнете ми да уча за теста. Можете ли да ми обясните електромагнетизма?</v>
      </c>
      <c r="F1146" s="1" t="str">
        <f ca="1">IFERROR(__xludf.DUMMYFUNCTION("GOOGLETRANSLATE(English!F1146,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1146" s="1" t="str">
        <f ca="1">IFERROR(__xludf.DUMMYFUNCTION("GOOGLETRANSLATE(English!G1146, ""en"", ""bg"")"),"разговор")</f>
        <v>разговор</v>
      </c>
      <c r="H1146" s="1" t="str">
        <f ca="1">IFERROR(__xludf.DUMMYFUNCTION("GOOGLETRANSLATE(English!H1146, ""en"", ""bg"")"),"образователна_помощ")</f>
        <v>образователна_помощ</v>
      </c>
    </row>
    <row r="1147" spans="1:8" ht="13.2" x14ac:dyDescent="0.25">
      <c r="A1147" s="1" t="str">
        <f ca="1">IFERROR(__xludf.DUMMYFUNCTION("GOOGLETRANSLATE(English!A1147, ""en"", ""bg"")"),"qa_10602")</f>
        <v>qa_10602</v>
      </c>
      <c r="B1147" s="1" t="str">
        <f ca="1">IFERROR(__xludf.DUMMYFUNCTION("GOOGLETRANSLATE(English!B1147, ""en"", ""bg"")"),"физика")</f>
        <v>физика</v>
      </c>
      <c r="C1147" s="1" t="str">
        <f ca="1">IFERROR(__xludf.DUMMYFUNCTION("GOOGLETRANSLATE(English!C1147, ""en"", ""bg"")"),"средата")</f>
        <v>средата</v>
      </c>
      <c r="D1147" s="1" t="str">
        <f ca="1">IFERROR(__xludf.DUMMYFUNCTION("GOOGLETRANSLATE(English!D1147, ""en"", ""bg"")"),"вълни")</f>
        <v>вълни</v>
      </c>
      <c r="E1147" s="1" t="str">
        <f ca="1">IFERROR(__xludf.DUMMYFUNCTION("GOOGLETRANSLATE(English!E1147, ""en"", ""bg"")"),"Как работят вълните във физиката?")</f>
        <v>Как работят вълните във физиката?</v>
      </c>
      <c r="F1147" s="1" t="str">
        <f ca="1">IFERROR(__xludf.DUMMYFUNCTION("GOOGLETRANSLATE(English!F1147,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1147" s="1" t="str">
        <f ca="1">IFERROR(__xludf.DUMMYFUNCTION("GOOGLETRANSLATE(English!G1147, ""en"", ""bg"")"),"direct_qa")</f>
        <v>direct_qa</v>
      </c>
      <c r="H1147" s="1" t="str">
        <f ca="1">IFERROR(__xludf.DUMMYFUNCTION("GOOGLETRANSLATE(English!H1147, ""en"", ""bg"")"),"заявка_за_знание")</f>
        <v>заявка_за_знание</v>
      </c>
    </row>
    <row r="1148" spans="1:8" ht="13.2" x14ac:dyDescent="0.25">
      <c r="A1148" s="1" t="str">
        <f ca="1">IFERROR(__xludf.DUMMYFUNCTION("GOOGLETRANSLATE(English!A1148, ""en"", ""bg"")"),"conv_08140")</f>
        <v>conv_08140</v>
      </c>
      <c r="B1148" s="1" t="str">
        <f ca="1">IFERROR(__xludf.DUMMYFUNCTION("GOOGLETRANSLATE(English!B1148, ""en"", ""bg"")"),"физика")</f>
        <v>физика</v>
      </c>
      <c r="C1148" s="1" t="str">
        <f ca="1">IFERROR(__xludf.DUMMYFUNCTION("GOOGLETRANSLATE(English!C1148, ""en"", ""bg"")"),"високо")</f>
        <v>високо</v>
      </c>
      <c r="D1148" s="1" t="str">
        <f ca="1">IFERROR(__xludf.DUMMYFUNCTION("GOOGLETRANSLATE(English!D1148, ""en"", ""bg"")"),"радиоактивност")</f>
        <v>радиоактивност</v>
      </c>
      <c r="E1148" s="1" t="str">
        <f ca="1">IFERROR(__xludf.DUMMYFUNCTION("GOOGLETRANSLATE(English!E1148, ""en"", ""bg"")"),"Не разбирам тази тема. Защо радиоактивността е важна?")</f>
        <v>Не разбирам тази тема. Защо радиоактивността е важна?</v>
      </c>
      <c r="F1148" s="1" t="str">
        <f ca="1">IFERROR(__xludf.DUMMYFUNCTION("GOOGLETRANSLATE(English!F1148,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1148" s="1" t="str">
        <f ca="1">IFERROR(__xludf.DUMMYFUNCTION("GOOGLETRANSLATE(English!G1148, ""en"", ""bg"")"),"разговор")</f>
        <v>разговор</v>
      </c>
      <c r="H1148" s="1" t="str">
        <f ca="1">IFERROR(__xludf.DUMMYFUNCTION("GOOGLETRANSLATE(English!H1148, ""en"", ""bg"")"),"образователна_помощ")</f>
        <v>образователна_помощ</v>
      </c>
    </row>
    <row r="1149" spans="1:8" ht="13.2" x14ac:dyDescent="0.25">
      <c r="A1149" s="1" t="str">
        <f ca="1">IFERROR(__xludf.DUMMYFUNCTION("GOOGLETRANSLATE(English!A1149, ""en"", ""bg"")"),"conv_16208")</f>
        <v>conv_16208</v>
      </c>
      <c r="B1149" s="1" t="str">
        <f ca="1">IFERROR(__xludf.DUMMYFUNCTION("GOOGLETRANSLATE(English!B1149, ""en"", ""bg"")"),"химия")</f>
        <v>химия</v>
      </c>
      <c r="C1149" s="1" t="str">
        <f ca="1">IFERROR(__xludf.DUMMYFUNCTION("GOOGLETRANSLATE(English!C1149, ""en"", ""bg"")"),"елементарен")</f>
        <v>елементарен</v>
      </c>
      <c r="D1149" s="1" t="str">
        <f ca="1">IFERROR(__xludf.DUMMYFUNCTION("GOOGLETRANSLATE(English!D1149, ""en"", ""bg"")"),"ежедневни химикали")</f>
        <v>ежедневни химикали</v>
      </c>
      <c r="E1149" s="1" t="str">
        <f ca="1">IFERROR(__xludf.DUMMYFUNCTION("GOOGLETRANSLATE(English!E1149, ""en"", ""bg"")"),"Помогнете ми да уча за теста. Защо е важно да се изучават ежедневни химикали?")</f>
        <v>Помогнете ми да уча за теста. Защо е важно да се изучават ежедневни химикали?</v>
      </c>
      <c r="F1149" s="1" t="str">
        <f ca="1">IFERROR(__xludf.DUMMYFUNCTION("GOOGLETRANSLATE(English!F1149,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1149" s="1" t="str">
        <f ca="1">IFERROR(__xludf.DUMMYFUNCTION("GOOGLETRANSLATE(English!G1149, ""en"", ""bg"")"),"разговор")</f>
        <v>разговор</v>
      </c>
      <c r="H1149" s="1" t="str">
        <f ca="1">IFERROR(__xludf.DUMMYFUNCTION("GOOGLETRANSLATE(English!H1149, ""en"", ""bg"")"),"образователна_помощ")</f>
        <v>образователна_помощ</v>
      </c>
    </row>
    <row r="1150" spans="1:8" ht="13.2" x14ac:dyDescent="0.25">
      <c r="A1150" s="1" t="str">
        <f ca="1">IFERROR(__xludf.DUMMYFUNCTION("GOOGLETRANSLATE(English!A1150, ""en"", ""bg"")"),"qa_00900")</f>
        <v>qa_00900</v>
      </c>
      <c r="B1150" s="1" t="str">
        <f ca="1">IFERROR(__xludf.DUMMYFUNCTION("GOOGLETRANSLATE(English!B1150, ""en"", ""bg"")"),"физика")</f>
        <v>физика</v>
      </c>
      <c r="C1150" s="1" t="str">
        <f ca="1">IFERROR(__xludf.DUMMYFUNCTION("GOOGLETRANSLATE(English!C1150, ""en"", ""bg"")"),"елементарен")</f>
        <v>елементарен</v>
      </c>
      <c r="D1150" s="1" t="str">
        <f ca="1">IFERROR(__xludf.DUMMYFUNCTION("GOOGLETRANSLATE(English!D1150, ""en"", ""bg"")"),"звук")</f>
        <v>звук</v>
      </c>
      <c r="E1150" s="1" t="str">
        <f ca="1">IFERROR(__xludf.DUMMYFUNCTION("GOOGLETRANSLATE(English!E1150, ""en"", ""bg"")"),"Можеш ли да ми обясниш звука?")</f>
        <v>Можеш ли да ми обясниш звука?</v>
      </c>
      <c r="F1150" s="1" t="str">
        <f ca="1">IFERROR(__xludf.DUMMYFUNCTION("GOOGLETRANSLATE(English!F1150,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1150" s="1" t="str">
        <f ca="1">IFERROR(__xludf.DUMMYFUNCTION("GOOGLETRANSLATE(English!G1150, ""en"", ""bg"")"),"direct_qa")</f>
        <v>direct_qa</v>
      </c>
      <c r="H1150" s="1" t="str">
        <f ca="1">IFERROR(__xludf.DUMMYFUNCTION("GOOGLETRANSLATE(English!H1150, ""en"", ""bg"")"),"заявка_за_знание")</f>
        <v>заявка_за_знание</v>
      </c>
    </row>
    <row r="1151" spans="1:8" ht="13.2" x14ac:dyDescent="0.25">
      <c r="A1151" s="1" t="str">
        <f ca="1">IFERROR(__xludf.DUMMYFUNCTION("GOOGLETRANSLATE(English!A1151, ""en"", ""bg"")"),"conv_00543")</f>
        <v>conv_00543</v>
      </c>
      <c r="B1151" s="1" t="str">
        <f ca="1">IFERROR(__xludf.DUMMYFUNCTION("GOOGLETRANSLATE(English!B1151, ""en"", ""bg"")"),"физика")</f>
        <v>физика</v>
      </c>
      <c r="C1151" s="1" t="str">
        <f ca="1">IFERROR(__xludf.DUMMYFUNCTION("GOOGLETRANSLATE(English!C1151, ""en"", ""bg"")"),"средата")</f>
        <v>средата</v>
      </c>
      <c r="D1151" s="1" t="str">
        <f ca="1">IFERROR(__xludf.DUMMYFUNCTION("GOOGLETRANSLATE(English!D1151, ""en"", ""bg"")"),"видове енергия")</f>
        <v>видове енергия</v>
      </c>
      <c r="E1151" s="1" t="str">
        <f ca="1">IFERROR(__xludf.DUMMYFUNCTION("GOOGLETRANSLATE(English!E1151, ""en"", ""bg"")"),"Помогнете ми да уча за теста си. Какви са различните видове енергия?")</f>
        <v>Помогнете ми да уча за теста си. Какви са различните видове енергия?</v>
      </c>
      <c r="F1151" s="1" t="str">
        <f ca="1">IFERROR(__xludf.DUMMYFUNCTION("GOOGLETRANSLATE(English!F1151,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1151" s="1" t="str">
        <f ca="1">IFERROR(__xludf.DUMMYFUNCTION("GOOGLETRANSLATE(English!G1151, ""en"", ""bg"")"),"разговор")</f>
        <v>разговор</v>
      </c>
      <c r="H1151" s="1" t="str">
        <f ca="1">IFERROR(__xludf.DUMMYFUNCTION("GOOGLETRANSLATE(English!H1151, ""en"", ""bg"")"),"образователна_помощ")</f>
        <v>образователна_помощ</v>
      </c>
    </row>
    <row r="1152" spans="1:8" ht="13.2" x14ac:dyDescent="0.25">
      <c r="A1152" s="1" t="str">
        <f ca="1">IFERROR(__xludf.DUMMYFUNCTION("GOOGLETRANSLATE(English!A1152, ""en"", ""bg"")"),"conv_07308")</f>
        <v>conv_07308</v>
      </c>
      <c r="B1152" s="1" t="str">
        <f ca="1">IFERROR(__xludf.DUMMYFUNCTION("GOOGLETRANSLATE(English!B1152, ""en"", ""bg"")"),"биология")</f>
        <v>биология</v>
      </c>
      <c r="C1152" s="1" t="str">
        <f ca="1">IFERROR(__xludf.DUMMYFUNCTION("GOOGLETRANSLATE(English!C1152, ""en"", ""bg"")"),"високо")</f>
        <v>високо</v>
      </c>
      <c r="D1152" s="1" t="str">
        <f ca="1">IFERROR(__xludf.DUMMYFUNCTION("GOOGLETRANSLATE(English!D1152, ""en"", ""bg"")"),"Структура на ДНК")</f>
        <v>Структура на ДНК</v>
      </c>
      <c r="E1152" s="1" t="str">
        <f ca="1">IFERROR(__xludf.DUMMYFUNCTION("GOOGLETRANSLATE(English!E1152, ""en"", ""bg"")"),"Можете ли да ми помогнете? Какво е важно да знаем за структурата на ДНК?")</f>
        <v>Можете ли да ми помогнете? Какво е важно да знаем за структурата на ДНК?</v>
      </c>
      <c r="F1152" s="1" t="str">
        <f ca="1">IFERROR(__xludf.DUMMYFUNCTION("GOOGLETRANSLATE(English!F1152,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1152" s="1" t="str">
        <f ca="1">IFERROR(__xludf.DUMMYFUNCTION("GOOGLETRANSLATE(English!G1152, ""en"", ""bg"")"),"разговор")</f>
        <v>разговор</v>
      </c>
      <c r="H1152" s="1" t="str">
        <f ca="1">IFERROR(__xludf.DUMMYFUNCTION("GOOGLETRANSLATE(English!H1152, ""en"", ""bg"")"),"образователна_помощ")</f>
        <v>образователна_помощ</v>
      </c>
    </row>
    <row r="1153" spans="1:8" ht="13.2" x14ac:dyDescent="0.25">
      <c r="A1153" s="1" t="str">
        <f ca="1">IFERROR(__xludf.DUMMYFUNCTION("GOOGLETRANSLATE(English!A1153, ""en"", ""bg"")"),"conv_04333")</f>
        <v>conv_04333</v>
      </c>
      <c r="B1153" s="1" t="str">
        <f ca="1">IFERROR(__xludf.DUMMYFUNCTION("GOOGLETRANSLATE(English!B1153, ""en"", ""bg"")"),"биология")</f>
        <v>биология</v>
      </c>
      <c r="C1153" s="1" t="str">
        <f ca="1">IFERROR(__xludf.DUMMYFUNCTION("GOOGLETRANSLATE(English!C1153, ""en"", ""bg"")"),"средата")</f>
        <v>средата</v>
      </c>
      <c r="D1153" s="1" t="str">
        <f ca="1">IFERROR(__xludf.DUMMYFUNCTION("GOOGLETRANSLATE(English!D1153, ""en"", ""bg"")"),"основи на генетиката")</f>
        <v>основи на генетиката</v>
      </c>
      <c r="E1153" s="1" t="str">
        <f ca="1">IFERROR(__xludf.DUMMYFUNCTION("GOOGLETRANSLATE(English!E1153, ""en"", ""bg"")"),"Здравей, преподавателю! Можеш ли да ми разкажеш за основите на генетиката?")</f>
        <v>Здравей, преподавателю! Можеш ли да ми разкажеш за основите на генетиката?</v>
      </c>
      <c r="F1153" s="1" t="str">
        <f ca="1">IFERROR(__xludf.DUMMYFUNCTION("GOOGLETRANSLATE(English!F1153,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1153" s="1" t="str">
        <f ca="1">IFERROR(__xludf.DUMMYFUNCTION("GOOGLETRANSLATE(English!G1153, ""en"", ""bg"")"),"разговор")</f>
        <v>разговор</v>
      </c>
      <c r="H1153" s="1" t="str">
        <f ca="1">IFERROR(__xludf.DUMMYFUNCTION("GOOGLETRANSLATE(English!H1153, ""en"", ""bg"")"),"образователна_помощ")</f>
        <v>образователна_помощ</v>
      </c>
    </row>
    <row r="1154" spans="1:8" ht="13.2" x14ac:dyDescent="0.25">
      <c r="A1154" s="1" t="str">
        <f ca="1">IFERROR(__xludf.DUMMYFUNCTION("GOOGLETRANSLATE(English!A1154, ""en"", ""bg"")"),"conv_11923")</f>
        <v>conv_11923</v>
      </c>
      <c r="B1154" s="1" t="str">
        <f ca="1">IFERROR(__xludf.DUMMYFUNCTION("GOOGLETRANSLATE(English!B1154, ""en"", ""bg"")"),"химия")</f>
        <v>химия</v>
      </c>
      <c r="C1154" s="1" t="str">
        <f ca="1">IFERROR(__xludf.DUMMYFUNCTION("GOOGLETRANSLATE(English!C1154, ""en"", ""bg"")"),"средата")</f>
        <v>средата</v>
      </c>
      <c r="D1154" s="1" t="str">
        <f ca="1">IFERROR(__xludf.DUMMYFUNCTION("GOOGLETRANSLATE(English!D1154, ""en"", ""bg"")"),"химични реакции")</f>
        <v>химични реакции</v>
      </c>
      <c r="E1154" s="1" t="str">
        <f ca="1">IFERROR(__xludf.DUMMYFUNCTION("GOOGLETRANSLATE(English!E1154, ""en"", ""bg"")"),"Можете ли да ми обясните това? Могат ли химичните реакции да бъдат обратими?")</f>
        <v>Можете ли да ми обясните това? Могат ли химичните реакции да бъдат обратими?</v>
      </c>
      <c r="F1154" s="1" t="str">
        <f ca="1">IFERROR(__xludf.DUMMYFUNCTION("GOOGLETRANSLATE(English!F1154,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154" s="1" t="str">
        <f ca="1">IFERROR(__xludf.DUMMYFUNCTION("GOOGLETRANSLATE(English!G1154, ""en"", ""bg"")"),"разговор")</f>
        <v>разговор</v>
      </c>
      <c r="H1154" s="1" t="str">
        <f ca="1">IFERROR(__xludf.DUMMYFUNCTION("GOOGLETRANSLATE(English!H1154, ""en"", ""bg"")"),"образователна_помощ")</f>
        <v>образователна_помощ</v>
      </c>
    </row>
    <row r="1155" spans="1:8" ht="13.2" x14ac:dyDescent="0.25">
      <c r="A1155" s="1" t="str">
        <f ca="1">IFERROR(__xludf.DUMMYFUNCTION("GOOGLETRANSLATE(English!A1155, ""en"", ""bg"")"),"conv_14019")</f>
        <v>conv_14019</v>
      </c>
      <c r="B1155" s="1" t="str">
        <f ca="1">IFERROR(__xludf.DUMMYFUNCTION("GOOGLETRANSLATE(English!B1155, ""en"", ""bg"")"),"биология")</f>
        <v>биология</v>
      </c>
      <c r="C1155" s="1" t="str">
        <f ca="1">IFERROR(__xludf.DUMMYFUNCTION("GOOGLETRANSLATE(English!C1155, ""en"", ""bg"")"),"високо")</f>
        <v>високо</v>
      </c>
      <c r="D1155" s="1" t="str">
        <f ca="1">IFERROR(__xludf.DUMMYFUNCTION("GOOGLETRANSLATE(English!D1155, ""en"", ""bg"")"),"молекулярна биология")</f>
        <v>молекулярна биология</v>
      </c>
      <c r="E1155" s="1" t="str">
        <f ca="1">IFERROR(__xludf.DUMMYFUNCTION("GOOGLETRANSLATE(English!E1155, ""en"", ""bg"")"),"Здравей, преподавателю! Какво е важно да знаеш за молекулярната биология?")</f>
        <v>Здравей, преподавателю! Какво е важно да знаеш за молекулярната биология?</v>
      </c>
      <c r="F1155" s="1" t="str">
        <f ca="1">IFERROR(__xludf.DUMMYFUNCTION("GOOGLETRANSLATE(English!F1155,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1155" s="1" t="str">
        <f ca="1">IFERROR(__xludf.DUMMYFUNCTION("GOOGLETRANSLATE(English!G1155, ""en"", ""bg"")"),"разговор")</f>
        <v>разговор</v>
      </c>
      <c r="H1155" s="1" t="str">
        <f ca="1">IFERROR(__xludf.DUMMYFUNCTION("GOOGLETRANSLATE(English!H1155, ""en"", ""bg"")"),"образователна_помощ")</f>
        <v>образователна_помощ</v>
      </c>
    </row>
    <row r="1156" spans="1:8" ht="13.2" x14ac:dyDescent="0.25">
      <c r="A1156" s="1" t="str">
        <f ca="1">IFERROR(__xludf.DUMMYFUNCTION("GOOGLETRANSLATE(English!A1156, ""en"", ""bg"")"),"conv_06763")</f>
        <v>conv_06763</v>
      </c>
      <c r="B1156" s="1" t="str">
        <f ca="1">IFERROR(__xludf.DUMMYFUNCTION("GOOGLETRANSLATE(English!B1156, ""en"", ""bg"")"),"химия")</f>
        <v>химия</v>
      </c>
      <c r="C1156" s="1" t="str">
        <f ca="1">IFERROR(__xludf.DUMMYFUNCTION("GOOGLETRANSLATE(English!C1156, ""en"", ""bg"")"),"елементарен")</f>
        <v>елементарен</v>
      </c>
      <c r="D1156" s="1" t="str">
        <f ca="1">IFERROR(__xludf.DUMMYFUNCTION("GOOGLETRANSLATE(English!D1156, ""en"", ""bg"")"),"ежедневни химикали")</f>
        <v>ежедневни химикали</v>
      </c>
      <c r="E1156" s="1" t="str">
        <f ca="1">IFERROR(__xludf.DUMMYFUNCTION("GOOGLETRANSLATE(English!E1156, ""en"", ""bg"")"),"Можете ли да ми обясните това? Можете ли да ми помогнете да разбера ежедневните химикали?")</f>
        <v>Можете ли да ми обясните това? Можете ли да ми помогнете да разбера ежедневните химикали?</v>
      </c>
      <c r="F1156" s="1" t="str">
        <f ca="1">IFERROR(__xludf.DUMMYFUNCTION("GOOGLETRANSLATE(English!F1156,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1156" s="1" t="str">
        <f ca="1">IFERROR(__xludf.DUMMYFUNCTION("GOOGLETRANSLATE(English!G1156, ""en"", ""bg"")"),"разговор")</f>
        <v>разговор</v>
      </c>
      <c r="H1156" s="1" t="str">
        <f ca="1">IFERROR(__xludf.DUMMYFUNCTION("GOOGLETRANSLATE(English!H1156, ""en"", ""bg"")"),"образователна_помощ")</f>
        <v>образователна_помощ</v>
      </c>
    </row>
    <row r="1157" spans="1:8" ht="13.2" x14ac:dyDescent="0.25">
      <c r="A1157" s="1" t="str">
        <f ca="1">IFERROR(__xludf.DUMMYFUNCTION("GOOGLETRANSLATE(English!A1157, ""en"", ""bg"")"),"qa_06278")</f>
        <v>qa_06278</v>
      </c>
      <c r="B1157" s="1" t="str">
        <f ca="1">IFERROR(__xludf.DUMMYFUNCTION("GOOGLETRANSLATE(English!B1157, ""en"", ""bg"")"),"биология")</f>
        <v>биология</v>
      </c>
      <c r="C1157" s="1" t="str">
        <f ca="1">IFERROR(__xludf.DUMMYFUNCTION("GOOGLETRANSLATE(English!C1157, ""en"", ""bg"")"),"елементарен")</f>
        <v>елементарен</v>
      </c>
      <c r="D1157" s="1" t="str">
        <f ca="1">IFERROR(__xludf.DUMMYFUNCTION("GOOGLETRANSLATE(English!D1157, ""en"", ""bg"")"),"основни нужди")</f>
        <v>основни нужди</v>
      </c>
      <c r="E1157" s="1" t="str">
        <f ca="1">IFERROR(__xludf.DUMMYFUNCTION("GOOGLETRANSLATE(English!E1157, ""en"", ""bg"")"),"Какво е важно да знаем за основните потребности?")</f>
        <v>Какво е важно да знаем за основните потребности?</v>
      </c>
      <c r="F1157" s="1" t="str">
        <f ca="1">IFERROR(__xludf.DUMMYFUNCTION("GOOGLETRANSLATE(English!F1157, ""en"", ""bg"")"),"Най-важното нещо за основните потребности е как те се свързват с други части от живота и природата.")</f>
        <v>Най-важното нещо за основните потребности е как те се свързват с други части от живота и природата.</v>
      </c>
      <c r="G1157" s="1" t="str">
        <f ca="1">IFERROR(__xludf.DUMMYFUNCTION("GOOGLETRANSLATE(English!G1157, ""en"", ""bg"")"),"direct_qa")</f>
        <v>direct_qa</v>
      </c>
      <c r="H1157" s="1" t="str">
        <f ca="1">IFERROR(__xludf.DUMMYFUNCTION("GOOGLETRANSLATE(English!H1157, ""en"", ""bg"")"),"заявка_за_знание")</f>
        <v>заявка_за_знание</v>
      </c>
    </row>
    <row r="1158" spans="1:8" ht="13.2" x14ac:dyDescent="0.25">
      <c r="A1158" s="1" t="str">
        <f ca="1">IFERROR(__xludf.DUMMYFUNCTION("GOOGLETRANSLATE(English!A1158, ""en"", ""bg"")"),"hw_09141")</f>
        <v>hw_09141</v>
      </c>
      <c r="B1158" s="1" t="str">
        <f ca="1">IFERROR(__xludf.DUMMYFUNCTION("GOOGLETRANSLATE(English!B1158, ""en"", ""bg"")"),"химия")</f>
        <v>химия</v>
      </c>
      <c r="C1158" s="1" t="str">
        <f ca="1">IFERROR(__xludf.DUMMYFUNCTION("GOOGLETRANSLATE(English!C1158, ""en"", ""bg"")"),"високо")</f>
        <v>високо</v>
      </c>
      <c r="D1158" s="1" t="str">
        <f ca="1">IFERROR(__xludf.DUMMYFUNCTION("GOOGLETRANSLATE(English!D1158, ""en"", ""bg"")"),"стехиометрия")</f>
        <v>стехиометрия</v>
      </c>
      <c r="E1158" s="1" t="str">
        <f ca="1">IFERROR(__xludf.DUMMYFUNCTION("GOOGLETRANSLATE(English!E1158, ""en"", ""bg"")"),"Докладът ми по химия е за стехиометрията. Помогнете ми да разбера.")</f>
        <v>Докладът ми по химия е за стехиометрията. Помогнете ми да разбера.</v>
      </c>
      <c r="F1158" s="1" t="str">
        <f ca="1">IFERROR(__xludf.DUMMYFUNCTION("GOOGLETRANSLATE(English!F1158,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158" s="1" t="str">
        <f ca="1">IFERROR(__xludf.DUMMYFUNCTION("GOOGLETRANSLATE(English!G1158, ""en"", ""bg"")"),"помощ_за_домашно_изпълнение")</f>
        <v>помощ_за_домашно_изпълнение</v>
      </c>
      <c r="H1158" s="1" t="str">
        <f ca="1">IFERROR(__xludf.DUMMYFUNCTION("GOOGLETRANSLATE(English!H1158, ""en"", ""bg"")"),"помощ_за_домашно_задаване")</f>
        <v>помощ_за_домашно_задаване</v>
      </c>
    </row>
    <row r="1159" spans="1:8" ht="13.2" x14ac:dyDescent="0.25">
      <c r="A1159" s="1" t="str">
        <f ca="1">IFERROR(__xludf.DUMMYFUNCTION("GOOGLETRANSLATE(English!A1159, ""en"", ""bg"")"),"conv_05202")</f>
        <v>conv_05202</v>
      </c>
      <c r="B1159" s="1" t="str">
        <f ca="1">IFERROR(__xludf.DUMMYFUNCTION("GOOGLETRANSLATE(English!B1159, ""en"", ""bg"")"),"физика")</f>
        <v>физика</v>
      </c>
      <c r="C1159" s="1" t="str">
        <f ca="1">IFERROR(__xludf.DUMMYFUNCTION("GOOGLETRANSLATE(English!C1159, ""en"", ""bg"")"),"високо")</f>
        <v>високо</v>
      </c>
      <c r="D1159" s="1" t="str">
        <f ca="1">IFERROR(__xludf.DUMMYFUNCTION("GOOGLETRANSLATE(English!D1159, ""en"", ""bg"")"),"оптика")</f>
        <v>оптика</v>
      </c>
      <c r="E1159" s="1" t="str">
        <f ca="1">IFERROR(__xludf.DUMMYFUNCTION("GOOGLETRANSLATE(English!E1159, ""en"", ""bg"")"),"Можете ли да ми обясните това? Как работи оптиката във физиката?")</f>
        <v>Можете ли да ми обясните това? Как работи оптиката във физиката?</v>
      </c>
      <c r="F1159" s="1" t="str">
        <f ca="1">IFERROR(__xludf.DUMMYFUNCTION("GOOGLETRANSLATE(English!F1159,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1159" s="1" t="str">
        <f ca="1">IFERROR(__xludf.DUMMYFUNCTION("GOOGLETRANSLATE(English!G1159, ""en"", ""bg"")"),"разговор")</f>
        <v>разговор</v>
      </c>
      <c r="H1159" s="1" t="str">
        <f ca="1">IFERROR(__xludf.DUMMYFUNCTION("GOOGLETRANSLATE(English!H1159, ""en"", ""bg"")"),"образователна_помощ")</f>
        <v>образователна_помощ</v>
      </c>
    </row>
    <row r="1160" spans="1:8" ht="13.2" x14ac:dyDescent="0.25">
      <c r="A1160" s="1" t="str">
        <f ca="1">IFERROR(__xludf.DUMMYFUNCTION("GOOGLETRANSLATE(English!A1160, ""en"", ""bg"")"),"hw_05436")</f>
        <v>hw_05436</v>
      </c>
      <c r="B1160" s="1" t="str">
        <f ca="1">IFERROR(__xludf.DUMMYFUNCTION("GOOGLETRANSLATE(English!B1160, ""en"", ""bg"")"),"биология")</f>
        <v>биология</v>
      </c>
      <c r="C1160" s="1" t="str">
        <f ca="1">IFERROR(__xludf.DUMMYFUNCTION("GOOGLETRANSLATE(English!C1160, ""en"", ""bg"")"),"високо")</f>
        <v>високо</v>
      </c>
      <c r="D1160" s="1" t="str">
        <f ca="1">IFERROR(__xludf.DUMMYFUNCTION("GOOGLETRANSLATE(English!D1160, ""en"", ""bg"")"),"клетъчно дишане")</f>
        <v>клетъчно дишане</v>
      </c>
      <c r="E1160" s="1" t="str">
        <f ca="1">IFERROR(__xludf.DUMMYFUNCTION("GOOGLETRANSLATE(English!E1160, ""en"", ""bg"")"),"Утре имам тест по клетъчно дишане. Помогни ми да уча!")</f>
        <v>Утре имам тест по клетъчно дишане. Помогни ми да уча!</v>
      </c>
      <c r="F1160" s="1" t="str">
        <f ca="1">IFERROR(__xludf.DUMMYFUNCTION("GOOGLETRANSLATE(English!F1160,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160" s="1" t="str">
        <f ca="1">IFERROR(__xludf.DUMMYFUNCTION("GOOGLETRANSLATE(English!G1160, ""en"", ""bg"")"),"помощ_за_домашно_изпълнение")</f>
        <v>помощ_за_домашно_изпълнение</v>
      </c>
      <c r="H1160" s="1" t="str">
        <f ca="1">IFERROR(__xludf.DUMMYFUNCTION("GOOGLETRANSLATE(English!H1160, ""en"", ""bg"")"),"помощ_за_домашно_задаване")</f>
        <v>помощ_за_домашно_задаване</v>
      </c>
    </row>
    <row r="1161" spans="1:8" ht="13.2" x14ac:dyDescent="0.25">
      <c r="A1161" s="1" t="str">
        <f ca="1">IFERROR(__xludf.DUMMYFUNCTION("GOOGLETRANSLATE(English!A1161, ""en"", ""bg"")"),"conv_10712")</f>
        <v>conv_10712</v>
      </c>
      <c r="B1161" s="1" t="str">
        <f ca="1">IFERROR(__xludf.DUMMYFUNCTION("GOOGLETRANSLATE(English!B1161, ""en"", ""bg"")"),"биология")</f>
        <v>биология</v>
      </c>
      <c r="C1161" s="1" t="str">
        <f ca="1">IFERROR(__xludf.DUMMYFUNCTION("GOOGLETRANSLATE(English!C1161, ""en"", ""bg"")"),"високо")</f>
        <v>високо</v>
      </c>
      <c r="D1161" s="1" t="str">
        <f ca="1">IFERROR(__xludf.DUMMYFUNCTION("GOOGLETRANSLATE(English!D1161, ""en"", ""bg"")"),"молекулярна биология")</f>
        <v>молекулярна биология</v>
      </c>
      <c r="E1161" s="1" t="str">
        <f ca="1">IFERROR(__xludf.DUMMYFUNCTION("GOOGLETRANSLATE(English!E1161, ""en"", ""bg"")"),"Имам научен въпрос. Как работи молекулярната биология?")</f>
        <v>Имам научен въпрос. Как работи молекулярната биология?</v>
      </c>
      <c r="F1161" s="1" t="str">
        <f ca="1">IFERROR(__xludf.DUMMYFUNCTION("GOOGLETRANSLATE(English!F1161,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1161" s="1" t="str">
        <f ca="1">IFERROR(__xludf.DUMMYFUNCTION("GOOGLETRANSLATE(English!G1161, ""en"", ""bg"")"),"разговор")</f>
        <v>разговор</v>
      </c>
      <c r="H1161" s="1" t="str">
        <f ca="1">IFERROR(__xludf.DUMMYFUNCTION("GOOGLETRANSLATE(English!H1161, ""en"", ""bg"")"),"образователна_помощ")</f>
        <v>образователна_помощ</v>
      </c>
    </row>
    <row r="1162" spans="1:8" ht="13.2" x14ac:dyDescent="0.25">
      <c r="A1162" s="1" t="str">
        <f ca="1">IFERROR(__xludf.DUMMYFUNCTION("GOOGLETRANSLATE(English!A1162, ""en"", ""bg"")"),"conv_12200")</f>
        <v>conv_12200</v>
      </c>
      <c r="B1162" s="1" t="str">
        <f ca="1">IFERROR(__xludf.DUMMYFUNCTION("GOOGLETRANSLATE(English!B1162, ""en"", ""bg"")"),"биология")</f>
        <v>биология</v>
      </c>
      <c r="C1162" s="1" t="str">
        <f ca="1">IFERROR(__xludf.DUMMYFUNCTION("GOOGLETRANSLATE(English!C1162, ""en"", ""bg"")"),"средата")</f>
        <v>средата</v>
      </c>
      <c r="D1162" s="1" t="str">
        <f ca="1">IFERROR(__xludf.DUMMYFUNCTION("GOOGLETRANSLATE(English!D1162, ""en"", ""bg"")"),"основи на генетиката")</f>
        <v>основи на генетиката</v>
      </c>
      <c r="E1162" s="1" t="str">
        <f ca="1">IFERROR(__xludf.DUMMYFUNCTION("GOOGLETRANSLATE(English!E1162, ""en"", ""bg"")"),"Помогнете ми да уча за теста. Можете ли да ми разкажете за основите на генетиката?")</f>
        <v>Помогнете ми да уча за теста. Можете ли да ми разкажете за основите на генетиката?</v>
      </c>
      <c r="F1162" s="1" t="str">
        <f ca="1">IFERROR(__xludf.DUMMYFUNCTION("GOOGLETRANSLATE(English!F1162,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1162" s="1" t="str">
        <f ca="1">IFERROR(__xludf.DUMMYFUNCTION("GOOGLETRANSLATE(English!G1162, ""en"", ""bg"")"),"разговор")</f>
        <v>разговор</v>
      </c>
      <c r="H1162" s="1" t="str">
        <f ca="1">IFERROR(__xludf.DUMMYFUNCTION("GOOGLETRANSLATE(English!H1162, ""en"", ""bg"")"),"образователна_помощ")</f>
        <v>образователна_помощ</v>
      </c>
    </row>
    <row r="1163" spans="1:8" ht="13.2" x14ac:dyDescent="0.25">
      <c r="A1163" s="1" t="str">
        <f ca="1">IFERROR(__xludf.DUMMYFUNCTION("GOOGLETRANSLATE(English!A1163, ""en"", ""bg"")"),"qa_12356")</f>
        <v>qa_12356</v>
      </c>
      <c r="B1163" s="1" t="str">
        <f ca="1">IFERROR(__xludf.DUMMYFUNCTION("GOOGLETRANSLATE(English!B1163, ""en"", ""bg"")"),"химия")</f>
        <v>химия</v>
      </c>
      <c r="C1163" s="1" t="str">
        <f ca="1">IFERROR(__xludf.DUMMYFUNCTION("GOOGLETRANSLATE(English!C1163, ""en"", ""bg"")"),"високо")</f>
        <v>високо</v>
      </c>
      <c r="D1163" s="1" t="str">
        <f ca="1">IFERROR(__xludf.DUMMYFUNCTION("GOOGLETRANSLATE(English!D1163, ""en"", ""bg"")"),"равновесие")</f>
        <v>равновесие</v>
      </c>
      <c r="E1163" s="1" t="str">
        <f ca="1">IFERROR(__xludf.DUMMYFUNCTION("GOOGLETRANSLATE(English!E1163, ""en"", ""bg"")"),"Защо е важно да се учи равновесие?")</f>
        <v>Защо е важно да се учи равновесие?</v>
      </c>
      <c r="F1163" s="1" t="str">
        <f ca="1">IFERROR(__xludf.DUMMYFUNCTION("GOOGLETRANSLATE(English!F1163,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1163" s="1" t="str">
        <f ca="1">IFERROR(__xludf.DUMMYFUNCTION("GOOGLETRANSLATE(English!G1163, ""en"", ""bg"")"),"direct_qa")</f>
        <v>direct_qa</v>
      </c>
      <c r="H1163" s="1" t="str">
        <f ca="1">IFERROR(__xludf.DUMMYFUNCTION("GOOGLETRANSLATE(English!H1163, ""en"", ""bg"")"),"заявка_за_знание")</f>
        <v>заявка_за_знание</v>
      </c>
    </row>
    <row r="1164" spans="1:8" ht="13.2" x14ac:dyDescent="0.25">
      <c r="A1164" s="1" t="str">
        <f ca="1">IFERROR(__xludf.DUMMYFUNCTION("GOOGLETRANSLATE(English!A1164, ""en"", ""bg"")"),"qa_03218")</f>
        <v>qa_03218</v>
      </c>
      <c r="B1164" s="1" t="str">
        <f ca="1">IFERROR(__xludf.DUMMYFUNCTION("GOOGLETRANSLATE(English!B1164, ""en"", ""bg"")"),"физика")</f>
        <v>физика</v>
      </c>
      <c r="C1164" s="1" t="str">
        <f ca="1">IFERROR(__xludf.DUMMYFUNCTION("GOOGLETRANSLATE(English!C1164, ""en"", ""bg"")"),"средата")</f>
        <v>средата</v>
      </c>
      <c r="D1164" s="1" t="str">
        <f ca="1">IFERROR(__xludf.DUMMYFUNCTION("GOOGLETRANSLATE(English!D1164, ""en"", ""bg"")"),"сили и движение")</f>
        <v>сили и движение</v>
      </c>
      <c r="E1164" s="1" t="str">
        <f ca="1">IFERROR(__xludf.DUMMYFUNCTION("GOOGLETRANSLATE(English!E1164, ""en"", ""bg"")"),"Защо обектите падат с еднаква скорост?")</f>
        <v>Защо обектите падат с еднаква скорост?</v>
      </c>
      <c r="F1164" s="1" t="str">
        <f ca="1">IFERROR(__xludf.DUMMYFUNCTION("GOOGLETRANSLATE(English!F1164,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1164" s="1" t="str">
        <f ca="1">IFERROR(__xludf.DUMMYFUNCTION("GOOGLETRANSLATE(English!G1164, ""en"", ""bg"")"),"direct_qa")</f>
        <v>direct_qa</v>
      </c>
      <c r="H1164" s="1" t="str">
        <f ca="1">IFERROR(__xludf.DUMMYFUNCTION("GOOGLETRANSLATE(English!H1164, ""en"", ""bg"")"),"заявка_за_знание")</f>
        <v>заявка_за_знание</v>
      </c>
    </row>
    <row r="1165" spans="1:8" ht="13.2" x14ac:dyDescent="0.25">
      <c r="A1165" s="1" t="str">
        <f ca="1">IFERROR(__xludf.DUMMYFUNCTION("GOOGLETRANSLATE(English!A1165, ""en"", ""bg"")"),"hw_03558")</f>
        <v>hw_03558</v>
      </c>
      <c r="B1165" s="1" t="str">
        <f ca="1">IFERROR(__xludf.DUMMYFUNCTION("GOOGLETRANSLATE(English!B1165, ""en"", ""bg"")"),"химия")</f>
        <v>химия</v>
      </c>
      <c r="C1165" s="1" t="str">
        <f ca="1">IFERROR(__xludf.DUMMYFUNCTION("GOOGLETRANSLATE(English!C1165, ""en"", ""bg"")"),"средата")</f>
        <v>средата</v>
      </c>
      <c r="D1165" s="1" t="str">
        <f ca="1">IFERROR(__xludf.DUMMYFUNCTION("GOOGLETRANSLATE(English!D1165, ""en"", ""bg"")"),"химични реакции")</f>
        <v>химични реакции</v>
      </c>
      <c r="E1165" s="1" t="str">
        <f ca="1">IFERROR(__xludf.DUMMYFUNCTION("GOOGLETRANSLATE(English!E1165, ""en"", ""bg"")"),"Моят доклад по химия е за химични реакции. Помогнете ми да разбера.")</f>
        <v>Моят доклад по химия е за химични реакции. Помогнете ми да разбера.</v>
      </c>
      <c r="F1165" s="1" t="str">
        <f ca="1">IFERROR(__xludf.DUMMYFUNCTION("GOOGLETRANSLATE(English!F1165,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1165" s="1" t="str">
        <f ca="1">IFERROR(__xludf.DUMMYFUNCTION("GOOGLETRANSLATE(English!G1165, ""en"", ""bg"")"),"помощ_за_домашно_изпълнение")</f>
        <v>помощ_за_домашно_изпълнение</v>
      </c>
      <c r="H1165" s="1" t="str">
        <f ca="1">IFERROR(__xludf.DUMMYFUNCTION("GOOGLETRANSLATE(English!H1165, ""en"", ""bg"")"),"помощ_за_домашно_задаване")</f>
        <v>помощ_за_домашно_задаване</v>
      </c>
    </row>
    <row r="1166" spans="1:8" ht="13.2" x14ac:dyDescent="0.25">
      <c r="A1166" s="1" t="str">
        <f ca="1">IFERROR(__xludf.DUMMYFUNCTION("GOOGLETRANSLATE(English!A1166, ""en"", ""bg"")"),"conv_19418")</f>
        <v>conv_19418</v>
      </c>
      <c r="B1166" s="1" t="str">
        <f ca="1">IFERROR(__xludf.DUMMYFUNCTION("GOOGLETRANSLATE(English!B1166, ""en"", ""bg"")"),"физика")</f>
        <v>физика</v>
      </c>
      <c r="C1166" s="1" t="str">
        <f ca="1">IFERROR(__xludf.DUMMYFUNCTION("GOOGLETRANSLATE(English!C1166, ""en"", ""bg"")"),"елементарен")</f>
        <v>елементарен</v>
      </c>
      <c r="D1166" s="1" t="str">
        <f ca="1">IFERROR(__xludf.DUMMYFUNCTION("GOOGLETRANSLATE(English!D1166, ""en"", ""bg"")"),"звук")</f>
        <v>звук</v>
      </c>
      <c r="E1166" s="1" t="str">
        <f ca="1">IFERROR(__xludf.DUMMYFUNCTION("GOOGLETRANSLATE(English!E1166, ""en"", ""bg"")"),"Можете ли да ми помогнете? Какво трябва да знам за звука?")</f>
        <v>Можете ли да ми помогнете? Какво трябва да знам за звука?</v>
      </c>
      <c r="F1166" s="1" t="str">
        <f ca="1">IFERROR(__xludf.DUMMYFUNCTION("GOOGLETRANSLATE(English!F1166,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1166" s="1" t="str">
        <f ca="1">IFERROR(__xludf.DUMMYFUNCTION("GOOGLETRANSLATE(English!G1166, ""en"", ""bg"")"),"разговор")</f>
        <v>разговор</v>
      </c>
      <c r="H1166" s="1" t="str">
        <f ca="1">IFERROR(__xludf.DUMMYFUNCTION("GOOGLETRANSLATE(English!H1166, ""en"", ""bg"")"),"образователна_помощ")</f>
        <v>образователна_помощ</v>
      </c>
    </row>
    <row r="1167" spans="1:8" ht="13.2" x14ac:dyDescent="0.25">
      <c r="A1167" s="1" t="str">
        <f ca="1">IFERROR(__xludf.DUMMYFUNCTION("GOOGLETRANSLATE(English!A1167, ""en"", ""bg"")"),"hw_02806")</f>
        <v>hw_02806</v>
      </c>
      <c r="B1167" s="1" t="str">
        <f ca="1">IFERROR(__xludf.DUMMYFUNCTION("GOOGLETRANSLATE(English!B1167, ""en"", ""bg"")"),"химия")</f>
        <v>химия</v>
      </c>
      <c r="C1167" s="1" t="str">
        <f ca="1">IFERROR(__xludf.DUMMYFUNCTION("GOOGLETRANSLATE(English!C1167, ""en"", ""bg"")"),"елементарен")</f>
        <v>елементарен</v>
      </c>
      <c r="D1167" s="1" t="str">
        <f ca="1">IFERROR(__xludf.DUMMYFUNCTION("GOOGLETRANSLATE(English!D1167, ""en"", ""bg"")"),"ежедневни химикали")</f>
        <v>ежедневни химикали</v>
      </c>
      <c r="E1167" s="1" t="str">
        <f ca="1">IFERROR(__xludf.DUMMYFUNCTION("GOOGLETRANSLATE(English!E1167, ""en"", ""bg"")"),"Не разбирам тази концепция за ежедневните химикали. Моля, обяснете!")</f>
        <v>Не разбирам тази концепция за ежедневните химикали. Моля, обяснете!</v>
      </c>
      <c r="F1167" s="1" t="str">
        <f ca="1">IFERROR(__xludf.DUMMYFUNCTION("GOOGLETRANSLATE(English!F1167,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1167" s="1" t="str">
        <f ca="1">IFERROR(__xludf.DUMMYFUNCTION("GOOGLETRANSLATE(English!G1167, ""en"", ""bg"")"),"помощ_за_домашно_изпълнение")</f>
        <v>помощ_за_домашно_изпълнение</v>
      </c>
      <c r="H1167" s="1" t="str">
        <f ca="1">IFERROR(__xludf.DUMMYFUNCTION("GOOGLETRANSLATE(English!H1167, ""en"", ""bg"")"),"помощ_за_домашно_задаване")</f>
        <v>помощ_за_домашно_задаване</v>
      </c>
    </row>
    <row r="1168" spans="1:8" ht="13.2" x14ac:dyDescent="0.25">
      <c r="A1168" s="1" t="str">
        <f ca="1">IFERROR(__xludf.DUMMYFUNCTION("GOOGLETRANSLATE(English!A1168, ""en"", ""bg"")"),"hw_10140")</f>
        <v>hw_10140</v>
      </c>
      <c r="B1168" s="1" t="str">
        <f ca="1">IFERROR(__xludf.DUMMYFUNCTION("GOOGLETRANSLATE(English!B1168, ""en"", ""bg"")"),"химия")</f>
        <v>химия</v>
      </c>
      <c r="C1168" s="1" t="str">
        <f ca="1">IFERROR(__xludf.DUMMYFUNCTION("GOOGLETRANSLATE(English!C1168, ""en"", ""bg"")"),"елементарен")</f>
        <v>елементарен</v>
      </c>
      <c r="D1168" s="1" t="str">
        <f ca="1">IFERROR(__xludf.DUMMYFUNCTION("GOOGLETRANSLATE(English!D1168, ""en"", ""bg"")"),"разтваряне")</f>
        <v>разтваряне</v>
      </c>
      <c r="E1168" s="1" t="str">
        <f ca="1">IFERROR(__xludf.DUMMYFUNCTION("GOOGLETRANSLATE(English!E1168,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1168" s="1" t="str">
        <f ca="1">IFERROR(__xludf.DUMMYFUNCTION("GOOGLETRANSLATE(English!F1168,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1168" s="1" t="str">
        <f ca="1">IFERROR(__xludf.DUMMYFUNCTION("GOOGLETRANSLATE(English!G1168, ""en"", ""bg"")"),"помощ_за_домашно_изпълнение")</f>
        <v>помощ_за_домашно_изпълнение</v>
      </c>
      <c r="H1168" s="1" t="str">
        <f ca="1">IFERROR(__xludf.DUMMYFUNCTION("GOOGLETRANSLATE(English!H1168, ""en"", ""bg"")"),"помощ_за_домашно_задаване")</f>
        <v>помощ_за_домашно_задаване</v>
      </c>
    </row>
    <row r="1169" spans="1:8" ht="13.2" x14ac:dyDescent="0.25">
      <c r="A1169" s="1" t="str">
        <f ca="1">IFERROR(__xludf.DUMMYFUNCTION("GOOGLETRANSLATE(English!A1169, ""en"", ""bg"")"),"conv_03084")</f>
        <v>conv_03084</v>
      </c>
      <c r="B1169" s="1" t="str">
        <f ca="1">IFERROR(__xludf.DUMMYFUNCTION("GOOGLETRANSLATE(English!B1169, ""en"", ""bg"")"),"физика")</f>
        <v>физика</v>
      </c>
      <c r="C1169" s="1" t="str">
        <f ca="1">IFERROR(__xludf.DUMMYFUNCTION("GOOGLETRANSLATE(English!C1169, ""en"", ""bg"")"),"елементарен")</f>
        <v>елементарен</v>
      </c>
      <c r="D1169" s="1" t="str">
        <f ca="1">IFERROR(__xludf.DUMMYFUNCTION("GOOGLETRANSLATE(English!D1169, ""en"", ""bg"")"),"звук")</f>
        <v>звук</v>
      </c>
      <c r="E1169" s="1" t="str">
        <f ca="1">IFERROR(__xludf.DUMMYFUNCTION("GOOGLETRANSLATE(English!E1169, ""en"", ""bg"")"),"Можете ли да ми помогнете? Защо звукът е важен?")</f>
        <v>Можете ли да ми помогнете? Защо звукът е важен?</v>
      </c>
      <c r="F1169" s="1" t="str">
        <f ca="1">IFERROR(__xludf.DUMMYFUNCTION("GOOGLETRANSLATE(English!F1169,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1169" s="1" t="str">
        <f ca="1">IFERROR(__xludf.DUMMYFUNCTION("GOOGLETRANSLATE(English!G1169, ""en"", ""bg"")"),"разговор")</f>
        <v>разговор</v>
      </c>
      <c r="H1169" s="1" t="str">
        <f ca="1">IFERROR(__xludf.DUMMYFUNCTION("GOOGLETRANSLATE(English!H1169, ""en"", ""bg"")"),"образователна_помощ")</f>
        <v>образователна_помощ</v>
      </c>
    </row>
    <row r="1170" spans="1:8" ht="13.2" x14ac:dyDescent="0.25">
      <c r="A1170" s="1" t="str">
        <f ca="1">IFERROR(__xludf.DUMMYFUNCTION("GOOGLETRANSLATE(English!A1170, ""en"", ""bg"")"),"qa_13149")</f>
        <v>qa_13149</v>
      </c>
      <c r="B1170" s="1" t="str">
        <f ca="1">IFERROR(__xludf.DUMMYFUNCTION("GOOGLETRANSLATE(English!B1170, ""en"", ""bg"")"),"химия")</f>
        <v>химия</v>
      </c>
      <c r="C1170" s="1" t="str">
        <f ca="1">IFERROR(__xludf.DUMMYFUNCTION("GOOGLETRANSLATE(English!C1170, ""en"", ""bg"")"),"високо")</f>
        <v>високо</v>
      </c>
      <c r="D1170" s="1" t="str">
        <f ca="1">IFERROR(__xludf.DUMMYFUNCTION("GOOGLETRANSLATE(English!D1170, ""en"", ""bg"")"),"равновесие")</f>
        <v>равновесие</v>
      </c>
      <c r="E1170" s="1" t="str">
        <f ca="1">IFERROR(__xludf.DUMMYFUNCTION("GOOGLETRANSLATE(English!E1170, ""en"", ""bg"")"),"Можете ли да ми помогнете да разбера какво е равновесие?")</f>
        <v>Можете ли да ми помогнете да разбера какво е равновесие?</v>
      </c>
      <c r="F1170" s="1" t="str">
        <f ca="1">IFERROR(__xludf.DUMMYFUNCTION("GOOGLETRANSLATE(English!F1170,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1170" s="1" t="str">
        <f ca="1">IFERROR(__xludf.DUMMYFUNCTION("GOOGLETRANSLATE(English!G1170, ""en"", ""bg"")"),"direct_qa")</f>
        <v>direct_qa</v>
      </c>
      <c r="H1170" s="1" t="str">
        <f ca="1">IFERROR(__xludf.DUMMYFUNCTION("GOOGLETRANSLATE(English!H1170, ""en"", ""bg"")"),"заявка_за_знание")</f>
        <v>заявка_за_знание</v>
      </c>
    </row>
    <row r="1171" spans="1:8" ht="13.2" x14ac:dyDescent="0.25">
      <c r="A1171" s="1" t="str">
        <f ca="1">IFERROR(__xludf.DUMMYFUNCTION("GOOGLETRANSLATE(English!A1171, ""en"", ""bg"")"),"qa_06126")</f>
        <v>qa_06126</v>
      </c>
      <c r="B1171" s="1" t="str">
        <f ca="1">IFERROR(__xludf.DUMMYFUNCTION("GOOGLETRANSLATE(English!B1171, ""en"", ""bg"")"),"химия")</f>
        <v>химия</v>
      </c>
      <c r="C1171" s="1" t="str">
        <f ca="1">IFERROR(__xludf.DUMMYFUNCTION("GOOGLETRANSLATE(English!C1171, ""en"", ""bg"")"),"елементарен")</f>
        <v>елементарен</v>
      </c>
      <c r="D1171" s="1" t="str">
        <f ca="1">IFERROR(__xludf.DUMMYFUNCTION("GOOGLETRANSLATE(English!D1171, ""en"", ""bg"")"),"разтваряне")</f>
        <v>разтваряне</v>
      </c>
      <c r="E1171" s="1" t="str">
        <f ca="1">IFERROR(__xludf.DUMMYFUNCTION("GOOGLETRANSLATE(English!E1171, ""en"", ""bg"")"),"Как работи разтварянето в химията?")</f>
        <v>Как работи разтварянето в химията?</v>
      </c>
      <c r="F1171" s="1" t="str">
        <f ca="1">IFERROR(__xludf.DUMMYFUNCTION("GOOGLETRANSLATE(English!F1171,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1171" s="1" t="str">
        <f ca="1">IFERROR(__xludf.DUMMYFUNCTION("GOOGLETRANSLATE(English!G1171, ""en"", ""bg"")"),"direct_qa")</f>
        <v>direct_qa</v>
      </c>
      <c r="H1171" s="1" t="str">
        <f ca="1">IFERROR(__xludf.DUMMYFUNCTION("GOOGLETRANSLATE(English!H1171, ""en"", ""bg"")"),"заявка_за_знание")</f>
        <v>заявка_за_знание</v>
      </c>
    </row>
    <row r="1172" spans="1:8" ht="13.2" x14ac:dyDescent="0.25">
      <c r="A1172" s="1" t="str">
        <f ca="1">IFERROR(__xludf.DUMMYFUNCTION("GOOGLETRANSLATE(English!A1172, ""en"", ""bg"")"),"qa_02097")</f>
        <v>qa_02097</v>
      </c>
      <c r="B1172" s="1" t="str">
        <f ca="1">IFERROR(__xludf.DUMMYFUNCTION("GOOGLETRANSLATE(English!B1172, ""en"", ""bg"")"),"физика")</f>
        <v>физика</v>
      </c>
      <c r="C1172" s="1" t="str">
        <f ca="1">IFERROR(__xludf.DUMMYFUNCTION("GOOGLETRANSLATE(English!C1172, ""en"", ""bg"")"),"високо")</f>
        <v>високо</v>
      </c>
      <c r="D1172" s="1" t="str">
        <f ca="1">IFERROR(__xludf.DUMMYFUNCTION("GOOGLETRANSLATE(English!D1172, ""en"", ""bg"")"),"електромагнетизъм")</f>
        <v>електромагнетизъм</v>
      </c>
      <c r="E1172" s="1" t="str">
        <f ca="1">IFERROR(__xludf.DUMMYFUNCTION("GOOGLETRANSLATE(English!E1172, ""en"", ""bg"")"),"Защо електромагнетизмът е важен?")</f>
        <v>Защо електромагнетизмът е важен?</v>
      </c>
      <c r="F1172" s="1" t="str">
        <f ca="1">IFERROR(__xludf.DUMMYFUNCTION("GOOGLETRANSLATE(English!F1172,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1172" s="1" t="str">
        <f ca="1">IFERROR(__xludf.DUMMYFUNCTION("GOOGLETRANSLATE(English!G1172, ""en"", ""bg"")"),"direct_qa")</f>
        <v>direct_qa</v>
      </c>
      <c r="H1172" s="1" t="str">
        <f ca="1">IFERROR(__xludf.DUMMYFUNCTION("GOOGLETRANSLATE(English!H1172, ""en"", ""bg"")"),"заявка_за_знание")</f>
        <v>заявка_за_знание</v>
      </c>
    </row>
    <row r="1173" spans="1:8" ht="13.2" x14ac:dyDescent="0.25">
      <c r="A1173" s="1" t="str">
        <f ca="1">IFERROR(__xludf.DUMMYFUNCTION("GOOGLETRANSLATE(English!A1173, ""en"", ""bg"")"),"conv_01043")</f>
        <v>conv_01043</v>
      </c>
      <c r="B1173" s="1" t="str">
        <f ca="1">IFERROR(__xludf.DUMMYFUNCTION("GOOGLETRANSLATE(English!B1173, ""en"", ""bg"")"),"физика")</f>
        <v>физика</v>
      </c>
      <c r="C1173" s="1" t="str">
        <f ca="1">IFERROR(__xludf.DUMMYFUNCTION("GOOGLETRANSLATE(English!C1173, ""en"", ""bg"")"),"елементарен")</f>
        <v>елементарен</v>
      </c>
      <c r="D1173" s="1" t="str">
        <f ca="1">IFERROR(__xludf.DUMMYFUNCTION("GOOGLETRANSLATE(English!D1173, ""en"", ""bg"")"),"прости машини")</f>
        <v>прости машини</v>
      </c>
      <c r="E1173" s="1" t="str">
        <f ca="1">IFERROR(__xludf.DUMMYFUNCTION("GOOGLETRANSLATE(English!E1173, ""en"", ""bg"")"),"Имам научен въпрос. Можете ли да ми обясните прости машини?")</f>
        <v>Имам научен въпрос. Можете ли да ми обясните прости машини?</v>
      </c>
      <c r="F1173" s="1" t="str">
        <f ca="1">IFERROR(__xludf.DUMMYFUNCTION("GOOGLETRANSLATE(English!F1173,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1173" s="1" t="str">
        <f ca="1">IFERROR(__xludf.DUMMYFUNCTION("GOOGLETRANSLATE(English!G1173, ""en"", ""bg"")"),"разговор")</f>
        <v>разговор</v>
      </c>
      <c r="H1173" s="1" t="str">
        <f ca="1">IFERROR(__xludf.DUMMYFUNCTION("GOOGLETRANSLATE(English!H1173, ""en"", ""bg"")"),"образователна_помощ")</f>
        <v>образователна_помощ</v>
      </c>
    </row>
    <row r="1174" spans="1:8" ht="13.2" x14ac:dyDescent="0.25">
      <c r="A1174" s="1" t="str">
        <f ca="1">IFERROR(__xludf.DUMMYFUNCTION("GOOGLETRANSLATE(English!A1174, ""en"", ""bg"")"),"conv_07124")</f>
        <v>conv_07124</v>
      </c>
      <c r="B1174" s="1" t="str">
        <f ca="1">IFERROR(__xludf.DUMMYFUNCTION("GOOGLETRANSLATE(English!B1174, ""en"", ""bg"")"),"физика")</f>
        <v>физика</v>
      </c>
      <c r="C1174" s="1" t="str">
        <f ca="1">IFERROR(__xludf.DUMMYFUNCTION("GOOGLETRANSLATE(English!C1174, ""en"", ""bg"")"),"елементарен")</f>
        <v>елементарен</v>
      </c>
      <c r="D1174" s="1" t="str">
        <f ca="1">IFERROR(__xludf.DUMMYFUNCTION("GOOGLETRANSLATE(English!D1174, ""en"", ""bg"")"),"прости машини")</f>
        <v>прости машини</v>
      </c>
      <c r="E1174" s="1" t="str">
        <f ca="1">IFERROR(__xludf.DUMMYFUNCTION("GOOGLETRANSLATE(English!E1174, ""en"", ""bg"")"),"Можете ли да ми помогнете? Защо простите машини са важни?")</f>
        <v>Можете ли да ми помогнете? Защо простите машини са важни?</v>
      </c>
      <c r="F1174" s="1" t="str">
        <f ca="1">IFERROR(__xludf.DUMMYFUNCTION("GOOGLETRANSLATE(English!F1174,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1174" s="1" t="str">
        <f ca="1">IFERROR(__xludf.DUMMYFUNCTION("GOOGLETRANSLATE(English!G1174, ""en"", ""bg"")"),"разговор")</f>
        <v>разговор</v>
      </c>
      <c r="H1174" s="1" t="str">
        <f ca="1">IFERROR(__xludf.DUMMYFUNCTION("GOOGLETRANSLATE(English!H1174, ""en"", ""bg"")"),"образователна_помощ")</f>
        <v>образователна_помощ</v>
      </c>
    </row>
    <row r="1175" spans="1:8" ht="13.2" x14ac:dyDescent="0.25">
      <c r="A1175" s="1" t="str">
        <f ca="1">IFERROR(__xludf.DUMMYFUNCTION("GOOGLETRANSLATE(English!A1175, ""en"", ""bg"")"),"qa_00795")</f>
        <v>qa_00795</v>
      </c>
      <c r="B1175" s="1" t="str">
        <f ca="1">IFERROR(__xludf.DUMMYFUNCTION("GOOGLETRANSLATE(English!B1175, ""en"", ""bg"")"),"биология")</f>
        <v>биология</v>
      </c>
      <c r="C1175" s="1" t="str">
        <f ca="1">IFERROR(__xludf.DUMMYFUNCTION("GOOGLETRANSLATE(English!C1175, ""en"", ""bg"")"),"елементарен")</f>
        <v>елементарен</v>
      </c>
      <c r="D1175" s="1" t="str">
        <f ca="1">IFERROR(__xludf.DUMMYFUNCTION("GOOGLETRANSLATE(English!D1175, ""en"", ""bg"")"),"жизнени цикли")</f>
        <v>жизнени цикли</v>
      </c>
      <c r="E1175" s="1" t="str">
        <f ca="1">IFERROR(__xludf.DUMMYFUNCTION("GOOGLETRANSLATE(English!E1175, ""en"", ""bg"")"),"Как функционират жизнените цикли?")</f>
        <v>Как функционират жизнените цикли?</v>
      </c>
      <c r="F1175" s="1" t="str">
        <f ca="1">IFERROR(__xludf.DUMMYFUNCTION("GOOGLETRANSLATE(English!F1175,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1175" s="1" t="str">
        <f ca="1">IFERROR(__xludf.DUMMYFUNCTION("GOOGLETRANSLATE(English!G1175, ""en"", ""bg"")"),"direct_qa")</f>
        <v>direct_qa</v>
      </c>
      <c r="H1175" s="1" t="str">
        <f ca="1">IFERROR(__xludf.DUMMYFUNCTION("GOOGLETRANSLATE(English!H1175, ""en"", ""bg"")"),"заявка_за_знание")</f>
        <v>заявка_за_знание</v>
      </c>
    </row>
    <row r="1176" spans="1:8" ht="13.2" x14ac:dyDescent="0.25">
      <c r="A1176" s="1" t="str">
        <f ca="1">IFERROR(__xludf.DUMMYFUNCTION("GOOGLETRANSLATE(English!A1176, ""en"", ""bg"")"),"qa_13895")</f>
        <v>qa_13895</v>
      </c>
      <c r="B1176" s="1" t="str">
        <f ca="1">IFERROR(__xludf.DUMMYFUNCTION("GOOGLETRANSLATE(English!B1176, ""en"", ""bg"")"),"физика")</f>
        <v>физика</v>
      </c>
      <c r="C1176" s="1" t="str">
        <f ca="1">IFERROR(__xludf.DUMMYFUNCTION("GOOGLETRANSLATE(English!C1176, ""en"", ""bg"")"),"средата")</f>
        <v>средата</v>
      </c>
      <c r="D1176" s="1" t="str">
        <f ca="1">IFERROR(__xludf.DUMMYFUNCTION("GOOGLETRANSLATE(English!D1176, ""en"", ""bg"")"),"състояния на материята")</f>
        <v>състояния на материята</v>
      </c>
      <c r="E1176" s="1" t="str">
        <f ca="1">IFERROR(__xludf.DUMMYFUNCTION("GOOGLETRANSLATE(English!E1176, ""en"", ""bg"")"),"Как функционират състоянията на материята във физиката?")</f>
        <v>Как функционират състоянията на материята във физиката?</v>
      </c>
      <c r="F1176" s="1" t="str">
        <f ca="1">IFERROR(__xludf.DUMMYFUNCTION("GOOGLETRANSLATE(English!F1176,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1176" s="1" t="str">
        <f ca="1">IFERROR(__xludf.DUMMYFUNCTION("GOOGLETRANSLATE(English!G1176, ""en"", ""bg"")"),"direct_qa")</f>
        <v>direct_qa</v>
      </c>
      <c r="H1176" s="1" t="str">
        <f ca="1">IFERROR(__xludf.DUMMYFUNCTION("GOOGLETRANSLATE(English!H1176, ""en"", ""bg"")"),"заявка_за_знание")</f>
        <v>заявка_за_знание</v>
      </c>
    </row>
    <row r="1177" spans="1:8" ht="13.2" x14ac:dyDescent="0.25">
      <c r="A1177" s="1" t="str">
        <f ca="1">IFERROR(__xludf.DUMMYFUNCTION("GOOGLETRANSLATE(English!A1177, ""en"", ""bg"")"),"hw_14940")</f>
        <v>hw_14940</v>
      </c>
      <c r="B1177" s="1" t="str">
        <f ca="1">IFERROR(__xludf.DUMMYFUNCTION("GOOGLETRANSLATE(English!B1177, ""en"", ""bg"")"),"химия")</f>
        <v>химия</v>
      </c>
      <c r="C1177" s="1" t="str">
        <f ca="1">IFERROR(__xludf.DUMMYFUNCTION("GOOGLETRANSLATE(English!C1177, ""en"", ""bg"")"),"средата")</f>
        <v>средата</v>
      </c>
      <c r="D1177" s="1" t="str">
        <f ca="1">IFERROR(__xludf.DUMMYFUNCTION("GOOGLETRANSLATE(English!D1177, ""en"", ""bg"")"),"атоми и молекули")</f>
        <v>атоми и молекули</v>
      </c>
      <c r="E1177" s="1" t="str">
        <f ca="1">IFERROR(__xludf.DUMMYFUNCTION("GOOGLETRANSLATE(English!E1177,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1177" s="1" t="str">
        <f ca="1">IFERROR(__xludf.DUMMYFUNCTION("GOOGLETRANSLATE(English!F1177,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1177" s="1" t="str">
        <f ca="1">IFERROR(__xludf.DUMMYFUNCTION("GOOGLETRANSLATE(English!G1177, ""en"", ""bg"")"),"помощ_за_домашно_изпълнение")</f>
        <v>помощ_за_домашно_изпълнение</v>
      </c>
      <c r="H1177" s="1" t="str">
        <f ca="1">IFERROR(__xludf.DUMMYFUNCTION("GOOGLETRANSLATE(English!H1177, ""en"", ""bg"")"),"помощ_за_домашно_задаване")</f>
        <v>помощ_за_домашно_задаване</v>
      </c>
    </row>
    <row r="1178" spans="1:8" ht="13.2" x14ac:dyDescent="0.25">
      <c r="A1178" s="1" t="str">
        <f ca="1">IFERROR(__xludf.DUMMYFUNCTION("GOOGLETRANSLATE(English!A1178, ""en"", ""bg"")"),"qa_03692")</f>
        <v>qa_03692</v>
      </c>
      <c r="B1178" s="1" t="str">
        <f ca="1">IFERROR(__xludf.DUMMYFUNCTION("GOOGLETRANSLATE(English!B1178, ""en"", ""bg"")"),"физика")</f>
        <v>физика</v>
      </c>
      <c r="C1178" s="1" t="str">
        <f ca="1">IFERROR(__xludf.DUMMYFUNCTION("GOOGLETRANSLATE(English!C1178, ""en"", ""bg"")"),"елементарен")</f>
        <v>елементарен</v>
      </c>
      <c r="D1178" s="1" t="str">
        <f ca="1">IFERROR(__xludf.DUMMYFUNCTION("GOOGLETRANSLATE(English!D1178, ""en"", ""bg"")"),"плаващ и потъващ")</f>
        <v>плаващ и потъващ</v>
      </c>
      <c r="E1178" s="1" t="str">
        <f ca="1">IFERROR(__xludf.DUMMYFUNCTION("GOOGLETRANSLATE(English!E1178, ""en"", ""bg"")"),"Какво трябва да знам за плаването и потъването?")</f>
        <v>Какво трябва да знам за плаването и потъването?</v>
      </c>
      <c r="F1178" s="1" t="str">
        <f ca="1">IFERROR(__xludf.DUMMYFUNCTION("GOOGLETRANSLATE(English!F1178,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1178" s="1" t="str">
        <f ca="1">IFERROR(__xludf.DUMMYFUNCTION("GOOGLETRANSLATE(English!G1178, ""en"", ""bg"")"),"direct_qa")</f>
        <v>direct_qa</v>
      </c>
      <c r="H1178" s="1" t="str">
        <f ca="1">IFERROR(__xludf.DUMMYFUNCTION("GOOGLETRANSLATE(English!H1178, ""en"", ""bg"")"),"заявка_за_знание")</f>
        <v>заявка_за_знание</v>
      </c>
    </row>
    <row r="1179" spans="1:8" ht="13.2" x14ac:dyDescent="0.25">
      <c r="A1179" s="1" t="str">
        <f ca="1">IFERROR(__xludf.DUMMYFUNCTION("GOOGLETRANSLATE(English!A1179, ""en"", ""bg"")"),"hw_14834")</f>
        <v>hw_14834</v>
      </c>
      <c r="B1179" s="1" t="str">
        <f ca="1">IFERROR(__xludf.DUMMYFUNCTION("GOOGLETRANSLATE(English!B1179, ""en"", ""bg"")"),"физика")</f>
        <v>физика</v>
      </c>
      <c r="C1179" s="1" t="str">
        <f ca="1">IFERROR(__xludf.DUMMYFUNCTION("GOOGLETRANSLATE(English!C1179, ""en"", ""bg"")"),"средата")</f>
        <v>средата</v>
      </c>
      <c r="D1179" s="1" t="str">
        <f ca="1">IFERROR(__xludf.DUMMYFUNCTION("GOOGLETRANSLATE(English!D1179, ""en"", ""bg"")"),"вълни")</f>
        <v>вълни</v>
      </c>
      <c r="E1179" s="1" t="str">
        <f ca="1">IFERROR(__xludf.DUMMYFUNCTION("GOOGLETRANSLATE(English!E1179, ""en"", ""bg"")"),"Трябва да разбера вълните за изпита си.")</f>
        <v>Трябва да разбера вълните за изпита си.</v>
      </c>
      <c r="F1179" s="1" t="str">
        <f ca="1">IFERROR(__xludf.DUMMYFUNCTION("GOOGLETRANSLATE(English!F1179,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1179" s="1" t="str">
        <f ca="1">IFERROR(__xludf.DUMMYFUNCTION("GOOGLETRANSLATE(English!G1179, ""en"", ""bg"")"),"помощ_за_домашно_изпълнение")</f>
        <v>помощ_за_домашно_изпълнение</v>
      </c>
      <c r="H1179" s="1" t="str">
        <f ca="1">IFERROR(__xludf.DUMMYFUNCTION("GOOGLETRANSLATE(English!H1179, ""en"", ""bg"")"),"помощ_за_домашно_задаване")</f>
        <v>помощ_за_домашно_задаване</v>
      </c>
    </row>
    <row r="1180" spans="1:8" ht="13.2" x14ac:dyDescent="0.25">
      <c r="A1180" s="1" t="str">
        <f ca="1">IFERROR(__xludf.DUMMYFUNCTION("GOOGLETRANSLATE(English!A1180, ""en"", ""bg"")"),"conv_00946")</f>
        <v>conv_00946</v>
      </c>
      <c r="B1180" s="1" t="str">
        <f ca="1">IFERROR(__xludf.DUMMYFUNCTION("GOOGLETRANSLATE(English!B1180, ""en"", ""bg"")"),"физика")</f>
        <v>физика</v>
      </c>
      <c r="C1180" s="1" t="str">
        <f ca="1">IFERROR(__xludf.DUMMYFUNCTION("GOOGLETRANSLATE(English!C1180, ""en"", ""bg"")"),"елементарен")</f>
        <v>елементарен</v>
      </c>
      <c r="D1180" s="1" t="str">
        <f ca="1">IFERROR(__xludf.DUMMYFUNCTION("GOOGLETRANSLATE(English!D1180, ""en"", ""bg"")"),"светлина и сянка")</f>
        <v>светлина и сянка</v>
      </c>
      <c r="E1180" s="1" t="str">
        <f ca="1">IFERROR(__xludf.DUMMYFUNCTION("GOOGLETRANSLATE(English!E1180, ""en"", ""bg"")"),"Не разбирам тази тема. Как се правят сенките?")</f>
        <v>Не разбирам тази тема. Как се правят сенките?</v>
      </c>
      <c r="F1180" s="1" t="str">
        <f ca="1">IFERROR(__xludf.DUMMYFUNCTION("GOOGLETRANSLATE(English!F1180,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1180" s="1" t="str">
        <f ca="1">IFERROR(__xludf.DUMMYFUNCTION("GOOGLETRANSLATE(English!G1180, ""en"", ""bg"")"),"разговор")</f>
        <v>разговор</v>
      </c>
      <c r="H1180" s="1" t="str">
        <f ca="1">IFERROR(__xludf.DUMMYFUNCTION("GOOGLETRANSLATE(English!H1180, ""en"", ""bg"")"),"образователна_помощ")</f>
        <v>образователна_помощ</v>
      </c>
    </row>
    <row r="1181" spans="1:8" ht="13.2" x14ac:dyDescent="0.25">
      <c r="A1181" s="1" t="str">
        <f ca="1">IFERROR(__xludf.DUMMYFUNCTION("GOOGLETRANSLATE(English!A1181, ""en"", ""bg"")"),"conv_19996")</f>
        <v>conv_19996</v>
      </c>
      <c r="B1181" s="1" t="str">
        <f ca="1">IFERROR(__xludf.DUMMYFUNCTION("GOOGLETRANSLATE(English!B1181, ""en"", ""bg"")"),"физика")</f>
        <v>физика</v>
      </c>
      <c r="C1181" s="1" t="str">
        <f ca="1">IFERROR(__xludf.DUMMYFUNCTION("GOOGLETRANSLATE(English!C1181, ""en"", ""bg"")"),"елементарен")</f>
        <v>елементарен</v>
      </c>
      <c r="D1181" s="1" t="str">
        <f ca="1">IFERROR(__xludf.DUMMYFUNCTION("GOOGLETRANSLATE(English!D1181, ""en"", ""bg"")"),"горещо и студено")</f>
        <v>горещо и студено</v>
      </c>
      <c r="E1181" s="1" t="str">
        <f ca="1">IFERROR(__xludf.DUMMYFUNCTION("GOOGLETRANSLATE(English!E1181, ""en"", ""bg"")"),"Имам научен въпрос. Можете ли да ми обясните какво е топло и студено?")</f>
        <v>Имам научен въпрос. Можете ли да ми обясните какво е топло и студено?</v>
      </c>
      <c r="F1181" s="1" t="str">
        <f ca="1">IFERROR(__xludf.DUMMYFUNCTION("GOOGLETRANSLATE(English!F1181,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1181" s="1" t="str">
        <f ca="1">IFERROR(__xludf.DUMMYFUNCTION("GOOGLETRANSLATE(English!G1181, ""en"", ""bg"")"),"разговор")</f>
        <v>разговор</v>
      </c>
      <c r="H1181" s="1" t="str">
        <f ca="1">IFERROR(__xludf.DUMMYFUNCTION("GOOGLETRANSLATE(English!H1181, ""en"", ""bg"")"),"образователна_помощ")</f>
        <v>образователна_помощ</v>
      </c>
    </row>
    <row r="1182" spans="1:8" ht="13.2" x14ac:dyDescent="0.25">
      <c r="A1182" s="1" t="str">
        <f ca="1">IFERROR(__xludf.DUMMYFUNCTION("GOOGLETRANSLATE(English!A1182, ""en"", ""bg"")"),"conv_02362")</f>
        <v>conv_02362</v>
      </c>
      <c r="B1182" s="1" t="str">
        <f ca="1">IFERROR(__xludf.DUMMYFUNCTION("GOOGLETRANSLATE(English!B1182, ""en"", ""bg"")"),"биология")</f>
        <v>биология</v>
      </c>
      <c r="C1182" s="1" t="str">
        <f ca="1">IFERROR(__xludf.DUMMYFUNCTION("GOOGLETRANSLATE(English!C1182, ""en"", ""bg"")"),"средата")</f>
        <v>средата</v>
      </c>
      <c r="D1182" s="1" t="str">
        <f ca="1">IFERROR(__xludf.DUMMYFUNCTION("GOOGLETRANSLATE(English!D1182, ""en"", ""bg"")"),"класификация")</f>
        <v>класификация</v>
      </c>
      <c r="E1182" s="1" t="str">
        <f ca="1">IFERROR(__xludf.DUMMYFUNCTION("GOOGLETRANSLATE(English!E1182, ""en"", ""bg"")"),"Помогнете ми да уча за теста си. Какво е важно да знаем за класификацията?")</f>
        <v>Помогнете ми да уча за теста си. Какво е важно да знаем за класификацията?</v>
      </c>
      <c r="F1182" s="1" t="str">
        <f ca="1">IFERROR(__xludf.DUMMYFUNCTION("GOOGLETRANSLATE(English!F1182,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1182" s="1" t="str">
        <f ca="1">IFERROR(__xludf.DUMMYFUNCTION("GOOGLETRANSLATE(English!G1182, ""en"", ""bg"")"),"разговор")</f>
        <v>разговор</v>
      </c>
      <c r="H1182" s="1" t="str">
        <f ca="1">IFERROR(__xludf.DUMMYFUNCTION("GOOGLETRANSLATE(English!H1182, ""en"", ""bg"")"),"образователна_помощ")</f>
        <v>образователна_помощ</v>
      </c>
    </row>
    <row r="1183" spans="1:8" ht="13.2" x14ac:dyDescent="0.25">
      <c r="A1183" s="1" t="str">
        <f ca="1">IFERROR(__xludf.DUMMYFUNCTION("GOOGLETRANSLATE(English!A1183, ""en"", ""bg"")"),"hw_11615")</f>
        <v>hw_11615</v>
      </c>
      <c r="B1183" s="1" t="str">
        <f ca="1">IFERROR(__xludf.DUMMYFUNCTION("GOOGLETRANSLATE(English!B1183, ""en"", ""bg"")"),"биология")</f>
        <v>биология</v>
      </c>
      <c r="C1183" s="1" t="str">
        <f ca="1">IFERROR(__xludf.DUMMYFUNCTION("GOOGLETRANSLATE(English!C1183, ""en"", ""bg"")"),"елементарен")</f>
        <v>елементарен</v>
      </c>
      <c r="D1183" s="1" t="str">
        <f ca="1">IFERROR(__xludf.DUMMYFUNCTION("GOOGLETRANSLATE(English!D1183, ""en"", ""bg"")"),"домашни любимци срещу диви животни")</f>
        <v>домашни любимци срещу диви животни</v>
      </c>
      <c r="E1183" s="1" t="str">
        <f ca="1">IFERROR(__xludf.DUMMYFUNCTION("GOOGLETRANSLATE(English!E1183, ""en"", ""bg"")"),"Домашното ми пита за домашни любимци срещу диви животни. Не го разбирам.")</f>
        <v>Домашното ми пита за домашни любимци срещу диви животни. Не го разбирам.</v>
      </c>
      <c r="F1183" s="1" t="str">
        <f ca="1">IFERROR(__xludf.DUMMYFUNCTION("GOOGLETRANSLATE(English!F1183,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1183" s="1" t="str">
        <f ca="1">IFERROR(__xludf.DUMMYFUNCTION("GOOGLETRANSLATE(English!G1183, ""en"", ""bg"")"),"помощ_за_домашно_изпълнение")</f>
        <v>помощ_за_домашно_изпълнение</v>
      </c>
      <c r="H1183" s="1" t="str">
        <f ca="1">IFERROR(__xludf.DUMMYFUNCTION("GOOGLETRANSLATE(English!H1183, ""en"", ""bg"")"),"помощ_за_домашно_задаване")</f>
        <v>помощ_за_домашно_задаване</v>
      </c>
    </row>
    <row r="1184" spans="1:8" ht="13.2" x14ac:dyDescent="0.25">
      <c r="A1184" s="1" t="str">
        <f ca="1">IFERROR(__xludf.DUMMYFUNCTION("GOOGLETRANSLATE(English!A1184, ""en"", ""bg"")"),"qa_03897")</f>
        <v>qa_03897</v>
      </c>
      <c r="B1184" s="1" t="str">
        <f ca="1">IFERROR(__xludf.DUMMYFUNCTION("GOOGLETRANSLATE(English!B1184, ""en"", ""bg"")"),"химия")</f>
        <v>химия</v>
      </c>
      <c r="C1184" s="1" t="str">
        <f ca="1">IFERROR(__xludf.DUMMYFUNCTION("GOOGLETRANSLATE(English!C1184, ""en"", ""bg"")"),"средата")</f>
        <v>средата</v>
      </c>
      <c r="D1184" s="1" t="str">
        <f ca="1">IFERROR(__xludf.DUMMYFUNCTION("GOOGLETRANSLATE(English!D1184, ""en"", ""bg"")"),"химични промени")</f>
        <v>химични промени</v>
      </c>
      <c r="E1184" s="1" t="str">
        <f ca="1">IFERROR(__xludf.DUMMYFUNCTION("GOOGLETRANSLATE(English!E1184, ""en"", ""bg"")"),"Защо е важно да се изучават химичните промени?")</f>
        <v>Защо е важно да се изучават химичните промени?</v>
      </c>
      <c r="F1184" s="1" t="str">
        <f ca="1">IFERROR(__xludf.DUMMYFUNCTION("GOOGLETRANSLATE(English!F1184,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1184" s="1" t="str">
        <f ca="1">IFERROR(__xludf.DUMMYFUNCTION("GOOGLETRANSLATE(English!G1184, ""en"", ""bg"")"),"direct_qa")</f>
        <v>direct_qa</v>
      </c>
      <c r="H1184" s="1" t="str">
        <f ca="1">IFERROR(__xludf.DUMMYFUNCTION("GOOGLETRANSLATE(English!H1184, ""en"", ""bg"")"),"заявка_за_знание")</f>
        <v>заявка_за_знание</v>
      </c>
    </row>
    <row r="1185" spans="1:8" ht="13.2" x14ac:dyDescent="0.25">
      <c r="A1185" s="1" t="str">
        <f ca="1">IFERROR(__xludf.DUMMYFUNCTION("GOOGLETRANSLATE(English!A1185, ""en"", ""bg"")"),"hw_03164")</f>
        <v>hw_03164</v>
      </c>
      <c r="B1185" s="1" t="str">
        <f ca="1">IFERROR(__xludf.DUMMYFUNCTION("GOOGLETRANSLATE(English!B1185, ""en"", ""bg"")"),"химия")</f>
        <v>химия</v>
      </c>
      <c r="C1185" s="1" t="str">
        <f ca="1">IFERROR(__xludf.DUMMYFUNCTION("GOOGLETRANSLATE(English!C1185, ""en"", ""bg"")"),"високо")</f>
        <v>високо</v>
      </c>
      <c r="D1185" s="1" t="str">
        <f ca="1">IFERROR(__xludf.DUMMYFUNCTION("GOOGLETRANSLATE(English!D1185, ""en"", ""bg"")"),"стехиометрия")</f>
        <v>стехиометрия</v>
      </c>
      <c r="E1185" s="1" t="str">
        <f ca="1">IFERROR(__xludf.DUMMYFUNCTION("GOOGLETRANSLATE(English!E1185, ""en"", ""bg"")"),"Докладът ми по химия е за стехиометрията. Помогнете ми да разбера.")</f>
        <v>Докладът ми по химия е за стехиометрията. Помогнете ми да разбера.</v>
      </c>
      <c r="F1185" s="1" t="str">
        <f ca="1">IFERROR(__xludf.DUMMYFUNCTION("GOOGLETRANSLATE(English!F1185,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185" s="1" t="str">
        <f ca="1">IFERROR(__xludf.DUMMYFUNCTION("GOOGLETRANSLATE(English!G1185, ""en"", ""bg"")"),"помощ_за_домашно_изпълнение")</f>
        <v>помощ_за_домашно_изпълнение</v>
      </c>
      <c r="H1185" s="1" t="str">
        <f ca="1">IFERROR(__xludf.DUMMYFUNCTION("GOOGLETRANSLATE(English!H1185, ""en"", ""bg"")"),"помощ_за_домашно_задаване")</f>
        <v>помощ_за_домашно_задаване</v>
      </c>
    </row>
    <row r="1186" spans="1:8" ht="13.2" x14ac:dyDescent="0.25">
      <c r="A1186" s="1" t="str">
        <f ca="1">IFERROR(__xludf.DUMMYFUNCTION("GOOGLETRANSLATE(English!A1186, ""en"", ""bg"")"),"qa_08997")</f>
        <v>qa_08997</v>
      </c>
      <c r="B1186" s="1" t="str">
        <f ca="1">IFERROR(__xludf.DUMMYFUNCTION("GOOGLETRANSLATE(English!B1186, ""en"", ""bg"")"),"биология")</f>
        <v>биология</v>
      </c>
      <c r="C1186" s="1" t="str">
        <f ca="1">IFERROR(__xludf.DUMMYFUNCTION("GOOGLETRANSLATE(English!C1186, ""en"", ""bg"")"),"елементарен")</f>
        <v>елементарен</v>
      </c>
      <c r="D1186" s="1" t="str">
        <f ca="1">IFERROR(__xludf.DUMMYFUNCTION("GOOGLETRANSLATE(English!D1186, ""en"", ""bg"")"),"жизнени цикли")</f>
        <v>жизнени цикли</v>
      </c>
      <c r="E1186" s="1" t="str">
        <f ca="1">IFERROR(__xludf.DUMMYFUNCTION("GOOGLETRANSLATE(English!E1186, ""en"", ""bg"")"),"Какво е важно да знаем за жизнените цикли?")</f>
        <v>Какво е важно да знаем за жизнените цикли?</v>
      </c>
      <c r="F1186" s="1" t="str">
        <f ca="1">IFERROR(__xludf.DUMMYFUNCTION("GOOGLETRANSLATE(English!F1186,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1186" s="1" t="str">
        <f ca="1">IFERROR(__xludf.DUMMYFUNCTION("GOOGLETRANSLATE(English!G1186, ""en"", ""bg"")"),"direct_qa")</f>
        <v>direct_qa</v>
      </c>
      <c r="H1186" s="1" t="str">
        <f ca="1">IFERROR(__xludf.DUMMYFUNCTION("GOOGLETRANSLATE(English!H1186, ""en"", ""bg"")"),"заявка_за_знание")</f>
        <v>заявка_за_знание</v>
      </c>
    </row>
    <row r="1187" spans="1:8" ht="13.2" x14ac:dyDescent="0.25">
      <c r="A1187" s="1" t="str">
        <f ca="1">IFERROR(__xludf.DUMMYFUNCTION("GOOGLETRANSLATE(English!A1187, ""en"", ""bg"")"),"qa_06670")</f>
        <v>qa_06670</v>
      </c>
      <c r="B1187" s="1" t="str">
        <f ca="1">IFERROR(__xludf.DUMMYFUNCTION("GOOGLETRANSLATE(English!B1187, ""en"", ""bg"")"),"биология")</f>
        <v>биология</v>
      </c>
      <c r="C1187" s="1" t="str">
        <f ca="1">IFERROR(__xludf.DUMMYFUNCTION("GOOGLETRANSLATE(English!C1187, ""en"", ""bg"")"),"средата")</f>
        <v>средата</v>
      </c>
      <c r="D1187" s="1" t="str">
        <f ca="1">IFERROR(__xludf.DUMMYFUNCTION("GOOGLETRANSLATE(English!D1187, ""en"", ""bg"")"),"основи на генетиката")</f>
        <v>основи на генетиката</v>
      </c>
      <c r="E1187" s="1" t="str">
        <f ca="1">IFERROR(__xludf.DUMMYFUNCTION("GOOGLETRANSLATE(English!E1187, ""en"", ""bg"")"),"Защо основите на генетиката са важни в биологията?")</f>
        <v>Защо основите на генетиката са важни в биологията?</v>
      </c>
      <c r="F1187" s="1" t="str">
        <f ca="1">IFERROR(__xludf.DUMMYFUNCTION("GOOGLETRANSLATE(English!F1187,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1187" s="1" t="str">
        <f ca="1">IFERROR(__xludf.DUMMYFUNCTION("GOOGLETRANSLATE(English!G1187, ""en"", ""bg"")"),"direct_qa")</f>
        <v>direct_qa</v>
      </c>
      <c r="H1187" s="1" t="str">
        <f ca="1">IFERROR(__xludf.DUMMYFUNCTION("GOOGLETRANSLATE(English!H1187, ""en"", ""bg"")"),"заявка_за_знание")</f>
        <v>заявка_за_знание</v>
      </c>
    </row>
    <row r="1188" spans="1:8" ht="13.2" x14ac:dyDescent="0.25">
      <c r="A1188" s="1" t="str">
        <f ca="1">IFERROR(__xludf.DUMMYFUNCTION("GOOGLETRANSLATE(English!A1188, ""en"", ""bg"")"),"qa_08512")</f>
        <v>qa_08512</v>
      </c>
      <c r="B1188" s="1" t="str">
        <f ca="1">IFERROR(__xludf.DUMMYFUNCTION("GOOGLETRANSLATE(English!B1188, ""en"", ""bg"")"),"физика")</f>
        <v>физика</v>
      </c>
      <c r="C1188" s="1" t="str">
        <f ca="1">IFERROR(__xludf.DUMMYFUNCTION("GOOGLETRANSLATE(English!C1188, ""en"", ""bg"")"),"средата")</f>
        <v>средата</v>
      </c>
      <c r="D1188" s="1" t="str">
        <f ca="1">IFERROR(__xludf.DUMMYFUNCTION("GOOGLETRANSLATE(English!D1188, ""en"", ""bg"")"),"видове енергия")</f>
        <v>видове енергия</v>
      </c>
      <c r="E1188" s="1" t="str">
        <f ca="1">IFERROR(__xludf.DUMMYFUNCTION("GOOGLETRANSLATE(English!E1188, ""en"", ""bg"")"),"Какви са различните видове енергия?")</f>
        <v>Какви са различните видове енергия?</v>
      </c>
      <c r="F1188" s="1" t="str">
        <f ca="1">IFERROR(__xludf.DUMMYFUNCTION("GOOGLETRANSLATE(English!F1188,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1188" s="1" t="str">
        <f ca="1">IFERROR(__xludf.DUMMYFUNCTION("GOOGLETRANSLATE(English!G1188, ""en"", ""bg"")"),"direct_qa")</f>
        <v>direct_qa</v>
      </c>
      <c r="H1188" s="1" t="str">
        <f ca="1">IFERROR(__xludf.DUMMYFUNCTION("GOOGLETRANSLATE(English!H1188, ""en"", ""bg"")"),"заявка_за_знание")</f>
        <v>заявка_за_знание</v>
      </c>
    </row>
    <row r="1189" spans="1:8" ht="13.2" x14ac:dyDescent="0.25">
      <c r="A1189" s="1" t="str">
        <f ca="1">IFERROR(__xludf.DUMMYFUNCTION("GOOGLETRANSLATE(English!A1189, ""en"", ""bg"")"),"conv_02093")</f>
        <v>conv_02093</v>
      </c>
      <c r="B1189" s="1" t="str">
        <f ca="1">IFERROR(__xludf.DUMMYFUNCTION("GOOGLETRANSLATE(English!B1189, ""en"", ""bg"")"),"химия")</f>
        <v>химия</v>
      </c>
      <c r="C1189" s="1" t="str">
        <f ca="1">IFERROR(__xludf.DUMMYFUNCTION("GOOGLETRANSLATE(English!C1189, ""en"", ""bg"")"),"средата")</f>
        <v>средата</v>
      </c>
      <c r="D1189" s="1" t="str">
        <f ca="1">IFERROR(__xludf.DUMMYFUNCTION("GOOGLETRANSLATE(English!D1189, ""en"", ""bg"")"),"атоми и молекули")</f>
        <v>атоми и молекули</v>
      </c>
      <c r="E1189" s="1" t="str">
        <f ca="1">IFERROR(__xludf.DUMMYFUNCTION("GOOGLETRANSLATE(English!E1189, ""en"", ""bg"")"),"Можете ли да ми помогнете? От какви части се състои един атом?")</f>
        <v>Можете ли да ми помогнете? От какви части се състои един атом?</v>
      </c>
      <c r="F1189" s="1" t="str">
        <f ca="1">IFERROR(__xludf.DUMMYFUNCTION("GOOGLETRANSLATE(English!F1189,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1189" s="1" t="str">
        <f ca="1">IFERROR(__xludf.DUMMYFUNCTION("GOOGLETRANSLATE(English!G1189, ""en"", ""bg"")"),"разговор")</f>
        <v>разговор</v>
      </c>
      <c r="H1189" s="1" t="str">
        <f ca="1">IFERROR(__xludf.DUMMYFUNCTION("GOOGLETRANSLATE(English!H1189, ""en"", ""bg"")"),"образователна_помощ")</f>
        <v>образователна_помощ</v>
      </c>
    </row>
    <row r="1190" spans="1:8" ht="13.2" x14ac:dyDescent="0.25">
      <c r="A1190" s="1" t="str">
        <f ca="1">IFERROR(__xludf.DUMMYFUNCTION("GOOGLETRANSLATE(English!A1190, ""en"", ""bg"")"),"qa_00906")</f>
        <v>qa_00906</v>
      </c>
      <c r="B1190" s="1" t="str">
        <f ca="1">IFERROR(__xludf.DUMMYFUNCTION("GOOGLETRANSLATE(English!B1190, ""en"", ""bg"")"),"биология")</f>
        <v>биология</v>
      </c>
      <c r="C1190" s="1" t="str">
        <f ca="1">IFERROR(__xludf.DUMMYFUNCTION("GOOGLETRANSLATE(English!C1190, ""en"", ""bg"")"),"елементарен")</f>
        <v>елементарен</v>
      </c>
      <c r="D1190" s="1" t="str">
        <f ca="1">IFERROR(__xludf.DUMMYFUNCTION("GOOGLETRANSLATE(English!D1190, ""en"", ""bg"")"),"растения")</f>
        <v>растения</v>
      </c>
      <c r="E1190" s="1" t="str">
        <f ca="1">IFERROR(__xludf.DUMMYFUNCTION("GOOGLETRANSLATE(English!E1190, ""en"", ""bg"")"),"Как семената пътуват до нови места?")</f>
        <v>Как семената пътуват до нови места?</v>
      </c>
      <c r="F1190" s="1" t="str">
        <f ca="1">IFERROR(__xludf.DUMMYFUNCTION("GOOGLETRANSLATE(English!F1190,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1190" s="1" t="str">
        <f ca="1">IFERROR(__xludf.DUMMYFUNCTION("GOOGLETRANSLATE(English!G1190, ""en"", ""bg"")"),"direct_qa")</f>
        <v>direct_qa</v>
      </c>
      <c r="H1190" s="1" t="str">
        <f ca="1">IFERROR(__xludf.DUMMYFUNCTION("GOOGLETRANSLATE(English!H1190, ""en"", ""bg"")"),"заявка_за_знание")</f>
        <v>заявка_за_знание</v>
      </c>
    </row>
    <row r="1191" spans="1:8" ht="13.2" x14ac:dyDescent="0.25">
      <c r="A1191" s="1" t="str">
        <f ca="1">IFERROR(__xludf.DUMMYFUNCTION("GOOGLETRANSLATE(English!A1191, ""en"", ""bg"")"),"hw_00896")</f>
        <v>hw_00896</v>
      </c>
      <c r="B1191" s="1" t="str">
        <f ca="1">IFERROR(__xludf.DUMMYFUNCTION("GOOGLETRANSLATE(English!B1191, ""en"", ""bg"")"),"физика")</f>
        <v>физика</v>
      </c>
      <c r="C1191" s="1" t="str">
        <f ca="1">IFERROR(__xludf.DUMMYFUNCTION("GOOGLETRANSLATE(English!C1191, ""en"", ""bg"")"),"средата")</f>
        <v>средата</v>
      </c>
      <c r="D1191" s="1" t="str">
        <f ca="1">IFERROR(__xludf.DUMMYFUNCTION("GOOGLETRANSLATE(English!D1191, ""en"", ""bg"")"),"състояния на материята")</f>
        <v>състояния на материята</v>
      </c>
      <c r="E1191" s="1" t="str">
        <f ca="1">IFERROR(__xludf.DUMMYFUNCTION("GOOGLETRANSLATE(English!E1191, ""en"", ""bg"")"),"Заседнал съм с този проблем със състоянията на материята. Можете ли да помогнете?")</f>
        <v>Заседнал съм с този проблем със състоянията на материята. Можете ли да помогнете?</v>
      </c>
      <c r="F1191" s="1" t="str">
        <f ca="1">IFERROR(__xludf.DUMMYFUNCTION("GOOGLETRANSLATE(English!F1191,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1191" s="1" t="str">
        <f ca="1">IFERROR(__xludf.DUMMYFUNCTION("GOOGLETRANSLATE(English!G1191, ""en"", ""bg"")"),"помощ_за_домашно_изпълнение")</f>
        <v>помощ_за_домашно_изпълнение</v>
      </c>
      <c r="H1191" s="1" t="str">
        <f ca="1">IFERROR(__xludf.DUMMYFUNCTION("GOOGLETRANSLATE(English!H1191, ""en"", ""bg"")"),"помощ_за_домашно_задаване")</f>
        <v>помощ_за_домашно_задаване</v>
      </c>
    </row>
    <row r="1192" spans="1:8" ht="13.2" x14ac:dyDescent="0.25">
      <c r="A1192" s="1" t="str">
        <f ca="1">IFERROR(__xludf.DUMMYFUNCTION("GOOGLETRANSLATE(English!A1192, ""en"", ""bg"")"),"conv_02943")</f>
        <v>conv_02943</v>
      </c>
      <c r="B1192" s="1" t="str">
        <f ca="1">IFERROR(__xludf.DUMMYFUNCTION("GOOGLETRANSLATE(English!B1192, ""en"", ""bg"")"),"физика")</f>
        <v>физика</v>
      </c>
      <c r="C1192" s="1" t="str">
        <f ca="1">IFERROR(__xludf.DUMMYFUNCTION("GOOGLETRANSLATE(English!C1192, ""en"", ""bg"")"),"елементарен")</f>
        <v>елементарен</v>
      </c>
      <c r="D1192" s="1" t="str">
        <f ca="1">IFERROR(__xludf.DUMMYFUNCTION("GOOGLETRANSLATE(English!D1192, ""en"", ""bg"")"),"горещо и студено")</f>
        <v>горещо и студено</v>
      </c>
      <c r="E1192" s="1" t="str">
        <f ca="1">IFERROR(__xludf.DUMMYFUNCTION("GOOGLETRANSLATE(English!E1192, ""en"", ""bg"")"),"Помогнете ми да уча за теста си. Защо топлото и студеното са важни?")</f>
        <v>Помогнете ми да уча за теста си. Защо топлото и студеното са важни?</v>
      </c>
      <c r="F1192" s="1" t="str">
        <f ca="1">IFERROR(__xludf.DUMMYFUNCTION("GOOGLETRANSLATE(English!F1192,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1192" s="1" t="str">
        <f ca="1">IFERROR(__xludf.DUMMYFUNCTION("GOOGLETRANSLATE(English!G1192, ""en"", ""bg"")"),"разговор")</f>
        <v>разговор</v>
      </c>
      <c r="H1192" s="1" t="str">
        <f ca="1">IFERROR(__xludf.DUMMYFUNCTION("GOOGLETRANSLATE(English!H1192, ""en"", ""bg"")"),"образователна_помощ")</f>
        <v>образователна_помощ</v>
      </c>
    </row>
    <row r="1193" spans="1:8" ht="13.2" x14ac:dyDescent="0.25">
      <c r="A1193" s="1" t="str">
        <f ca="1">IFERROR(__xludf.DUMMYFUNCTION("GOOGLETRANSLATE(English!A1193, ""en"", ""bg"")"),"qa_07181")</f>
        <v>qa_07181</v>
      </c>
      <c r="B1193" s="1" t="str">
        <f ca="1">IFERROR(__xludf.DUMMYFUNCTION("GOOGLETRANSLATE(English!B1193, ""en"", ""bg"")"),"химия")</f>
        <v>химия</v>
      </c>
      <c r="C1193" s="1" t="str">
        <f ca="1">IFERROR(__xludf.DUMMYFUNCTION("GOOGLETRANSLATE(English!C1193, ""en"", ""bg"")"),"елементарен")</f>
        <v>елементарен</v>
      </c>
      <c r="D1193" s="1" t="str">
        <f ca="1">IFERROR(__xludf.DUMMYFUNCTION("GOOGLETRANSLATE(English!D1193, ""en"", ""bg"")"),"разтваряне")</f>
        <v>разтваряне</v>
      </c>
      <c r="E1193" s="1" t="str">
        <f ca="1">IFERROR(__xludf.DUMMYFUNCTION("GOOGLETRANSLATE(English!E1193, ""en"", ""bg"")"),"Какво е разтварянето?")</f>
        <v>Какво е разтварянето?</v>
      </c>
      <c r="F1193" s="1" t="str">
        <f ca="1">IFERROR(__xludf.DUMMYFUNCTION("GOOGLETRANSLATE(English!F1193,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1193" s="1" t="str">
        <f ca="1">IFERROR(__xludf.DUMMYFUNCTION("GOOGLETRANSLATE(English!G1193, ""en"", ""bg"")"),"direct_qa")</f>
        <v>direct_qa</v>
      </c>
      <c r="H1193" s="1" t="str">
        <f ca="1">IFERROR(__xludf.DUMMYFUNCTION("GOOGLETRANSLATE(English!H1193, ""en"", ""bg"")"),"заявка_за_знание")</f>
        <v>заявка_за_знание</v>
      </c>
    </row>
    <row r="1194" spans="1:8" ht="13.2" x14ac:dyDescent="0.25">
      <c r="A1194" s="1" t="str">
        <f ca="1">IFERROR(__xludf.DUMMYFUNCTION("GOOGLETRANSLATE(English!A1194, ""en"", ""bg"")"),"conv_00255")</f>
        <v>conv_00255</v>
      </c>
      <c r="B1194" s="1" t="str">
        <f ca="1">IFERROR(__xludf.DUMMYFUNCTION("GOOGLETRANSLATE(English!B1194, ""en"", ""bg"")"),"химия")</f>
        <v>химия</v>
      </c>
      <c r="C1194" s="1" t="str">
        <f ca="1">IFERROR(__xludf.DUMMYFUNCTION("GOOGLETRANSLATE(English!C1194, ""en"", ""bg"")"),"елементарен")</f>
        <v>елементарен</v>
      </c>
      <c r="D1194" s="1" t="str">
        <f ca="1">IFERROR(__xludf.DUMMYFUNCTION("GOOGLETRANSLATE(English!D1194, ""en"", ""bg"")"),"безопасност")</f>
        <v>безопасност</v>
      </c>
      <c r="E1194" s="1" t="str">
        <f ca="1">IFERROR(__xludf.DUMMYFUNCTION("GOOGLETRANSLATE(English!E1194, ""en"", ""bg"")"),"Помогнете ми да уча за теста си. Защо е важно да се учим с безопасност?")</f>
        <v>Помогнете ми да уча за теста си. Защо е важно да се учим с безопасност?</v>
      </c>
      <c r="F1194" s="1" t="str">
        <f ca="1">IFERROR(__xludf.DUMMYFUNCTION("GOOGLETRANSLATE(English!F1194,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1194" s="1" t="str">
        <f ca="1">IFERROR(__xludf.DUMMYFUNCTION("GOOGLETRANSLATE(English!G1194, ""en"", ""bg"")"),"разговор")</f>
        <v>разговор</v>
      </c>
      <c r="H1194" s="1" t="str">
        <f ca="1">IFERROR(__xludf.DUMMYFUNCTION("GOOGLETRANSLATE(English!H1194, ""en"", ""bg"")"),"образователна_помощ")</f>
        <v>образователна_помощ</v>
      </c>
    </row>
    <row r="1195" spans="1:8" ht="13.2" x14ac:dyDescent="0.25">
      <c r="A1195" s="1" t="str">
        <f ca="1">IFERROR(__xludf.DUMMYFUNCTION("GOOGLETRANSLATE(English!A1195, ""en"", ""bg"")"),"hw_14603")</f>
        <v>hw_14603</v>
      </c>
      <c r="B1195" s="1" t="str">
        <f ca="1">IFERROR(__xludf.DUMMYFUNCTION("GOOGLETRANSLATE(English!B1195, ""en"", ""bg"")"),"физика")</f>
        <v>физика</v>
      </c>
      <c r="C1195" s="1" t="str">
        <f ca="1">IFERROR(__xludf.DUMMYFUNCTION("GOOGLETRANSLATE(English!C1195, ""en"", ""bg"")"),"високо")</f>
        <v>високо</v>
      </c>
      <c r="D1195" s="1" t="str">
        <f ca="1">IFERROR(__xludf.DUMMYFUNCTION("GOOGLETRANSLATE(English!D1195, ""en"", ""bg"")"),"термодинамика")</f>
        <v>термодинамика</v>
      </c>
      <c r="E1195" s="1" t="str">
        <f ca="1">IFERROR(__xludf.DUMMYFUNCTION("GOOGLETRANSLATE(English!E1195, ""en"", ""bg"")"),"Трябва да разбирам термодинамиката за изпита си.")</f>
        <v>Трябва да разбирам термодинамиката за изпита си.</v>
      </c>
      <c r="F1195" s="1" t="str">
        <f ca="1">IFERROR(__xludf.DUMMYFUNCTION("GOOGLETRANSLATE(English!F1195,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1195" s="1" t="str">
        <f ca="1">IFERROR(__xludf.DUMMYFUNCTION("GOOGLETRANSLATE(English!G1195, ""en"", ""bg"")"),"помощ_за_домашно_изпълнение")</f>
        <v>помощ_за_домашно_изпълнение</v>
      </c>
      <c r="H1195" s="1" t="str">
        <f ca="1">IFERROR(__xludf.DUMMYFUNCTION("GOOGLETRANSLATE(English!H1195, ""en"", ""bg"")"),"помощ_за_домашно_задаване")</f>
        <v>помощ_за_домашно_задаване</v>
      </c>
    </row>
    <row r="1196" spans="1:8" ht="13.2" x14ac:dyDescent="0.25">
      <c r="A1196" s="1" t="str">
        <f ca="1">IFERROR(__xludf.DUMMYFUNCTION("GOOGLETRANSLATE(English!A1196, ""en"", ""bg"")"),"hw_11759")</f>
        <v>hw_11759</v>
      </c>
      <c r="B1196" s="1" t="str">
        <f ca="1">IFERROR(__xludf.DUMMYFUNCTION("GOOGLETRANSLATE(English!B1196, ""en"", ""bg"")"),"химия")</f>
        <v>химия</v>
      </c>
      <c r="C1196" s="1" t="str">
        <f ca="1">IFERROR(__xludf.DUMMYFUNCTION("GOOGLETRANSLATE(English!C1196, ""en"", ""bg"")"),"елементарен")</f>
        <v>елементарен</v>
      </c>
      <c r="D1196" s="1" t="str">
        <f ca="1">IFERROR(__xludf.DUMMYFUNCTION("GOOGLETRANSLATE(English!D1196, ""en"", ""bg"")"),"промени в материалите")</f>
        <v>промени в материалите</v>
      </c>
      <c r="E1196" s="1" t="str">
        <f ca="1">IFERROR(__xludf.DUMMYFUNCTION("GOOGLETRANSLATE(English!E1196,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1196" s="1" t="str">
        <f ca="1">IFERROR(__xludf.DUMMYFUNCTION("GOOGLETRANSLATE(English!F1196,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196" s="1" t="str">
        <f ca="1">IFERROR(__xludf.DUMMYFUNCTION("GOOGLETRANSLATE(English!G1196, ""en"", ""bg"")"),"помощ_за_домашно_изпълнение")</f>
        <v>помощ_за_домашно_изпълнение</v>
      </c>
      <c r="H1196" s="1" t="str">
        <f ca="1">IFERROR(__xludf.DUMMYFUNCTION("GOOGLETRANSLATE(English!H1196, ""en"", ""bg"")"),"помощ_за_домашно_задаване")</f>
        <v>помощ_за_домашно_задаване</v>
      </c>
    </row>
    <row r="1197" spans="1:8" ht="13.2" x14ac:dyDescent="0.25">
      <c r="A1197" s="1" t="str">
        <f ca="1">IFERROR(__xludf.DUMMYFUNCTION("GOOGLETRANSLATE(English!A1197, ""en"", ""bg"")"),"conv_07014")</f>
        <v>conv_07014</v>
      </c>
      <c r="B1197" s="1" t="str">
        <f ca="1">IFERROR(__xludf.DUMMYFUNCTION("GOOGLETRANSLATE(English!B1197, ""en"", ""bg"")"),"физика")</f>
        <v>физика</v>
      </c>
      <c r="C1197" s="1" t="str">
        <f ca="1">IFERROR(__xludf.DUMMYFUNCTION("GOOGLETRANSLATE(English!C1197, ""en"", ""bg"")"),"елементарен")</f>
        <v>елементарен</v>
      </c>
      <c r="D1197" s="1" t="str">
        <f ca="1">IFERROR(__xludf.DUMMYFUNCTION("GOOGLETRANSLATE(English!D1197, ""en"", ""bg"")"),"магнити")</f>
        <v>магнити</v>
      </c>
      <c r="E1197" s="1" t="str">
        <f ca="1">IFERROR(__xludf.DUMMYFUNCTION("GOOGLETRANSLATE(English!E1197, ""en"", ""bg"")"),"Можете ли да ми обясните това? Защо някои неща се залепват за магнити?")</f>
        <v>Можете ли да ми обясните това? Защо някои неща се залепват за магнити?</v>
      </c>
      <c r="F1197" s="1" t="str">
        <f ca="1">IFERROR(__xludf.DUMMYFUNCTION("GOOGLETRANSLATE(English!F1197,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1197" s="1" t="str">
        <f ca="1">IFERROR(__xludf.DUMMYFUNCTION("GOOGLETRANSLATE(English!G1197, ""en"", ""bg"")"),"разговор")</f>
        <v>разговор</v>
      </c>
      <c r="H1197" s="1" t="str">
        <f ca="1">IFERROR(__xludf.DUMMYFUNCTION("GOOGLETRANSLATE(English!H1197, ""en"", ""bg"")"),"образователна_помощ")</f>
        <v>образователна_помощ</v>
      </c>
    </row>
    <row r="1198" spans="1:8" ht="13.2" x14ac:dyDescent="0.25">
      <c r="A1198" s="1" t="str">
        <f ca="1">IFERROR(__xludf.DUMMYFUNCTION("GOOGLETRANSLATE(English!A1198, ""en"", ""bg"")"),"conv_07065")</f>
        <v>conv_07065</v>
      </c>
      <c r="B1198" s="1" t="str">
        <f ca="1">IFERROR(__xludf.DUMMYFUNCTION("GOOGLETRANSLATE(English!B1198, ""en"", ""bg"")"),"биология")</f>
        <v>биология</v>
      </c>
      <c r="C1198" s="1" t="str">
        <f ca="1">IFERROR(__xludf.DUMMYFUNCTION("GOOGLETRANSLATE(English!C1198, ""en"", ""bg"")"),"елементарен")</f>
        <v>елементарен</v>
      </c>
      <c r="D1198" s="1" t="str">
        <f ca="1">IFERROR(__xludf.DUMMYFUNCTION("GOOGLETRANSLATE(English!D1198, ""en"", ""bg"")"),"сетива")</f>
        <v>сетива</v>
      </c>
      <c r="E1198" s="1" t="str">
        <f ca="1">IFERROR(__xludf.DUMMYFUNCTION("GOOGLETRANSLATE(English!E1198, ""en"", ""bg"")"),"Можете ли да ми обясните това? Какво е важно да знаем за сетивата?")</f>
        <v>Можете ли да ми обясните това? Какво е важно да знаем за сетивата?</v>
      </c>
      <c r="F1198" s="1" t="str">
        <f ca="1">IFERROR(__xludf.DUMMYFUNCTION("GOOGLETRANSLATE(English!F1198,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1198" s="1" t="str">
        <f ca="1">IFERROR(__xludf.DUMMYFUNCTION("GOOGLETRANSLATE(English!G1198, ""en"", ""bg"")"),"разговор")</f>
        <v>разговор</v>
      </c>
      <c r="H1198" s="1" t="str">
        <f ca="1">IFERROR(__xludf.DUMMYFUNCTION("GOOGLETRANSLATE(English!H1198, ""en"", ""bg"")"),"образователна_помощ")</f>
        <v>образователна_помощ</v>
      </c>
    </row>
    <row r="1199" spans="1:8" ht="13.2" x14ac:dyDescent="0.25">
      <c r="A1199" s="1" t="str">
        <f ca="1">IFERROR(__xludf.DUMMYFUNCTION("GOOGLETRANSLATE(English!A1199, ""en"", ""bg"")"),"conv_12449")</f>
        <v>conv_12449</v>
      </c>
      <c r="B1199" s="1" t="str">
        <f ca="1">IFERROR(__xludf.DUMMYFUNCTION("GOOGLETRANSLATE(English!B1199, ""en"", ""bg"")"),"химия")</f>
        <v>химия</v>
      </c>
      <c r="C1199" s="1" t="str">
        <f ca="1">IFERROR(__xludf.DUMMYFUNCTION("GOOGLETRANSLATE(English!C1199, ""en"", ""bg"")"),"средата")</f>
        <v>средата</v>
      </c>
      <c r="D1199" s="1" t="str">
        <f ca="1">IFERROR(__xludf.DUMMYFUNCTION("GOOGLETRANSLATE(English!D1199, ""en"", ""bg"")"),"киселини и основи")</f>
        <v>киселини и основи</v>
      </c>
      <c r="E1199" s="1" t="str">
        <f ca="1">IFERROR(__xludf.DUMMYFUNCTION("GOOGLETRANSLATE(English!E1199, ""en"", ""bg"")"),"Здравей, преподавателю! Как действат киселините и основите в химията?")</f>
        <v>Здравей, преподавателю! Как действат киселините и основите в химията?</v>
      </c>
      <c r="F1199" s="1" t="str">
        <f ca="1">IFERROR(__xludf.DUMMYFUNCTION("GOOGLETRANSLATE(English!F1199,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199" s="1" t="str">
        <f ca="1">IFERROR(__xludf.DUMMYFUNCTION("GOOGLETRANSLATE(English!G1199, ""en"", ""bg"")"),"разговор")</f>
        <v>разговор</v>
      </c>
      <c r="H1199" s="1" t="str">
        <f ca="1">IFERROR(__xludf.DUMMYFUNCTION("GOOGLETRANSLATE(English!H1199, ""en"", ""bg"")"),"образователна_помощ")</f>
        <v>образователна_помощ</v>
      </c>
    </row>
    <row r="1200" spans="1:8" ht="13.2" x14ac:dyDescent="0.25">
      <c r="A1200" s="1" t="str">
        <f ca="1">IFERROR(__xludf.DUMMYFUNCTION("GOOGLETRANSLATE(English!A1200, ""en"", ""bg"")"),"hw_03344")</f>
        <v>hw_03344</v>
      </c>
      <c r="B1200" s="1" t="str">
        <f ca="1">IFERROR(__xludf.DUMMYFUNCTION("GOOGLETRANSLATE(English!B1200, ""en"", ""bg"")"),"биология")</f>
        <v>биология</v>
      </c>
      <c r="C1200" s="1" t="str">
        <f ca="1">IFERROR(__xludf.DUMMYFUNCTION("GOOGLETRANSLATE(English!C1200, ""en"", ""bg"")"),"елементарен")</f>
        <v>елементарен</v>
      </c>
      <c r="D1200" s="1" t="str">
        <f ca="1">IFERROR(__xludf.DUMMYFUNCTION("GOOGLETRANSLATE(English!D1200, ""en"", ""bg"")"),"растения")</f>
        <v>растения</v>
      </c>
      <c r="E1200" s="1" t="str">
        <f ca="1">IFERROR(__xludf.DUMMYFUNCTION("GOOGLETRANSLATE(English!E1200, ""en"", ""bg"")"),"Можете ли да обясните растенията за моя научен проект?")</f>
        <v>Можете ли да обясните растенията за моя научен проект?</v>
      </c>
      <c r="F1200" s="1" t="str">
        <f ca="1">IFERROR(__xludf.DUMMYFUNCTION("GOOGLETRANSLATE(English!F1200,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1200" s="1" t="str">
        <f ca="1">IFERROR(__xludf.DUMMYFUNCTION("GOOGLETRANSLATE(English!G1200, ""en"", ""bg"")"),"помощ_за_домашно_изпълнение")</f>
        <v>помощ_за_домашно_изпълнение</v>
      </c>
      <c r="H1200" s="1" t="str">
        <f ca="1">IFERROR(__xludf.DUMMYFUNCTION("GOOGLETRANSLATE(English!H1200, ""en"", ""bg"")"),"помощ_за_домашно_задаване")</f>
        <v>помощ_за_домашно_задаване</v>
      </c>
    </row>
    <row r="1201" spans="1:8" ht="13.2" x14ac:dyDescent="0.25">
      <c r="A1201" s="1" t="str">
        <f ca="1">IFERROR(__xludf.DUMMYFUNCTION("GOOGLETRANSLATE(English!A1201, ""en"", ""bg"")"),"qa_12342")</f>
        <v>qa_12342</v>
      </c>
      <c r="B1201" s="1" t="str">
        <f ca="1">IFERROR(__xludf.DUMMYFUNCTION("GOOGLETRANSLATE(English!B1201, ""en"", ""bg"")"),"физика")</f>
        <v>физика</v>
      </c>
      <c r="C1201" s="1" t="str">
        <f ca="1">IFERROR(__xludf.DUMMYFUNCTION("GOOGLETRANSLATE(English!C1201, ""en"", ""bg"")"),"високо")</f>
        <v>високо</v>
      </c>
      <c r="D1201" s="1" t="str">
        <f ca="1">IFERROR(__xludf.DUMMYFUNCTION("GOOGLETRANSLATE(English!D1201, ""en"", ""bg"")"),"радиоактивност")</f>
        <v>радиоактивност</v>
      </c>
      <c r="E1201" s="1" t="str">
        <f ca="1">IFERROR(__xludf.DUMMYFUNCTION("GOOGLETRANSLATE(English!E1201, ""en"", ""bg"")"),"Защо радиоактивността е важна?")</f>
        <v>Защо радиоактивността е важна?</v>
      </c>
      <c r="F1201" s="1" t="str">
        <f ca="1">IFERROR(__xludf.DUMMYFUNCTION("GOOGLETRANSLATE(English!F1201,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1201" s="1" t="str">
        <f ca="1">IFERROR(__xludf.DUMMYFUNCTION("GOOGLETRANSLATE(English!G1201, ""en"", ""bg"")"),"direct_qa")</f>
        <v>direct_qa</v>
      </c>
      <c r="H1201" s="1" t="str">
        <f ca="1">IFERROR(__xludf.DUMMYFUNCTION("GOOGLETRANSLATE(English!H1201, ""en"", ""bg"")"),"заявка_за_знание")</f>
        <v>заявка_за_знание</v>
      </c>
    </row>
    <row r="1202" spans="1:8" ht="13.2" x14ac:dyDescent="0.25">
      <c r="A1202" s="1" t="str">
        <f ca="1">IFERROR(__xludf.DUMMYFUNCTION("GOOGLETRANSLATE(English!A1202, ""en"", ""bg"")"),"conv_01082")</f>
        <v>conv_01082</v>
      </c>
      <c r="B1202" s="1" t="str">
        <f ca="1">IFERROR(__xludf.DUMMYFUNCTION("GOOGLETRANSLATE(English!B1202, ""en"", ""bg"")"),"физика")</f>
        <v>физика</v>
      </c>
      <c r="C1202" s="1" t="str">
        <f ca="1">IFERROR(__xludf.DUMMYFUNCTION("GOOGLETRANSLATE(English!C1202, ""en"", ""bg"")"),"високо")</f>
        <v>високо</v>
      </c>
      <c r="D1202" s="1" t="str">
        <f ca="1">IFERROR(__xludf.DUMMYFUNCTION("GOOGLETRANSLATE(English!D1202, ""en"", ""bg"")"),"термодинамика")</f>
        <v>термодинамика</v>
      </c>
      <c r="E1202" s="1" t="str">
        <f ca="1">IFERROR(__xludf.DUMMYFUNCTION("GOOGLETRANSLATE(English!E1202, ""en"", ""bg"")"),"Не разбирам тази тема. Какво трябва да знам за термодинамиката?")</f>
        <v>Не разбирам тази тема. Какво трябва да знам за термодинамиката?</v>
      </c>
      <c r="F1202" s="1" t="str">
        <f ca="1">IFERROR(__xludf.DUMMYFUNCTION("GOOGLETRANSLATE(English!F1202,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1202" s="1" t="str">
        <f ca="1">IFERROR(__xludf.DUMMYFUNCTION("GOOGLETRANSLATE(English!G1202, ""en"", ""bg"")"),"разговор")</f>
        <v>разговор</v>
      </c>
      <c r="H1202" s="1" t="str">
        <f ca="1">IFERROR(__xludf.DUMMYFUNCTION("GOOGLETRANSLATE(English!H1202, ""en"", ""bg"")"),"образователна_помощ")</f>
        <v>образователна_помощ</v>
      </c>
    </row>
    <row r="1203" spans="1:8" ht="13.2" x14ac:dyDescent="0.25">
      <c r="A1203" s="1" t="str">
        <f ca="1">IFERROR(__xludf.DUMMYFUNCTION("GOOGLETRANSLATE(English!A1203, ""en"", ""bg"")"),"qa_10529")</f>
        <v>qa_10529</v>
      </c>
      <c r="B1203" s="1" t="str">
        <f ca="1">IFERROR(__xludf.DUMMYFUNCTION("GOOGLETRANSLATE(English!B1203, ""en"", ""bg"")"),"химия")</f>
        <v>химия</v>
      </c>
      <c r="C1203" s="1" t="str">
        <f ca="1">IFERROR(__xludf.DUMMYFUNCTION("GOOGLETRANSLATE(English!C1203, ""en"", ""bg"")"),"елементарен")</f>
        <v>елементарен</v>
      </c>
      <c r="D1203" s="1" t="str">
        <f ca="1">IFERROR(__xludf.DUMMYFUNCTION("GOOGLETRANSLATE(English!D1203, ""en"", ""bg"")"),"ежедневни химикали")</f>
        <v>ежедневни химикали</v>
      </c>
      <c r="E1203" s="1" t="str">
        <f ca="1">IFERROR(__xludf.DUMMYFUNCTION("GOOGLETRANSLATE(English!E1203, ""en"", ""bg"")"),"Как действат ежедневните химикали в химията?")</f>
        <v>Как действат ежедневните химикали в химията?</v>
      </c>
      <c r="F1203" s="1" t="str">
        <f ca="1">IFERROR(__xludf.DUMMYFUNCTION("GOOGLETRANSLATE(English!F1203,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1203" s="1" t="str">
        <f ca="1">IFERROR(__xludf.DUMMYFUNCTION("GOOGLETRANSLATE(English!G1203, ""en"", ""bg"")"),"direct_qa")</f>
        <v>direct_qa</v>
      </c>
      <c r="H1203" s="1" t="str">
        <f ca="1">IFERROR(__xludf.DUMMYFUNCTION("GOOGLETRANSLATE(English!H1203, ""en"", ""bg"")"),"заявка_за_знание")</f>
        <v>заявка_за_знание</v>
      </c>
    </row>
    <row r="1204" spans="1:8" ht="13.2" x14ac:dyDescent="0.25">
      <c r="A1204" s="1" t="str">
        <f ca="1">IFERROR(__xludf.DUMMYFUNCTION("GOOGLETRANSLATE(English!A1204, ""en"", ""bg"")"),"hw_08005")</f>
        <v>hw_08005</v>
      </c>
      <c r="B1204" s="1" t="str">
        <f ca="1">IFERROR(__xludf.DUMMYFUNCTION("GOOGLETRANSLATE(English!B1204, ""en"", ""bg"")"),"биология")</f>
        <v>биология</v>
      </c>
      <c r="C1204" s="1" t="str">
        <f ca="1">IFERROR(__xludf.DUMMYFUNCTION("GOOGLETRANSLATE(English!C1204, ""en"", ""bg"")"),"високо")</f>
        <v>високо</v>
      </c>
      <c r="D1204" s="1" t="str">
        <f ca="1">IFERROR(__xludf.DUMMYFUNCTION("GOOGLETRANSLATE(English!D1204, ""en"", ""bg"")"),"Структура на ДНК")</f>
        <v>Структура на ДНК</v>
      </c>
      <c r="E1204" s="1" t="str">
        <f ca="1">IFERROR(__xludf.DUMMYFUNCTION("GOOGLETRANSLATE(English!E1204,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1204" s="1" t="str">
        <f ca="1">IFERROR(__xludf.DUMMYFUNCTION("GOOGLETRANSLATE(English!F1204,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1204" s="1" t="str">
        <f ca="1">IFERROR(__xludf.DUMMYFUNCTION("GOOGLETRANSLATE(English!G1204, ""en"", ""bg"")"),"помощ_за_домашно_изпълнение")</f>
        <v>помощ_за_домашно_изпълнение</v>
      </c>
      <c r="H1204" s="1" t="str">
        <f ca="1">IFERROR(__xludf.DUMMYFUNCTION("GOOGLETRANSLATE(English!H1204, ""en"", ""bg"")"),"помощ_за_домашно_задаване")</f>
        <v>помощ_за_домашно_задаване</v>
      </c>
    </row>
    <row r="1205" spans="1:8" ht="13.2" x14ac:dyDescent="0.25">
      <c r="A1205" s="1" t="str">
        <f ca="1">IFERROR(__xludf.DUMMYFUNCTION("GOOGLETRANSLATE(English!A1205, ""en"", ""bg"")"),"conv_01652")</f>
        <v>conv_01652</v>
      </c>
      <c r="B1205" s="1" t="str">
        <f ca="1">IFERROR(__xludf.DUMMYFUNCTION("GOOGLETRANSLATE(English!B1205, ""en"", ""bg"")"),"химия")</f>
        <v>химия</v>
      </c>
      <c r="C1205" s="1" t="str">
        <f ca="1">IFERROR(__xludf.DUMMYFUNCTION("GOOGLETRANSLATE(English!C1205, ""en"", ""bg"")"),"елементарен")</f>
        <v>елементарен</v>
      </c>
      <c r="D1205" s="1" t="str">
        <f ca="1">IFERROR(__xludf.DUMMYFUNCTION("GOOGLETRANSLATE(English!D1205, ""en"", ""bg"")"),"разтваряне")</f>
        <v>разтваряне</v>
      </c>
      <c r="E1205" s="1" t="str">
        <f ca="1">IFERROR(__xludf.DUMMYFUNCTION("GOOGLETRANSLATE(English!E1205, ""en"", ""bg"")"),"Помогнете ми да уча за теста. Какво представлява разтварянето?")</f>
        <v>Помогнете ми да уча за теста. Какво представлява разтварянето?</v>
      </c>
      <c r="F1205" s="1" t="str">
        <f ca="1">IFERROR(__xludf.DUMMYFUNCTION("GOOGLETRANSLATE(English!F1205,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1205" s="1" t="str">
        <f ca="1">IFERROR(__xludf.DUMMYFUNCTION("GOOGLETRANSLATE(English!G1205, ""en"", ""bg"")"),"разговор")</f>
        <v>разговор</v>
      </c>
      <c r="H1205" s="1" t="str">
        <f ca="1">IFERROR(__xludf.DUMMYFUNCTION("GOOGLETRANSLATE(English!H1205, ""en"", ""bg"")"),"образователна_помощ")</f>
        <v>образователна_помощ</v>
      </c>
    </row>
    <row r="1206" spans="1:8" ht="13.2" x14ac:dyDescent="0.25">
      <c r="A1206" s="1" t="str">
        <f ca="1">IFERROR(__xludf.DUMMYFUNCTION("GOOGLETRANSLATE(English!A1206, ""en"", ""bg"")"),"hw_00843")</f>
        <v>hw_00843</v>
      </c>
      <c r="B1206" s="1" t="str">
        <f ca="1">IFERROR(__xludf.DUMMYFUNCTION("GOOGLETRANSLATE(English!B1206, ""en"", ""bg"")"),"биология")</f>
        <v>биология</v>
      </c>
      <c r="C1206" s="1" t="str">
        <f ca="1">IFERROR(__xludf.DUMMYFUNCTION("GOOGLETRANSLATE(English!C1206, ""en"", ""bg"")"),"елементарен")</f>
        <v>елементарен</v>
      </c>
      <c r="D1206" s="1" t="str">
        <f ca="1">IFERROR(__xludf.DUMMYFUNCTION("GOOGLETRANSLATE(English!D1206, ""en"", ""bg"")"),"местообитания")</f>
        <v>местообитания</v>
      </c>
      <c r="E1206" s="1" t="str">
        <f ca="1">IFERROR(__xludf.DUMMYFUNCTION("GOOGLETRANSLATE(English!E1206, ""en"", ""bg"")"),"Домашното ми пита за местообитанията. Не го разбирам.")</f>
        <v>Домашното ми пита за местообитанията. Не го разбирам.</v>
      </c>
      <c r="F1206" s="1" t="str">
        <f ca="1">IFERROR(__xludf.DUMMYFUNCTION("GOOGLETRANSLATE(English!F1206,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1206" s="1" t="str">
        <f ca="1">IFERROR(__xludf.DUMMYFUNCTION("GOOGLETRANSLATE(English!G1206, ""en"", ""bg"")"),"помощ_за_домашно_изпълнение")</f>
        <v>помощ_за_домашно_изпълнение</v>
      </c>
      <c r="H1206" s="1" t="str">
        <f ca="1">IFERROR(__xludf.DUMMYFUNCTION("GOOGLETRANSLATE(English!H1206, ""en"", ""bg"")"),"помощ_за_домашно_задаване")</f>
        <v>помощ_за_домашно_задаване</v>
      </c>
    </row>
    <row r="1207" spans="1:8" ht="13.2" x14ac:dyDescent="0.25">
      <c r="A1207" s="1" t="str">
        <f ca="1">IFERROR(__xludf.DUMMYFUNCTION("GOOGLETRANSLATE(English!A1207, ""en"", ""bg"")"),"conv_19605")</f>
        <v>conv_19605</v>
      </c>
      <c r="B1207" s="1" t="str">
        <f ca="1">IFERROR(__xludf.DUMMYFUNCTION("GOOGLETRANSLATE(English!B1207, ""en"", ""bg"")"),"биология")</f>
        <v>биология</v>
      </c>
      <c r="C1207" s="1" t="str">
        <f ca="1">IFERROR(__xludf.DUMMYFUNCTION("GOOGLETRANSLATE(English!C1207, ""en"", ""bg"")"),"високо")</f>
        <v>високо</v>
      </c>
      <c r="D1207" s="1" t="str">
        <f ca="1">IFERROR(__xludf.DUMMYFUNCTION("GOOGLETRANSLATE(English!D1207, ""en"", ""bg"")"),"Структура на ДНК")</f>
        <v>Структура на ДНК</v>
      </c>
      <c r="E1207" s="1" t="str">
        <f ca="1">IFERROR(__xludf.DUMMYFUNCTION("GOOGLETRANSLATE(English!E1207, ""en"", ""bg"")"),"Имам научен въпрос. Можете ли да ми разкажете за структурата на ДНК?")</f>
        <v>Имам научен въпрос. Можете ли да ми разкажете за структурата на ДНК?</v>
      </c>
      <c r="F1207" s="1" t="str">
        <f ca="1">IFERROR(__xludf.DUMMYFUNCTION("GOOGLETRANSLATE(English!F1207,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1207" s="1" t="str">
        <f ca="1">IFERROR(__xludf.DUMMYFUNCTION("GOOGLETRANSLATE(English!G1207, ""en"", ""bg"")"),"разговор")</f>
        <v>разговор</v>
      </c>
      <c r="H1207" s="1" t="str">
        <f ca="1">IFERROR(__xludf.DUMMYFUNCTION("GOOGLETRANSLATE(English!H1207, ""en"", ""bg"")"),"образователна_помощ")</f>
        <v>образователна_помощ</v>
      </c>
    </row>
    <row r="1208" spans="1:8" ht="13.2" x14ac:dyDescent="0.25">
      <c r="A1208" s="1" t="str">
        <f ca="1">IFERROR(__xludf.DUMMYFUNCTION("GOOGLETRANSLATE(English!A1208, ""en"", ""bg"")"),"conv_10946")</f>
        <v>conv_10946</v>
      </c>
      <c r="B1208" s="1" t="str">
        <f ca="1">IFERROR(__xludf.DUMMYFUNCTION("GOOGLETRANSLATE(English!B1208, ""en"", ""bg"")"),"физика")</f>
        <v>физика</v>
      </c>
      <c r="C1208" s="1" t="str">
        <f ca="1">IFERROR(__xludf.DUMMYFUNCTION("GOOGLETRANSLATE(English!C1208, ""en"", ""bg"")"),"средата")</f>
        <v>средата</v>
      </c>
      <c r="D1208" s="1" t="str">
        <f ca="1">IFERROR(__xludf.DUMMYFUNCTION("GOOGLETRANSLATE(English!D1208, ""en"", ""bg"")"),"вълни")</f>
        <v>вълни</v>
      </c>
      <c r="E1208" s="1" t="str">
        <f ca="1">IFERROR(__xludf.DUMMYFUNCTION("GOOGLETRANSLATE(English!E1208, ""en"", ""bg"")"),"Помогнете ми да уча за теста си. Какво трябва да знам за вълните?")</f>
        <v>Помогнете ми да уча за теста си. Какво трябва да знам за вълните?</v>
      </c>
      <c r="F1208" s="1" t="str">
        <f ca="1">IFERROR(__xludf.DUMMYFUNCTION("GOOGLETRANSLATE(English!F1208,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1208" s="1" t="str">
        <f ca="1">IFERROR(__xludf.DUMMYFUNCTION("GOOGLETRANSLATE(English!G1208, ""en"", ""bg"")"),"разговор")</f>
        <v>разговор</v>
      </c>
      <c r="H1208" s="1" t="str">
        <f ca="1">IFERROR(__xludf.DUMMYFUNCTION("GOOGLETRANSLATE(English!H1208, ""en"", ""bg"")"),"образователна_помощ")</f>
        <v>образователна_помощ</v>
      </c>
    </row>
    <row r="1209" spans="1:8" ht="13.2" x14ac:dyDescent="0.25">
      <c r="A1209" s="1" t="str">
        <f ca="1">IFERROR(__xludf.DUMMYFUNCTION("GOOGLETRANSLATE(English!A1209, ""en"", ""bg"")"),"hw_02766")</f>
        <v>hw_02766</v>
      </c>
      <c r="B1209" s="1" t="str">
        <f ca="1">IFERROR(__xludf.DUMMYFUNCTION("GOOGLETRANSLATE(English!B1209, ""en"", ""bg"")"),"физика")</f>
        <v>физика</v>
      </c>
      <c r="C1209" s="1" t="str">
        <f ca="1">IFERROR(__xludf.DUMMYFUNCTION("GOOGLETRANSLATE(English!C1209, ""en"", ""bg"")"),"елементарен")</f>
        <v>елементарен</v>
      </c>
      <c r="D1209" s="1" t="str">
        <f ca="1">IFERROR(__xludf.DUMMYFUNCTION("GOOGLETRANSLATE(English!D1209, ""en"", ""bg"")"),"горещо и студено")</f>
        <v>горещо и студено</v>
      </c>
      <c r="E1209" s="1" t="str">
        <f ca="1">IFERROR(__xludf.DUMMYFUNCTION("GOOGLETRANSLATE(English!E1209, ""en"", ""bg"")"),"Трябва да разбера какво е топло и студено за изпита си.")</f>
        <v>Трябва да разбера какво е топло и студено за изпита си.</v>
      </c>
      <c r="F1209" s="1" t="str">
        <f ca="1">IFERROR(__xludf.DUMMYFUNCTION("GOOGLETRANSLATE(English!F1209,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1209" s="1" t="str">
        <f ca="1">IFERROR(__xludf.DUMMYFUNCTION("GOOGLETRANSLATE(English!G1209, ""en"", ""bg"")"),"помощ_за_домашно_изпълнение")</f>
        <v>помощ_за_домашно_изпълнение</v>
      </c>
      <c r="H1209" s="1" t="str">
        <f ca="1">IFERROR(__xludf.DUMMYFUNCTION("GOOGLETRANSLATE(English!H1209, ""en"", ""bg"")"),"помощ_за_домашно_задаване")</f>
        <v>помощ_за_домашно_задаване</v>
      </c>
    </row>
    <row r="1210" spans="1:8" ht="13.2" x14ac:dyDescent="0.25">
      <c r="A1210" s="1" t="str">
        <f ca="1">IFERROR(__xludf.DUMMYFUNCTION("GOOGLETRANSLATE(English!A1210, ""en"", ""bg"")"),"conv_15556")</f>
        <v>conv_15556</v>
      </c>
      <c r="B1210" s="1" t="str">
        <f ca="1">IFERROR(__xludf.DUMMYFUNCTION("GOOGLETRANSLATE(English!B1210, ""en"", ""bg"")"),"химия")</f>
        <v>химия</v>
      </c>
      <c r="C1210" s="1" t="str">
        <f ca="1">IFERROR(__xludf.DUMMYFUNCTION("GOOGLETRANSLATE(English!C1210, ""en"", ""bg"")"),"средата")</f>
        <v>средата</v>
      </c>
      <c r="D1210" s="1" t="str">
        <f ca="1">IFERROR(__xludf.DUMMYFUNCTION("GOOGLETRANSLATE(English!D1210, ""en"", ""bg"")"),"химични реакции")</f>
        <v>химични реакции</v>
      </c>
      <c r="E1210" s="1" t="str">
        <f ca="1">IFERROR(__xludf.DUMMYFUNCTION("GOOGLETRANSLATE(English!E1210, ""en"", ""bg"")"),"Можете ли да ми обясните това? Какво е химическа реакция?")</f>
        <v>Можете ли да ми обясните това? Какво е химическа реакция?</v>
      </c>
      <c r="F1210" s="1" t="str">
        <f ca="1">IFERROR(__xludf.DUMMYFUNCTION("GOOGLETRANSLATE(English!F1210,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1210" s="1" t="str">
        <f ca="1">IFERROR(__xludf.DUMMYFUNCTION("GOOGLETRANSLATE(English!G1210, ""en"", ""bg"")"),"разговор")</f>
        <v>разговор</v>
      </c>
      <c r="H1210" s="1" t="str">
        <f ca="1">IFERROR(__xludf.DUMMYFUNCTION("GOOGLETRANSLATE(English!H1210, ""en"", ""bg"")"),"образователна_помощ")</f>
        <v>образователна_помощ</v>
      </c>
    </row>
    <row r="1211" spans="1:8" ht="13.2" x14ac:dyDescent="0.25">
      <c r="A1211" s="1" t="str">
        <f ca="1">IFERROR(__xludf.DUMMYFUNCTION("GOOGLETRANSLATE(English!A1211, ""en"", ""bg"")"),"qa_00636")</f>
        <v>qa_00636</v>
      </c>
      <c r="B1211" s="1" t="str">
        <f ca="1">IFERROR(__xludf.DUMMYFUNCTION("GOOGLETRANSLATE(English!B1211, ""en"", ""bg"")"),"химия")</f>
        <v>химия</v>
      </c>
      <c r="C1211" s="1" t="str">
        <f ca="1">IFERROR(__xludf.DUMMYFUNCTION("GOOGLETRANSLATE(English!C1211, ""en"", ""bg"")"),"елементарен")</f>
        <v>елементарен</v>
      </c>
      <c r="D1211" s="1" t="str">
        <f ca="1">IFERROR(__xludf.DUMMYFUNCTION("GOOGLETRANSLATE(English!D1211, ""en"", ""bg"")"),"разтваряне")</f>
        <v>разтваряне</v>
      </c>
      <c r="E1211" s="1" t="str">
        <f ca="1">IFERROR(__xludf.DUMMYFUNCTION("GOOGLETRANSLATE(English!E1211, ""en"", ""bg"")"),"Какво е разтварянето?")</f>
        <v>Какво е разтварянето?</v>
      </c>
      <c r="F1211" s="1" t="str">
        <f ca="1">IFERROR(__xludf.DUMMYFUNCTION("GOOGLETRANSLATE(English!F1211,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1211" s="1" t="str">
        <f ca="1">IFERROR(__xludf.DUMMYFUNCTION("GOOGLETRANSLATE(English!G1211, ""en"", ""bg"")"),"direct_qa")</f>
        <v>direct_qa</v>
      </c>
      <c r="H1211" s="1" t="str">
        <f ca="1">IFERROR(__xludf.DUMMYFUNCTION("GOOGLETRANSLATE(English!H1211, ""en"", ""bg"")"),"заявка_за_знание")</f>
        <v>заявка_за_знание</v>
      </c>
    </row>
    <row r="1212" spans="1:8" ht="13.2" x14ac:dyDescent="0.25">
      <c r="A1212" s="1" t="str">
        <f ca="1">IFERROR(__xludf.DUMMYFUNCTION("GOOGLETRANSLATE(English!A1212, ""en"", ""bg"")"),"qa_02889")</f>
        <v>qa_02889</v>
      </c>
      <c r="B1212" s="1" t="str">
        <f ca="1">IFERROR(__xludf.DUMMYFUNCTION("GOOGLETRANSLATE(English!B1212, ""en"", ""bg"")"),"химия")</f>
        <v>химия</v>
      </c>
      <c r="C1212" s="1" t="str">
        <f ca="1">IFERROR(__xludf.DUMMYFUNCTION("GOOGLETRANSLATE(English!C1212, ""en"", ""bg"")"),"елементарен")</f>
        <v>елементарен</v>
      </c>
      <c r="D1212" s="1" t="str">
        <f ca="1">IFERROR(__xludf.DUMMYFUNCTION("GOOGLETRANSLATE(English!D1212, ""en"", ""bg"")"),"безопасност")</f>
        <v>безопасност</v>
      </c>
      <c r="E1212" s="1" t="str">
        <f ca="1">IFERROR(__xludf.DUMMYFUNCTION("GOOGLETRANSLATE(English!E1212, ""en"", ""bg"")"),"Можете ли да ми помогнете да разбера безопасността?")</f>
        <v>Можете ли да ми помогнете да разбера безопасността?</v>
      </c>
      <c r="F1212" s="1" t="str">
        <f ca="1">IFERROR(__xludf.DUMMYFUNCTION("GOOGLETRANSLATE(English!F1212,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1212" s="1" t="str">
        <f ca="1">IFERROR(__xludf.DUMMYFUNCTION("GOOGLETRANSLATE(English!G1212, ""en"", ""bg"")"),"direct_qa")</f>
        <v>direct_qa</v>
      </c>
      <c r="H1212" s="1" t="str">
        <f ca="1">IFERROR(__xludf.DUMMYFUNCTION("GOOGLETRANSLATE(English!H1212, ""en"", ""bg"")"),"заявка_за_знание")</f>
        <v>заявка_за_знание</v>
      </c>
    </row>
    <row r="1213" spans="1:8" ht="13.2" x14ac:dyDescent="0.25">
      <c r="A1213" s="1" t="str">
        <f ca="1">IFERROR(__xludf.DUMMYFUNCTION("GOOGLETRANSLATE(English!A1213, ""en"", ""bg"")"),"conv_17105")</f>
        <v>conv_17105</v>
      </c>
      <c r="B1213" s="1" t="str">
        <f ca="1">IFERROR(__xludf.DUMMYFUNCTION("GOOGLETRANSLATE(English!B1213, ""en"", ""bg"")"),"биология")</f>
        <v>биология</v>
      </c>
      <c r="C1213" s="1" t="str">
        <f ca="1">IFERROR(__xludf.DUMMYFUNCTION("GOOGLETRANSLATE(English!C1213, ""en"", ""bg"")"),"високо")</f>
        <v>високо</v>
      </c>
      <c r="D1213" s="1" t="str">
        <f ca="1">IFERROR(__xludf.DUMMYFUNCTION("GOOGLETRANSLATE(English!D1213, ""en"", ""bg"")"),"клетъчно дишане")</f>
        <v>клетъчно дишане</v>
      </c>
      <c r="E1213" s="1" t="str">
        <f ca="1">IFERROR(__xludf.DUMMYFUNCTION("GOOGLETRANSLATE(English!E1213, ""en"", ""bg"")"),"Имам научен въпрос. Защо клетъчното дишане е важно в биологията?")</f>
        <v>Имам научен въпрос. Защо клетъчното дишане е важно в биологията?</v>
      </c>
      <c r="F1213" s="1" t="str">
        <f ca="1">IFERROR(__xludf.DUMMYFUNCTION("GOOGLETRANSLATE(English!F1213,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1213" s="1" t="str">
        <f ca="1">IFERROR(__xludf.DUMMYFUNCTION("GOOGLETRANSLATE(English!G1213, ""en"", ""bg"")"),"разговор")</f>
        <v>разговор</v>
      </c>
      <c r="H1213" s="1" t="str">
        <f ca="1">IFERROR(__xludf.DUMMYFUNCTION("GOOGLETRANSLATE(English!H1213, ""en"", ""bg"")"),"образователна_помощ")</f>
        <v>образователна_помощ</v>
      </c>
    </row>
    <row r="1214" spans="1:8" ht="13.2" x14ac:dyDescent="0.25">
      <c r="A1214" s="1" t="str">
        <f ca="1">IFERROR(__xludf.DUMMYFUNCTION("GOOGLETRANSLATE(English!A1214, ""en"", ""bg"")"),"qa_14636")</f>
        <v>qa_14636</v>
      </c>
      <c r="B1214" s="1" t="str">
        <f ca="1">IFERROR(__xludf.DUMMYFUNCTION("GOOGLETRANSLATE(English!B1214, ""en"", ""bg"")"),"биология")</f>
        <v>биология</v>
      </c>
      <c r="C1214" s="1" t="str">
        <f ca="1">IFERROR(__xludf.DUMMYFUNCTION("GOOGLETRANSLATE(English!C1214, ""en"", ""bg"")"),"високо")</f>
        <v>високо</v>
      </c>
      <c r="D1214" s="1" t="str">
        <f ca="1">IFERROR(__xludf.DUMMYFUNCTION("GOOGLETRANSLATE(English!D1214, ""en"", ""bg"")"),"молекулярна биология")</f>
        <v>молекулярна биология</v>
      </c>
      <c r="E1214" s="1" t="str">
        <f ca="1">IFERROR(__xludf.DUMMYFUNCTION("GOOGLETRANSLATE(English!E1214, ""en"", ""bg"")"),"Какво е важно да знаем за молекулярната биология?")</f>
        <v>Какво е важно да знаем за молекулярната биология?</v>
      </c>
      <c r="F1214" s="1" t="str">
        <f ca="1">IFERROR(__xludf.DUMMYFUNCTION("GOOGLETRANSLATE(English!F1214,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1214" s="1" t="str">
        <f ca="1">IFERROR(__xludf.DUMMYFUNCTION("GOOGLETRANSLATE(English!G1214, ""en"", ""bg"")"),"direct_qa")</f>
        <v>direct_qa</v>
      </c>
      <c r="H1214" s="1" t="str">
        <f ca="1">IFERROR(__xludf.DUMMYFUNCTION("GOOGLETRANSLATE(English!H1214, ""en"", ""bg"")"),"заявка_за_знание")</f>
        <v>заявка_за_знание</v>
      </c>
    </row>
    <row r="1215" spans="1:8" ht="13.2" x14ac:dyDescent="0.25">
      <c r="A1215" s="1" t="str">
        <f ca="1">IFERROR(__xludf.DUMMYFUNCTION("GOOGLETRANSLATE(English!A1215, ""en"", ""bg"")"),"hw_01173")</f>
        <v>hw_01173</v>
      </c>
      <c r="B1215" s="1" t="str">
        <f ca="1">IFERROR(__xludf.DUMMYFUNCTION("GOOGLETRANSLATE(English!B1215, ""en"", ""bg"")"),"биология")</f>
        <v>биология</v>
      </c>
      <c r="C1215" s="1" t="str">
        <f ca="1">IFERROR(__xludf.DUMMYFUNCTION("GOOGLETRANSLATE(English!C1215, ""en"", ""bg"")"),"средата")</f>
        <v>средата</v>
      </c>
      <c r="D1215" s="1" t="str">
        <f ca="1">IFERROR(__xludf.DUMMYFUNCTION("GOOGLETRANSLATE(English!D1215, ""en"", ""bg"")"),"екосистеми")</f>
        <v>екосистеми</v>
      </c>
      <c r="E1215" s="1" t="str">
        <f ca="1">IFERROR(__xludf.DUMMYFUNCTION("GOOGLETRANSLATE(English!E1215, ""en"", ""bg"")"),"Трябва да напиша доклад за екосистемите. Можете ли да ми помогнете да започна?")</f>
        <v>Трябва да напиша доклад за екосистемите. Можете ли да ми помогнете да започна?</v>
      </c>
      <c r="F1215" s="1" t="str">
        <f ca="1">IFERROR(__xludf.DUMMYFUNCTION("GOOGLETRANSLATE(English!F1215,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215" s="1" t="str">
        <f ca="1">IFERROR(__xludf.DUMMYFUNCTION("GOOGLETRANSLATE(English!G1215, ""en"", ""bg"")"),"помощ_за_домашно_изпълнение")</f>
        <v>помощ_за_домашно_изпълнение</v>
      </c>
      <c r="H1215" s="1" t="str">
        <f ca="1">IFERROR(__xludf.DUMMYFUNCTION("GOOGLETRANSLATE(English!H1215, ""en"", ""bg"")"),"помощ_за_домашно_задаване")</f>
        <v>помощ_за_домашно_задаване</v>
      </c>
    </row>
    <row r="1216" spans="1:8" ht="13.2" x14ac:dyDescent="0.25">
      <c r="A1216" s="1" t="str">
        <f ca="1">IFERROR(__xludf.DUMMYFUNCTION("GOOGLETRANSLATE(English!A1216, ""en"", ""bg"")"),"hw_11293")</f>
        <v>hw_11293</v>
      </c>
      <c r="B1216" s="1" t="str">
        <f ca="1">IFERROR(__xludf.DUMMYFUNCTION("GOOGLETRANSLATE(English!B1216, ""en"", ""bg"")"),"физика")</f>
        <v>физика</v>
      </c>
      <c r="C1216" s="1" t="str">
        <f ca="1">IFERROR(__xludf.DUMMYFUNCTION("GOOGLETRANSLATE(English!C1216, ""en"", ""bg"")"),"елементарен")</f>
        <v>елементарен</v>
      </c>
      <c r="D1216" s="1" t="str">
        <f ca="1">IFERROR(__xludf.DUMMYFUNCTION("GOOGLETRANSLATE(English!D1216, ""en"", ""bg"")"),"звук")</f>
        <v>звук</v>
      </c>
      <c r="E1216" s="1" t="str">
        <f ca="1">IFERROR(__xludf.DUMMYFUNCTION("GOOGLETRANSLATE(English!E1216, ""en"", ""bg"")"),"Трябва да разбирам звука за изпита си.")</f>
        <v>Трябва да разбирам звука за изпита си.</v>
      </c>
      <c r="F1216" s="1" t="str">
        <f ca="1">IFERROR(__xludf.DUMMYFUNCTION("GOOGLETRANSLATE(English!F1216,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216" s="1" t="str">
        <f ca="1">IFERROR(__xludf.DUMMYFUNCTION("GOOGLETRANSLATE(English!G1216, ""en"", ""bg"")"),"помощ_за_домашно_изпълнение")</f>
        <v>помощ_за_домашно_изпълнение</v>
      </c>
      <c r="H1216" s="1" t="str">
        <f ca="1">IFERROR(__xludf.DUMMYFUNCTION("GOOGLETRANSLATE(English!H1216, ""en"", ""bg"")"),"помощ_за_домашно_задаване")</f>
        <v>помощ_за_домашно_задаване</v>
      </c>
    </row>
    <row r="1217" spans="1:8" ht="13.2" x14ac:dyDescent="0.25">
      <c r="A1217" s="1" t="str">
        <f ca="1">IFERROR(__xludf.DUMMYFUNCTION("GOOGLETRANSLATE(English!A1217, ""en"", ""bg"")"),"qa_06630")</f>
        <v>qa_06630</v>
      </c>
      <c r="B1217" s="1" t="str">
        <f ca="1">IFERROR(__xludf.DUMMYFUNCTION("GOOGLETRANSLATE(English!B1217, ""en"", ""bg"")"),"биология")</f>
        <v>биология</v>
      </c>
      <c r="C1217" s="1" t="str">
        <f ca="1">IFERROR(__xludf.DUMMYFUNCTION("GOOGLETRANSLATE(English!C1217, ""en"", ""bg"")"),"високо")</f>
        <v>високо</v>
      </c>
      <c r="D1217" s="1" t="str">
        <f ca="1">IFERROR(__xludf.DUMMYFUNCTION("GOOGLETRANSLATE(English!D1217, ""en"", ""bg"")"),"синтез на протеини")</f>
        <v>синтез на протеини</v>
      </c>
      <c r="E1217" s="1" t="str">
        <f ca="1">IFERROR(__xludf.DUMMYFUNCTION("GOOGLETRANSLATE(English!E1217, ""en"", ""bg"")"),"Как работи синтезът на протеини?")</f>
        <v>Как работи синтезът на протеини?</v>
      </c>
      <c r="F1217" s="1" t="str">
        <f ca="1">IFERROR(__xludf.DUMMYFUNCTION("GOOGLETRANSLATE(English!F1217,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1217" s="1" t="str">
        <f ca="1">IFERROR(__xludf.DUMMYFUNCTION("GOOGLETRANSLATE(English!G1217, ""en"", ""bg"")"),"direct_qa")</f>
        <v>direct_qa</v>
      </c>
      <c r="H1217" s="1" t="str">
        <f ca="1">IFERROR(__xludf.DUMMYFUNCTION("GOOGLETRANSLATE(English!H1217, ""en"", ""bg"")"),"заявка_за_знание")</f>
        <v>заявка_за_знание</v>
      </c>
    </row>
    <row r="1218" spans="1:8" ht="13.2" x14ac:dyDescent="0.25">
      <c r="A1218" s="1" t="str">
        <f ca="1">IFERROR(__xludf.DUMMYFUNCTION("GOOGLETRANSLATE(English!A1218, ""en"", ""bg"")"),"conv_16231")</f>
        <v>conv_16231</v>
      </c>
      <c r="B1218" s="1" t="str">
        <f ca="1">IFERROR(__xludf.DUMMYFUNCTION("GOOGLETRANSLATE(English!B1218, ""en"", ""bg"")"),"биология")</f>
        <v>биология</v>
      </c>
      <c r="C1218" s="1" t="str">
        <f ca="1">IFERROR(__xludf.DUMMYFUNCTION("GOOGLETRANSLATE(English!C1218, ""en"", ""bg"")"),"високо")</f>
        <v>високо</v>
      </c>
      <c r="D1218" s="1" t="str">
        <f ca="1">IFERROR(__xludf.DUMMYFUNCTION("GOOGLETRANSLATE(English!D1218, ""en"", ""bg"")"),"Структура на ДНК")</f>
        <v>Структура на ДНК</v>
      </c>
      <c r="E1218" s="1" t="str">
        <f ca="1">IFERROR(__xludf.DUMMYFUNCTION("GOOGLETRANSLATE(English!E1218, ""en"", ""bg"")"),"Имам нужда от помощ с домашното си. Как работи структурата на ДНК?")</f>
        <v>Имам нужда от помощ с домашното си. Как работи структурата на ДНК?</v>
      </c>
      <c r="F1218" s="1" t="str">
        <f ca="1">IFERROR(__xludf.DUMMYFUNCTION("GOOGLETRANSLATE(English!F1218,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1218" s="1" t="str">
        <f ca="1">IFERROR(__xludf.DUMMYFUNCTION("GOOGLETRANSLATE(English!G1218, ""en"", ""bg"")"),"разговор")</f>
        <v>разговор</v>
      </c>
      <c r="H1218" s="1" t="str">
        <f ca="1">IFERROR(__xludf.DUMMYFUNCTION("GOOGLETRANSLATE(English!H1218, ""en"", ""bg"")"),"образователна_помощ")</f>
        <v>образователна_помощ</v>
      </c>
    </row>
    <row r="1219" spans="1:8" ht="13.2" x14ac:dyDescent="0.25">
      <c r="A1219" s="1" t="str">
        <f ca="1">IFERROR(__xludf.DUMMYFUNCTION("GOOGLETRANSLATE(English!A1219, ""en"", ""bg"")"),"qa_03625")</f>
        <v>qa_03625</v>
      </c>
      <c r="B1219" s="1" t="str">
        <f ca="1">IFERROR(__xludf.DUMMYFUNCTION("GOOGLETRANSLATE(English!B1219, ""en"", ""bg"")"),"физика")</f>
        <v>физика</v>
      </c>
      <c r="C1219" s="1" t="str">
        <f ca="1">IFERROR(__xludf.DUMMYFUNCTION("GOOGLETRANSLATE(English!C1219, ""en"", ""bg"")"),"високо")</f>
        <v>високо</v>
      </c>
      <c r="D1219" s="1" t="str">
        <f ca="1">IFERROR(__xludf.DUMMYFUNCTION("GOOGLETRANSLATE(English!D1219, ""en"", ""bg"")"),"електромагнетизъм")</f>
        <v>електромагнетизъм</v>
      </c>
      <c r="E1219" s="1" t="str">
        <f ca="1">IFERROR(__xludf.DUMMYFUNCTION("GOOGLETRANSLATE(English!E1219, ""en"", ""bg"")"),"Можете ли да ми обясните електромагнетизма?")</f>
        <v>Можете ли да ми обясните електромагнетизма?</v>
      </c>
      <c r="F1219" s="1" t="str">
        <f ca="1">IFERROR(__xludf.DUMMYFUNCTION("GOOGLETRANSLATE(English!F1219,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1219" s="1" t="str">
        <f ca="1">IFERROR(__xludf.DUMMYFUNCTION("GOOGLETRANSLATE(English!G1219, ""en"", ""bg"")"),"direct_qa")</f>
        <v>direct_qa</v>
      </c>
      <c r="H1219" s="1" t="str">
        <f ca="1">IFERROR(__xludf.DUMMYFUNCTION("GOOGLETRANSLATE(English!H1219, ""en"", ""bg"")"),"заявка_за_знание")</f>
        <v>заявка_за_знание</v>
      </c>
    </row>
    <row r="1220" spans="1:8" ht="13.2" x14ac:dyDescent="0.25">
      <c r="A1220" s="1" t="str">
        <f ca="1">IFERROR(__xludf.DUMMYFUNCTION("GOOGLETRANSLATE(English!A1220, ""en"", ""bg"")"),"conv_08098")</f>
        <v>conv_08098</v>
      </c>
      <c r="B1220" s="1" t="str">
        <f ca="1">IFERROR(__xludf.DUMMYFUNCTION("GOOGLETRANSLATE(English!B1220, ""en"", ""bg"")"),"биология")</f>
        <v>биология</v>
      </c>
      <c r="C1220" s="1" t="str">
        <f ca="1">IFERROR(__xludf.DUMMYFUNCTION("GOOGLETRANSLATE(English!C1220, ""en"", ""bg"")"),"средата")</f>
        <v>средата</v>
      </c>
      <c r="D1220" s="1" t="str">
        <f ca="1">IFERROR(__xludf.DUMMYFUNCTION("GOOGLETRANSLATE(English!D1220, ""en"", ""bg"")"),"класификация")</f>
        <v>класификация</v>
      </c>
      <c r="E1220" s="1" t="str">
        <f ca="1">IFERROR(__xludf.DUMMYFUNCTION("GOOGLETRANSLATE(English!E1220, ""en"", ""bg"")"),"Можете ли да ми помогнете? Какво е важно да се знае за класификацията?")</f>
        <v>Можете ли да ми помогнете? Какво е важно да се знае за класификацията?</v>
      </c>
      <c r="F1220" s="1" t="str">
        <f ca="1">IFERROR(__xludf.DUMMYFUNCTION("GOOGLETRANSLATE(English!F1220,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1220" s="1" t="str">
        <f ca="1">IFERROR(__xludf.DUMMYFUNCTION("GOOGLETRANSLATE(English!G1220, ""en"", ""bg"")"),"разговор")</f>
        <v>разговор</v>
      </c>
      <c r="H1220" s="1" t="str">
        <f ca="1">IFERROR(__xludf.DUMMYFUNCTION("GOOGLETRANSLATE(English!H1220, ""en"", ""bg"")"),"образователна_помощ")</f>
        <v>образователна_помощ</v>
      </c>
    </row>
    <row r="1221" spans="1:8" ht="13.2" x14ac:dyDescent="0.25">
      <c r="A1221" s="1" t="str">
        <f ca="1">IFERROR(__xludf.DUMMYFUNCTION("GOOGLETRANSLATE(English!A1221, ""en"", ""bg"")"),"qa_07764")</f>
        <v>qa_07764</v>
      </c>
      <c r="B1221" s="1" t="str">
        <f ca="1">IFERROR(__xludf.DUMMYFUNCTION("GOOGLETRANSLATE(English!B1221, ""en"", ""bg"")"),"физика")</f>
        <v>физика</v>
      </c>
      <c r="C1221" s="1" t="str">
        <f ca="1">IFERROR(__xludf.DUMMYFUNCTION("GOOGLETRANSLATE(English!C1221, ""en"", ""bg"")"),"средата")</f>
        <v>средата</v>
      </c>
      <c r="D1221" s="1" t="str">
        <f ca="1">IFERROR(__xludf.DUMMYFUNCTION("GOOGLETRANSLATE(English!D1221, ""en"", ""bg"")"),"състояния на материята")</f>
        <v>състояния на материята</v>
      </c>
      <c r="E1221" s="1" t="str">
        <f ca="1">IFERROR(__xludf.DUMMYFUNCTION("GOOGLETRANSLATE(English!E1221, ""en"", ""bg"")"),"Можете ли да ми обясните състоянията на материята?")</f>
        <v>Можете ли да ми обясните състоянията на материята?</v>
      </c>
      <c r="F1221" s="1" t="str">
        <f ca="1">IFERROR(__xludf.DUMMYFUNCTION("GOOGLETRANSLATE(English!F1221,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1221" s="1" t="str">
        <f ca="1">IFERROR(__xludf.DUMMYFUNCTION("GOOGLETRANSLATE(English!G1221, ""en"", ""bg"")"),"direct_qa")</f>
        <v>direct_qa</v>
      </c>
      <c r="H1221" s="1" t="str">
        <f ca="1">IFERROR(__xludf.DUMMYFUNCTION("GOOGLETRANSLATE(English!H1221, ""en"", ""bg"")"),"заявка_за_знание")</f>
        <v>заявка_за_знание</v>
      </c>
    </row>
    <row r="1222" spans="1:8" ht="13.2" x14ac:dyDescent="0.25">
      <c r="A1222" s="1" t="str">
        <f ca="1">IFERROR(__xludf.DUMMYFUNCTION("GOOGLETRANSLATE(English!A1222, ""en"", ""bg"")"),"conv_06970")</f>
        <v>conv_06970</v>
      </c>
      <c r="B1222" s="1" t="str">
        <f ca="1">IFERROR(__xludf.DUMMYFUNCTION("GOOGLETRANSLATE(English!B1222, ""en"", ""bg"")"),"биология")</f>
        <v>биология</v>
      </c>
      <c r="C1222" s="1" t="str">
        <f ca="1">IFERROR(__xludf.DUMMYFUNCTION("GOOGLETRANSLATE(English!C1222, ""en"", ""bg"")"),"средата")</f>
        <v>средата</v>
      </c>
      <c r="D1222" s="1" t="str">
        <f ca="1">IFERROR(__xludf.DUMMYFUNCTION("GOOGLETRANSLATE(English!D1222, ""en"", ""bg"")"),"клетки")</f>
        <v>клетки</v>
      </c>
      <c r="E1222" s="1" t="str">
        <f ca="1">IFERROR(__xludf.DUMMYFUNCTION("GOOGLETRANSLATE(English!E1222, ""en"", ""bg"")"),"Помогнете ми да уча за теста. Защо клетките са толкова малки?")</f>
        <v>Помогнете ми да уча за теста. Защо клетките са толкова малки?</v>
      </c>
      <c r="F1222" s="1" t="str">
        <f ca="1">IFERROR(__xludf.DUMMYFUNCTION("GOOGLETRANSLATE(English!F1222,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1222" s="1" t="str">
        <f ca="1">IFERROR(__xludf.DUMMYFUNCTION("GOOGLETRANSLATE(English!G1222, ""en"", ""bg"")"),"разговор")</f>
        <v>разговор</v>
      </c>
      <c r="H1222" s="1" t="str">
        <f ca="1">IFERROR(__xludf.DUMMYFUNCTION("GOOGLETRANSLATE(English!H1222, ""en"", ""bg"")"),"образователна_помощ")</f>
        <v>образователна_помощ</v>
      </c>
    </row>
    <row r="1223" spans="1:8" ht="13.2" x14ac:dyDescent="0.25">
      <c r="A1223" s="1" t="str">
        <f ca="1">IFERROR(__xludf.DUMMYFUNCTION("GOOGLETRANSLATE(English!A1223, ""en"", ""bg"")"),"conv_16899")</f>
        <v>conv_16899</v>
      </c>
      <c r="B1223" s="1" t="str">
        <f ca="1">IFERROR(__xludf.DUMMYFUNCTION("GOOGLETRANSLATE(English!B1223, ""en"", ""bg"")"),"химия")</f>
        <v>химия</v>
      </c>
      <c r="C1223" s="1" t="str">
        <f ca="1">IFERROR(__xludf.DUMMYFUNCTION("GOOGLETRANSLATE(English!C1223, ""en"", ""bg"")"),"високо")</f>
        <v>високо</v>
      </c>
      <c r="D1223" s="1" t="str">
        <f ca="1">IFERROR(__xludf.DUMMYFUNCTION("GOOGLETRANSLATE(English!D1223, ""en"", ""bg"")"),"стехиометрия")</f>
        <v>стехиометрия</v>
      </c>
      <c r="E1223" s="1" t="str">
        <f ca="1">IFERROR(__xludf.DUMMYFUNCTION("GOOGLETRANSLATE(English!E1223, ""en"", ""bg"")"),"Имам научен въпрос. Какво е стехиометрия?")</f>
        <v>Имам научен въпрос. Какво е стехиометрия?</v>
      </c>
      <c r="F1223" s="1" t="str">
        <f ca="1">IFERROR(__xludf.DUMMYFUNCTION("GOOGLETRANSLATE(English!F1223,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1223" s="1" t="str">
        <f ca="1">IFERROR(__xludf.DUMMYFUNCTION("GOOGLETRANSLATE(English!G1223, ""en"", ""bg"")"),"разговор")</f>
        <v>разговор</v>
      </c>
      <c r="H1223" s="1" t="str">
        <f ca="1">IFERROR(__xludf.DUMMYFUNCTION("GOOGLETRANSLATE(English!H1223, ""en"", ""bg"")"),"образователна_помощ")</f>
        <v>образователна_помощ</v>
      </c>
    </row>
    <row r="1224" spans="1:8" ht="13.2" x14ac:dyDescent="0.25">
      <c r="A1224" s="1" t="str">
        <f ca="1">IFERROR(__xludf.DUMMYFUNCTION("GOOGLETRANSLATE(English!A1224, ""en"", ""bg"")"),"hw_09989")</f>
        <v>hw_09989</v>
      </c>
      <c r="B1224" s="1" t="str">
        <f ca="1">IFERROR(__xludf.DUMMYFUNCTION("GOOGLETRANSLATE(English!B1224, ""en"", ""bg"")"),"химия")</f>
        <v>химия</v>
      </c>
      <c r="C1224" s="1" t="str">
        <f ca="1">IFERROR(__xludf.DUMMYFUNCTION("GOOGLETRANSLATE(English!C1224, ""en"", ""bg"")"),"средата")</f>
        <v>средата</v>
      </c>
      <c r="D1224" s="1" t="str">
        <f ca="1">IFERROR(__xludf.DUMMYFUNCTION("GOOGLETRANSLATE(English!D1224, ""en"", ""bg"")"),"основи на периодичната таблица")</f>
        <v>основи на периодичната таблица</v>
      </c>
      <c r="E1224" s="1" t="str">
        <f ca="1">IFERROR(__xludf.DUMMYFUNCTION("GOOGLETRANSLATE(English!E1224, ""en"", ""bg"")"),"Моят доклад по химия е за основите на периодичната таблица. Помогнете ми да разбера.")</f>
        <v>Моят доклад по химия е за основите на периодичната таблица. Помогнете ми да разбера.</v>
      </c>
      <c r="F1224" s="1" t="str">
        <f ca="1">IFERROR(__xludf.DUMMYFUNCTION("GOOGLETRANSLATE(English!F1224,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1224" s="1" t="str">
        <f ca="1">IFERROR(__xludf.DUMMYFUNCTION("GOOGLETRANSLATE(English!G1224, ""en"", ""bg"")"),"помощ_за_домашно_изпълнение")</f>
        <v>помощ_за_домашно_изпълнение</v>
      </c>
      <c r="H1224" s="1" t="str">
        <f ca="1">IFERROR(__xludf.DUMMYFUNCTION("GOOGLETRANSLATE(English!H1224, ""en"", ""bg"")"),"помощ_за_домашно_задаване")</f>
        <v>помощ_за_домашно_задаване</v>
      </c>
    </row>
    <row r="1225" spans="1:8" ht="13.2" x14ac:dyDescent="0.25">
      <c r="A1225" s="1" t="str">
        <f ca="1">IFERROR(__xludf.DUMMYFUNCTION("GOOGLETRANSLATE(English!A1225, ""en"", ""bg"")"),"hw_01352")</f>
        <v>hw_01352</v>
      </c>
      <c r="B1225" s="1" t="str">
        <f ca="1">IFERROR(__xludf.DUMMYFUNCTION("GOOGLETRANSLATE(English!B1225, ""en"", ""bg"")"),"физика")</f>
        <v>физика</v>
      </c>
      <c r="C1225" s="1" t="str">
        <f ca="1">IFERROR(__xludf.DUMMYFUNCTION("GOOGLETRANSLATE(English!C1225, ""en"", ""bg"")"),"средата")</f>
        <v>средата</v>
      </c>
      <c r="D1225" s="1" t="str">
        <f ca="1">IFERROR(__xludf.DUMMYFUNCTION("GOOGLETRANSLATE(English!D1225, ""en"", ""bg"")"),"състояния на материята")</f>
        <v>състояния на материята</v>
      </c>
      <c r="E1225" s="1" t="str">
        <f ca="1">IFERROR(__xludf.DUMMYFUNCTION("GOOGLETRANSLATE(English!E1225,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1225" s="1" t="str">
        <f ca="1">IFERROR(__xludf.DUMMYFUNCTION("GOOGLETRANSLATE(English!F1225,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1225" s="1" t="str">
        <f ca="1">IFERROR(__xludf.DUMMYFUNCTION("GOOGLETRANSLATE(English!G1225, ""en"", ""bg"")"),"помощ_за_домашно_изпълнение")</f>
        <v>помощ_за_домашно_изпълнение</v>
      </c>
      <c r="H1225" s="1" t="str">
        <f ca="1">IFERROR(__xludf.DUMMYFUNCTION("GOOGLETRANSLATE(English!H1225, ""en"", ""bg"")"),"помощ_за_домашно_задаване")</f>
        <v>помощ_за_домашно_задаване</v>
      </c>
    </row>
    <row r="1226" spans="1:8" ht="13.2" x14ac:dyDescent="0.25">
      <c r="A1226" s="1" t="str">
        <f ca="1">IFERROR(__xludf.DUMMYFUNCTION("GOOGLETRANSLATE(English!A1226, ""en"", ""bg"")"),"hw_09111")</f>
        <v>hw_09111</v>
      </c>
      <c r="B1226" s="1" t="str">
        <f ca="1">IFERROR(__xludf.DUMMYFUNCTION("GOOGLETRANSLATE(English!B1226, ""en"", ""bg"")"),"биология")</f>
        <v>биология</v>
      </c>
      <c r="C1226" s="1" t="str">
        <f ca="1">IFERROR(__xludf.DUMMYFUNCTION("GOOGLETRANSLATE(English!C1226, ""en"", ""bg"")"),"елементарен")</f>
        <v>елементарен</v>
      </c>
      <c r="D1226" s="1" t="str">
        <f ca="1">IFERROR(__xludf.DUMMYFUNCTION("GOOGLETRANSLATE(English!D1226, ""en"", ""bg"")"),"домашни любимци срещу диви животни")</f>
        <v>домашни любимци срещу диви животни</v>
      </c>
      <c r="E1226" s="1" t="str">
        <f ca="1">IFERROR(__xludf.DUMMYFUNCTION("GOOGLETRANSLATE(English!E1226, ""en"", ""bg"")"),"Можете ли да обясните понятията домашни любимци и диви животни за моя научен проект?")</f>
        <v>Можете ли да обясните понятията домашни любимци и диви животни за моя научен проект?</v>
      </c>
      <c r="F1226" s="1" t="str">
        <f ca="1">IFERROR(__xludf.DUMMYFUNCTION("GOOGLETRANSLATE(English!F1226,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1226" s="1" t="str">
        <f ca="1">IFERROR(__xludf.DUMMYFUNCTION("GOOGLETRANSLATE(English!G1226, ""en"", ""bg"")"),"помощ_за_домашно_изпълнение")</f>
        <v>помощ_за_домашно_изпълнение</v>
      </c>
      <c r="H1226" s="1" t="str">
        <f ca="1">IFERROR(__xludf.DUMMYFUNCTION("GOOGLETRANSLATE(English!H1226, ""en"", ""bg"")"),"помощ_за_домашно_задаване")</f>
        <v>помощ_за_домашно_задаване</v>
      </c>
    </row>
    <row r="1227" spans="1:8" ht="13.2" x14ac:dyDescent="0.25">
      <c r="A1227" s="1" t="str">
        <f ca="1">IFERROR(__xludf.DUMMYFUNCTION("GOOGLETRANSLATE(English!A1227, ""en"", ""bg"")"),"hw_03538")</f>
        <v>hw_03538</v>
      </c>
      <c r="B1227" s="1" t="str">
        <f ca="1">IFERROR(__xludf.DUMMYFUNCTION("GOOGLETRANSLATE(English!B1227, ""en"", ""bg"")"),"биология")</f>
        <v>биология</v>
      </c>
      <c r="C1227" s="1" t="str">
        <f ca="1">IFERROR(__xludf.DUMMYFUNCTION("GOOGLETRANSLATE(English!C1227, ""en"", ""bg"")"),"средата")</f>
        <v>средата</v>
      </c>
      <c r="D1227" s="1" t="str">
        <f ca="1">IFERROR(__xludf.DUMMYFUNCTION("GOOGLETRANSLATE(English!D1227, ""en"", ""bg"")"),"класификация")</f>
        <v>класификация</v>
      </c>
      <c r="E1227" s="1" t="str">
        <f ca="1">IFERROR(__xludf.DUMMYFUNCTION("GOOGLETRANSLATE(English!E1227, ""en"", ""bg"")"),"Трябва да напиша доклад за класификацията. Можете ли да ми помогнете да започна?")</f>
        <v>Трябва да напиша доклад за класификацията. Можете ли да ми помогнете да започна?</v>
      </c>
      <c r="F1227" s="1" t="str">
        <f ca="1">IFERROR(__xludf.DUMMYFUNCTION("GOOGLETRANSLATE(English!F1227,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1227" s="1" t="str">
        <f ca="1">IFERROR(__xludf.DUMMYFUNCTION("GOOGLETRANSLATE(English!G1227, ""en"", ""bg"")"),"помощ_за_домашно_изпълнение")</f>
        <v>помощ_за_домашно_изпълнение</v>
      </c>
      <c r="H1227" s="1" t="str">
        <f ca="1">IFERROR(__xludf.DUMMYFUNCTION("GOOGLETRANSLATE(English!H1227, ""en"", ""bg"")"),"помощ_за_домашно_задаване")</f>
        <v>помощ_за_домашно_задаване</v>
      </c>
    </row>
    <row r="1228" spans="1:8" ht="13.2" x14ac:dyDescent="0.25">
      <c r="A1228" s="1" t="str">
        <f ca="1">IFERROR(__xludf.DUMMYFUNCTION("GOOGLETRANSLATE(English!A1228, ""en"", ""bg"")"),"hw_13263")</f>
        <v>hw_13263</v>
      </c>
      <c r="B1228" s="1" t="str">
        <f ca="1">IFERROR(__xludf.DUMMYFUNCTION("GOOGLETRANSLATE(English!B1228, ""en"", ""bg"")"),"химия")</f>
        <v>химия</v>
      </c>
      <c r="C1228" s="1" t="str">
        <f ca="1">IFERROR(__xludf.DUMMYFUNCTION("GOOGLETRANSLATE(English!C1228, ""en"", ""bg"")"),"елементарен")</f>
        <v>елементарен</v>
      </c>
      <c r="D1228" s="1" t="str">
        <f ca="1">IFERROR(__xludf.DUMMYFUNCTION("GOOGLETRANSLATE(English!D1228, ""en"", ""bg"")"),"твърди вещества, течности, газове")</f>
        <v>твърди вещества, течности, газове</v>
      </c>
      <c r="E1228" s="1" t="str">
        <f ca="1">IFERROR(__xludf.DUMMYFUNCTION("GOOGLETRANSLATE(English!E1228, ""en"", ""bg"")"),"Моят доклад по химия е за твърди вещества, течности, газове. Помогнете ми да разбера.")</f>
        <v>Моят доклад по химия е за твърди вещества, течности, газове. Помогнете ми да разбера.</v>
      </c>
      <c r="F1228" s="1" t="str">
        <f ca="1">IFERROR(__xludf.DUMMYFUNCTION("GOOGLETRANSLATE(English!F1228,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1228" s="1" t="str">
        <f ca="1">IFERROR(__xludf.DUMMYFUNCTION("GOOGLETRANSLATE(English!G1228, ""en"", ""bg"")"),"помощ_за_домашно_изпълнение")</f>
        <v>помощ_за_домашно_изпълнение</v>
      </c>
      <c r="H1228" s="1" t="str">
        <f ca="1">IFERROR(__xludf.DUMMYFUNCTION("GOOGLETRANSLATE(English!H1228, ""en"", ""bg"")"),"помощ_за_домашно_задаване")</f>
        <v>помощ_за_домашно_задаване</v>
      </c>
    </row>
    <row r="1229" spans="1:8" ht="13.2" x14ac:dyDescent="0.25">
      <c r="A1229" s="1" t="str">
        <f ca="1">IFERROR(__xludf.DUMMYFUNCTION("GOOGLETRANSLATE(English!A1229, ""en"", ""bg"")"),"conv_14448")</f>
        <v>conv_14448</v>
      </c>
      <c r="B1229" s="1" t="str">
        <f ca="1">IFERROR(__xludf.DUMMYFUNCTION("GOOGLETRANSLATE(English!B1229, ""en"", ""bg"")"),"физика")</f>
        <v>физика</v>
      </c>
      <c r="C1229" s="1" t="str">
        <f ca="1">IFERROR(__xludf.DUMMYFUNCTION("GOOGLETRANSLATE(English!C1229, ""en"", ""bg"")"),"средата")</f>
        <v>средата</v>
      </c>
      <c r="D1229" s="1" t="str">
        <f ca="1">IFERROR(__xludf.DUMMYFUNCTION("GOOGLETRANSLATE(English!D1229, ""en"", ""bg"")"),"вълни")</f>
        <v>вълни</v>
      </c>
      <c r="E1229" s="1" t="str">
        <f ca="1">IFERROR(__xludf.DUMMYFUNCTION("GOOGLETRANSLATE(English!E1229, ""en"", ""bg"")"),"Имам нужда от помощ с домашното. Можете ли да ми обясните вълните?")</f>
        <v>Имам нужда от помощ с домашното. Можете ли да ми обясните вълните?</v>
      </c>
      <c r="F1229" s="1" t="str">
        <f ca="1">IFERROR(__xludf.DUMMYFUNCTION("GOOGLETRANSLATE(English!F1229,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1229" s="1" t="str">
        <f ca="1">IFERROR(__xludf.DUMMYFUNCTION("GOOGLETRANSLATE(English!G1229, ""en"", ""bg"")"),"разговор")</f>
        <v>разговор</v>
      </c>
      <c r="H1229" s="1" t="str">
        <f ca="1">IFERROR(__xludf.DUMMYFUNCTION("GOOGLETRANSLATE(English!H1229, ""en"", ""bg"")"),"образователна_помощ")</f>
        <v>образователна_помощ</v>
      </c>
    </row>
    <row r="1230" spans="1:8" ht="13.2" x14ac:dyDescent="0.25">
      <c r="A1230" s="1" t="str">
        <f ca="1">IFERROR(__xludf.DUMMYFUNCTION("GOOGLETRANSLATE(English!A1230, ""en"", ""bg"")"),"conv_12146")</f>
        <v>conv_12146</v>
      </c>
      <c r="B1230" s="1" t="str">
        <f ca="1">IFERROR(__xludf.DUMMYFUNCTION("GOOGLETRANSLATE(English!B1230, ""en"", ""bg"")"),"физика")</f>
        <v>физика</v>
      </c>
      <c r="C1230" s="1" t="str">
        <f ca="1">IFERROR(__xludf.DUMMYFUNCTION("GOOGLETRANSLATE(English!C1230, ""en"", ""bg"")"),"елементарен")</f>
        <v>елементарен</v>
      </c>
      <c r="D1230" s="1" t="str">
        <f ca="1">IFERROR(__xludf.DUMMYFUNCTION("GOOGLETRANSLATE(English!D1230, ""en"", ""bg"")"),"горещо и студено")</f>
        <v>горещо и студено</v>
      </c>
      <c r="E1230" s="1" t="str">
        <f ca="1">IFERROR(__xludf.DUMMYFUNCTION("GOOGLETRANSLATE(English!E1230, ""en"", ""bg"")"),"Помогнете ми да уча за теста. Какво трябва да знам за топлото и студеното?")</f>
        <v>Помогнете ми да уча за теста. Какво трябва да знам за топлото и студеното?</v>
      </c>
      <c r="F1230" s="1" t="str">
        <f ca="1">IFERROR(__xludf.DUMMYFUNCTION("GOOGLETRANSLATE(English!F1230,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1230" s="1" t="str">
        <f ca="1">IFERROR(__xludf.DUMMYFUNCTION("GOOGLETRANSLATE(English!G1230, ""en"", ""bg"")"),"разговор")</f>
        <v>разговор</v>
      </c>
      <c r="H1230" s="1" t="str">
        <f ca="1">IFERROR(__xludf.DUMMYFUNCTION("GOOGLETRANSLATE(English!H1230, ""en"", ""bg"")"),"образователна_помощ")</f>
        <v>образователна_помощ</v>
      </c>
    </row>
    <row r="1231" spans="1:8" ht="13.2" x14ac:dyDescent="0.25">
      <c r="A1231" s="1" t="str">
        <f ca="1">IFERROR(__xludf.DUMMYFUNCTION("GOOGLETRANSLATE(English!A1231, ""en"", ""bg"")"),"qa_05041")</f>
        <v>qa_05041</v>
      </c>
      <c r="B1231" s="1" t="str">
        <f ca="1">IFERROR(__xludf.DUMMYFUNCTION("GOOGLETRANSLATE(English!B1231, ""en"", ""bg"")"),"химия")</f>
        <v>химия</v>
      </c>
      <c r="C1231" s="1" t="str">
        <f ca="1">IFERROR(__xludf.DUMMYFUNCTION("GOOGLETRANSLATE(English!C1231, ""en"", ""bg"")"),"високо")</f>
        <v>високо</v>
      </c>
      <c r="D1231" s="1" t="str">
        <f ca="1">IFERROR(__xludf.DUMMYFUNCTION("GOOGLETRANSLATE(English!D1231, ""en"", ""bg"")"),"скорости на реакция")</f>
        <v>скорости на реакция</v>
      </c>
      <c r="E1231" s="1" t="str">
        <f ca="1">IFERROR(__xludf.DUMMYFUNCTION("GOOGLETRANSLATE(English!E1231, ""en"", ""bg"")"),"Какво представляват скоростите на реакция?")</f>
        <v>Какво представляват скоростите на реакция?</v>
      </c>
      <c r="F1231" s="1" t="str">
        <f ca="1">IFERROR(__xludf.DUMMYFUNCTION("GOOGLETRANSLATE(English!F1231,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1231" s="1" t="str">
        <f ca="1">IFERROR(__xludf.DUMMYFUNCTION("GOOGLETRANSLATE(English!G1231, ""en"", ""bg"")"),"direct_qa")</f>
        <v>direct_qa</v>
      </c>
      <c r="H1231" s="1" t="str">
        <f ca="1">IFERROR(__xludf.DUMMYFUNCTION("GOOGLETRANSLATE(English!H1231, ""en"", ""bg"")"),"заявка_за_знание")</f>
        <v>заявка_за_знание</v>
      </c>
    </row>
    <row r="1232" spans="1:8" ht="13.2" x14ac:dyDescent="0.25">
      <c r="A1232" s="1" t="str">
        <f ca="1">IFERROR(__xludf.DUMMYFUNCTION("GOOGLETRANSLATE(English!A1232, ""en"", ""bg"")"),"conv_14887")</f>
        <v>conv_14887</v>
      </c>
      <c r="B1232" s="1" t="str">
        <f ca="1">IFERROR(__xludf.DUMMYFUNCTION("GOOGLETRANSLATE(English!B1232, ""en"", ""bg"")"),"физика")</f>
        <v>физика</v>
      </c>
      <c r="C1232" s="1" t="str">
        <f ca="1">IFERROR(__xludf.DUMMYFUNCTION("GOOGLETRANSLATE(English!C1232, ""en"", ""bg"")"),"елементарен")</f>
        <v>елементарен</v>
      </c>
      <c r="D1232" s="1" t="str">
        <f ca="1">IFERROR(__xludf.DUMMYFUNCTION("GOOGLETRANSLATE(English!D1232, ""en"", ""bg"")"),"прости машини")</f>
        <v>прости машини</v>
      </c>
      <c r="E1232" s="1" t="str">
        <f ca="1">IFERROR(__xludf.DUMMYFUNCTION("GOOGLETRANSLATE(English!E1232, ""en"", ""bg"")"),"Имам научен въпрос. Как работят прости машини във физиката?")</f>
        <v>Имам научен въпрос. Как работят прости машини във физиката?</v>
      </c>
      <c r="F1232" s="1" t="str">
        <f ca="1">IFERROR(__xludf.DUMMYFUNCTION("GOOGLETRANSLATE(English!F1232,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1232" s="1" t="str">
        <f ca="1">IFERROR(__xludf.DUMMYFUNCTION("GOOGLETRANSLATE(English!G1232, ""en"", ""bg"")"),"разговор")</f>
        <v>разговор</v>
      </c>
      <c r="H1232" s="1" t="str">
        <f ca="1">IFERROR(__xludf.DUMMYFUNCTION("GOOGLETRANSLATE(English!H1232, ""en"", ""bg"")"),"образователна_помощ")</f>
        <v>образователна_помощ</v>
      </c>
    </row>
    <row r="1233" spans="1:8" ht="13.2" x14ac:dyDescent="0.25">
      <c r="A1233" s="1" t="str">
        <f ca="1">IFERROR(__xludf.DUMMYFUNCTION("GOOGLETRANSLATE(English!A1233, ""en"", ""bg"")"),"conv_04529")</f>
        <v>conv_04529</v>
      </c>
      <c r="B1233" s="1" t="str">
        <f ca="1">IFERROR(__xludf.DUMMYFUNCTION("GOOGLETRANSLATE(English!B1233, ""en"", ""bg"")"),"биология")</f>
        <v>биология</v>
      </c>
      <c r="C1233" s="1" t="str">
        <f ca="1">IFERROR(__xludf.DUMMYFUNCTION("GOOGLETRANSLATE(English!C1233, ""en"", ""bg"")"),"елементарен")</f>
        <v>елементарен</v>
      </c>
      <c r="D1233" s="1" t="str">
        <f ca="1">IFERROR(__xludf.DUMMYFUNCTION("GOOGLETRANSLATE(English!D1233, ""en"", ""bg"")"),"хранителни вериги")</f>
        <v>хранителни вериги</v>
      </c>
      <c r="E1233" s="1" t="str">
        <f ca="1">IFERROR(__xludf.DUMMYFUNCTION("GOOGLETRANSLATE(English!E1233, ""en"", ""bg"")"),"Помогнете ми да уча за теста си. Защо хранителните вериги са важни в биологията?")</f>
        <v>Помогнете ми да уча за теста си. Защо хранителните вериги са важни в биологията?</v>
      </c>
      <c r="F1233" s="1" t="str">
        <f ca="1">IFERROR(__xludf.DUMMYFUNCTION("GOOGLETRANSLATE(English!F1233, ""en"", ""bg"")"),"Хранителните вериги са важни, защото ни помагат да разберем живота и как живите същества оцеляват.")</f>
        <v>Хранителните вериги са важни, защото ни помагат да разберем живота и как живите същества оцеляват.</v>
      </c>
      <c r="G1233" s="1" t="str">
        <f ca="1">IFERROR(__xludf.DUMMYFUNCTION("GOOGLETRANSLATE(English!G1233, ""en"", ""bg"")"),"разговор")</f>
        <v>разговор</v>
      </c>
      <c r="H1233" s="1" t="str">
        <f ca="1">IFERROR(__xludf.DUMMYFUNCTION("GOOGLETRANSLATE(English!H1233, ""en"", ""bg"")"),"образователна_помощ")</f>
        <v>образователна_помощ</v>
      </c>
    </row>
    <row r="1234" spans="1:8" ht="13.2" x14ac:dyDescent="0.25">
      <c r="A1234" s="1" t="str">
        <f ca="1">IFERROR(__xludf.DUMMYFUNCTION("GOOGLETRANSLATE(English!A1234, ""en"", ""bg"")"),"qa_10611")</f>
        <v>qa_10611</v>
      </c>
      <c r="B1234" s="1" t="str">
        <f ca="1">IFERROR(__xludf.DUMMYFUNCTION("GOOGLETRANSLATE(English!B1234, ""en"", ""bg"")"),"физика")</f>
        <v>физика</v>
      </c>
      <c r="C1234" s="1" t="str">
        <f ca="1">IFERROR(__xludf.DUMMYFUNCTION("GOOGLETRANSLATE(English!C1234, ""en"", ""bg"")"),"високо")</f>
        <v>високо</v>
      </c>
      <c r="D1234" s="1" t="str">
        <f ca="1">IFERROR(__xludf.DUMMYFUNCTION("GOOGLETRANSLATE(English!D1234, ""en"", ""bg"")"),"атомна структура")</f>
        <v>атомна структура</v>
      </c>
      <c r="E1234" s="1" t="str">
        <f ca="1">IFERROR(__xludf.DUMMYFUNCTION("GOOGLETRANSLATE(English!E1234, ""en"", ""bg"")"),"Можете ли да ми обясните структурата на атома?")</f>
        <v>Можете ли да ми обясните структурата на атома?</v>
      </c>
      <c r="F1234" s="1" t="str">
        <f ca="1">IFERROR(__xludf.DUMMYFUNCTION("GOOGLETRANSLATE(English!F1234,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1234" s="1" t="str">
        <f ca="1">IFERROR(__xludf.DUMMYFUNCTION("GOOGLETRANSLATE(English!G1234, ""en"", ""bg"")"),"direct_qa")</f>
        <v>direct_qa</v>
      </c>
      <c r="H1234" s="1" t="str">
        <f ca="1">IFERROR(__xludf.DUMMYFUNCTION("GOOGLETRANSLATE(English!H1234, ""en"", ""bg"")"),"заявка_за_знание")</f>
        <v>заявка_за_знание</v>
      </c>
    </row>
    <row r="1235" spans="1:8" ht="13.2" x14ac:dyDescent="0.25">
      <c r="A1235" s="1" t="str">
        <f ca="1">IFERROR(__xludf.DUMMYFUNCTION("GOOGLETRANSLATE(English!A1235, ""en"", ""bg"")"),"conv_00458")</f>
        <v>conv_00458</v>
      </c>
      <c r="B1235" s="1" t="str">
        <f ca="1">IFERROR(__xludf.DUMMYFUNCTION("GOOGLETRANSLATE(English!B1235, ""en"", ""bg"")"),"биология")</f>
        <v>биология</v>
      </c>
      <c r="C1235" s="1" t="str">
        <f ca="1">IFERROR(__xludf.DUMMYFUNCTION("GOOGLETRANSLATE(English!C1235, ""en"", ""bg"")"),"елементарен")</f>
        <v>елементарен</v>
      </c>
      <c r="D1235" s="1" t="str">
        <f ca="1">IFERROR(__xludf.DUMMYFUNCTION("GOOGLETRANSLATE(English!D1235, ""en"", ""bg"")"),"местообитания")</f>
        <v>местообитания</v>
      </c>
      <c r="E1235" s="1" t="str">
        <f ca="1">IFERROR(__xludf.DUMMYFUNCTION("GOOGLETRANSLATE(English!E1235, ""en"", ""bg"")"),"Имам научен въпрос. Как функционират местообитанията?")</f>
        <v>Имам научен въпрос. Как функционират местообитанията?</v>
      </c>
      <c r="F1235" s="1" t="str">
        <f ca="1">IFERROR(__xludf.DUMMYFUNCTION("GOOGLETRANSLATE(English!F1235, ""en"", ""bg"")"),"Хабитатите функционират чрез естествени процеси, които учените изучават от много години.")</f>
        <v>Хабитатите функционират чрез естествени процеси, които учените изучават от много години.</v>
      </c>
      <c r="G1235" s="1" t="str">
        <f ca="1">IFERROR(__xludf.DUMMYFUNCTION("GOOGLETRANSLATE(English!G1235, ""en"", ""bg"")"),"разговор")</f>
        <v>разговор</v>
      </c>
      <c r="H1235" s="1" t="str">
        <f ca="1">IFERROR(__xludf.DUMMYFUNCTION("GOOGLETRANSLATE(English!H1235, ""en"", ""bg"")"),"образователна_помощ")</f>
        <v>образователна_помощ</v>
      </c>
    </row>
    <row r="1236" spans="1:8" ht="13.2" x14ac:dyDescent="0.25">
      <c r="A1236" s="1" t="str">
        <f ca="1">IFERROR(__xludf.DUMMYFUNCTION("GOOGLETRANSLATE(English!A1236, ""en"", ""bg"")"),"conv_10029")</f>
        <v>conv_10029</v>
      </c>
      <c r="B1236" s="1" t="str">
        <f ca="1">IFERROR(__xludf.DUMMYFUNCTION("GOOGLETRANSLATE(English!B1236, ""en"", ""bg"")"),"физика")</f>
        <v>физика</v>
      </c>
      <c r="C1236" s="1" t="str">
        <f ca="1">IFERROR(__xludf.DUMMYFUNCTION("GOOGLETRANSLATE(English!C1236, ""en"", ""bg"")"),"средата")</f>
        <v>средата</v>
      </c>
      <c r="D1236" s="1" t="str">
        <f ca="1">IFERROR(__xludf.DUMMYFUNCTION("GOOGLETRANSLATE(English!D1236, ""en"", ""bg"")"),"видове енергия")</f>
        <v>видове енергия</v>
      </c>
      <c r="E1236" s="1" t="str">
        <f ca="1">IFERROR(__xludf.DUMMYFUNCTION("GOOGLETRANSLATE(English!E1236, ""en"", ""bg"")"),"Здравей, преподавателю! Как се променя видът на енергията?")</f>
        <v>Здравей, преподавателю! Как се променя видът на енергията?</v>
      </c>
      <c r="F1236" s="1" t="str">
        <f ca="1">IFERROR(__xludf.DUMMYFUNCTION("GOOGLETRANSLATE(English!F1236,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1236" s="1" t="str">
        <f ca="1">IFERROR(__xludf.DUMMYFUNCTION("GOOGLETRANSLATE(English!G1236, ""en"", ""bg"")"),"разговор")</f>
        <v>разговор</v>
      </c>
      <c r="H1236" s="1" t="str">
        <f ca="1">IFERROR(__xludf.DUMMYFUNCTION("GOOGLETRANSLATE(English!H1236, ""en"", ""bg"")"),"образователна_помощ")</f>
        <v>образователна_помощ</v>
      </c>
    </row>
    <row r="1237" spans="1:8" ht="13.2" x14ac:dyDescent="0.25">
      <c r="A1237" s="1" t="str">
        <f ca="1">IFERROR(__xludf.DUMMYFUNCTION("GOOGLETRANSLATE(English!A1237, ""en"", ""bg"")"),"conv_02549")</f>
        <v>conv_02549</v>
      </c>
      <c r="B1237" s="1" t="str">
        <f ca="1">IFERROR(__xludf.DUMMYFUNCTION("GOOGLETRANSLATE(English!B1237, ""en"", ""bg"")"),"биология")</f>
        <v>биология</v>
      </c>
      <c r="C1237" s="1" t="str">
        <f ca="1">IFERROR(__xludf.DUMMYFUNCTION("GOOGLETRANSLATE(English!C1237, ""en"", ""bg"")"),"високо")</f>
        <v>високо</v>
      </c>
      <c r="D1237" s="1" t="str">
        <f ca="1">IFERROR(__xludf.DUMMYFUNCTION("GOOGLETRANSLATE(English!D1237, ""en"", ""bg"")"),"синтез на протеини")</f>
        <v>синтез на протеини</v>
      </c>
      <c r="E1237" s="1" t="str">
        <f ca="1">IFERROR(__xludf.DUMMYFUNCTION("GOOGLETRANSLATE(English!E1237, ""en"", ""bg"")"),"Имам нужда от помощ с домашното. Какво е важно да знаем за синтеза на протеини?")</f>
        <v>Имам нужда от помощ с домашното. Какво е важно да знаем за синтеза на протеини?</v>
      </c>
      <c r="F1237" s="1" t="str">
        <f ca="1">IFERROR(__xludf.DUMMYFUNCTION("GOOGLETRANSLATE(English!F1237,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1237" s="1" t="str">
        <f ca="1">IFERROR(__xludf.DUMMYFUNCTION("GOOGLETRANSLATE(English!G1237, ""en"", ""bg"")"),"разговор")</f>
        <v>разговор</v>
      </c>
      <c r="H1237" s="1" t="str">
        <f ca="1">IFERROR(__xludf.DUMMYFUNCTION("GOOGLETRANSLATE(English!H1237, ""en"", ""bg"")"),"образователна_помощ")</f>
        <v>образователна_помощ</v>
      </c>
    </row>
    <row r="1238" spans="1:8" ht="13.2" x14ac:dyDescent="0.25">
      <c r="A1238" s="1" t="str">
        <f ca="1">IFERROR(__xludf.DUMMYFUNCTION("GOOGLETRANSLATE(English!A1238, ""en"", ""bg"")"),"qa_03053")</f>
        <v>qa_03053</v>
      </c>
      <c r="B1238" s="1" t="str">
        <f ca="1">IFERROR(__xludf.DUMMYFUNCTION("GOOGLETRANSLATE(English!B1238, ""en"", ""bg"")"),"биология")</f>
        <v>биология</v>
      </c>
      <c r="C1238" s="1" t="str">
        <f ca="1">IFERROR(__xludf.DUMMYFUNCTION("GOOGLETRANSLATE(English!C1238, ""en"", ""bg"")"),"средата")</f>
        <v>средата</v>
      </c>
      <c r="D1238" s="1" t="str">
        <f ca="1">IFERROR(__xludf.DUMMYFUNCTION("GOOGLETRANSLATE(English!D1238, ""en"", ""bg"")"),"екосистеми")</f>
        <v>екосистеми</v>
      </c>
      <c r="E1238" s="1" t="str">
        <f ca="1">IFERROR(__xludf.DUMMYFUNCTION("GOOGLETRANSLATE(English!E1238, ""en"", ""bg"")"),"Как функционират екосистемите?")</f>
        <v>Как функционират екосистемите?</v>
      </c>
      <c r="F1238" s="1" t="str">
        <f ca="1">IFERROR(__xludf.DUMMYFUNCTION("GOOGLETRANSLATE(English!F1238,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1238" s="1" t="str">
        <f ca="1">IFERROR(__xludf.DUMMYFUNCTION("GOOGLETRANSLATE(English!G1238, ""en"", ""bg"")"),"direct_qa")</f>
        <v>direct_qa</v>
      </c>
      <c r="H1238" s="1" t="str">
        <f ca="1">IFERROR(__xludf.DUMMYFUNCTION("GOOGLETRANSLATE(English!H1238, ""en"", ""bg"")"),"заявка_за_знание")</f>
        <v>заявка_за_знание</v>
      </c>
    </row>
    <row r="1239" spans="1:8" ht="13.2" x14ac:dyDescent="0.25">
      <c r="A1239" s="1" t="str">
        <f ca="1">IFERROR(__xludf.DUMMYFUNCTION("GOOGLETRANSLATE(English!A1239, ""en"", ""bg"")"),"conv_17211")</f>
        <v>conv_17211</v>
      </c>
      <c r="B1239" s="1" t="str">
        <f ca="1">IFERROR(__xludf.DUMMYFUNCTION("GOOGLETRANSLATE(English!B1239, ""en"", ""bg"")"),"физика")</f>
        <v>физика</v>
      </c>
      <c r="C1239" s="1" t="str">
        <f ca="1">IFERROR(__xludf.DUMMYFUNCTION("GOOGLETRANSLATE(English!C1239, ""en"", ""bg"")"),"средата")</f>
        <v>средата</v>
      </c>
      <c r="D1239" s="1" t="str">
        <f ca="1">IFERROR(__xludf.DUMMYFUNCTION("GOOGLETRANSLATE(English!D1239, ""en"", ""bg"")"),"вълни")</f>
        <v>вълни</v>
      </c>
      <c r="E1239" s="1" t="str">
        <f ca="1">IFERROR(__xludf.DUMMYFUNCTION("GOOGLETRANSLATE(English!E1239, ""en"", ""bg"")"),"Имам нужда от помощ с домашното. Защо вълните са важни?")</f>
        <v>Имам нужда от помощ с домашното. Защо вълните са важни?</v>
      </c>
      <c r="F1239" s="1" t="str">
        <f ca="1">IFERROR(__xludf.DUMMYFUNCTION("GOOGLETRANSLATE(English!F1239,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1239" s="1" t="str">
        <f ca="1">IFERROR(__xludf.DUMMYFUNCTION("GOOGLETRANSLATE(English!G1239, ""en"", ""bg"")"),"разговор")</f>
        <v>разговор</v>
      </c>
      <c r="H1239" s="1" t="str">
        <f ca="1">IFERROR(__xludf.DUMMYFUNCTION("GOOGLETRANSLATE(English!H1239, ""en"", ""bg"")"),"образователна_помощ")</f>
        <v>образователна_помощ</v>
      </c>
    </row>
    <row r="1240" spans="1:8" ht="13.2" x14ac:dyDescent="0.25">
      <c r="A1240" s="1" t="str">
        <f ca="1">IFERROR(__xludf.DUMMYFUNCTION("GOOGLETRANSLATE(English!A1240, ""en"", ""bg"")"),"hw_13601")</f>
        <v>hw_13601</v>
      </c>
      <c r="B1240" s="1" t="str">
        <f ca="1">IFERROR(__xludf.DUMMYFUNCTION("GOOGLETRANSLATE(English!B1240, ""en"", ""bg"")"),"физика")</f>
        <v>физика</v>
      </c>
      <c r="C1240" s="1" t="str">
        <f ca="1">IFERROR(__xludf.DUMMYFUNCTION("GOOGLETRANSLATE(English!C1240, ""en"", ""bg"")"),"елементарен")</f>
        <v>елементарен</v>
      </c>
      <c r="D1240" s="1" t="str">
        <f ca="1">IFERROR(__xludf.DUMMYFUNCTION("GOOGLETRANSLATE(English!D1240, ""en"", ""bg"")"),"звук")</f>
        <v>звук</v>
      </c>
      <c r="E1240" s="1" t="str">
        <f ca="1">IFERROR(__xludf.DUMMYFUNCTION("GOOGLETRANSLATE(English!E1240,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1240" s="1" t="str">
        <f ca="1">IFERROR(__xludf.DUMMYFUNCTION("GOOGLETRANSLATE(English!F1240,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240" s="1" t="str">
        <f ca="1">IFERROR(__xludf.DUMMYFUNCTION("GOOGLETRANSLATE(English!G1240, ""en"", ""bg"")"),"помощ_за_домашно_изпълнение")</f>
        <v>помощ_за_домашно_изпълнение</v>
      </c>
      <c r="H1240" s="1" t="str">
        <f ca="1">IFERROR(__xludf.DUMMYFUNCTION("GOOGLETRANSLATE(English!H1240, ""en"", ""bg"")"),"помощ_за_домашно_задаване")</f>
        <v>помощ_за_домашно_задаване</v>
      </c>
    </row>
    <row r="1241" spans="1:8" ht="13.2" x14ac:dyDescent="0.25">
      <c r="A1241" s="1" t="str">
        <f ca="1">IFERROR(__xludf.DUMMYFUNCTION("GOOGLETRANSLATE(English!A1241, ""en"", ""bg"")"),"conv_06397")</f>
        <v>conv_06397</v>
      </c>
      <c r="B1241" s="1" t="str">
        <f ca="1">IFERROR(__xludf.DUMMYFUNCTION("GOOGLETRANSLATE(English!B1241, ""en"", ""bg"")"),"биология")</f>
        <v>биология</v>
      </c>
      <c r="C1241" s="1" t="str">
        <f ca="1">IFERROR(__xludf.DUMMYFUNCTION("GOOGLETRANSLATE(English!C1241, ""en"", ""bg"")"),"елементарен")</f>
        <v>елементарен</v>
      </c>
      <c r="D1241" s="1" t="str">
        <f ca="1">IFERROR(__xludf.DUMMYFUNCTION("GOOGLETRANSLATE(English!D1241, ""en"", ""bg"")"),"растения")</f>
        <v>растения</v>
      </c>
      <c r="E1241" s="1" t="str">
        <f ca="1">IFERROR(__xludf.DUMMYFUNCTION("GOOGLETRANSLATE(English!E1241, ""en"", ""bg"")"),"Имам научен въпрос. Как растенията си произвеждат сами храната?")</f>
        <v>Имам научен въпрос. Как растенията си произвеждат сами храната?</v>
      </c>
      <c r="F1241" s="1" t="str">
        <f ca="1">IFERROR(__xludf.DUMMYFUNCTION("GOOGLETRANSLATE(English!F1241, ""en"", ""bg"")"),"Растенията произвеждат храна чрез фотосинтеза - те използват слънчева светлина, вода и въздух, за да създадат захар за енергия.")</f>
        <v>Растенията произвеждат храна чрез фотосинтеза - те използват слънчева светлина, вода и въздух, за да създадат захар за енергия.</v>
      </c>
      <c r="G1241" s="1" t="str">
        <f ca="1">IFERROR(__xludf.DUMMYFUNCTION("GOOGLETRANSLATE(English!G1241, ""en"", ""bg"")"),"разговор")</f>
        <v>разговор</v>
      </c>
      <c r="H1241" s="1" t="str">
        <f ca="1">IFERROR(__xludf.DUMMYFUNCTION("GOOGLETRANSLATE(English!H1241, ""en"", ""bg"")"),"образователна_помощ")</f>
        <v>образователна_помощ</v>
      </c>
    </row>
    <row r="1242" spans="1:8" ht="13.2" x14ac:dyDescent="0.25">
      <c r="A1242" s="1" t="str">
        <f ca="1">IFERROR(__xludf.DUMMYFUNCTION("GOOGLETRANSLATE(English!A1242, ""en"", ""bg"")"),"hw_00190")</f>
        <v>hw_00190</v>
      </c>
      <c r="B1242" s="1" t="str">
        <f ca="1">IFERROR(__xludf.DUMMYFUNCTION("GOOGLETRANSLATE(English!B1242, ""en"", ""bg"")"),"биология")</f>
        <v>биология</v>
      </c>
      <c r="C1242" s="1" t="str">
        <f ca="1">IFERROR(__xludf.DUMMYFUNCTION("GOOGLETRANSLATE(English!C1242, ""en"", ""bg"")"),"елементарен")</f>
        <v>елементарен</v>
      </c>
      <c r="D1242" s="1" t="str">
        <f ca="1">IFERROR(__xludf.DUMMYFUNCTION("GOOGLETRANSLATE(English!D1242, ""en"", ""bg"")"),"основни нужди")</f>
        <v>основни нужди</v>
      </c>
      <c r="E1242" s="1" t="str">
        <f ca="1">IFERROR(__xludf.DUMMYFUNCTION("GOOGLETRANSLATE(English!E1242, ""en"", ""bg"")"),"Домашното ми пита за основни нужди. Не го разбирам.")</f>
        <v>Домашното ми пита за основни нужди. Не го разбирам.</v>
      </c>
      <c r="F1242" s="1" t="str">
        <f ca="1">IFERROR(__xludf.DUMMYFUNCTION("GOOGLETRANSLATE(English!F1242,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1242" s="1" t="str">
        <f ca="1">IFERROR(__xludf.DUMMYFUNCTION("GOOGLETRANSLATE(English!G1242, ""en"", ""bg"")"),"помощ_за_домашно_изпълнение")</f>
        <v>помощ_за_домашно_изпълнение</v>
      </c>
      <c r="H1242" s="1" t="str">
        <f ca="1">IFERROR(__xludf.DUMMYFUNCTION("GOOGLETRANSLATE(English!H1242, ""en"", ""bg"")"),"помощ_за_домашно_задаване")</f>
        <v>помощ_за_домашно_задаване</v>
      </c>
    </row>
    <row r="1243" spans="1:8" ht="13.2" x14ac:dyDescent="0.25">
      <c r="A1243" s="1" t="str">
        <f ca="1">IFERROR(__xludf.DUMMYFUNCTION("GOOGLETRANSLATE(English!A1243, ""en"", ""bg"")"),"hw_05286")</f>
        <v>hw_05286</v>
      </c>
      <c r="B1243" s="1" t="str">
        <f ca="1">IFERROR(__xludf.DUMMYFUNCTION("GOOGLETRANSLATE(English!B1243, ""en"", ""bg"")"),"биология")</f>
        <v>биология</v>
      </c>
      <c r="C1243" s="1" t="str">
        <f ca="1">IFERROR(__xludf.DUMMYFUNCTION("GOOGLETRANSLATE(English!C1243, ""en"", ""bg"")"),"елементарен")</f>
        <v>елементарен</v>
      </c>
      <c r="D1243" s="1" t="str">
        <f ca="1">IFERROR(__xludf.DUMMYFUNCTION("GOOGLETRANSLATE(English!D1243, ""en"", ""bg"")"),"местообитания")</f>
        <v>местообитания</v>
      </c>
      <c r="E1243" s="1" t="str">
        <f ca="1">IFERROR(__xludf.DUMMYFUNCTION("GOOGLETRANSLATE(English!E1243, ""en"", ""bg"")"),"Домашното ми пита за местообитанията. Не го разбирам.")</f>
        <v>Домашното ми пита за местообитанията. Не го разбирам.</v>
      </c>
      <c r="F1243" s="1" t="str">
        <f ca="1">IFERROR(__xludf.DUMMYFUNCTION("GOOGLETRANSLATE(English!F1243,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1243" s="1" t="str">
        <f ca="1">IFERROR(__xludf.DUMMYFUNCTION("GOOGLETRANSLATE(English!G1243, ""en"", ""bg"")"),"помощ_за_домашно_изпълнение")</f>
        <v>помощ_за_домашно_изпълнение</v>
      </c>
      <c r="H1243" s="1" t="str">
        <f ca="1">IFERROR(__xludf.DUMMYFUNCTION("GOOGLETRANSLATE(English!H1243, ""en"", ""bg"")"),"помощ_за_домашно_задаване")</f>
        <v>помощ_за_домашно_задаване</v>
      </c>
    </row>
    <row r="1244" spans="1:8" ht="13.2" x14ac:dyDescent="0.25">
      <c r="A1244" s="1" t="str">
        <f ca="1">IFERROR(__xludf.DUMMYFUNCTION("GOOGLETRANSLATE(English!A1244, ""en"", ""bg"")"),"conv_10440")</f>
        <v>conv_10440</v>
      </c>
      <c r="B1244" s="1" t="str">
        <f ca="1">IFERROR(__xludf.DUMMYFUNCTION("GOOGLETRANSLATE(English!B1244, ""en"", ""bg"")"),"биология")</f>
        <v>биология</v>
      </c>
      <c r="C1244" s="1" t="str">
        <f ca="1">IFERROR(__xludf.DUMMYFUNCTION("GOOGLETRANSLATE(English!C1244, ""en"", ""bg"")"),"средата")</f>
        <v>средата</v>
      </c>
      <c r="D1244" s="1" t="str">
        <f ca="1">IFERROR(__xludf.DUMMYFUNCTION("GOOGLETRANSLATE(English!D1244, ""en"", ""bg"")"),"размножаване")</f>
        <v>размножаване</v>
      </c>
      <c r="E1244" s="1" t="str">
        <f ca="1">IFERROR(__xludf.DUMMYFUNCTION("GOOGLETRANSLATE(English!E1244, ""en"", ""bg"")"),"Имам нужда от помощ с домашното си. Какво е важно да знаем за размножаването?")</f>
        <v>Имам нужда от помощ с домашното си. Какво е важно да знаем за размножаването?</v>
      </c>
      <c r="F1244" s="1" t="str">
        <f ca="1">IFERROR(__xludf.DUMMYFUNCTION("GOOGLETRANSLATE(English!F1244,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1244" s="1" t="str">
        <f ca="1">IFERROR(__xludf.DUMMYFUNCTION("GOOGLETRANSLATE(English!G1244, ""en"", ""bg"")"),"разговор")</f>
        <v>разговор</v>
      </c>
      <c r="H1244" s="1" t="str">
        <f ca="1">IFERROR(__xludf.DUMMYFUNCTION("GOOGLETRANSLATE(English!H1244, ""en"", ""bg"")"),"образователна_помощ")</f>
        <v>образователна_помощ</v>
      </c>
    </row>
    <row r="1245" spans="1:8" ht="13.2" x14ac:dyDescent="0.25">
      <c r="A1245" s="1" t="str">
        <f ca="1">IFERROR(__xludf.DUMMYFUNCTION("GOOGLETRANSLATE(English!A1245, ""en"", ""bg"")"),"hw_04966")</f>
        <v>hw_04966</v>
      </c>
      <c r="B1245" s="1" t="str">
        <f ca="1">IFERROR(__xludf.DUMMYFUNCTION("GOOGLETRANSLATE(English!B1245, ""en"", ""bg"")"),"физика")</f>
        <v>физика</v>
      </c>
      <c r="C1245" s="1" t="str">
        <f ca="1">IFERROR(__xludf.DUMMYFUNCTION("GOOGLETRANSLATE(English!C1245, ""en"", ""bg"")"),"елементарен")</f>
        <v>елементарен</v>
      </c>
      <c r="D1245" s="1" t="str">
        <f ca="1">IFERROR(__xludf.DUMMYFUNCTION("GOOGLETRANSLATE(English!D1245, ""en"", ""bg"")"),"прости машини")</f>
        <v>прости машини</v>
      </c>
      <c r="E1245" s="1" t="str">
        <f ca="1">IFERROR(__xludf.DUMMYFUNCTION("GOOGLETRANSLATE(English!E1245, ""en"", ""bg"")"),"Домашното ми по физика е за прости машини. Объркващо е!")</f>
        <v>Домашното ми по физика е за прости машини. Объркващо е!</v>
      </c>
      <c r="F1245" s="1" t="str">
        <f ca="1">IFERROR(__xludf.DUMMYFUNCTION("GOOGLETRANSLATE(English!F1245,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1245" s="1" t="str">
        <f ca="1">IFERROR(__xludf.DUMMYFUNCTION("GOOGLETRANSLATE(English!G1245, ""en"", ""bg"")"),"помощ_за_домашно_изпълнение")</f>
        <v>помощ_за_домашно_изпълнение</v>
      </c>
      <c r="H1245" s="1" t="str">
        <f ca="1">IFERROR(__xludf.DUMMYFUNCTION("GOOGLETRANSLATE(English!H1245, ""en"", ""bg"")"),"помощ_за_домашно_задаване")</f>
        <v>помощ_за_домашно_задаване</v>
      </c>
    </row>
    <row r="1246" spans="1:8" ht="13.2" x14ac:dyDescent="0.25">
      <c r="A1246" s="1" t="str">
        <f ca="1">IFERROR(__xludf.DUMMYFUNCTION("GOOGLETRANSLATE(English!A1246, ""en"", ""bg"")"),"hw_02570")</f>
        <v>hw_02570</v>
      </c>
      <c r="B1246" s="1" t="str">
        <f ca="1">IFERROR(__xludf.DUMMYFUNCTION("GOOGLETRANSLATE(English!B1246, ""en"", ""bg"")"),"физика")</f>
        <v>физика</v>
      </c>
      <c r="C1246" s="1" t="str">
        <f ca="1">IFERROR(__xludf.DUMMYFUNCTION("GOOGLETRANSLATE(English!C1246, ""en"", ""bg"")"),"високо")</f>
        <v>високо</v>
      </c>
      <c r="D1246" s="1" t="str">
        <f ca="1">IFERROR(__xludf.DUMMYFUNCTION("GOOGLETRANSLATE(English!D1246, ""en"", ""bg"")"),"оптика")</f>
        <v>оптика</v>
      </c>
      <c r="E1246" s="1" t="str">
        <f ca="1">IFERROR(__xludf.DUMMYFUNCTION("GOOGLETRANSLATE(English!E1246, ""en"", ""bg"")"),"Домашното ми по физика е за оптика. Объркващо е!")</f>
        <v>Домашното ми по физика е за оптика. Объркващо е!</v>
      </c>
      <c r="F1246" s="1" t="str">
        <f ca="1">IFERROR(__xludf.DUMMYFUNCTION("GOOGLETRANSLATE(English!F1246,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1246" s="1" t="str">
        <f ca="1">IFERROR(__xludf.DUMMYFUNCTION("GOOGLETRANSLATE(English!G1246, ""en"", ""bg"")"),"помощ_за_домашно_изпълнение")</f>
        <v>помощ_за_домашно_изпълнение</v>
      </c>
      <c r="H1246" s="1" t="str">
        <f ca="1">IFERROR(__xludf.DUMMYFUNCTION("GOOGLETRANSLATE(English!H1246, ""en"", ""bg"")"),"помощ_за_домашно_задаване")</f>
        <v>помощ_за_домашно_задаване</v>
      </c>
    </row>
    <row r="1247" spans="1:8" ht="13.2" x14ac:dyDescent="0.25">
      <c r="A1247" s="1" t="str">
        <f ca="1">IFERROR(__xludf.DUMMYFUNCTION("GOOGLETRANSLATE(English!A1247, ""en"", ""bg"")"),"conv_16119")</f>
        <v>conv_16119</v>
      </c>
      <c r="B1247" s="1" t="str">
        <f ca="1">IFERROR(__xludf.DUMMYFUNCTION("GOOGLETRANSLATE(English!B1247, ""en"", ""bg"")"),"химия")</f>
        <v>химия</v>
      </c>
      <c r="C1247" s="1" t="str">
        <f ca="1">IFERROR(__xludf.DUMMYFUNCTION("GOOGLETRANSLATE(English!C1247, ""en"", ""bg"")"),"средата")</f>
        <v>средата</v>
      </c>
      <c r="D1247" s="1" t="str">
        <f ca="1">IFERROR(__xludf.DUMMYFUNCTION("GOOGLETRANSLATE(English!D1247, ""en"", ""bg"")"),"атоми и молекули")</f>
        <v>атоми и молекули</v>
      </c>
      <c r="E1247" s="1" t="str">
        <f ca="1">IFERROR(__xludf.DUMMYFUNCTION("GOOGLETRANSLATE(English!E1247, ""en"", ""bg"")"),"Имам научен въпрос: Какво е атом?")</f>
        <v>Имам научен въпрос: Какво е атом?</v>
      </c>
      <c r="F1247" s="1" t="str">
        <f ca="1">IFERROR(__xludf.DUMMYFUNCTION("GOOGLETRANSLATE(English!F1247,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1247" s="1" t="str">
        <f ca="1">IFERROR(__xludf.DUMMYFUNCTION("GOOGLETRANSLATE(English!G1247, ""en"", ""bg"")"),"разговор")</f>
        <v>разговор</v>
      </c>
      <c r="H1247" s="1" t="str">
        <f ca="1">IFERROR(__xludf.DUMMYFUNCTION("GOOGLETRANSLATE(English!H1247, ""en"", ""bg"")"),"образователна_помощ")</f>
        <v>образователна_помощ</v>
      </c>
    </row>
    <row r="1248" spans="1:8" ht="13.2" x14ac:dyDescent="0.25">
      <c r="A1248" s="1" t="str">
        <f ca="1">IFERROR(__xludf.DUMMYFUNCTION("GOOGLETRANSLATE(English!A1248, ""en"", ""bg"")"),"qa_08089")</f>
        <v>qa_08089</v>
      </c>
      <c r="B1248" s="1" t="str">
        <f ca="1">IFERROR(__xludf.DUMMYFUNCTION("GOOGLETRANSLATE(English!B1248, ""en"", ""bg"")"),"физика")</f>
        <v>физика</v>
      </c>
      <c r="C1248" s="1" t="str">
        <f ca="1">IFERROR(__xludf.DUMMYFUNCTION("GOOGLETRANSLATE(English!C1248, ""en"", ""bg"")"),"високо")</f>
        <v>високо</v>
      </c>
      <c r="D1248" s="1" t="str">
        <f ca="1">IFERROR(__xludf.DUMMYFUNCTION("GOOGLETRANSLATE(English!D1248, ""en"", ""bg"")"),"оптика")</f>
        <v>оптика</v>
      </c>
      <c r="E1248" s="1" t="str">
        <f ca="1">IFERROR(__xludf.DUMMYFUNCTION("GOOGLETRANSLATE(English!E1248, ""en"", ""bg"")"),"Защо е важна оптиката?")</f>
        <v>Защо е важна оптиката?</v>
      </c>
      <c r="F1248" s="1" t="str">
        <f ca="1">IFERROR(__xludf.DUMMYFUNCTION("GOOGLETRANSLATE(English!F1248,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1248" s="1" t="str">
        <f ca="1">IFERROR(__xludf.DUMMYFUNCTION("GOOGLETRANSLATE(English!G1248, ""en"", ""bg"")"),"direct_qa")</f>
        <v>direct_qa</v>
      </c>
      <c r="H1248" s="1" t="str">
        <f ca="1">IFERROR(__xludf.DUMMYFUNCTION("GOOGLETRANSLATE(English!H1248, ""en"", ""bg"")"),"заявка_за_знание")</f>
        <v>заявка_за_знание</v>
      </c>
    </row>
    <row r="1249" spans="1:8" ht="13.2" x14ac:dyDescent="0.25">
      <c r="A1249" s="1" t="str">
        <f ca="1">IFERROR(__xludf.DUMMYFUNCTION("GOOGLETRANSLATE(English!A1249, ""en"", ""bg"")"),"qa_02968")</f>
        <v>qa_02968</v>
      </c>
      <c r="B1249" s="1" t="str">
        <f ca="1">IFERROR(__xludf.DUMMYFUNCTION("GOOGLETRANSLATE(English!B1249, ""en"", ""bg"")"),"химия")</f>
        <v>химия</v>
      </c>
      <c r="C1249" s="1" t="str">
        <f ca="1">IFERROR(__xludf.DUMMYFUNCTION("GOOGLETRANSLATE(English!C1249, ""en"", ""bg"")"),"високо")</f>
        <v>високо</v>
      </c>
      <c r="D1249" s="1" t="str">
        <f ca="1">IFERROR(__xludf.DUMMYFUNCTION("GOOGLETRANSLATE(English!D1249, ""en"", ""bg"")"),"химическо свързване")</f>
        <v>химическо свързване</v>
      </c>
      <c r="E1249" s="1" t="str">
        <f ca="1">IFERROR(__xludf.DUMMYFUNCTION("GOOGLETRANSLATE(English!E1249, ""en"", ""bg"")"),"Как работи химическата връзка в химията?")</f>
        <v>Как работи химическата връзка в химията?</v>
      </c>
      <c r="F1249" s="1" t="str">
        <f ca="1">IFERROR(__xludf.DUMMYFUNCTION("GOOGLETRANSLATE(English!F1249,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1249" s="1" t="str">
        <f ca="1">IFERROR(__xludf.DUMMYFUNCTION("GOOGLETRANSLATE(English!G1249, ""en"", ""bg"")"),"direct_qa")</f>
        <v>direct_qa</v>
      </c>
      <c r="H1249" s="1" t="str">
        <f ca="1">IFERROR(__xludf.DUMMYFUNCTION("GOOGLETRANSLATE(English!H1249, ""en"", ""bg"")"),"заявка_за_знание")</f>
        <v>заявка_за_знание</v>
      </c>
    </row>
    <row r="1250" spans="1:8" ht="13.2" x14ac:dyDescent="0.25">
      <c r="A1250" s="1" t="str">
        <f ca="1">IFERROR(__xludf.DUMMYFUNCTION("GOOGLETRANSLATE(English!A1250, ""en"", ""bg"")"),"conv_06658")</f>
        <v>conv_06658</v>
      </c>
      <c r="B1250" s="1" t="str">
        <f ca="1">IFERROR(__xludf.DUMMYFUNCTION("GOOGLETRANSLATE(English!B1250, ""en"", ""bg"")"),"физика")</f>
        <v>физика</v>
      </c>
      <c r="C1250" s="1" t="str">
        <f ca="1">IFERROR(__xludf.DUMMYFUNCTION("GOOGLETRANSLATE(English!C1250, ""en"", ""bg"")"),"елементарен")</f>
        <v>елементарен</v>
      </c>
      <c r="D1250" s="1" t="str">
        <f ca="1">IFERROR(__xludf.DUMMYFUNCTION("GOOGLETRANSLATE(English!D1250, ""en"", ""bg"")"),"светлина и сянка")</f>
        <v>светлина и сянка</v>
      </c>
      <c r="E1250" s="1" t="str">
        <f ca="1">IFERROR(__xludf.DUMMYFUNCTION("GOOGLETRANSLATE(English!E1250, ""en"", ""bg"")"),"Помогни ми да уча за теста си. Какво се случва, когато светлината попадне в огледало?")</f>
        <v>Помогни ми да уча за теста си. Какво се случва, когато светлината попадне в огледало?</v>
      </c>
      <c r="F1250" s="1" t="str">
        <f ca="1">IFERROR(__xludf.DUMMYFUNCTION("GOOGLETRANSLATE(English!F1250,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1250" s="1" t="str">
        <f ca="1">IFERROR(__xludf.DUMMYFUNCTION("GOOGLETRANSLATE(English!G1250, ""en"", ""bg"")"),"разговор")</f>
        <v>разговор</v>
      </c>
      <c r="H1250" s="1" t="str">
        <f ca="1">IFERROR(__xludf.DUMMYFUNCTION("GOOGLETRANSLATE(English!H1250, ""en"", ""bg"")"),"образователна_помощ")</f>
        <v>образователна_помощ</v>
      </c>
    </row>
    <row r="1251" spans="1:8" ht="13.2" x14ac:dyDescent="0.25">
      <c r="A1251" s="1" t="str">
        <f ca="1">IFERROR(__xludf.DUMMYFUNCTION("GOOGLETRANSLATE(English!A1251, ""en"", ""bg"")"),"qa_01284")</f>
        <v>qa_01284</v>
      </c>
      <c r="B1251" s="1" t="str">
        <f ca="1">IFERROR(__xludf.DUMMYFUNCTION("GOOGLETRANSLATE(English!B1251, ""en"", ""bg"")"),"биология")</f>
        <v>биология</v>
      </c>
      <c r="C1251" s="1" t="str">
        <f ca="1">IFERROR(__xludf.DUMMYFUNCTION("GOOGLETRANSLATE(English!C1251, ""en"", ""bg"")"),"високо")</f>
        <v>високо</v>
      </c>
      <c r="D1251" s="1" t="str">
        <f ca="1">IFERROR(__xludf.DUMMYFUNCTION("GOOGLETRANSLATE(English!D1251, ""en"", ""bg"")"),"модели на наследяване")</f>
        <v>модели на наследяване</v>
      </c>
      <c r="E1251" s="1" t="str">
        <f ca="1">IFERROR(__xludf.DUMMYFUNCTION("GOOGLETRANSLATE(English!E1251, ""en"", ""bg"")"),"Защо моделите на наследяване са важни в биологията?")</f>
        <v>Защо моделите на наследяване са важни в биологията?</v>
      </c>
      <c r="F1251" s="1" t="str">
        <f ca="1">IFERROR(__xludf.DUMMYFUNCTION("GOOGLETRANSLATE(English!F1251,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1251" s="1" t="str">
        <f ca="1">IFERROR(__xludf.DUMMYFUNCTION("GOOGLETRANSLATE(English!G1251, ""en"", ""bg"")"),"direct_qa")</f>
        <v>direct_qa</v>
      </c>
      <c r="H1251" s="1" t="str">
        <f ca="1">IFERROR(__xludf.DUMMYFUNCTION("GOOGLETRANSLATE(English!H1251, ""en"", ""bg"")"),"заявка_за_знание")</f>
        <v>заявка_за_знание</v>
      </c>
    </row>
    <row r="1252" spans="1:8" ht="13.2" x14ac:dyDescent="0.25">
      <c r="A1252" s="1" t="str">
        <f ca="1">IFERROR(__xludf.DUMMYFUNCTION("GOOGLETRANSLATE(English!A1252, ""en"", ""bg"")"),"conv_04437")</f>
        <v>conv_04437</v>
      </c>
      <c r="B1252" s="1" t="str">
        <f ca="1">IFERROR(__xludf.DUMMYFUNCTION("GOOGLETRANSLATE(English!B1252, ""en"", ""bg"")"),"химия")</f>
        <v>химия</v>
      </c>
      <c r="C1252" s="1" t="str">
        <f ca="1">IFERROR(__xludf.DUMMYFUNCTION("GOOGLETRANSLATE(English!C1252, ""en"", ""bg"")"),"средата")</f>
        <v>средата</v>
      </c>
      <c r="D1252" s="1" t="str">
        <f ca="1">IFERROR(__xludf.DUMMYFUNCTION("GOOGLETRANSLATE(English!D1252, ""en"", ""bg"")"),"химични промени")</f>
        <v>химични промени</v>
      </c>
      <c r="E1252" s="1" t="str">
        <f ca="1">IFERROR(__xludf.DUMMYFUNCTION("GOOGLETRANSLATE(English!E1252, ""en"", ""bg"")"),"Можете ли да ми помогнете? Какво представляват химичните промени?")</f>
        <v>Можете ли да ми помогнете? Какво представляват химичните промени?</v>
      </c>
      <c r="F1252" s="1" t="str">
        <f ca="1">IFERROR(__xludf.DUMMYFUNCTION("GOOGLETRANSLATE(English!F1252,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1252" s="1" t="str">
        <f ca="1">IFERROR(__xludf.DUMMYFUNCTION("GOOGLETRANSLATE(English!G1252, ""en"", ""bg"")"),"разговор")</f>
        <v>разговор</v>
      </c>
      <c r="H1252" s="1" t="str">
        <f ca="1">IFERROR(__xludf.DUMMYFUNCTION("GOOGLETRANSLATE(English!H1252, ""en"", ""bg"")"),"образователна_помощ")</f>
        <v>образователна_помощ</v>
      </c>
    </row>
    <row r="1253" spans="1:8" ht="13.2" x14ac:dyDescent="0.25">
      <c r="A1253" s="1" t="str">
        <f ca="1">IFERROR(__xludf.DUMMYFUNCTION("GOOGLETRANSLATE(English!A1253, ""en"", ""bg"")"),"qa_04713")</f>
        <v>qa_04713</v>
      </c>
      <c r="B1253" s="1" t="str">
        <f ca="1">IFERROR(__xludf.DUMMYFUNCTION("GOOGLETRANSLATE(English!B1253, ""en"", ""bg"")"),"биология")</f>
        <v>биология</v>
      </c>
      <c r="C1253" s="1" t="str">
        <f ca="1">IFERROR(__xludf.DUMMYFUNCTION("GOOGLETRANSLATE(English!C1253, ""en"", ""bg"")"),"средата")</f>
        <v>средата</v>
      </c>
      <c r="D1253" s="1" t="str">
        <f ca="1">IFERROR(__xludf.DUMMYFUNCTION("GOOGLETRANSLATE(English!D1253, ""en"", ""bg"")"),"клетки")</f>
        <v>клетки</v>
      </c>
      <c r="E1253" s="1" t="str">
        <f ca="1">IFERROR(__xludf.DUMMYFUNCTION("GOOGLETRANSLATE(English!E1253, ""en"", ""bg"")"),"Какво е клетка?")</f>
        <v>Какво е клетка?</v>
      </c>
      <c r="F1253" s="1" t="str">
        <f ca="1">IFERROR(__xludf.DUMMYFUNCTION("GOOGLETRANSLATE(English!F1253,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1253" s="1" t="str">
        <f ca="1">IFERROR(__xludf.DUMMYFUNCTION("GOOGLETRANSLATE(English!G1253, ""en"", ""bg"")"),"direct_qa")</f>
        <v>direct_qa</v>
      </c>
      <c r="H1253" s="1" t="str">
        <f ca="1">IFERROR(__xludf.DUMMYFUNCTION("GOOGLETRANSLATE(English!H1253, ""en"", ""bg"")"),"заявка_за_знание")</f>
        <v>заявка_за_знание</v>
      </c>
    </row>
    <row r="1254" spans="1:8" ht="13.2" x14ac:dyDescent="0.25">
      <c r="A1254" s="1" t="str">
        <f ca="1">IFERROR(__xludf.DUMMYFUNCTION("GOOGLETRANSLATE(English!A1254, ""en"", ""bg"")"),"conv_01342")</f>
        <v>conv_01342</v>
      </c>
      <c r="B1254" s="1" t="str">
        <f ca="1">IFERROR(__xludf.DUMMYFUNCTION("GOOGLETRANSLATE(English!B1254, ""en"", ""bg"")"),"химия")</f>
        <v>химия</v>
      </c>
      <c r="C1254" s="1" t="str">
        <f ca="1">IFERROR(__xludf.DUMMYFUNCTION("GOOGLETRANSLATE(English!C1254, ""en"", ""bg"")"),"елементарен")</f>
        <v>елементарен</v>
      </c>
      <c r="D1254" s="1" t="str">
        <f ca="1">IFERROR(__xludf.DUMMYFUNCTION("GOOGLETRANSLATE(English!D1254, ""en"", ""bg"")"),"ежедневни химикали")</f>
        <v>ежедневни химикали</v>
      </c>
      <c r="E1254" s="1" t="str">
        <f ca="1">IFERROR(__xludf.DUMMYFUNCTION("GOOGLETRANSLATE(English!E1254, ""en"", ""bg"")"),"Имам нужда от помощ с домашното. Как действат ежедневните химикали в химията?")</f>
        <v>Имам нужда от помощ с домашното. Как действат ежедневните химикали в химията?</v>
      </c>
      <c r="F1254" s="1" t="str">
        <f ca="1">IFERROR(__xludf.DUMMYFUNCTION("GOOGLETRANSLATE(English!F1254,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1254" s="1" t="str">
        <f ca="1">IFERROR(__xludf.DUMMYFUNCTION("GOOGLETRANSLATE(English!G1254, ""en"", ""bg"")"),"разговор")</f>
        <v>разговор</v>
      </c>
      <c r="H1254" s="1" t="str">
        <f ca="1">IFERROR(__xludf.DUMMYFUNCTION("GOOGLETRANSLATE(English!H1254, ""en"", ""bg"")"),"образователна_помощ")</f>
        <v>образователна_помощ</v>
      </c>
    </row>
    <row r="1255" spans="1:8" ht="13.2" x14ac:dyDescent="0.25">
      <c r="A1255" s="1" t="str">
        <f ca="1">IFERROR(__xludf.DUMMYFUNCTION("GOOGLETRANSLATE(English!A1255, ""en"", ""bg"")"),"qa_13105")</f>
        <v>qa_13105</v>
      </c>
      <c r="B1255" s="1" t="str">
        <f ca="1">IFERROR(__xludf.DUMMYFUNCTION("GOOGLETRANSLATE(English!B1255, ""en"", ""bg"")"),"химия")</f>
        <v>химия</v>
      </c>
      <c r="C1255" s="1" t="str">
        <f ca="1">IFERROR(__xludf.DUMMYFUNCTION("GOOGLETRANSLATE(English!C1255, ""en"", ""bg"")"),"високо")</f>
        <v>високо</v>
      </c>
      <c r="D1255" s="1" t="str">
        <f ca="1">IFERROR(__xludf.DUMMYFUNCTION("GOOGLETRANSLATE(English!D1255, ""en"", ""bg"")"),"скорости на реакция")</f>
        <v>скорости на реакция</v>
      </c>
      <c r="E1255" s="1" t="str">
        <f ca="1">IFERROR(__xludf.DUMMYFUNCTION("GOOGLETRANSLATE(English!E1255, ""en"", ""bg"")"),"Защо е важно да се учи скоростта на реакция?")</f>
        <v>Защо е важно да се учи скоростта на реакция?</v>
      </c>
      <c r="F1255" s="1" t="str">
        <f ca="1">IFERROR(__xludf.DUMMYFUNCTION("GOOGLETRANSLATE(English!F1255,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1255" s="1" t="str">
        <f ca="1">IFERROR(__xludf.DUMMYFUNCTION("GOOGLETRANSLATE(English!G1255, ""en"", ""bg"")"),"direct_qa")</f>
        <v>direct_qa</v>
      </c>
      <c r="H1255" s="1" t="str">
        <f ca="1">IFERROR(__xludf.DUMMYFUNCTION("GOOGLETRANSLATE(English!H1255, ""en"", ""bg"")"),"заявка_за_знание")</f>
        <v>заявка_за_знание</v>
      </c>
    </row>
    <row r="1256" spans="1:8" ht="13.2" x14ac:dyDescent="0.25">
      <c r="A1256" s="1" t="str">
        <f ca="1">IFERROR(__xludf.DUMMYFUNCTION("GOOGLETRANSLATE(English!A1256, ""en"", ""bg"")"),"qa_10642")</f>
        <v>qa_10642</v>
      </c>
      <c r="B1256" s="1" t="str">
        <f ca="1">IFERROR(__xludf.DUMMYFUNCTION("GOOGLETRANSLATE(English!B1256, ""en"", ""bg"")"),"химия")</f>
        <v>химия</v>
      </c>
      <c r="C1256" s="1" t="str">
        <f ca="1">IFERROR(__xludf.DUMMYFUNCTION("GOOGLETRANSLATE(English!C1256, ""en"", ""bg"")"),"елементарен")</f>
        <v>елементарен</v>
      </c>
      <c r="D1256" s="1" t="str">
        <f ca="1">IFERROR(__xludf.DUMMYFUNCTION("GOOGLETRANSLATE(English!D1256, ""en"", ""bg"")"),"разтваряне")</f>
        <v>разтваряне</v>
      </c>
      <c r="E1256" s="1" t="str">
        <f ca="1">IFERROR(__xludf.DUMMYFUNCTION("GOOGLETRANSLATE(English!E1256, ""en"", ""bg"")"),"Можете ли да ми помогнете да разбера разтварянето?")</f>
        <v>Можете ли да ми помогнете да разбера разтварянето?</v>
      </c>
      <c r="F1256" s="1" t="str">
        <f ca="1">IFERROR(__xludf.DUMMYFUNCTION("GOOGLETRANSLATE(English!F1256,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1256" s="1" t="str">
        <f ca="1">IFERROR(__xludf.DUMMYFUNCTION("GOOGLETRANSLATE(English!G1256, ""en"", ""bg"")"),"direct_qa")</f>
        <v>direct_qa</v>
      </c>
      <c r="H1256" s="1" t="str">
        <f ca="1">IFERROR(__xludf.DUMMYFUNCTION("GOOGLETRANSLATE(English!H1256, ""en"", ""bg"")"),"заявка_за_знание")</f>
        <v>заявка_за_знание</v>
      </c>
    </row>
    <row r="1257" spans="1:8" ht="13.2" x14ac:dyDescent="0.25">
      <c r="A1257" s="1" t="str">
        <f ca="1">IFERROR(__xludf.DUMMYFUNCTION("GOOGLETRANSLATE(English!A1257, ""en"", ""bg"")"),"qa_11331")</f>
        <v>qa_11331</v>
      </c>
      <c r="B1257" s="1" t="str">
        <f ca="1">IFERROR(__xludf.DUMMYFUNCTION("GOOGLETRANSLATE(English!B1257, ""en"", ""bg"")"),"физика")</f>
        <v>физика</v>
      </c>
      <c r="C1257" s="1" t="str">
        <f ca="1">IFERROR(__xludf.DUMMYFUNCTION("GOOGLETRANSLATE(English!C1257, ""en"", ""bg"")"),"средата")</f>
        <v>средата</v>
      </c>
      <c r="D1257" s="1" t="str">
        <f ca="1">IFERROR(__xludf.DUMMYFUNCTION("GOOGLETRANSLATE(English!D1257, ""en"", ""bg"")"),"прости схеми")</f>
        <v>прости схеми</v>
      </c>
      <c r="E1257" s="1" t="str">
        <f ca="1">IFERROR(__xludf.DUMMYFUNCTION("GOOGLETRANSLATE(English!E1257, ""en"", ""bg"")"),"Защо простите електрически вериги са важни?")</f>
        <v>Защо простите електрически вериги са важни?</v>
      </c>
      <c r="F1257" s="1" t="str">
        <f ca="1">IFERROR(__xludf.DUMMYFUNCTION("GOOGLETRANSLATE(English!F1257,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257" s="1" t="str">
        <f ca="1">IFERROR(__xludf.DUMMYFUNCTION("GOOGLETRANSLATE(English!G1257, ""en"", ""bg"")"),"direct_qa")</f>
        <v>direct_qa</v>
      </c>
      <c r="H1257" s="1" t="str">
        <f ca="1">IFERROR(__xludf.DUMMYFUNCTION("GOOGLETRANSLATE(English!H1257, ""en"", ""bg"")"),"заявка_за_знание")</f>
        <v>заявка_за_знание</v>
      </c>
    </row>
    <row r="1258" spans="1:8" ht="13.2" x14ac:dyDescent="0.25">
      <c r="A1258" s="1" t="str">
        <f ca="1">IFERROR(__xludf.DUMMYFUNCTION("GOOGLETRANSLATE(English!A1258, ""en"", ""bg"")"),"hw_11253")</f>
        <v>hw_11253</v>
      </c>
      <c r="B1258" s="1" t="str">
        <f ca="1">IFERROR(__xludf.DUMMYFUNCTION("GOOGLETRANSLATE(English!B1258, ""en"", ""bg"")"),"физика")</f>
        <v>физика</v>
      </c>
      <c r="C1258" s="1" t="str">
        <f ca="1">IFERROR(__xludf.DUMMYFUNCTION("GOOGLETRANSLATE(English!C1258, ""en"", ""bg"")"),"елементарен")</f>
        <v>елементарен</v>
      </c>
      <c r="D1258" s="1" t="str">
        <f ca="1">IFERROR(__xludf.DUMMYFUNCTION("GOOGLETRANSLATE(English!D1258, ""en"", ""bg"")"),"плаващ и потъващ")</f>
        <v>плаващ и потъващ</v>
      </c>
      <c r="E1258" s="1" t="str">
        <f ca="1">IFERROR(__xludf.DUMMYFUNCTION("GOOGLETRANSLATE(English!E1258, ""en"", ""bg"")"),"Можеш ли да решиш този плаващ и потъващ въпрос с мен?")</f>
        <v>Можеш ли да решиш този плаващ и потъващ въпрос с мен?</v>
      </c>
      <c r="F1258" s="1" t="str">
        <f ca="1">IFERROR(__xludf.DUMMYFUNCTION("GOOGLETRANSLATE(English!F1258,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1258" s="1" t="str">
        <f ca="1">IFERROR(__xludf.DUMMYFUNCTION("GOOGLETRANSLATE(English!G1258, ""en"", ""bg"")"),"помощ_за_домашно_изпълнение")</f>
        <v>помощ_за_домашно_изпълнение</v>
      </c>
      <c r="H1258" s="1" t="str">
        <f ca="1">IFERROR(__xludf.DUMMYFUNCTION("GOOGLETRANSLATE(English!H1258, ""en"", ""bg"")"),"помощ_за_домашно_задаване")</f>
        <v>помощ_за_домашно_задаване</v>
      </c>
    </row>
    <row r="1259" spans="1:8" ht="13.2" x14ac:dyDescent="0.25">
      <c r="A1259" s="1" t="str">
        <f ca="1">IFERROR(__xludf.DUMMYFUNCTION("GOOGLETRANSLATE(English!A1259, ""en"", ""bg"")"),"conv_17525")</f>
        <v>conv_17525</v>
      </c>
      <c r="B1259" s="1" t="str">
        <f ca="1">IFERROR(__xludf.DUMMYFUNCTION("GOOGLETRANSLATE(English!B1259, ""en"", ""bg"")"),"физика")</f>
        <v>физика</v>
      </c>
      <c r="C1259" s="1" t="str">
        <f ca="1">IFERROR(__xludf.DUMMYFUNCTION("GOOGLETRANSLATE(English!C1259, ""en"", ""bg"")"),"средата")</f>
        <v>средата</v>
      </c>
      <c r="D1259" s="1" t="str">
        <f ca="1">IFERROR(__xludf.DUMMYFUNCTION("GOOGLETRANSLATE(English!D1259, ""en"", ""bg"")"),"видове енергия")</f>
        <v>видове енергия</v>
      </c>
      <c r="E1259" s="1" t="str">
        <f ca="1">IFERROR(__xludf.DUMMYFUNCTION("GOOGLETRANSLATE(English!E1259, ""en"", ""bg"")"),"Помогнете ми да уча за теста си. Как се променя видът енергия?")</f>
        <v>Помогнете ми да уча за теста си. Как се променя видът енергия?</v>
      </c>
      <c r="F1259" s="1" t="str">
        <f ca="1">IFERROR(__xludf.DUMMYFUNCTION("GOOGLETRANSLATE(English!F1259,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1259" s="1" t="str">
        <f ca="1">IFERROR(__xludf.DUMMYFUNCTION("GOOGLETRANSLATE(English!G1259, ""en"", ""bg"")"),"разговор")</f>
        <v>разговор</v>
      </c>
      <c r="H1259" s="1" t="str">
        <f ca="1">IFERROR(__xludf.DUMMYFUNCTION("GOOGLETRANSLATE(English!H1259, ""en"", ""bg"")"),"образователна_помощ")</f>
        <v>образователна_помощ</v>
      </c>
    </row>
    <row r="1260" spans="1:8" ht="13.2" x14ac:dyDescent="0.25">
      <c r="A1260" s="1" t="str">
        <f ca="1">IFERROR(__xludf.DUMMYFUNCTION("GOOGLETRANSLATE(English!A1260, ""en"", ""bg"")"),"hw_11665")</f>
        <v>hw_11665</v>
      </c>
      <c r="B1260" s="1" t="str">
        <f ca="1">IFERROR(__xludf.DUMMYFUNCTION("GOOGLETRANSLATE(English!B1260, ""en"", ""bg"")"),"химия")</f>
        <v>химия</v>
      </c>
      <c r="C1260" s="1" t="str">
        <f ca="1">IFERROR(__xludf.DUMMYFUNCTION("GOOGLETRANSLATE(English!C1260, ""en"", ""bg"")"),"високо")</f>
        <v>високо</v>
      </c>
      <c r="D1260" s="1" t="str">
        <f ca="1">IFERROR(__xludf.DUMMYFUNCTION("GOOGLETRANSLATE(English!D1260, ""en"", ""bg"")"),"електрохимия")</f>
        <v>електрохимия</v>
      </c>
      <c r="E1260" s="1" t="str">
        <f ca="1">IFERROR(__xludf.DUMMYFUNCTION("GOOGLETRANSLATE(English!E1260, ""en"", ""bg"")"),"Можете ли да ми помогнете с електрохимични изчисления?")</f>
        <v>Можете ли да ми помогнете с електрохимични изчисления?</v>
      </c>
      <c r="F1260" s="1" t="str">
        <f ca="1">IFERROR(__xludf.DUMMYFUNCTION("GOOGLETRANSLATE(English!F1260,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1260" s="1" t="str">
        <f ca="1">IFERROR(__xludf.DUMMYFUNCTION("GOOGLETRANSLATE(English!G1260, ""en"", ""bg"")"),"помощ_за_домашно_изпълнение")</f>
        <v>помощ_за_домашно_изпълнение</v>
      </c>
      <c r="H1260" s="1" t="str">
        <f ca="1">IFERROR(__xludf.DUMMYFUNCTION("GOOGLETRANSLATE(English!H1260, ""en"", ""bg"")"),"помощ_за_домашно_задаване")</f>
        <v>помощ_за_домашно_задаване</v>
      </c>
    </row>
    <row r="1261" spans="1:8" ht="13.2" x14ac:dyDescent="0.25">
      <c r="A1261" s="1" t="str">
        <f ca="1">IFERROR(__xludf.DUMMYFUNCTION("GOOGLETRANSLATE(English!A1261, ""en"", ""bg"")"),"conv_11335")</f>
        <v>conv_11335</v>
      </c>
      <c r="B1261" s="1" t="str">
        <f ca="1">IFERROR(__xludf.DUMMYFUNCTION("GOOGLETRANSLATE(English!B1261, ""en"", ""bg"")"),"физика")</f>
        <v>физика</v>
      </c>
      <c r="C1261" s="1" t="str">
        <f ca="1">IFERROR(__xludf.DUMMYFUNCTION("GOOGLETRANSLATE(English!C1261, ""en"", ""bg"")"),"високо")</f>
        <v>високо</v>
      </c>
      <c r="D1261" s="1" t="str">
        <f ca="1">IFERROR(__xludf.DUMMYFUNCTION("GOOGLETRANSLATE(English!D1261, ""en"", ""bg"")"),"атомна структура")</f>
        <v>атомна структура</v>
      </c>
      <c r="E1261" s="1" t="str">
        <f ca="1">IFERROR(__xludf.DUMMYFUNCTION("GOOGLETRANSLATE(English!E1261, ""en"", ""bg"")"),"Имам нужда от помощ с домашното си. Какво трябва да знам за атомната структура?")</f>
        <v>Имам нужда от помощ с домашното си. Какво трябва да знам за атомната структура?</v>
      </c>
      <c r="F1261" s="1" t="str">
        <f ca="1">IFERROR(__xludf.DUMMYFUNCTION("GOOGLETRANSLATE(English!F1261,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1261" s="1" t="str">
        <f ca="1">IFERROR(__xludf.DUMMYFUNCTION("GOOGLETRANSLATE(English!G1261, ""en"", ""bg"")"),"разговор")</f>
        <v>разговор</v>
      </c>
      <c r="H1261" s="1" t="str">
        <f ca="1">IFERROR(__xludf.DUMMYFUNCTION("GOOGLETRANSLATE(English!H1261, ""en"", ""bg"")"),"образователна_помощ")</f>
        <v>образователна_помощ</v>
      </c>
    </row>
    <row r="1262" spans="1:8" ht="13.2" x14ac:dyDescent="0.25">
      <c r="A1262" s="1" t="str">
        <f ca="1">IFERROR(__xludf.DUMMYFUNCTION("GOOGLETRANSLATE(English!A1262, ""en"", ""bg"")"),"qa_06463")</f>
        <v>qa_06463</v>
      </c>
      <c r="B1262" s="1" t="str">
        <f ca="1">IFERROR(__xludf.DUMMYFUNCTION("GOOGLETRANSLATE(English!B1262, ""en"", ""bg"")"),"химия")</f>
        <v>химия</v>
      </c>
      <c r="C1262" s="1" t="str">
        <f ca="1">IFERROR(__xludf.DUMMYFUNCTION("GOOGLETRANSLATE(English!C1262, ""en"", ""bg"")"),"елементарен")</f>
        <v>елементарен</v>
      </c>
      <c r="D1262" s="1" t="str">
        <f ca="1">IFERROR(__xludf.DUMMYFUNCTION("GOOGLETRANSLATE(English!D1262, ""en"", ""bg"")"),"ежедневни химикали")</f>
        <v>ежедневни химикали</v>
      </c>
      <c r="E1262" s="1" t="str">
        <f ca="1">IFERROR(__xludf.DUMMYFUNCTION("GOOGLETRANSLATE(English!E1262, ""en"", ""bg"")"),"Как действат ежедневните химикали в химията?")</f>
        <v>Как действат ежедневните химикали в химията?</v>
      </c>
      <c r="F1262" s="1" t="str">
        <f ca="1">IFERROR(__xludf.DUMMYFUNCTION("GOOGLETRANSLATE(English!F1262,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1262" s="1" t="str">
        <f ca="1">IFERROR(__xludf.DUMMYFUNCTION("GOOGLETRANSLATE(English!G1262, ""en"", ""bg"")"),"direct_qa")</f>
        <v>direct_qa</v>
      </c>
      <c r="H1262" s="1" t="str">
        <f ca="1">IFERROR(__xludf.DUMMYFUNCTION("GOOGLETRANSLATE(English!H1262, ""en"", ""bg"")"),"заявка_за_знание")</f>
        <v>заявка_за_знание</v>
      </c>
    </row>
    <row r="1263" spans="1:8" ht="13.2" x14ac:dyDescent="0.25">
      <c r="A1263" s="1" t="str">
        <f ca="1">IFERROR(__xludf.DUMMYFUNCTION("GOOGLETRANSLATE(English!A1263, ""en"", ""bg"")"),"conv_07581")</f>
        <v>conv_07581</v>
      </c>
      <c r="B1263" s="1" t="str">
        <f ca="1">IFERROR(__xludf.DUMMYFUNCTION("GOOGLETRANSLATE(English!B1263, ""en"", ""bg"")"),"биология")</f>
        <v>биология</v>
      </c>
      <c r="C1263" s="1" t="str">
        <f ca="1">IFERROR(__xludf.DUMMYFUNCTION("GOOGLETRANSLATE(English!C1263, ""en"", ""bg"")"),"високо")</f>
        <v>високо</v>
      </c>
      <c r="D1263" s="1" t="str">
        <f ca="1">IFERROR(__xludf.DUMMYFUNCTION("GOOGLETRANSLATE(English!D1263, ""en"", ""bg"")"),"синтез на протеини")</f>
        <v>синтез на протеини</v>
      </c>
      <c r="E1263" s="1" t="str">
        <f ca="1">IFERROR(__xludf.DUMMYFUNCTION("GOOGLETRANSLATE(English!E1263, ""en"", ""bg"")"),"Можете ли да ми помогнете? Какво е важно да знаем за синтеза на протеини?")</f>
        <v>Можете ли да ми помогнете? Какво е важно да знаем за синтеза на протеини?</v>
      </c>
      <c r="F1263" s="1" t="str">
        <f ca="1">IFERROR(__xludf.DUMMYFUNCTION("GOOGLETRANSLATE(English!F1263,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1263" s="1" t="str">
        <f ca="1">IFERROR(__xludf.DUMMYFUNCTION("GOOGLETRANSLATE(English!G1263, ""en"", ""bg"")"),"разговор")</f>
        <v>разговор</v>
      </c>
      <c r="H1263" s="1" t="str">
        <f ca="1">IFERROR(__xludf.DUMMYFUNCTION("GOOGLETRANSLATE(English!H1263, ""en"", ""bg"")"),"образователна_помощ")</f>
        <v>образователна_помощ</v>
      </c>
    </row>
    <row r="1264" spans="1:8" ht="13.2" x14ac:dyDescent="0.25">
      <c r="A1264" s="1" t="str">
        <f ca="1">IFERROR(__xludf.DUMMYFUNCTION("GOOGLETRANSLATE(English!A1264, ""en"", ""bg"")"),"conv_10718")</f>
        <v>conv_10718</v>
      </c>
      <c r="B1264" s="1" t="str">
        <f ca="1">IFERROR(__xludf.DUMMYFUNCTION("GOOGLETRANSLATE(English!B1264, ""en"", ""bg"")"),"физика")</f>
        <v>физика</v>
      </c>
      <c r="C1264" s="1" t="str">
        <f ca="1">IFERROR(__xludf.DUMMYFUNCTION("GOOGLETRANSLATE(English!C1264, ""en"", ""bg"")"),"високо")</f>
        <v>високо</v>
      </c>
      <c r="D1264" s="1" t="str">
        <f ca="1">IFERROR(__xludf.DUMMYFUNCTION("GOOGLETRANSLATE(English!D1264, ""en"", ""bg"")"),"оптика")</f>
        <v>оптика</v>
      </c>
      <c r="E1264" s="1" t="str">
        <f ca="1">IFERROR(__xludf.DUMMYFUNCTION("GOOGLETRANSLATE(English!E1264, ""en"", ""bg"")"),"Можете ли да ми помогнете? Какво трябва да знам за оптиката?")</f>
        <v>Можете ли да ми помогнете? Какво трябва да знам за оптиката?</v>
      </c>
      <c r="F1264" s="1" t="str">
        <f ca="1">IFERROR(__xludf.DUMMYFUNCTION("GOOGLETRANSLATE(English!F1264,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1264" s="1" t="str">
        <f ca="1">IFERROR(__xludf.DUMMYFUNCTION("GOOGLETRANSLATE(English!G1264, ""en"", ""bg"")"),"разговор")</f>
        <v>разговор</v>
      </c>
      <c r="H1264" s="1" t="str">
        <f ca="1">IFERROR(__xludf.DUMMYFUNCTION("GOOGLETRANSLATE(English!H1264, ""en"", ""bg"")"),"образователна_помощ")</f>
        <v>образователна_помощ</v>
      </c>
    </row>
    <row r="1265" spans="1:8" ht="13.2" x14ac:dyDescent="0.25">
      <c r="A1265" s="1" t="str">
        <f ca="1">IFERROR(__xludf.DUMMYFUNCTION("GOOGLETRANSLATE(English!A1265, ""en"", ""bg"")"),"hw_07626")</f>
        <v>hw_07626</v>
      </c>
      <c r="B1265" s="1" t="str">
        <f ca="1">IFERROR(__xludf.DUMMYFUNCTION("GOOGLETRANSLATE(English!B1265, ""en"", ""bg"")"),"химия")</f>
        <v>химия</v>
      </c>
      <c r="C1265" s="1" t="str">
        <f ca="1">IFERROR(__xludf.DUMMYFUNCTION("GOOGLETRANSLATE(English!C1265, ""en"", ""bg"")"),"елементарен")</f>
        <v>елементарен</v>
      </c>
      <c r="D1265" s="1" t="str">
        <f ca="1">IFERROR(__xludf.DUMMYFUNCTION("GOOGLETRANSLATE(English!D1265, ""en"", ""bg"")"),"ежедневни химикали")</f>
        <v>ежедневни химикали</v>
      </c>
      <c r="E1265" s="1" t="str">
        <f ca="1">IFERROR(__xludf.DUMMYFUNCTION("GOOGLETRANSLATE(English!E1265, ""en"", ""bg"")"),"Не разбирам тази концепция за ежедневните химикали. Моля, обяснете!")</f>
        <v>Не разбирам тази концепция за ежедневните химикали. Моля, обяснете!</v>
      </c>
      <c r="F1265" s="1" t="str">
        <f ca="1">IFERROR(__xludf.DUMMYFUNCTION("GOOGLETRANSLATE(English!F1265,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1265" s="1" t="str">
        <f ca="1">IFERROR(__xludf.DUMMYFUNCTION("GOOGLETRANSLATE(English!G1265, ""en"", ""bg"")"),"помощ_за_домашно_изпълнение")</f>
        <v>помощ_за_домашно_изпълнение</v>
      </c>
      <c r="H1265" s="1" t="str">
        <f ca="1">IFERROR(__xludf.DUMMYFUNCTION("GOOGLETRANSLATE(English!H1265, ""en"", ""bg"")"),"помощ_за_домашно_задаване")</f>
        <v>помощ_за_домашно_задаване</v>
      </c>
    </row>
    <row r="1266" spans="1:8" ht="13.2" x14ac:dyDescent="0.25">
      <c r="A1266" s="1" t="str">
        <f ca="1">IFERROR(__xludf.DUMMYFUNCTION("GOOGLETRANSLATE(English!A1266, ""en"", ""bg"")"),"conv_17772")</f>
        <v>conv_17772</v>
      </c>
      <c r="B1266" s="1" t="str">
        <f ca="1">IFERROR(__xludf.DUMMYFUNCTION("GOOGLETRANSLATE(English!B1266, ""en"", ""bg"")"),"физика")</f>
        <v>физика</v>
      </c>
      <c r="C1266" s="1" t="str">
        <f ca="1">IFERROR(__xludf.DUMMYFUNCTION("GOOGLETRANSLATE(English!C1266, ""en"", ""bg"")"),"средата")</f>
        <v>средата</v>
      </c>
      <c r="D1266" s="1" t="str">
        <f ca="1">IFERROR(__xludf.DUMMYFUNCTION("GOOGLETRANSLATE(English!D1266, ""en"", ""bg"")"),"видове енергия")</f>
        <v>видове енергия</v>
      </c>
      <c r="E1266" s="1" t="str">
        <f ca="1">IFERROR(__xludf.DUMMYFUNCTION("GOOGLETRANSLATE(English!E1266, ""en"", ""bg"")"),"Помогнете ми да уча за теста си. Какво е потенциална енергия?")</f>
        <v>Помогнете ми да уча за теста си. Какво е потенциална енергия?</v>
      </c>
      <c r="F1266" s="1" t="str">
        <f ca="1">IFERROR(__xludf.DUMMYFUNCTION("GOOGLETRANSLATE(English!F1266,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1266" s="1" t="str">
        <f ca="1">IFERROR(__xludf.DUMMYFUNCTION("GOOGLETRANSLATE(English!G1266, ""en"", ""bg"")"),"разговор")</f>
        <v>разговор</v>
      </c>
      <c r="H1266" s="1" t="str">
        <f ca="1">IFERROR(__xludf.DUMMYFUNCTION("GOOGLETRANSLATE(English!H1266, ""en"", ""bg"")"),"образователна_помощ")</f>
        <v>образователна_помощ</v>
      </c>
    </row>
    <row r="1267" spans="1:8" ht="13.2" x14ac:dyDescent="0.25">
      <c r="A1267" s="1" t="str">
        <f ca="1">IFERROR(__xludf.DUMMYFUNCTION("GOOGLETRANSLATE(English!A1267, ""en"", ""bg"")"),"conv_08802")</f>
        <v>conv_08802</v>
      </c>
      <c r="B1267" s="1" t="str">
        <f ca="1">IFERROR(__xludf.DUMMYFUNCTION("GOOGLETRANSLATE(English!B1267, ""en"", ""bg"")"),"химия")</f>
        <v>химия</v>
      </c>
      <c r="C1267" s="1" t="str">
        <f ca="1">IFERROR(__xludf.DUMMYFUNCTION("GOOGLETRANSLATE(English!C1267, ""en"", ""bg"")"),"високо")</f>
        <v>високо</v>
      </c>
      <c r="D1267" s="1" t="str">
        <f ca="1">IFERROR(__xludf.DUMMYFUNCTION("GOOGLETRANSLATE(English!D1267, ""en"", ""bg"")"),"химическо свързване")</f>
        <v>химическо свързване</v>
      </c>
      <c r="E1267" s="1" t="str">
        <f ca="1">IFERROR(__xludf.DUMMYFUNCTION("GOOGLETRANSLATE(English!E1267, ""en"", ""bg"")"),"Помогнете ми да уча за теста. Какво представлява химичното свързване?")</f>
        <v>Помогнете ми да уча за теста. Какво представлява химичното свързване?</v>
      </c>
      <c r="F1267" s="1" t="str">
        <f ca="1">IFERROR(__xludf.DUMMYFUNCTION("GOOGLETRANSLATE(English!F1267,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1267" s="1" t="str">
        <f ca="1">IFERROR(__xludf.DUMMYFUNCTION("GOOGLETRANSLATE(English!G1267, ""en"", ""bg"")"),"разговор")</f>
        <v>разговор</v>
      </c>
      <c r="H1267" s="1" t="str">
        <f ca="1">IFERROR(__xludf.DUMMYFUNCTION("GOOGLETRANSLATE(English!H1267, ""en"", ""bg"")"),"образователна_помощ")</f>
        <v>образователна_помощ</v>
      </c>
    </row>
    <row r="1268" spans="1:8" ht="13.2" x14ac:dyDescent="0.25">
      <c r="A1268" s="1" t="str">
        <f ca="1">IFERROR(__xludf.DUMMYFUNCTION("GOOGLETRANSLATE(English!A1268, ""en"", ""bg"")"),"conv_02979")</f>
        <v>conv_02979</v>
      </c>
      <c r="B1268" s="1" t="str">
        <f ca="1">IFERROR(__xludf.DUMMYFUNCTION("GOOGLETRANSLATE(English!B1268, ""en"", ""bg"")"),"биология")</f>
        <v>биология</v>
      </c>
      <c r="C1268" s="1" t="str">
        <f ca="1">IFERROR(__xludf.DUMMYFUNCTION("GOOGLETRANSLATE(English!C1268, ""en"", ""bg"")"),"високо")</f>
        <v>високо</v>
      </c>
      <c r="D1268" s="1" t="str">
        <f ca="1">IFERROR(__xludf.DUMMYFUNCTION("GOOGLETRANSLATE(English!D1268, ""en"", ""bg"")"),"молекулярна биология")</f>
        <v>молекулярна биология</v>
      </c>
      <c r="E1268" s="1" t="str">
        <f ca="1">IFERROR(__xludf.DUMMYFUNCTION("GOOGLETRANSLATE(English!E1268, ""en"", ""bg"")"),"Можете ли да ми помогнете? Можете ли да ми разкажете за молекулярната биология?")</f>
        <v>Можете ли да ми помогнете? Можете ли да ми разкажете за молекулярната биология?</v>
      </c>
      <c r="F1268" s="1" t="str">
        <f ca="1">IFERROR(__xludf.DUMMYFUNCTION("GOOGLETRANSLATE(English!F1268,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1268" s="1" t="str">
        <f ca="1">IFERROR(__xludf.DUMMYFUNCTION("GOOGLETRANSLATE(English!G1268, ""en"", ""bg"")"),"разговор")</f>
        <v>разговор</v>
      </c>
      <c r="H1268" s="1" t="str">
        <f ca="1">IFERROR(__xludf.DUMMYFUNCTION("GOOGLETRANSLATE(English!H1268, ""en"", ""bg"")"),"образователна_помощ")</f>
        <v>образователна_помощ</v>
      </c>
    </row>
    <row r="1269" spans="1:8" ht="13.2" x14ac:dyDescent="0.25">
      <c r="A1269" s="1" t="str">
        <f ca="1">IFERROR(__xludf.DUMMYFUNCTION("GOOGLETRANSLATE(English!A1269, ""en"", ""bg"")"),"conv_00378")</f>
        <v>conv_00378</v>
      </c>
      <c r="B1269" s="1" t="str">
        <f ca="1">IFERROR(__xludf.DUMMYFUNCTION("GOOGLETRANSLATE(English!B1269, ""en"", ""bg"")"),"биология")</f>
        <v>биология</v>
      </c>
      <c r="C1269" s="1" t="str">
        <f ca="1">IFERROR(__xludf.DUMMYFUNCTION("GOOGLETRANSLATE(English!C1269, ""en"", ""bg"")"),"елементарен")</f>
        <v>елементарен</v>
      </c>
      <c r="D1269" s="1" t="str">
        <f ca="1">IFERROR(__xludf.DUMMYFUNCTION("GOOGLETRANSLATE(English!D1269, ""en"", ""bg"")"),"жизнени цикли")</f>
        <v>жизнени цикли</v>
      </c>
      <c r="E1269" s="1" t="str">
        <f ca="1">IFERROR(__xludf.DUMMYFUNCTION("GOOGLETRANSLATE(English!E1269, ""en"", ""bg"")"),"Не разбирам тази тема. Как работят жизнените цикли?")</f>
        <v>Не разбирам тази тема. Как работят жизнените цикли?</v>
      </c>
      <c r="F1269" s="1" t="str">
        <f ca="1">IFERROR(__xludf.DUMMYFUNCTION("GOOGLETRANSLATE(English!F1269,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1269" s="1" t="str">
        <f ca="1">IFERROR(__xludf.DUMMYFUNCTION("GOOGLETRANSLATE(English!G1269, ""en"", ""bg"")"),"разговор")</f>
        <v>разговор</v>
      </c>
      <c r="H1269" s="1" t="str">
        <f ca="1">IFERROR(__xludf.DUMMYFUNCTION("GOOGLETRANSLATE(English!H1269, ""en"", ""bg"")"),"образователна_помощ")</f>
        <v>образователна_помощ</v>
      </c>
    </row>
    <row r="1270" spans="1:8" ht="13.2" x14ac:dyDescent="0.25">
      <c r="A1270" s="1" t="str">
        <f ca="1">IFERROR(__xludf.DUMMYFUNCTION("GOOGLETRANSLATE(English!A1270, ""en"", ""bg"")"),"hw_02246")</f>
        <v>hw_02246</v>
      </c>
      <c r="B1270" s="1" t="str">
        <f ca="1">IFERROR(__xludf.DUMMYFUNCTION("GOOGLETRANSLATE(English!B1270, ""en"", ""bg"")"),"физика")</f>
        <v>физика</v>
      </c>
      <c r="C1270" s="1" t="str">
        <f ca="1">IFERROR(__xludf.DUMMYFUNCTION("GOOGLETRANSLATE(English!C1270, ""en"", ""bg"")"),"елементарен")</f>
        <v>елементарен</v>
      </c>
      <c r="D1270" s="1" t="str">
        <f ca="1">IFERROR(__xludf.DUMMYFUNCTION("GOOGLETRANSLATE(English!D1270, ""en"", ""bg"")"),"светлина и сянка")</f>
        <v>светлина и сянка</v>
      </c>
      <c r="E1270" s="1" t="str">
        <f ca="1">IFERROR(__xludf.DUMMYFUNCTION("GOOGLETRANSLATE(English!E1270,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1270" s="1" t="str">
        <f ca="1">IFERROR(__xludf.DUMMYFUNCTION("GOOGLETRANSLATE(English!F1270,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1270" s="1" t="str">
        <f ca="1">IFERROR(__xludf.DUMMYFUNCTION("GOOGLETRANSLATE(English!G1270, ""en"", ""bg"")"),"помощ_за_домашно_изпълнение")</f>
        <v>помощ_за_домашно_изпълнение</v>
      </c>
      <c r="H1270" s="1" t="str">
        <f ca="1">IFERROR(__xludf.DUMMYFUNCTION("GOOGLETRANSLATE(English!H1270, ""en"", ""bg"")"),"помощ_за_домашно_задаване")</f>
        <v>помощ_за_домашно_задаване</v>
      </c>
    </row>
    <row r="1271" spans="1:8" ht="13.2" x14ac:dyDescent="0.25">
      <c r="A1271" s="1" t="str">
        <f ca="1">IFERROR(__xludf.DUMMYFUNCTION("GOOGLETRANSLATE(English!A1271, ""en"", ""bg"")"),"hw_09453")</f>
        <v>hw_09453</v>
      </c>
      <c r="B1271" s="1" t="str">
        <f ca="1">IFERROR(__xludf.DUMMYFUNCTION("GOOGLETRANSLATE(English!B1271, ""en"", ""bg"")"),"физика")</f>
        <v>физика</v>
      </c>
      <c r="C1271" s="1" t="str">
        <f ca="1">IFERROR(__xludf.DUMMYFUNCTION("GOOGLETRANSLATE(English!C1271, ""en"", ""bg"")"),"средата")</f>
        <v>средата</v>
      </c>
      <c r="D1271" s="1" t="str">
        <f ca="1">IFERROR(__xludf.DUMMYFUNCTION("GOOGLETRANSLATE(English!D1271, ""en"", ""bg"")"),"видове енергия")</f>
        <v>видове енергия</v>
      </c>
      <c r="E1271" s="1" t="str">
        <f ca="1">IFERROR(__xludf.DUMMYFUNCTION("GOOGLETRANSLATE(English!E1271, ""en"", ""bg"")"),"Трябва да разбера видовете енергия за изпита си.")</f>
        <v>Трябва да разбера видовете енергия за изпита си.</v>
      </c>
      <c r="F1271" s="1" t="str">
        <f ca="1">IFERROR(__xludf.DUMMYFUNCTION("GOOGLETRANSLATE(English!F1271,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271" s="1" t="str">
        <f ca="1">IFERROR(__xludf.DUMMYFUNCTION("GOOGLETRANSLATE(English!G1271, ""en"", ""bg"")"),"помощ_за_домашно_изпълнение")</f>
        <v>помощ_за_домашно_изпълнение</v>
      </c>
      <c r="H1271" s="1" t="str">
        <f ca="1">IFERROR(__xludf.DUMMYFUNCTION("GOOGLETRANSLATE(English!H1271, ""en"", ""bg"")"),"помощ_за_домашно_задаване")</f>
        <v>помощ_за_домашно_задаване</v>
      </c>
    </row>
    <row r="1272" spans="1:8" ht="13.2" x14ac:dyDescent="0.25">
      <c r="A1272" s="1" t="str">
        <f ca="1">IFERROR(__xludf.DUMMYFUNCTION("GOOGLETRANSLATE(English!A1272, ""en"", ""bg"")"),"qa_14615")</f>
        <v>qa_14615</v>
      </c>
      <c r="B1272" s="1" t="str">
        <f ca="1">IFERROR(__xludf.DUMMYFUNCTION("GOOGLETRANSLATE(English!B1272, ""en"", ""bg"")"),"химия")</f>
        <v>химия</v>
      </c>
      <c r="C1272" s="1" t="str">
        <f ca="1">IFERROR(__xludf.DUMMYFUNCTION("GOOGLETRANSLATE(English!C1272, ""en"", ""bg"")"),"високо")</f>
        <v>високо</v>
      </c>
      <c r="D1272" s="1" t="str">
        <f ca="1">IFERROR(__xludf.DUMMYFUNCTION("GOOGLETRANSLATE(English!D1272, ""en"", ""bg"")"),"равновесие")</f>
        <v>равновесие</v>
      </c>
      <c r="E1272" s="1" t="str">
        <f ca="1">IFERROR(__xludf.DUMMYFUNCTION("GOOGLETRANSLATE(English!E1272, ""en"", ""bg"")"),"Защо е важно да се учи равновесие?")</f>
        <v>Защо е важно да се учи равновесие?</v>
      </c>
      <c r="F1272" s="1" t="str">
        <f ca="1">IFERROR(__xludf.DUMMYFUNCTION("GOOGLETRANSLATE(English!F1272,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1272" s="1" t="str">
        <f ca="1">IFERROR(__xludf.DUMMYFUNCTION("GOOGLETRANSLATE(English!G1272, ""en"", ""bg"")"),"direct_qa")</f>
        <v>direct_qa</v>
      </c>
      <c r="H1272" s="1" t="str">
        <f ca="1">IFERROR(__xludf.DUMMYFUNCTION("GOOGLETRANSLATE(English!H1272, ""en"", ""bg"")"),"заявка_за_знание")</f>
        <v>заявка_за_знание</v>
      </c>
    </row>
    <row r="1273" spans="1:8" ht="13.2" x14ac:dyDescent="0.25">
      <c r="A1273" s="1" t="str">
        <f ca="1">IFERROR(__xludf.DUMMYFUNCTION("GOOGLETRANSLATE(English!A1273, ""en"", ""bg"")"),"conv_03302")</f>
        <v>conv_03302</v>
      </c>
      <c r="B1273" s="1" t="str">
        <f ca="1">IFERROR(__xludf.DUMMYFUNCTION("GOOGLETRANSLATE(English!B1273, ""en"", ""bg"")"),"химия")</f>
        <v>химия</v>
      </c>
      <c r="C1273" s="1" t="str">
        <f ca="1">IFERROR(__xludf.DUMMYFUNCTION("GOOGLETRANSLATE(English!C1273, ""en"", ""bg"")"),"елементарен")</f>
        <v>елементарен</v>
      </c>
      <c r="D1273" s="1" t="str">
        <f ca="1">IFERROR(__xludf.DUMMYFUNCTION("GOOGLETRANSLATE(English!D1273, ""en"", ""bg"")"),"ежедневни химикали")</f>
        <v>ежедневни химикали</v>
      </c>
      <c r="E1273" s="1" t="str">
        <f ca="1">IFERROR(__xludf.DUMMYFUNCTION("GOOGLETRANSLATE(English!E1273, ""en"", ""bg"")"),"Помогнете ми да уча за теста. Какво представляват ежедневните химикали?")</f>
        <v>Помогнете ми да уча за теста. Какво представляват ежедневните химикали?</v>
      </c>
      <c r="F1273" s="1" t="str">
        <f ca="1">IFERROR(__xludf.DUMMYFUNCTION("GOOGLETRANSLATE(English!F1273,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1273" s="1" t="str">
        <f ca="1">IFERROR(__xludf.DUMMYFUNCTION("GOOGLETRANSLATE(English!G1273, ""en"", ""bg"")"),"разговор")</f>
        <v>разговор</v>
      </c>
      <c r="H1273" s="1" t="str">
        <f ca="1">IFERROR(__xludf.DUMMYFUNCTION("GOOGLETRANSLATE(English!H1273, ""en"", ""bg"")"),"образователна_помощ")</f>
        <v>образователна_помощ</v>
      </c>
    </row>
    <row r="1274" spans="1:8" ht="13.2" x14ac:dyDescent="0.25">
      <c r="A1274" s="1" t="str">
        <f ca="1">IFERROR(__xludf.DUMMYFUNCTION("GOOGLETRANSLATE(English!A1274, ""en"", ""bg"")"),"hw_06085")</f>
        <v>hw_06085</v>
      </c>
      <c r="B1274" s="1" t="str">
        <f ca="1">IFERROR(__xludf.DUMMYFUNCTION("GOOGLETRANSLATE(English!B1274, ""en"", ""bg"")"),"физика")</f>
        <v>физика</v>
      </c>
      <c r="C1274" s="1" t="str">
        <f ca="1">IFERROR(__xludf.DUMMYFUNCTION("GOOGLETRANSLATE(English!C1274, ""en"", ""bg"")"),"високо")</f>
        <v>високо</v>
      </c>
      <c r="D1274" s="1" t="str">
        <f ca="1">IFERROR(__xludf.DUMMYFUNCTION("GOOGLETRANSLATE(English!D1274, ""en"", ""bg"")"),"радиоактивност")</f>
        <v>радиоактивност</v>
      </c>
      <c r="E1274" s="1" t="str">
        <f ca="1">IFERROR(__xludf.DUMMYFUNCTION("GOOGLETRANSLATE(English!E1274,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1274" s="1" t="str">
        <f ca="1">IFERROR(__xludf.DUMMYFUNCTION("GOOGLETRANSLATE(English!F1274,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274" s="1" t="str">
        <f ca="1">IFERROR(__xludf.DUMMYFUNCTION("GOOGLETRANSLATE(English!G1274, ""en"", ""bg"")"),"помощ_за_домашно_изпълнение")</f>
        <v>помощ_за_домашно_изпълнение</v>
      </c>
      <c r="H1274" s="1" t="str">
        <f ca="1">IFERROR(__xludf.DUMMYFUNCTION("GOOGLETRANSLATE(English!H1274, ""en"", ""bg"")"),"помощ_за_домашно_задаване")</f>
        <v>помощ_за_домашно_задаване</v>
      </c>
    </row>
    <row r="1275" spans="1:8" ht="13.2" x14ac:dyDescent="0.25">
      <c r="A1275" s="1" t="str">
        <f ca="1">IFERROR(__xludf.DUMMYFUNCTION("GOOGLETRANSLATE(English!A1275, ""en"", ""bg"")"),"qa_09538")</f>
        <v>qa_09538</v>
      </c>
      <c r="B1275" s="1" t="str">
        <f ca="1">IFERROR(__xludf.DUMMYFUNCTION("GOOGLETRANSLATE(English!B1275, ""en"", ""bg"")"),"биология")</f>
        <v>биология</v>
      </c>
      <c r="C1275" s="1" t="str">
        <f ca="1">IFERROR(__xludf.DUMMYFUNCTION("GOOGLETRANSLATE(English!C1275, ""en"", ""bg"")"),"елементарен")</f>
        <v>елементарен</v>
      </c>
      <c r="D1275" s="1" t="str">
        <f ca="1">IFERROR(__xludf.DUMMYFUNCTION("GOOGLETRANSLATE(English!D1275, ""en"", ""bg"")"),"жизнени цикли")</f>
        <v>жизнени цикли</v>
      </c>
      <c r="E1275" s="1" t="str">
        <f ca="1">IFERROR(__xludf.DUMMYFUNCTION("GOOGLETRANSLATE(English!E1275, ""en"", ""bg"")"),"Какво е важно да знаем за жизнените цикли?")</f>
        <v>Какво е важно да знаем за жизнените цикли?</v>
      </c>
      <c r="F1275" s="1" t="str">
        <f ca="1">IFERROR(__xludf.DUMMYFUNCTION("GOOGLETRANSLATE(English!F1275,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1275" s="1" t="str">
        <f ca="1">IFERROR(__xludf.DUMMYFUNCTION("GOOGLETRANSLATE(English!G1275, ""en"", ""bg"")"),"direct_qa")</f>
        <v>direct_qa</v>
      </c>
      <c r="H1275" s="1" t="str">
        <f ca="1">IFERROR(__xludf.DUMMYFUNCTION("GOOGLETRANSLATE(English!H1275, ""en"", ""bg"")"),"заявка_за_знание")</f>
        <v>заявка_за_знание</v>
      </c>
    </row>
    <row r="1276" spans="1:8" ht="13.2" x14ac:dyDescent="0.25">
      <c r="A1276" s="1" t="str">
        <f ca="1">IFERROR(__xludf.DUMMYFUNCTION("GOOGLETRANSLATE(English!A1276, ""en"", ""bg"")"),"conv_04919")</f>
        <v>conv_04919</v>
      </c>
      <c r="B1276" s="1" t="str">
        <f ca="1">IFERROR(__xludf.DUMMYFUNCTION("GOOGLETRANSLATE(English!B1276, ""en"", ""bg"")"),"физика")</f>
        <v>физика</v>
      </c>
      <c r="C1276" s="1" t="str">
        <f ca="1">IFERROR(__xludf.DUMMYFUNCTION("GOOGLETRANSLATE(English!C1276, ""en"", ""bg"")"),"елементарен")</f>
        <v>елементарен</v>
      </c>
      <c r="D1276" s="1" t="str">
        <f ca="1">IFERROR(__xludf.DUMMYFUNCTION("GOOGLETRANSLATE(English!D1276, ""en"", ""bg"")"),"звук")</f>
        <v>звук</v>
      </c>
      <c r="E1276" s="1" t="str">
        <f ca="1">IFERROR(__xludf.DUMMYFUNCTION("GOOGLETRANSLATE(English!E1276, ""en"", ""bg"")"),"Можете ли да ми помогнете? Какво трябва да знам за звука?")</f>
        <v>Можете ли да ми помогнете? Какво трябва да знам за звука?</v>
      </c>
      <c r="F1276" s="1" t="str">
        <f ca="1">IFERROR(__xludf.DUMMYFUNCTION("GOOGLETRANSLATE(English!F1276,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1276" s="1" t="str">
        <f ca="1">IFERROR(__xludf.DUMMYFUNCTION("GOOGLETRANSLATE(English!G1276, ""en"", ""bg"")"),"разговор")</f>
        <v>разговор</v>
      </c>
      <c r="H1276" s="1" t="str">
        <f ca="1">IFERROR(__xludf.DUMMYFUNCTION("GOOGLETRANSLATE(English!H1276, ""en"", ""bg"")"),"образователна_помощ")</f>
        <v>образователна_помощ</v>
      </c>
    </row>
    <row r="1277" spans="1:8" ht="13.2" x14ac:dyDescent="0.25">
      <c r="A1277" s="1" t="str">
        <f ca="1">IFERROR(__xludf.DUMMYFUNCTION("GOOGLETRANSLATE(English!A1277, ""en"", ""bg"")"),"hw_13452")</f>
        <v>hw_13452</v>
      </c>
      <c r="B1277" s="1" t="str">
        <f ca="1">IFERROR(__xludf.DUMMYFUNCTION("GOOGLETRANSLATE(English!B1277, ""en"", ""bg"")"),"химия")</f>
        <v>химия</v>
      </c>
      <c r="C1277" s="1" t="str">
        <f ca="1">IFERROR(__xludf.DUMMYFUNCTION("GOOGLETRANSLATE(English!C1277, ""en"", ""bg"")"),"средата")</f>
        <v>средата</v>
      </c>
      <c r="D1277" s="1" t="str">
        <f ca="1">IFERROR(__xludf.DUMMYFUNCTION("GOOGLETRANSLATE(English!D1277, ""en"", ""bg"")"),"съединения срещу елементи")</f>
        <v>съединения срещу елементи</v>
      </c>
      <c r="E1277" s="1" t="str">
        <f ca="1">IFERROR(__xludf.DUMMYFUNCTION("GOOGLETRANSLATE(English!E1277,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1277" s="1" t="str">
        <f ca="1">IFERROR(__xludf.DUMMYFUNCTION("GOOGLETRANSLATE(English!F1277,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1277" s="1" t="str">
        <f ca="1">IFERROR(__xludf.DUMMYFUNCTION("GOOGLETRANSLATE(English!G1277, ""en"", ""bg"")"),"помощ_за_домашно_изпълнение")</f>
        <v>помощ_за_домашно_изпълнение</v>
      </c>
      <c r="H1277" s="1" t="str">
        <f ca="1">IFERROR(__xludf.DUMMYFUNCTION("GOOGLETRANSLATE(English!H1277, ""en"", ""bg"")"),"помощ_за_домашно_задаване")</f>
        <v>помощ_за_домашно_задаване</v>
      </c>
    </row>
    <row r="1278" spans="1:8" ht="13.2" x14ac:dyDescent="0.25">
      <c r="A1278" s="1" t="str">
        <f ca="1">IFERROR(__xludf.DUMMYFUNCTION("GOOGLETRANSLATE(English!A1278, ""en"", ""bg"")"),"hw_12070")</f>
        <v>hw_12070</v>
      </c>
      <c r="B1278" s="1" t="str">
        <f ca="1">IFERROR(__xludf.DUMMYFUNCTION("GOOGLETRANSLATE(English!B1278, ""en"", ""bg"")"),"физика")</f>
        <v>физика</v>
      </c>
      <c r="C1278" s="1" t="str">
        <f ca="1">IFERROR(__xludf.DUMMYFUNCTION("GOOGLETRANSLATE(English!C1278, ""en"", ""bg"")"),"средата")</f>
        <v>средата</v>
      </c>
      <c r="D1278" s="1" t="str">
        <f ca="1">IFERROR(__xludf.DUMMYFUNCTION("GOOGLETRANSLATE(English!D1278, ""en"", ""bg"")"),"прости схеми")</f>
        <v>прости схеми</v>
      </c>
      <c r="E1278" s="1" t="str">
        <f ca="1">IFERROR(__xludf.DUMMYFUNCTION("GOOGLETRANSLATE(English!E1278,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1278" s="1" t="str">
        <f ca="1">IFERROR(__xludf.DUMMYFUNCTION("GOOGLETRANSLATE(English!F1278,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278" s="1" t="str">
        <f ca="1">IFERROR(__xludf.DUMMYFUNCTION("GOOGLETRANSLATE(English!G1278, ""en"", ""bg"")"),"помощ_за_домашно_изпълнение")</f>
        <v>помощ_за_домашно_изпълнение</v>
      </c>
      <c r="H1278" s="1" t="str">
        <f ca="1">IFERROR(__xludf.DUMMYFUNCTION("GOOGLETRANSLATE(English!H1278, ""en"", ""bg"")"),"помощ_за_домашно_задаване")</f>
        <v>помощ_за_домашно_задаване</v>
      </c>
    </row>
    <row r="1279" spans="1:8" ht="13.2" x14ac:dyDescent="0.25">
      <c r="A1279" s="1" t="str">
        <f ca="1">IFERROR(__xludf.DUMMYFUNCTION("GOOGLETRANSLATE(English!A1279, ""en"", ""bg"")"),"qa_07766")</f>
        <v>qa_07766</v>
      </c>
      <c r="B1279" s="1" t="str">
        <f ca="1">IFERROR(__xludf.DUMMYFUNCTION("GOOGLETRANSLATE(English!B1279, ""en"", ""bg"")"),"биология")</f>
        <v>биология</v>
      </c>
      <c r="C1279" s="1" t="str">
        <f ca="1">IFERROR(__xludf.DUMMYFUNCTION("GOOGLETRANSLATE(English!C1279, ""en"", ""bg"")"),"високо")</f>
        <v>високо</v>
      </c>
      <c r="D1279" s="1" t="str">
        <f ca="1">IFERROR(__xludf.DUMMYFUNCTION("GOOGLETRANSLATE(English!D1279, ""en"", ""bg"")"),"клетъчно дишане")</f>
        <v>клетъчно дишане</v>
      </c>
      <c r="E1279" s="1" t="str">
        <f ca="1">IFERROR(__xludf.DUMMYFUNCTION("GOOGLETRANSLATE(English!E1279, ""en"", ""bg"")"),"Какво е важно да знаем за клетъчното дишане?")</f>
        <v>Какво е важно да знаем за клетъчното дишане?</v>
      </c>
      <c r="F1279" s="1" t="str">
        <f ca="1">IFERROR(__xludf.DUMMYFUNCTION("GOOGLETRANSLATE(English!F1279,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1279" s="1" t="str">
        <f ca="1">IFERROR(__xludf.DUMMYFUNCTION("GOOGLETRANSLATE(English!G1279, ""en"", ""bg"")"),"direct_qa")</f>
        <v>direct_qa</v>
      </c>
      <c r="H1279" s="1" t="str">
        <f ca="1">IFERROR(__xludf.DUMMYFUNCTION("GOOGLETRANSLATE(English!H1279, ""en"", ""bg"")"),"заявка_за_знание")</f>
        <v>заявка_за_знание</v>
      </c>
    </row>
    <row r="1280" spans="1:8" ht="13.2" x14ac:dyDescent="0.25">
      <c r="A1280" s="1" t="str">
        <f ca="1">IFERROR(__xludf.DUMMYFUNCTION("GOOGLETRANSLATE(English!A1280, ""en"", ""bg"")"),"conv_02485")</f>
        <v>conv_02485</v>
      </c>
      <c r="B1280" s="1" t="str">
        <f ca="1">IFERROR(__xludf.DUMMYFUNCTION("GOOGLETRANSLATE(English!B1280, ""en"", ""bg"")"),"биология")</f>
        <v>биология</v>
      </c>
      <c r="C1280" s="1" t="str">
        <f ca="1">IFERROR(__xludf.DUMMYFUNCTION("GOOGLETRANSLATE(English!C1280, ""en"", ""bg"")"),"високо")</f>
        <v>високо</v>
      </c>
      <c r="D1280" s="1" t="str">
        <f ca="1">IFERROR(__xludf.DUMMYFUNCTION("GOOGLETRANSLATE(English!D1280, ""en"", ""bg"")"),"модели на наследяване")</f>
        <v>модели на наследяване</v>
      </c>
      <c r="E1280" s="1" t="str">
        <f ca="1">IFERROR(__xludf.DUMMYFUNCTION("GOOGLETRANSLATE(English!E1280, ""en"", ""bg"")"),"Имам нужда от помощ с домашното. Защо моделите на наследяване са важни в биологията?")</f>
        <v>Имам нужда от помощ с домашното. Защо моделите на наследяване са важни в биологията?</v>
      </c>
      <c r="F1280" s="1" t="str">
        <f ca="1">IFERROR(__xludf.DUMMYFUNCTION("GOOGLETRANSLATE(English!F1280,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1280" s="1" t="str">
        <f ca="1">IFERROR(__xludf.DUMMYFUNCTION("GOOGLETRANSLATE(English!G1280, ""en"", ""bg"")"),"разговор")</f>
        <v>разговор</v>
      </c>
      <c r="H1280" s="1" t="str">
        <f ca="1">IFERROR(__xludf.DUMMYFUNCTION("GOOGLETRANSLATE(English!H1280, ""en"", ""bg"")"),"образователна_помощ")</f>
        <v>образователна_помощ</v>
      </c>
    </row>
    <row r="1281" spans="1:8" ht="13.2" x14ac:dyDescent="0.25">
      <c r="A1281" s="1" t="str">
        <f ca="1">IFERROR(__xludf.DUMMYFUNCTION("GOOGLETRANSLATE(English!A1281, ""en"", ""bg"")"),"qa_06042")</f>
        <v>qa_06042</v>
      </c>
      <c r="B1281" s="1" t="str">
        <f ca="1">IFERROR(__xludf.DUMMYFUNCTION("GOOGLETRANSLATE(English!B1281, ""en"", ""bg"")"),"биология")</f>
        <v>биология</v>
      </c>
      <c r="C1281" s="1" t="str">
        <f ca="1">IFERROR(__xludf.DUMMYFUNCTION("GOOGLETRANSLATE(English!C1281, ""en"", ""bg"")"),"елементарен")</f>
        <v>елементарен</v>
      </c>
      <c r="D1281" s="1" t="str">
        <f ca="1">IFERROR(__xludf.DUMMYFUNCTION("GOOGLETRANSLATE(English!D1281, ""en"", ""bg"")"),"жизнени цикли")</f>
        <v>жизнени цикли</v>
      </c>
      <c r="E1281" s="1" t="str">
        <f ca="1">IFERROR(__xludf.DUMMYFUNCTION("GOOGLETRANSLATE(English!E1281, ""en"", ""bg"")"),"Как функционират жизнените цикли?")</f>
        <v>Как функционират жизнените цикли?</v>
      </c>
      <c r="F1281" s="1" t="str">
        <f ca="1">IFERROR(__xludf.DUMMYFUNCTION("GOOGLETRANSLATE(English!F1281,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1281" s="1" t="str">
        <f ca="1">IFERROR(__xludf.DUMMYFUNCTION("GOOGLETRANSLATE(English!G1281, ""en"", ""bg"")"),"direct_qa")</f>
        <v>direct_qa</v>
      </c>
      <c r="H1281" s="1" t="str">
        <f ca="1">IFERROR(__xludf.DUMMYFUNCTION("GOOGLETRANSLATE(English!H1281, ""en"", ""bg"")"),"заявка_за_знание")</f>
        <v>заявка_за_знание</v>
      </c>
    </row>
    <row r="1282" spans="1:8" ht="13.2" x14ac:dyDescent="0.25">
      <c r="A1282" s="1" t="str">
        <f ca="1">IFERROR(__xludf.DUMMYFUNCTION("GOOGLETRANSLATE(English!A1282, ""en"", ""bg"")"),"qa_05040")</f>
        <v>qa_05040</v>
      </c>
      <c r="B1282" s="1" t="str">
        <f ca="1">IFERROR(__xludf.DUMMYFUNCTION("GOOGLETRANSLATE(English!B1282, ""en"", ""bg"")"),"биология")</f>
        <v>биология</v>
      </c>
      <c r="C1282" s="1" t="str">
        <f ca="1">IFERROR(__xludf.DUMMYFUNCTION("GOOGLETRANSLATE(English!C1282, ""en"", ""bg"")"),"средата")</f>
        <v>средата</v>
      </c>
      <c r="D1282" s="1" t="str">
        <f ca="1">IFERROR(__xludf.DUMMYFUNCTION("GOOGLETRANSLATE(English!D1282, ""en"", ""bg"")"),"основи на генетиката")</f>
        <v>основи на генетиката</v>
      </c>
      <c r="E1282" s="1" t="str">
        <f ca="1">IFERROR(__xludf.DUMMYFUNCTION("GOOGLETRANSLATE(English!E1282, ""en"", ""bg"")"),"Можете ли да ми разкажете за основите на генетиката?")</f>
        <v>Можете ли да ми разкажете за основите на генетиката?</v>
      </c>
      <c r="F1282" s="1" t="str">
        <f ca="1">IFERROR(__xludf.DUMMYFUNCTION("GOOGLETRANSLATE(English!F1282,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1282" s="1" t="str">
        <f ca="1">IFERROR(__xludf.DUMMYFUNCTION("GOOGLETRANSLATE(English!G1282, ""en"", ""bg"")"),"direct_qa")</f>
        <v>direct_qa</v>
      </c>
      <c r="H1282" s="1" t="str">
        <f ca="1">IFERROR(__xludf.DUMMYFUNCTION("GOOGLETRANSLATE(English!H1282, ""en"", ""bg"")"),"заявка_за_знание")</f>
        <v>заявка_за_знание</v>
      </c>
    </row>
    <row r="1283" spans="1:8" ht="13.2" x14ac:dyDescent="0.25">
      <c r="A1283" s="1" t="str">
        <f ca="1">IFERROR(__xludf.DUMMYFUNCTION("GOOGLETRANSLATE(English!A1283, ""en"", ""bg"")"),"conv_19294")</f>
        <v>conv_19294</v>
      </c>
      <c r="B1283" s="1" t="str">
        <f ca="1">IFERROR(__xludf.DUMMYFUNCTION("GOOGLETRANSLATE(English!B1283, ""en"", ""bg"")"),"физика")</f>
        <v>физика</v>
      </c>
      <c r="C1283" s="1" t="str">
        <f ca="1">IFERROR(__xludf.DUMMYFUNCTION("GOOGLETRANSLATE(English!C1283, ""en"", ""bg"")"),"високо")</f>
        <v>високо</v>
      </c>
      <c r="D1283" s="1" t="str">
        <f ca="1">IFERROR(__xludf.DUMMYFUNCTION("GOOGLETRANSLATE(English!D1283, ""en"", ""bg"")"),"механика")</f>
        <v>механика</v>
      </c>
      <c r="E1283" s="1" t="str">
        <f ca="1">IFERROR(__xludf.DUMMYFUNCTION("GOOGLETRANSLATE(English!E1283, ""en"", ""bg"")"),"Имам нужда от помощ с домашното. Как работи механиката във физиката?")</f>
        <v>Имам нужда от помощ с домашното. Как работи механиката във физиката?</v>
      </c>
      <c r="F1283" s="1" t="str">
        <f ca="1">IFERROR(__xludf.DUMMYFUNCTION("GOOGLETRANSLATE(English!F1283,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1283" s="1" t="str">
        <f ca="1">IFERROR(__xludf.DUMMYFUNCTION("GOOGLETRANSLATE(English!G1283, ""en"", ""bg"")"),"разговор")</f>
        <v>разговор</v>
      </c>
      <c r="H1283" s="1" t="str">
        <f ca="1">IFERROR(__xludf.DUMMYFUNCTION("GOOGLETRANSLATE(English!H1283, ""en"", ""bg"")"),"образователна_помощ")</f>
        <v>образователна_помощ</v>
      </c>
    </row>
    <row r="1284" spans="1:8" ht="13.2" x14ac:dyDescent="0.25">
      <c r="A1284" s="1" t="str">
        <f ca="1">IFERROR(__xludf.DUMMYFUNCTION("GOOGLETRANSLATE(English!A1284, ""en"", ""bg"")"),"conv_04481")</f>
        <v>conv_04481</v>
      </c>
      <c r="B1284" s="1" t="str">
        <f ca="1">IFERROR(__xludf.DUMMYFUNCTION("GOOGLETRANSLATE(English!B1284, ""en"", ""bg"")"),"химия")</f>
        <v>химия</v>
      </c>
      <c r="C1284" s="1" t="str">
        <f ca="1">IFERROR(__xludf.DUMMYFUNCTION("GOOGLETRANSLATE(English!C1284, ""en"", ""bg"")"),"средата")</f>
        <v>средата</v>
      </c>
      <c r="D1284" s="1" t="str">
        <f ca="1">IFERROR(__xludf.DUMMYFUNCTION("GOOGLETRANSLATE(English!D1284, ""en"", ""bg"")"),"химични реакции")</f>
        <v>химични реакции</v>
      </c>
      <c r="E1284" s="1" t="str">
        <f ca="1">IFERROR(__xludf.DUMMYFUNCTION("GOOGLETRANSLATE(English!E1284, ""en"", ""bg"")"),"Здравей, преподавателю! Могат ли химичните реакции да бъдат обратими?")</f>
        <v>Здравей, преподавателю! Могат ли химичните реакции да бъдат обратими?</v>
      </c>
      <c r="F1284" s="1" t="str">
        <f ca="1">IFERROR(__xludf.DUMMYFUNCTION("GOOGLETRANSLATE(English!F1284,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284" s="1" t="str">
        <f ca="1">IFERROR(__xludf.DUMMYFUNCTION("GOOGLETRANSLATE(English!G1284, ""en"", ""bg"")"),"разговор")</f>
        <v>разговор</v>
      </c>
      <c r="H1284" s="1" t="str">
        <f ca="1">IFERROR(__xludf.DUMMYFUNCTION("GOOGLETRANSLATE(English!H1284, ""en"", ""bg"")"),"образователна_помощ")</f>
        <v>образователна_помощ</v>
      </c>
    </row>
    <row r="1285" spans="1:8" ht="13.2" x14ac:dyDescent="0.25">
      <c r="A1285" s="1" t="str">
        <f ca="1">IFERROR(__xludf.DUMMYFUNCTION("GOOGLETRANSLATE(English!A1285, ""en"", ""bg"")"),"conv_04625")</f>
        <v>conv_04625</v>
      </c>
      <c r="B1285" s="1" t="str">
        <f ca="1">IFERROR(__xludf.DUMMYFUNCTION("GOOGLETRANSLATE(English!B1285, ""en"", ""bg"")"),"физика")</f>
        <v>физика</v>
      </c>
      <c r="C1285" s="1" t="str">
        <f ca="1">IFERROR(__xludf.DUMMYFUNCTION("GOOGLETRANSLATE(English!C1285, ""en"", ""bg"")"),"елементарен")</f>
        <v>елементарен</v>
      </c>
      <c r="D1285" s="1" t="str">
        <f ca="1">IFERROR(__xludf.DUMMYFUNCTION("GOOGLETRANSLATE(English!D1285, ""en"", ""bg"")"),"горещо и студено")</f>
        <v>горещо и студено</v>
      </c>
      <c r="E1285" s="1" t="str">
        <f ca="1">IFERROR(__xludf.DUMMYFUNCTION("GOOGLETRANSLATE(English!E1285, ""en"", ""bg"")"),"Имам нужда от помощ с домашното. Как работят топлото и студеното във физиката?")</f>
        <v>Имам нужда от помощ с домашното. Как работят топлото и студеното във физиката?</v>
      </c>
      <c r="F1285" s="1" t="str">
        <f ca="1">IFERROR(__xludf.DUMMYFUNCTION("GOOGLETRANSLATE(English!F1285,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285" s="1" t="str">
        <f ca="1">IFERROR(__xludf.DUMMYFUNCTION("GOOGLETRANSLATE(English!G1285, ""en"", ""bg"")"),"разговор")</f>
        <v>разговор</v>
      </c>
      <c r="H1285" s="1" t="str">
        <f ca="1">IFERROR(__xludf.DUMMYFUNCTION("GOOGLETRANSLATE(English!H1285, ""en"", ""bg"")"),"образователна_помощ")</f>
        <v>образователна_помощ</v>
      </c>
    </row>
    <row r="1286" spans="1:8" ht="13.2" x14ac:dyDescent="0.25">
      <c r="A1286" s="1" t="str">
        <f ca="1">IFERROR(__xludf.DUMMYFUNCTION("GOOGLETRANSLATE(English!A1286, ""en"", ""bg"")"),"qa_01651")</f>
        <v>qa_01651</v>
      </c>
      <c r="B1286" s="1" t="str">
        <f ca="1">IFERROR(__xludf.DUMMYFUNCTION("GOOGLETRANSLATE(English!B1286, ""en"", ""bg"")"),"биология")</f>
        <v>биология</v>
      </c>
      <c r="C1286" s="1" t="str">
        <f ca="1">IFERROR(__xludf.DUMMYFUNCTION("GOOGLETRANSLATE(English!C1286, ""en"", ""bg"")"),"елементарен")</f>
        <v>елементарен</v>
      </c>
      <c r="D1286" s="1" t="str">
        <f ca="1">IFERROR(__xludf.DUMMYFUNCTION("GOOGLETRANSLATE(English!D1286, ""en"", ""bg"")"),"човешкото тяло")</f>
        <v>човешкото тяло</v>
      </c>
      <c r="E1286" s="1" t="str">
        <f ca="1">IFERROR(__xludf.DUMMYFUNCTION("GOOGLETRANSLATE(English!E1286, ""en"", ""bg"")"),"Можете ли да ми разкажете за човешкото тяло?")</f>
        <v>Можете ли да ми разкажете за човешкото тяло?</v>
      </c>
      <c r="F1286" s="1" t="str">
        <f ca="1">IFERROR(__xludf.DUMMYFUNCTION("GOOGLETRANSLATE(English!F1286,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1286" s="1" t="str">
        <f ca="1">IFERROR(__xludf.DUMMYFUNCTION("GOOGLETRANSLATE(English!G1286, ""en"", ""bg"")"),"direct_qa")</f>
        <v>direct_qa</v>
      </c>
      <c r="H1286" s="1" t="str">
        <f ca="1">IFERROR(__xludf.DUMMYFUNCTION("GOOGLETRANSLATE(English!H1286, ""en"", ""bg"")"),"заявка_за_знание")</f>
        <v>заявка_за_знание</v>
      </c>
    </row>
    <row r="1287" spans="1:8" ht="13.2" x14ac:dyDescent="0.25">
      <c r="A1287" s="1" t="str">
        <f ca="1">IFERROR(__xludf.DUMMYFUNCTION("GOOGLETRANSLATE(English!A1287, ""en"", ""bg"")"),"conv_14664")</f>
        <v>conv_14664</v>
      </c>
      <c r="B1287" s="1" t="str">
        <f ca="1">IFERROR(__xludf.DUMMYFUNCTION("GOOGLETRANSLATE(English!B1287, ""en"", ""bg"")"),"химия")</f>
        <v>химия</v>
      </c>
      <c r="C1287" s="1" t="str">
        <f ca="1">IFERROR(__xludf.DUMMYFUNCTION("GOOGLETRANSLATE(English!C1287, ""en"", ""bg"")"),"средата")</f>
        <v>средата</v>
      </c>
      <c r="D1287" s="1" t="str">
        <f ca="1">IFERROR(__xludf.DUMMYFUNCTION("GOOGLETRANSLATE(English!D1287, ""en"", ""bg"")"),"основи на периодичната таблица")</f>
        <v>основи на периодичната таблица</v>
      </c>
      <c r="E1287" s="1" t="str">
        <f ca="1">IFERROR(__xludf.DUMMYFUNCTION("GOOGLETRANSLATE(English!E1287, ""en"", ""bg"")"),"Помогнете ми да уча за теста. Можете ли да ми помогнете да разбера основите на периодичната таблица?")</f>
        <v>Помогнете ми да уча за теста. Можете ли да ми помогнете да разбера основите на периодичната таблица?</v>
      </c>
      <c r="F1287" s="1" t="str">
        <f ca="1">IFERROR(__xludf.DUMMYFUNCTION("GOOGLETRANSLATE(English!F1287,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1287" s="1" t="str">
        <f ca="1">IFERROR(__xludf.DUMMYFUNCTION("GOOGLETRANSLATE(English!G1287, ""en"", ""bg"")"),"разговор")</f>
        <v>разговор</v>
      </c>
      <c r="H1287" s="1" t="str">
        <f ca="1">IFERROR(__xludf.DUMMYFUNCTION("GOOGLETRANSLATE(English!H1287, ""en"", ""bg"")"),"образователна_помощ")</f>
        <v>образователна_помощ</v>
      </c>
    </row>
    <row r="1288" spans="1:8" ht="13.2" x14ac:dyDescent="0.25">
      <c r="A1288" s="1" t="str">
        <f ca="1">IFERROR(__xludf.DUMMYFUNCTION("GOOGLETRANSLATE(English!A1288, ""en"", ""bg"")"),"qa_00983")</f>
        <v>qa_00983</v>
      </c>
      <c r="B1288" s="1" t="str">
        <f ca="1">IFERROR(__xludf.DUMMYFUNCTION("GOOGLETRANSLATE(English!B1288, ""en"", ""bg"")"),"химия")</f>
        <v>химия</v>
      </c>
      <c r="C1288" s="1" t="str">
        <f ca="1">IFERROR(__xludf.DUMMYFUNCTION("GOOGLETRANSLATE(English!C1288, ""en"", ""bg"")"),"елементарен")</f>
        <v>елементарен</v>
      </c>
      <c r="D1288" s="1" t="str">
        <f ca="1">IFERROR(__xludf.DUMMYFUNCTION("GOOGLETRANSLATE(English!D1288, ""en"", ""bg"")"),"ежедневни химикали")</f>
        <v>ежедневни химикали</v>
      </c>
      <c r="E1288" s="1" t="str">
        <f ca="1">IFERROR(__xludf.DUMMYFUNCTION("GOOGLETRANSLATE(English!E1288, ""en"", ""bg"")"),"Как действат ежедневните химикали в химията?")</f>
        <v>Как действат ежедневните химикали в химията?</v>
      </c>
      <c r="F1288" s="1" t="str">
        <f ca="1">IFERROR(__xludf.DUMMYFUNCTION("GOOGLETRANSLATE(English!F1288,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1288" s="1" t="str">
        <f ca="1">IFERROR(__xludf.DUMMYFUNCTION("GOOGLETRANSLATE(English!G1288, ""en"", ""bg"")"),"direct_qa")</f>
        <v>direct_qa</v>
      </c>
      <c r="H1288" s="1" t="str">
        <f ca="1">IFERROR(__xludf.DUMMYFUNCTION("GOOGLETRANSLATE(English!H1288, ""en"", ""bg"")"),"заявка_за_знание")</f>
        <v>заявка_за_знание</v>
      </c>
    </row>
    <row r="1289" spans="1:8" ht="13.2" x14ac:dyDescent="0.25">
      <c r="A1289" s="1" t="str">
        <f ca="1">IFERROR(__xludf.DUMMYFUNCTION("GOOGLETRANSLATE(English!A1289, ""en"", ""bg"")"),"hw_13365")</f>
        <v>hw_13365</v>
      </c>
      <c r="B1289" s="1" t="str">
        <f ca="1">IFERROR(__xludf.DUMMYFUNCTION("GOOGLETRANSLATE(English!B1289, ""en"", ""bg"")"),"физика")</f>
        <v>физика</v>
      </c>
      <c r="C1289" s="1" t="str">
        <f ca="1">IFERROR(__xludf.DUMMYFUNCTION("GOOGLETRANSLATE(English!C1289, ""en"", ""bg"")"),"високо")</f>
        <v>високо</v>
      </c>
      <c r="D1289" s="1" t="str">
        <f ca="1">IFERROR(__xludf.DUMMYFUNCTION("GOOGLETRANSLATE(English!D1289, ""en"", ""bg"")"),"радиоактивност")</f>
        <v>радиоактивност</v>
      </c>
      <c r="E1289" s="1" t="str">
        <f ca="1">IFERROR(__xludf.DUMMYFUNCTION("GOOGLETRANSLATE(English!E1289,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1289" s="1" t="str">
        <f ca="1">IFERROR(__xludf.DUMMYFUNCTION("GOOGLETRANSLATE(English!F1289,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289" s="1" t="str">
        <f ca="1">IFERROR(__xludf.DUMMYFUNCTION("GOOGLETRANSLATE(English!G1289, ""en"", ""bg"")"),"помощ_за_домашно_изпълнение")</f>
        <v>помощ_за_домашно_изпълнение</v>
      </c>
      <c r="H1289" s="1" t="str">
        <f ca="1">IFERROR(__xludf.DUMMYFUNCTION("GOOGLETRANSLATE(English!H1289, ""en"", ""bg"")"),"помощ_за_домашно_задаване")</f>
        <v>помощ_за_домашно_задаване</v>
      </c>
    </row>
    <row r="1290" spans="1:8" ht="13.2" x14ac:dyDescent="0.25">
      <c r="A1290" s="1" t="str">
        <f ca="1">IFERROR(__xludf.DUMMYFUNCTION("GOOGLETRANSLATE(English!A1290, ""en"", ""bg"")"),"conv_07052")</f>
        <v>conv_07052</v>
      </c>
      <c r="B1290" s="1" t="str">
        <f ca="1">IFERROR(__xludf.DUMMYFUNCTION("GOOGLETRANSLATE(English!B1290, ""en"", ""bg"")"),"физика")</f>
        <v>физика</v>
      </c>
      <c r="C1290" s="1" t="str">
        <f ca="1">IFERROR(__xludf.DUMMYFUNCTION("GOOGLETRANSLATE(English!C1290, ""en"", ""bg"")"),"средата")</f>
        <v>средата</v>
      </c>
      <c r="D1290" s="1" t="str">
        <f ca="1">IFERROR(__xludf.DUMMYFUNCTION("GOOGLETRANSLATE(English!D1290, ""en"", ""bg"")"),"основи на електричеството")</f>
        <v>основи на електричеството</v>
      </c>
      <c r="E1290" s="1" t="str">
        <f ca="1">IFERROR(__xludf.DUMMYFUNCTION("GOOGLETRANSLATE(English!E1290, ""en"", ""bg"")"),"Можете ли да ми помогнете? Как се прилагат основите на електричеството във физиката?")</f>
        <v>Можете ли да ми помогнете? Как се прилагат основите на електричеството във физиката?</v>
      </c>
      <c r="F1290" s="1" t="str">
        <f ca="1">IFERROR(__xludf.DUMMYFUNCTION("GOOGLETRANSLATE(English!F1290,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1290" s="1" t="str">
        <f ca="1">IFERROR(__xludf.DUMMYFUNCTION("GOOGLETRANSLATE(English!G1290, ""en"", ""bg"")"),"разговор")</f>
        <v>разговор</v>
      </c>
      <c r="H1290" s="1" t="str">
        <f ca="1">IFERROR(__xludf.DUMMYFUNCTION("GOOGLETRANSLATE(English!H1290, ""en"", ""bg"")"),"образователна_помощ")</f>
        <v>образователна_помощ</v>
      </c>
    </row>
    <row r="1291" spans="1:8" ht="13.2" x14ac:dyDescent="0.25">
      <c r="A1291" s="1" t="str">
        <f ca="1">IFERROR(__xludf.DUMMYFUNCTION("GOOGLETRANSLATE(English!A1291, ""en"", ""bg"")"),"conv_05709")</f>
        <v>conv_05709</v>
      </c>
      <c r="B1291" s="1" t="str">
        <f ca="1">IFERROR(__xludf.DUMMYFUNCTION("GOOGLETRANSLATE(English!B1291, ""en"", ""bg"")"),"биология")</f>
        <v>биология</v>
      </c>
      <c r="C1291" s="1" t="str">
        <f ca="1">IFERROR(__xludf.DUMMYFUNCTION("GOOGLETRANSLATE(English!C1291, ""en"", ""bg"")"),"елементарен")</f>
        <v>елементарен</v>
      </c>
      <c r="D1291" s="1" t="str">
        <f ca="1">IFERROR(__xludf.DUMMYFUNCTION("GOOGLETRANSLATE(English!D1291, ""en"", ""bg"")"),"основни нужди")</f>
        <v>основни нужди</v>
      </c>
      <c r="E1291" s="1" t="str">
        <f ca="1">IFERROR(__xludf.DUMMYFUNCTION("GOOGLETRANSLATE(English!E1291, ""en"", ""bg"")"),"Имам нужда от помощ с домашното. Можете ли да ми кажете за основните нужди?")</f>
        <v>Имам нужда от помощ с домашното. Можете ли да ми кажете за основните нужди?</v>
      </c>
      <c r="F1291" s="1" t="str">
        <f ca="1">IFERROR(__xludf.DUMMYFUNCTION("GOOGLETRANSLATE(English!F1291,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1291" s="1" t="str">
        <f ca="1">IFERROR(__xludf.DUMMYFUNCTION("GOOGLETRANSLATE(English!G1291, ""en"", ""bg"")"),"разговор")</f>
        <v>разговор</v>
      </c>
      <c r="H1291" s="1" t="str">
        <f ca="1">IFERROR(__xludf.DUMMYFUNCTION("GOOGLETRANSLATE(English!H1291, ""en"", ""bg"")"),"образователна_помощ")</f>
        <v>образователна_помощ</v>
      </c>
    </row>
    <row r="1292" spans="1:8" ht="13.2" x14ac:dyDescent="0.25">
      <c r="A1292" s="1" t="str">
        <f ca="1">IFERROR(__xludf.DUMMYFUNCTION("GOOGLETRANSLATE(English!A1292, ""en"", ""bg"")"),"hw_04580")</f>
        <v>hw_04580</v>
      </c>
      <c r="B1292" s="1" t="str">
        <f ca="1">IFERROR(__xludf.DUMMYFUNCTION("GOOGLETRANSLATE(English!B1292, ""en"", ""bg"")"),"биология")</f>
        <v>биология</v>
      </c>
      <c r="C1292" s="1" t="str">
        <f ca="1">IFERROR(__xludf.DUMMYFUNCTION("GOOGLETRANSLATE(English!C1292, ""en"", ""bg"")"),"елементарен")</f>
        <v>елементарен</v>
      </c>
      <c r="D1292" s="1" t="str">
        <f ca="1">IFERROR(__xludf.DUMMYFUNCTION("GOOGLETRANSLATE(English!D1292, ""en"", ""bg"")"),"основни нужди")</f>
        <v>основни нужди</v>
      </c>
      <c r="E1292" s="1" t="str">
        <f ca="1">IFERROR(__xludf.DUMMYFUNCTION("GOOGLETRANSLATE(English!E1292, ""en"", ""bg"")"),"Трябва да напиша доклад за основните нужди. Можете ли да ми помогнете да започна?")</f>
        <v>Трябва да напиша доклад за основните нужди. Можете ли да ми помогнете да започна?</v>
      </c>
      <c r="F1292" s="1" t="str">
        <f ca="1">IFERROR(__xludf.DUMMYFUNCTION("GOOGLETRANSLATE(English!F1292,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1292" s="1" t="str">
        <f ca="1">IFERROR(__xludf.DUMMYFUNCTION("GOOGLETRANSLATE(English!G1292, ""en"", ""bg"")"),"помощ_за_домашно_изпълнение")</f>
        <v>помощ_за_домашно_изпълнение</v>
      </c>
      <c r="H1292" s="1" t="str">
        <f ca="1">IFERROR(__xludf.DUMMYFUNCTION("GOOGLETRANSLATE(English!H1292, ""en"", ""bg"")"),"помощ_за_домашно_задаване")</f>
        <v>помощ_за_домашно_задаване</v>
      </c>
    </row>
    <row r="1293" spans="1:8" ht="13.2" x14ac:dyDescent="0.25">
      <c r="A1293" s="1" t="str">
        <f ca="1">IFERROR(__xludf.DUMMYFUNCTION("GOOGLETRANSLATE(English!A1293, ""en"", ""bg"")"),"conv_01533")</f>
        <v>conv_01533</v>
      </c>
      <c r="B1293" s="1" t="str">
        <f ca="1">IFERROR(__xludf.DUMMYFUNCTION("GOOGLETRANSLATE(English!B1293, ""en"", ""bg"")"),"биология")</f>
        <v>биология</v>
      </c>
      <c r="C1293" s="1" t="str">
        <f ca="1">IFERROR(__xludf.DUMMYFUNCTION("GOOGLETRANSLATE(English!C1293, ""en"", ""bg"")"),"средата")</f>
        <v>средата</v>
      </c>
      <c r="D1293" s="1" t="str">
        <f ca="1">IFERROR(__xludf.DUMMYFUNCTION("GOOGLETRANSLATE(English!D1293, ""en"", ""bg"")"),"класификация")</f>
        <v>класификация</v>
      </c>
      <c r="E1293" s="1" t="str">
        <f ca="1">IFERROR(__xludf.DUMMYFUNCTION("GOOGLETRANSLATE(English!E1293, ""en"", ""bg"")"),"Имам научен въпрос. Какво е важно да знаем за класификацията?")</f>
        <v>Имам научен въпрос. Какво е важно да знаем за класификацията?</v>
      </c>
      <c r="F1293" s="1" t="str">
        <f ca="1">IFERROR(__xludf.DUMMYFUNCTION("GOOGLETRANSLATE(English!F1293,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1293" s="1" t="str">
        <f ca="1">IFERROR(__xludf.DUMMYFUNCTION("GOOGLETRANSLATE(English!G1293, ""en"", ""bg"")"),"разговор")</f>
        <v>разговор</v>
      </c>
      <c r="H1293" s="1" t="str">
        <f ca="1">IFERROR(__xludf.DUMMYFUNCTION("GOOGLETRANSLATE(English!H1293, ""en"", ""bg"")"),"образователна_помощ")</f>
        <v>образователна_помощ</v>
      </c>
    </row>
    <row r="1294" spans="1:8" ht="13.2" x14ac:dyDescent="0.25">
      <c r="A1294" s="1" t="str">
        <f ca="1">IFERROR(__xludf.DUMMYFUNCTION("GOOGLETRANSLATE(English!A1294, ""en"", ""bg"")"),"conv_02413")</f>
        <v>conv_02413</v>
      </c>
      <c r="B1294" s="1" t="str">
        <f ca="1">IFERROR(__xludf.DUMMYFUNCTION("GOOGLETRANSLATE(English!B1294, ""en"", ""bg"")"),"химия")</f>
        <v>химия</v>
      </c>
      <c r="C1294" s="1" t="str">
        <f ca="1">IFERROR(__xludf.DUMMYFUNCTION("GOOGLETRANSLATE(English!C1294, ""en"", ""bg"")"),"високо")</f>
        <v>високо</v>
      </c>
      <c r="D1294" s="1" t="str">
        <f ca="1">IFERROR(__xludf.DUMMYFUNCTION("GOOGLETRANSLATE(English!D1294, ""en"", ""bg"")"),"скорости на реакция")</f>
        <v>скорости на реакция</v>
      </c>
      <c r="E1294" s="1" t="str">
        <f ca="1">IFERROR(__xludf.DUMMYFUNCTION("GOOGLETRANSLATE(English!E1294, ""en"", ""bg"")"),"Не разбирам тази тема. Защо е важно да се учи скоростта на реакция?")</f>
        <v>Не разбирам тази тема. Защо е важно да се учи скоростта на реакция?</v>
      </c>
      <c r="F1294" s="1" t="str">
        <f ca="1">IFERROR(__xludf.DUMMYFUNCTION("GOOGLETRANSLATE(English!F1294,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1294" s="1" t="str">
        <f ca="1">IFERROR(__xludf.DUMMYFUNCTION("GOOGLETRANSLATE(English!G1294, ""en"", ""bg"")"),"разговор")</f>
        <v>разговор</v>
      </c>
      <c r="H1294" s="1" t="str">
        <f ca="1">IFERROR(__xludf.DUMMYFUNCTION("GOOGLETRANSLATE(English!H1294, ""en"", ""bg"")"),"образователна_помощ")</f>
        <v>образователна_помощ</v>
      </c>
    </row>
    <row r="1295" spans="1:8" ht="13.2" x14ac:dyDescent="0.25">
      <c r="A1295" s="1" t="str">
        <f ca="1">IFERROR(__xludf.DUMMYFUNCTION("GOOGLETRANSLATE(English!A1295, ""en"", ""bg"")"),"conv_10194")</f>
        <v>conv_10194</v>
      </c>
      <c r="B1295" s="1" t="str">
        <f ca="1">IFERROR(__xludf.DUMMYFUNCTION("GOOGLETRANSLATE(English!B1295, ""en"", ""bg"")"),"физика")</f>
        <v>физика</v>
      </c>
      <c r="C1295" s="1" t="str">
        <f ca="1">IFERROR(__xludf.DUMMYFUNCTION("GOOGLETRANSLATE(English!C1295, ""en"", ""bg"")"),"високо")</f>
        <v>високо</v>
      </c>
      <c r="D1295" s="1" t="str">
        <f ca="1">IFERROR(__xludf.DUMMYFUNCTION("GOOGLETRANSLATE(English!D1295, ""en"", ""bg"")"),"оптика")</f>
        <v>оптика</v>
      </c>
      <c r="E1295" s="1" t="str">
        <f ca="1">IFERROR(__xludf.DUMMYFUNCTION("GOOGLETRANSLATE(English!E1295, ""en"", ""bg"")"),"Не разбирам тази тема. Как работи оптиката във физиката?")</f>
        <v>Не разбирам тази тема. Как работи оптиката във физиката?</v>
      </c>
      <c r="F1295" s="1" t="str">
        <f ca="1">IFERROR(__xludf.DUMMYFUNCTION("GOOGLETRANSLATE(English!F1295,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1295" s="1" t="str">
        <f ca="1">IFERROR(__xludf.DUMMYFUNCTION("GOOGLETRANSLATE(English!G1295, ""en"", ""bg"")"),"разговор")</f>
        <v>разговор</v>
      </c>
      <c r="H1295" s="1" t="str">
        <f ca="1">IFERROR(__xludf.DUMMYFUNCTION("GOOGLETRANSLATE(English!H1295, ""en"", ""bg"")"),"образователна_помощ")</f>
        <v>образователна_помощ</v>
      </c>
    </row>
    <row r="1296" spans="1:8" ht="13.2" x14ac:dyDescent="0.25">
      <c r="A1296" s="1" t="str">
        <f ca="1">IFERROR(__xludf.DUMMYFUNCTION("GOOGLETRANSLATE(English!A1296, ""en"", ""bg"")"),"hw_04778")</f>
        <v>hw_04778</v>
      </c>
      <c r="B1296" s="1" t="str">
        <f ca="1">IFERROR(__xludf.DUMMYFUNCTION("GOOGLETRANSLATE(English!B1296, ""en"", ""bg"")"),"физика")</f>
        <v>физика</v>
      </c>
      <c r="C1296" s="1" t="str">
        <f ca="1">IFERROR(__xludf.DUMMYFUNCTION("GOOGLETRANSLATE(English!C1296, ""en"", ""bg"")"),"средата")</f>
        <v>средата</v>
      </c>
      <c r="D1296" s="1" t="str">
        <f ca="1">IFERROR(__xludf.DUMMYFUNCTION("GOOGLETRANSLATE(English!D1296, ""en"", ""bg"")"),"вълни")</f>
        <v>вълни</v>
      </c>
      <c r="E1296" s="1" t="str">
        <f ca="1">IFERROR(__xludf.DUMMYFUNCTION("GOOGLETRANSLATE(English!E1296, ""en"", ""bg"")"),"Заседнал съм с този проблем с вълните. Можете ли да помогнете?")</f>
        <v>Заседнал съм с този проблем с вълните. Можете ли да помогнете?</v>
      </c>
      <c r="F1296" s="1" t="str">
        <f ca="1">IFERROR(__xludf.DUMMYFUNCTION("GOOGLETRANSLATE(English!F1296,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1296" s="1" t="str">
        <f ca="1">IFERROR(__xludf.DUMMYFUNCTION("GOOGLETRANSLATE(English!G1296, ""en"", ""bg"")"),"помощ_за_домашно_изпълнение")</f>
        <v>помощ_за_домашно_изпълнение</v>
      </c>
      <c r="H1296" s="1" t="str">
        <f ca="1">IFERROR(__xludf.DUMMYFUNCTION("GOOGLETRANSLATE(English!H1296, ""en"", ""bg"")"),"помощ_за_домашно_задаване")</f>
        <v>помощ_за_домашно_задаване</v>
      </c>
    </row>
    <row r="1297" spans="1:8" ht="13.2" x14ac:dyDescent="0.25">
      <c r="A1297" s="1" t="str">
        <f ca="1">IFERROR(__xludf.DUMMYFUNCTION("GOOGLETRANSLATE(English!A1297, ""en"", ""bg"")"),"qa_01301")</f>
        <v>qa_01301</v>
      </c>
      <c r="B1297" s="1" t="str">
        <f ca="1">IFERROR(__xludf.DUMMYFUNCTION("GOOGLETRANSLATE(English!B1297, ""en"", ""bg"")"),"физика")</f>
        <v>физика</v>
      </c>
      <c r="C1297" s="1" t="str">
        <f ca="1">IFERROR(__xludf.DUMMYFUNCTION("GOOGLETRANSLATE(English!C1297, ""en"", ""bg"")"),"високо")</f>
        <v>високо</v>
      </c>
      <c r="D1297" s="1" t="str">
        <f ca="1">IFERROR(__xludf.DUMMYFUNCTION("GOOGLETRANSLATE(English!D1297, ""en"", ""bg"")"),"механика")</f>
        <v>механика</v>
      </c>
      <c r="E1297" s="1" t="str">
        <f ca="1">IFERROR(__xludf.DUMMYFUNCTION("GOOGLETRANSLATE(English!E1297, ""en"", ""bg"")"),"Как работи механиката във физиката?")</f>
        <v>Как работи механиката във физиката?</v>
      </c>
      <c r="F1297" s="1" t="str">
        <f ca="1">IFERROR(__xludf.DUMMYFUNCTION("GOOGLETRANSLATE(English!F1297,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1297" s="1" t="str">
        <f ca="1">IFERROR(__xludf.DUMMYFUNCTION("GOOGLETRANSLATE(English!G1297, ""en"", ""bg"")"),"direct_qa")</f>
        <v>direct_qa</v>
      </c>
      <c r="H1297" s="1" t="str">
        <f ca="1">IFERROR(__xludf.DUMMYFUNCTION("GOOGLETRANSLATE(English!H1297, ""en"", ""bg"")"),"заявка_за_знание")</f>
        <v>заявка_за_знание</v>
      </c>
    </row>
    <row r="1298" spans="1:8" ht="13.2" x14ac:dyDescent="0.25">
      <c r="A1298" s="1" t="str">
        <f ca="1">IFERROR(__xludf.DUMMYFUNCTION("GOOGLETRANSLATE(English!A1298, ""en"", ""bg"")"),"hw_12252")</f>
        <v>hw_12252</v>
      </c>
      <c r="B1298" s="1" t="str">
        <f ca="1">IFERROR(__xludf.DUMMYFUNCTION("GOOGLETRANSLATE(English!B1298, ""en"", ""bg"")"),"биология")</f>
        <v>биология</v>
      </c>
      <c r="C1298" s="1" t="str">
        <f ca="1">IFERROR(__xludf.DUMMYFUNCTION("GOOGLETRANSLATE(English!C1298, ""en"", ""bg"")"),"високо")</f>
        <v>високо</v>
      </c>
      <c r="D1298" s="1" t="str">
        <f ca="1">IFERROR(__xludf.DUMMYFUNCTION("GOOGLETRANSLATE(English!D1298, ""en"", ""bg"")"),"митоза и мейоза")</f>
        <v>митоза и мейоза</v>
      </c>
      <c r="E1298" s="1" t="str">
        <f ca="1">IFERROR(__xludf.DUMMYFUNCTION("GOOGLETRANSLATE(English!E1298, ""en"", ""bg"")"),"Трябва да напиша доклад за митозата и мейозата. Можете ли да ми помогнете да започна?")</f>
        <v>Трябва да напиша доклад за митозата и мейозата. Можете ли да ми помогнете да започна?</v>
      </c>
      <c r="F1298" s="1" t="str">
        <f ca="1">IFERROR(__xludf.DUMMYFUNCTION("GOOGLETRANSLATE(English!F1298,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298" s="1" t="str">
        <f ca="1">IFERROR(__xludf.DUMMYFUNCTION("GOOGLETRANSLATE(English!G1298, ""en"", ""bg"")"),"помощ_за_домашно_изпълнение")</f>
        <v>помощ_за_домашно_изпълнение</v>
      </c>
      <c r="H1298" s="1" t="str">
        <f ca="1">IFERROR(__xludf.DUMMYFUNCTION("GOOGLETRANSLATE(English!H1298, ""en"", ""bg"")"),"помощ_за_домашно_задаване")</f>
        <v>помощ_за_домашно_задаване</v>
      </c>
    </row>
    <row r="1299" spans="1:8" ht="13.2" x14ac:dyDescent="0.25">
      <c r="A1299" s="1" t="str">
        <f ca="1">IFERROR(__xludf.DUMMYFUNCTION("GOOGLETRANSLATE(English!A1299, ""en"", ""bg"")"),"conv_06987")</f>
        <v>conv_06987</v>
      </c>
      <c r="B1299" s="1" t="str">
        <f ca="1">IFERROR(__xludf.DUMMYFUNCTION("GOOGLETRANSLATE(English!B1299, ""en"", ""bg"")"),"физика")</f>
        <v>физика</v>
      </c>
      <c r="C1299" s="1" t="str">
        <f ca="1">IFERROR(__xludf.DUMMYFUNCTION("GOOGLETRANSLATE(English!C1299, ""en"", ""bg"")"),"средата")</f>
        <v>средата</v>
      </c>
      <c r="D1299" s="1" t="str">
        <f ca="1">IFERROR(__xludf.DUMMYFUNCTION("GOOGLETRANSLATE(English!D1299, ""en"", ""bg"")"),"прости схеми")</f>
        <v>прости схеми</v>
      </c>
      <c r="E1299" s="1" t="str">
        <f ca="1">IFERROR(__xludf.DUMMYFUNCTION("GOOGLETRANSLATE(English!E1299, ""en"", ""bg"")"),"Помогнете ми да уча за теста си. Защо простите електрически вериги са важни?")</f>
        <v>Помогнете ми да уча за теста си. Защо простите електрически вериги са важни?</v>
      </c>
      <c r="F1299" s="1" t="str">
        <f ca="1">IFERROR(__xludf.DUMMYFUNCTION("GOOGLETRANSLATE(English!F1299,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299" s="1" t="str">
        <f ca="1">IFERROR(__xludf.DUMMYFUNCTION("GOOGLETRANSLATE(English!G1299, ""en"", ""bg"")"),"разговор")</f>
        <v>разговор</v>
      </c>
      <c r="H1299" s="1" t="str">
        <f ca="1">IFERROR(__xludf.DUMMYFUNCTION("GOOGLETRANSLATE(English!H1299, ""en"", ""bg"")"),"образователна_помощ")</f>
        <v>образователна_помощ</v>
      </c>
    </row>
    <row r="1300" spans="1:8" ht="13.2" x14ac:dyDescent="0.25">
      <c r="A1300" s="1" t="str">
        <f ca="1">IFERROR(__xludf.DUMMYFUNCTION("GOOGLETRANSLATE(English!A1300, ""en"", ""bg"")"),"hw_02742")</f>
        <v>hw_02742</v>
      </c>
      <c r="B1300" s="1" t="str">
        <f ca="1">IFERROR(__xludf.DUMMYFUNCTION("GOOGLETRANSLATE(English!B1300, ""en"", ""bg"")"),"биология")</f>
        <v>биология</v>
      </c>
      <c r="C1300" s="1" t="str">
        <f ca="1">IFERROR(__xludf.DUMMYFUNCTION("GOOGLETRANSLATE(English!C1300, ""en"", ""bg"")"),"елементарен")</f>
        <v>елементарен</v>
      </c>
      <c r="D1300" s="1" t="str">
        <f ca="1">IFERROR(__xludf.DUMMYFUNCTION("GOOGLETRANSLATE(English!D1300, ""en"", ""bg"")"),"сетива")</f>
        <v>сетива</v>
      </c>
      <c r="E1300" s="1" t="str">
        <f ca="1">IFERROR(__xludf.DUMMYFUNCTION("GOOGLETRANSLATE(English!E1300, ""en"", ""bg"")"),"Можете ли да обясните сетивата за моя научен проект?")</f>
        <v>Можете ли да обясните сетивата за моя научен проект?</v>
      </c>
      <c r="F1300" s="1" t="str">
        <f ca="1">IFERROR(__xludf.DUMMYFUNCTION("GOOGLETRANSLATE(English!F1300,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1300" s="1" t="str">
        <f ca="1">IFERROR(__xludf.DUMMYFUNCTION("GOOGLETRANSLATE(English!G1300, ""en"", ""bg"")"),"помощ_за_домашно_изпълнение")</f>
        <v>помощ_за_домашно_изпълнение</v>
      </c>
      <c r="H1300" s="1" t="str">
        <f ca="1">IFERROR(__xludf.DUMMYFUNCTION("GOOGLETRANSLATE(English!H1300, ""en"", ""bg"")"),"помощ_за_домашно_задаване")</f>
        <v>помощ_за_домашно_задаване</v>
      </c>
    </row>
    <row r="1301" spans="1:8" ht="13.2" x14ac:dyDescent="0.25">
      <c r="A1301" s="1" t="str">
        <f ca="1">IFERROR(__xludf.DUMMYFUNCTION("GOOGLETRANSLATE(English!A1301, ""en"", ""bg"")"),"conv_12441")</f>
        <v>conv_12441</v>
      </c>
      <c r="B1301" s="1" t="str">
        <f ca="1">IFERROR(__xludf.DUMMYFUNCTION("GOOGLETRANSLATE(English!B1301, ""en"", ""bg"")"),"физика")</f>
        <v>физика</v>
      </c>
      <c r="C1301" s="1" t="str">
        <f ca="1">IFERROR(__xludf.DUMMYFUNCTION("GOOGLETRANSLATE(English!C1301, ""en"", ""bg"")"),"елементарен")</f>
        <v>елементарен</v>
      </c>
      <c r="D1301" s="1" t="str">
        <f ca="1">IFERROR(__xludf.DUMMYFUNCTION("GOOGLETRANSLATE(English!D1301, ""en"", ""bg"")"),"бутане и дърпане")</f>
        <v>бутане и дърпане</v>
      </c>
      <c r="E1301" s="1" t="str">
        <f ca="1">IFERROR(__xludf.DUMMYFUNCTION("GOOGLETRANSLATE(English!E1301, ""en"", ""bg"")"),"Не разбирам тази тема. Можете ли да ми обясните какво е „бутане и дърпане“?")</f>
        <v>Не разбирам тази тема. Можете ли да ми обясните какво е „бутане и дърпане“?</v>
      </c>
      <c r="F1301" s="1" t="str">
        <f ca="1">IFERROR(__xludf.DUMMYFUNCTION("GOOGLETRANSLATE(English!F1301,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1301" s="1" t="str">
        <f ca="1">IFERROR(__xludf.DUMMYFUNCTION("GOOGLETRANSLATE(English!G1301, ""en"", ""bg"")"),"разговор")</f>
        <v>разговор</v>
      </c>
      <c r="H1301" s="1" t="str">
        <f ca="1">IFERROR(__xludf.DUMMYFUNCTION("GOOGLETRANSLATE(English!H1301, ""en"", ""bg"")"),"образователна_помощ")</f>
        <v>образователна_помощ</v>
      </c>
    </row>
    <row r="1302" spans="1:8" ht="13.2" x14ac:dyDescent="0.25">
      <c r="A1302" s="1" t="str">
        <f ca="1">IFERROR(__xludf.DUMMYFUNCTION("GOOGLETRANSLATE(English!A1302, ""en"", ""bg"")"),"conv_12852")</f>
        <v>conv_12852</v>
      </c>
      <c r="B1302" s="1" t="str">
        <f ca="1">IFERROR(__xludf.DUMMYFUNCTION("GOOGLETRANSLATE(English!B1302, ""en"", ""bg"")"),"биология")</f>
        <v>биология</v>
      </c>
      <c r="C1302" s="1" t="str">
        <f ca="1">IFERROR(__xludf.DUMMYFUNCTION("GOOGLETRANSLATE(English!C1302, ""en"", ""bg"")"),"елементарен")</f>
        <v>елементарен</v>
      </c>
      <c r="D1302" s="1" t="str">
        <f ca="1">IFERROR(__xludf.DUMMYFUNCTION("GOOGLETRANSLATE(English!D1302, ""en"", ""bg"")"),"хранителни вериги")</f>
        <v>хранителни вериги</v>
      </c>
      <c r="E1302" s="1" t="str">
        <f ca="1">IFERROR(__xludf.DUMMYFUNCTION("GOOGLETRANSLATE(English!E1302, ""en"", ""bg"")"),"Имам научен въпрос. Какво е важно да знаем за хранителните вериги?")</f>
        <v>Имам научен въпрос. Какво е важно да знаем за хранителните вериги?</v>
      </c>
      <c r="F1302" s="1" t="str">
        <f ca="1">IFERROR(__xludf.DUMMYFUNCTION("GOOGLETRANSLATE(English!F1302,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1302" s="1" t="str">
        <f ca="1">IFERROR(__xludf.DUMMYFUNCTION("GOOGLETRANSLATE(English!G1302, ""en"", ""bg"")"),"разговор")</f>
        <v>разговор</v>
      </c>
      <c r="H1302" s="1" t="str">
        <f ca="1">IFERROR(__xludf.DUMMYFUNCTION("GOOGLETRANSLATE(English!H1302, ""en"", ""bg"")"),"образователна_помощ")</f>
        <v>образователна_помощ</v>
      </c>
    </row>
    <row r="1303" spans="1:8" ht="13.2" x14ac:dyDescent="0.25">
      <c r="A1303" s="1" t="str">
        <f ca="1">IFERROR(__xludf.DUMMYFUNCTION("GOOGLETRANSLATE(English!A1303, ""en"", ""bg"")"),"qa_06690")</f>
        <v>qa_06690</v>
      </c>
      <c r="B1303" s="1" t="str">
        <f ca="1">IFERROR(__xludf.DUMMYFUNCTION("GOOGLETRANSLATE(English!B1303, ""en"", ""bg"")"),"физика")</f>
        <v>физика</v>
      </c>
      <c r="C1303" s="1" t="str">
        <f ca="1">IFERROR(__xludf.DUMMYFUNCTION("GOOGLETRANSLATE(English!C1303, ""en"", ""bg"")"),"елементарен")</f>
        <v>елементарен</v>
      </c>
      <c r="D1303" s="1" t="str">
        <f ca="1">IFERROR(__xludf.DUMMYFUNCTION("GOOGLETRANSLATE(English!D1303, ""en"", ""bg"")"),"плаващ и потъващ")</f>
        <v>плаващ и потъващ</v>
      </c>
      <c r="E1303" s="1" t="str">
        <f ca="1">IFERROR(__xludf.DUMMYFUNCTION("GOOGLETRANSLATE(English!E1303, ""en"", ""bg"")"),"Защо е важно да се носиш и да потъваш?")</f>
        <v>Защо е важно да се носиш и да потъваш?</v>
      </c>
      <c r="F1303" s="1" t="str">
        <f ca="1">IFERROR(__xludf.DUMMYFUNCTION("GOOGLETRANSLATE(English!F1303,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1303" s="1" t="str">
        <f ca="1">IFERROR(__xludf.DUMMYFUNCTION("GOOGLETRANSLATE(English!G1303, ""en"", ""bg"")"),"direct_qa")</f>
        <v>direct_qa</v>
      </c>
      <c r="H1303" s="1" t="str">
        <f ca="1">IFERROR(__xludf.DUMMYFUNCTION("GOOGLETRANSLATE(English!H1303, ""en"", ""bg"")"),"заявка_за_знание")</f>
        <v>заявка_за_знание</v>
      </c>
    </row>
    <row r="1304" spans="1:8" ht="13.2" x14ac:dyDescent="0.25">
      <c r="A1304" s="1" t="str">
        <f ca="1">IFERROR(__xludf.DUMMYFUNCTION("GOOGLETRANSLATE(English!A1304, ""en"", ""bg"")"),"qa_10995")</f>
        <v>qa_10995</v>
      </c>
      <c r="B1304" s="1" t="str">
        <f ca="1">IFERROR(__xludf.DUMMYFUNCTION("GOOGLETRANSLATE(English!B1304, ""en"", ""bg"")"),"химия")</f>
        <v>химия</v>
      </c>
      <c r="C1304" s="1" t="str">
        <f ca="1">IFERROR(__xludf.DUMMYFUNCTION("GOOGLETRANSLATE(English!C1304, ""en"", ""bg"")"),"високо")</f>
        <v>високо</v>
      </c>
      <c r="D1304" s="1" t="str">
        <f ca="1">IFERROR(__xludf.DUMMYFUNCTION("GOOGLETRANSLATE(English!D1304, ""en"", ""bg"")"),"електрохимия")</f>
        <v>електрохимия</v>
      </c>
      <c r="E1304" s="1" t="str">
        <f ca="1">IFERROR(__xludf.DUMMYFUNCTION("GOOGLETRANSLATE(English!E1304, ""en"", ""bg"")"),"Какво представлява електрохимията?")</f>
        <v>Какво представлява електрохимията?</v>
      </c>
      <c r="F1304" s="1" t="str">
        <f ca="1">IFERROR(__xludf.DUMMYFUNCTION("GOOGLETRANSLATE(English!F1304,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1304" s="1" t="str">
        <f ca="1">IFERROR(__xludf.DUMMYFUNCTION("GOOGLETRANSLATE(English!G1304, ""en"", ""bg"")"),"direct_qa")</f>
        <v>direct_qa</v>
      </c>
      <c r="H1304" s="1" t="str">
        <f ca="1">IFERROR(__xludf.DUMMYFUNCTION("GOOGLETRANSLATE(English!H1304, ""en"", ""bg"")"),"заявка_за_знание")</f>
        <v>заявка_за_знание</v>
      </c>
    </row>
    <row r="1305" spans="1:8" ht="13.2" x14ac:dyDescent="0.25">
      <c r="A1305" s="1" t="str">
        <f ca="1">IFERROR(__xludf.DUMMYFUNCTION("GOOGLETRANSLATE(English!A1305, ""en"", ""bg"")"),"conv_10753")</f>
        <v>conv_10753</v>
      </c>
      <c r="B1305" s="1" t="str">
        <f ca="1">IFERROR(__xludf.DUMMYFUNCTION("GOOGLETRANSLATE(English!B1305, ""en"", ""bg"")"),"химия")</f>
        <v>химия</v>
      </c>
      <c r="C1305" s="1" t="str">
        <f ca="1">IFERROR(__xludf.DUMMYFUNCTION("GOOGLETRANSLATE(English!C1305, ""en"", ""bg"")"),"елементарен")</f>
        <v>елементарен</v>
      </c>
      <c r="D1305" s="1" t="str">
        <f ca="1">IFERROR(__xludf.DUMMYFUNCTION("GOOGLETRANSLATE(English!D1305, ""en"", ""bg"")"),"твърди вещества, течности, газове")</f>
        <v>твърди вещества, течности, газове</v>
      </c>
      <c r="E1305" s="1" t="str">
        <f ca="1">IFERROR(__xludf.DUMMYFUNCTION("GOOGLETRANSLATE(English!E1305, ""en"", ""bg"")"),"Можете ли да ми помогнете? Какво се случва, когато нагрявате твърдо вещество?")</f>
        <v>Можете ли да ми помогнете? Какво се случва, когато нагрявате твърдо вещество?</v>
      </c>
      <c r="F1305" s="1" t="str">
        <f ca="1">IFERROR(__xludf.DUMMYFUNCTION("GOOGLETRANSLATE(English!F1305,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1305" s="1" t="str">
        <f ca="1">IFERROR(__xludf.DUMMYFUNCTION("GOOGLETRANSLATE(English!G1305, ""en"", ""bg"")"),"разговор")</f>
        <v>разговор</v>
      </c>
      <c r="H1305" s="1" t="str">
        <f ca="1">IFERROR(__xludf.DUMMYFUNCTION("GOOGLETRANSLATE(English!H1305, ""en"", ""bg"")"),"образователна_помощ")</f>
        <v>образователна_помощ</v>
      </c>
    </row>
    <row r="1306" spans="1:8" ht="13.2" x14ac:dyDescent="0.25">
      <c r="A1306" s="1" t="str">
        <f ca="1">IFERROR(__xludf.DUMMYFUNCTION("GOOGLETRANSLATE(English!A1306, ""en"", ""bg"")"),"hw_00244")</f>
        <v>hw_00244</v>
      </c>
      <c r="B1306" s="1" t="str">
        <f ca="1">IFERROR(__xludf.DUMMYFUNCTION("GOOGLETRANSLATE(English!B1306, ""en"", ""bg"")"),"биология")</f>
        <v>биология</v>
      </c>
      <c r="C1306" s="1" t="str">
        <f ca="1">IFERROR(__xludf.DUMMYFUNCTION("GOOGLETRANSLATE(English!C1306, ""en"", ""bg"")"),"средата")</f>
        <v>средата</v>
      </c>
      <c r="D1306" s="1" t="str">
        <f ca="1">IFERROR(__xludf.DUMMYFUNCTION("GOOGLETRANSLATE(English!D1306, ""en"", ""bg"")"),"екосистеми")</f>
        <v>екосистеми</v>
      </c>
      <c r="E1306" s="1" t="str">
        <f ca="1">IFERROR(__xludf.DUMMYFUNCTION("GOOGLETRANSLATE(English!E1306, ""en"", ""bg"")"),"Домашното ми пита за екосистемите. Не го разбирам.")</f>
        <v>Домашното ми пита за екосистемите. Не го разбирам.</v>
      </c>
      <c r="F1306" s="1" t="str">
        <f ca="1">IFERROR(__xludf.DUMMYFUNCTION("GOOGLETRANSLATE(English!F1306,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306" s="1" t="str">
        <f ca="1">IFERROR(__xludf.DUMMYFUNCTION("GOOGLETRANSLATE(English!G1306, ""en"", ""bg"")"),"помощ_за_домашно_изпълнение")</f>
        <v>помощ_за_домашно_изпълнение</v>
      </c>
      <c r="H1306" s="1" t="str">
        <f ca="1">IFERROR(__xludf.DUMMYFUNCTION("GOOGLETRANSLATE(English!H1306, ""en"", ""bg"")"),"помощ_за_домашно_задаване")</f>
        <v>помощ_за_домашно_задаване</v>
      </c>
    </row>
    <row r="1307" spans="1:8" ht="13.2" x14ac:dyDescent="0.25">
      <c r="A1307" s="1" t="str">
        <f ca="1">IFERROR(__xludf.DUMMYFUNCTION("GOOGLETRANSLATE(English!A1307, ""en"", ""bg"")"),"qa_01655")</f>
        <v>qa_01655</v>
      </c>
      <c r="B1307" s="1" t="str">
        <f ca="1">IFERROR(__xludf.DUMMYFUNCTION("GOOGLETRANSLATE(English!B1307, ""en"", ""bg"")"),"физика")</f>
        <v>физика</v>
      </c>
      <c r="C1307" s="1" t="str">
        <f ca="1">IFERROR(__xludf.DUMMYFUNCTION("GOOGLETRANSLATE(English!C1307, ""en"", ""bg"")"),"високо")</f>
        <v>високо</v>
      </c>
      <c r="D1307" s="1" t="str">
        <f ca="1">IFERROR(__xludf.DUMMYFUNCTION("GOOGLETRANSLATE(English!D1307, ""en"", ""bg"")"),"радиоактивност")</f>
        <v>радиоактивност</v>
      </c>
      <c r="E1307" s="1" t="str">
        <f ca="1">IFERROR(__xludf.DUMMYFUNCTION("GOOGLETRANSLATE(English!E1307, ""en"", ""bg"")"),"Защо радиоактивността е важна?")</f>
        <v>Защо радиоактивността е важна?</v>
      </c>
      <c r="F1307" s="1" t="str">
        <f ca="1">IFERROR(__xludf.DUMMYFUNCTION("GOOGLETRANSLATE(English!F1307,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1307" s="1" t="str">
        <f ca="1">IFERROR(__xludf.DUMMYFUNCTION("GOOGLETRANSLATE(English!G1307, ""en"", ""bg"")"),"direct_qa")</f>
        <v>direct_qa</v>
      </c>
      <c r="H1307" s="1" t="str">
        <f ca="1">IFERROR(__xludf.DUMMYFUNCTION("GOOGLETRANSLATE(English!H1307, ""en"", ""bg"")"),"заявка_за_знание")</f>
        <v>заявка_за_знание</v>
      </c>
    </row>
    <row r="1308" spans="1:8" ht="13.2" x14ac:dyDescent="0.25">
      <c r="A1308" s="1" t="str">
        <f ca="1">IFERROR(__xludf.DUMMYFUNCTION("GOOGLETRANSLATE(English!A1308, ""en"", ""bg"")"),"qa_06036")</f>
        <v>qa_06036</v>
      </c>
      <c r="B1308" s="1" t="str">
        <f ca="1">IFERROR(__xludf.DUMMYFUNCTION("GOOGLETRANSLATE(English!B1308, ""en"", ""bg"")"),"химия")</f>
        <v>химия</v>
      </c>
      <c r="C1308" s="1" t="str">
        <f ca="1">IFERROR(__xludf.DUMMYFUNCTION("GOOGLETRANSLATE(English!C1308, ""en"", ""bg"")"),"елементарен")</f>
        <v>елементарен</v>
      </c>
      <c r="D1308" s="1" t="str">
        <f ca="1">IFERROR(__xludf.DUMMYFUNCTION("GOOGLETRANSLATE(English!D1308, ""en"", ""bg"")"),"твърди вещества, течности, газове")</f>
        <v>твърди вещества, течности, газове</v>
      </c>
      <c r="E1308" s="1" t="str">
        <f ca="1">IFERROR(__xludf.DUMMYFUNCTION("GOOGLETRANSLATE(English!E1308, ""en"", ""bg"")"),"Защо ледът плава по водата?")</f>
        <v>Защо ледът плава по водата?</v>
      </c>
      <c r="F1308" s="1" t="str">
        <f ca="1">IFERROR(__xludf.DUMMYFUNCTION("GOOGLETRANSLATE(English!F1308,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1308" s="1" t="str">
        <f ca="1">IFERROR(__xludf.DUMMYFUNCTION("GOOGLETRANSLATE(English!G1308, ""en"", ""bg"")"),"direct_qa")</f>
        <v>direct_qa</v>
      </c>
      <c r="H1308" s="1" t="str">
        <f ca="1">IFERROR(__xludf.DUMMYFUNCTION("GOOGLETRANSLATE(English!H1308, ""en"", ""bg"")"),"заявка_за_знание")</f>
        <v>заявка_за_знание</v>
      </c>
    </row>
    <row r="1309" spans="1:8" ht="13.2" x14ac:dyDescent="0.25">
      <c r="A1309" s="1" t="str">
        <f ca="1">IFERROR(__xludf.DUMMYFUNCTION("GOOGLETRANSLATE(English!A1309, ""en"", ""bg"")"),"hw_04457")</f>
        <v>hw_04457</v>
      </c>
      <c r="B1309" s="1" t="str">
        <f ca="1">IFERROR(__xludf.DUMMYFUNCTION("GOOGLETRANSLATE(English!B1309, ""en"", ""bg"")"),"биология")</f>
        <v>биология</v>
      </c>
      <c r="C1309" s="1" t="str">
        <f ca="1">IFERROR(__xludf.DUMMYFUNCTION("GOOGLETRANSLATE(English!C1309, ""en"", ""bg"")"),"високо")</f>
        <v>високо</v>
      </c>
      <c r="D1309" s="1" t="str">
        <f ca="1">IFERROR(__xludf.DUMMYFUNCTION("GOOGLETRANSLATE(English!D1309, ""en"", ""bg"")"),"модели на наследяване")</f>
        <v>модели на наследяване</v>
      </c>
      <c r="E1309" s="1" t="str">
        <f ca="1">IFERROR(__xludf.DUMMYFUNCTION("GOOGLETRANSLATE(English!E1309,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1309" s="1" t="str">
        <f ca="1">IFERROR(__xludf.DUMMYFUNCTION("GOOGLETRANSLATE(English!F1309,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1309" s="1" t="str">
        <f ca="1">IFERROR(__xludf.DUMMYFUNCTION("GOOGLETRANSLATE(English!G1309, ""en"", ""bg"")"),"помощ_за_домашно_изпълнение")</f>
        <v>помощ_за_домашно_изпълнение</v>
      </c>
      <c r="H1309" s="1" t="str">
        <f ca="1">IFERROR(__xludf.DUMMYFUNCTION("GOOGLETRANSLATE(English!H1309, ""en"", ""bg"")"),"помощ_за_домашно_задаване")</f>
        <v>помощ_за_домашно_задаване</v>
      </c>
    </row>
    <row r="1310" spans="1:8" ht="13.2" x14ac:dyDescent="0.25">
      <c r="A1310" s="1" t="str">
        <f ca="1">IFERROR(__xludf.DUMMYFUNCTION("GOOGLETRANSLATE(English!A1310, ""en"", ""bg"")"),"conv_02044")</f>
        <v>conv_02044</v>
      </c>
      <c r="B1310" s="1" t="str">
        <f ca="1">IFERROR(__xludf.DUMMYFUNCTION("GOOGLETRANSLATE(English!B1310, ""en"", ""bg"")"),"физика")</f>
        <v>физика</v>
      </c>
      <c r="C1310" s="1" t="str">
        <f ca="1">IFERROR(__xludf.DUMMYFUNCTION("GOOGLETRANSLATE(English!C1310, ""en"", ""bg"")"),"високо")</f>
        <v>високо</v>
      </c>
      <c r="D1310" s="1" t="str">
        <f ca="1">IFERROR(__xludf.DUMMYFUNCTION("GOOGLETRANSLATE(English!D1310, ""en"", ""bg"")"),"електромагнетизъм")</f>
        <v>електромагнетизъм</v>
      </c>
      <c r="E1310" s="1" t="str">
        <f ca="1">IFERROR(__xludf.DUMMYFUNCTION("GOOGLETRANSLATE(English!E1310, ""en"", ""bg"")"),"Здравей, преподавателю! Защо електромагнетизмът е важен?")</f>
        <v>Здравей, преподавателю! Защо електромагнетизмът е важен?</v>
      </c>
      <c r="F1310" s="1" t="str">
        <f ca="1">IFERROR(__xludf.DUMMYFUNCTION("GOOGLETRANSLATE(English!F1310,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1310" s="1" t="str">
        <f ca="1">IFERROR(__xludf.DUMMYFUNCTION("GOOGLETRANSLATE(English!G1310, ""en"", ""bg"")"),"разговор")</f>
        <v>разговор</v>
      </c>
      <c r="H1310" s="1" t="str">
        <f ca="1">IFERROR(__xludf.DUMMYFUNCTION("GOOGLETRANSLATE(English!H1310, ""en"", ""bg"")"),"образователна_помощ")</f>
        <v>образователна_помощ</v>
      </c>
    </row>
    <row r="1311" spans="1:8" ht="13.2" x14ac:dyDescent="0.25">
      <c r="A1311" s="1" t="str">
        <f ca="1">IFERROR(__xludf.DUMMYFUNCTION("GOOGLETRANSLATE(English!A1311, ""en"", ""bg"")"),"conv_02928")</f>
        <v>conv_02928</v>
      </c>
      <c r="B1311" s="1" t="str">
        <f ca="1">IFERROR(__xludf.DUMMYFUNCTION("GOOGLETRANSLATE(English!B1311, ""en"", ""bg"")"),"физика")</f>
        <v>физика</v>
      </c>
      <c r="C1311" s="1" t="str">
        <f ca="1">IFERROR(__xludf.DUMMYFUNCTION("GOOGLETRANSLATE(English!C1311, ""en"", ""bg"")"),"елементарен")</f>
        <v>елементарен</v>
      </c>
      <c r="D1311" s="1" t="str">
        <f ca="1">IFERROR(__xludf.DUMMYFUNCTION("GOOGLETRANSLATE(English!D1311, ""en"", ""bg"")"),"горещо и студено")</f>
        <v>горещо и студено</v>
      </c>
      <c r="E1311" s="1" t="str">
        <f ca="1">IFERROR(__xludf.DUMMYFUNCTION("GOOGLETRANSLATE(English!E1311, ""en"", ""bg"")"),"Здравей, преподавателю! Защо е важно топлото и студеното?")</f>
        <v>Здравей, преподавателю! Защо е важно топлото и студеното?</v>
      </c>
      <c r="F1311" s="1" t="str">
        <f ca="1">IFERROR(__xludf.DUMMYFUNCTION("GOOGLETRANSLATE(English!F1311,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1311" s="1" t="str">
        <f ca="1">IFERROR(__xludf.DUMMYFUNCTION("GOOGLETRANSLATE(English!G1311, ""en"", ""bg"")"),"разговор")</f>
        <v>разговор</v>
      </c>
      <c r="H1311" s="1" t="str">
        <f ca="1">IFERROR(__xludf.DUMMYFUNCTION("GOOGLETRANSLATE(English!H1311, ""en"", ""bg"")"),"образователна_помощ")</f>
        <v>образователна_помощ</v>
      </c>
    </row>
    <row r="1312" spans="1:8" ht="13.2" x14ac:dyDescent="0.25">
      <c r="A1312" s="1" t="str">
        <f ca="1">IFERROR(__xludf.DUMMYFUNCTION("GOOGLETRANSLATE(English!A1312, ""en"", ""bg"")"),"conv_05258")</f>
        <v>conv_05258</v>
      </c>
      <c r="B1312" s="1" t="str">
        <f ca="1">IFERROR(__xludf.DUMMYFUNCTION("GOOGLETRANSLATE(English!B1312, ""en"", ""bg"")"),"физика")</f>
        <v>физика</v>
      </c>
      <c r="C1312" s="1" t="str">
        <f ca="1">IFERROR(__xludf.DUMMYFUNCTION("GOOGLETRANSLATE(English!C1312, ""en"", ""bg"")"),"елементарен")</f>
        <v>елементарен</v>
      </c>
      <c r="D1312" s="1" t="str">
        <f ca="1">IFERROR(__xludf.DUMMYFUNCTION("GOOGLETRANSLATE(English!D1312, ""en"", ""bg"")"),"горещо и студено")</f>
        <v>горещо и студено</v>
      </c>
      <c r="E1312" s="1" t="str">
        <f ca="1">IFERROR(__xludf.DUMMYFUNCTION("GOOGLETRANSLATE(English!E1312, ""en"", ""bg"")"),"Здравей, преподавателю! Как се сравняват топлото и студеното във физиката?")</f>
        <v>Здравей, преподавателю! Как се сравняват топлото и студеното във физиката?</v>
      </c>
      <c r="F1312" s="1" t="str">
        <f ca="1">IFERROR(__xludf.DUMMYFUNCTION("GOOGLETRANSLATE(English!F1312,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312" s="1" t="str">
        <f ca="1">IFERROR(__xludf.DUMMYFUNCTION("GOOGLETRANSLATE(English!G1312, ""en"", ""bg"")"),"разговор")</f>
        <v>разговор</v>
      </c>
      <c r="H1312" s="1" t="str">
        <f ca="1">IFERROR(__xludf.DUMMYFUNCTION("GOOGLETRANSLATE(English!H1312, ""en"", ""bg"")"),"образователна_помощ")</f>
        <v>образователна_помощ</v>
      </c>
    </row>
    <row r="1313" spans="1:8" ht="13.2" x14ac:dyDescent="0.25">
      <c r="A1313" s="1" t="str">
        <f ca="1">IFERROR(__xludf.DUMMYFUNCTION("GOOGLETRANSLATE(English!A1313, ""en"", ""bg"")"),"hw_07552")</f>
        <v>hw_07552</v>
      </c>
      <c r="B1313" s="1" t="str">
        <f ca="1">IFERROR(__xludf.DUMMYFUNCTION("GOOGLETRANSLATE(English!B1313, ""en"", ""bg"")"),"биология")</f>
        <v>биология</v>
      </c>
      <c r="C1313" s="1" t="str">
        <f ca="1">IFERROR(__xludf.DUMMYFUNCTION("GOOGLETRANSLATE(English!C1313, ""en"", ""bg"")"),"средата")</f>
        <v>средата</v>
      </c>
      <c r="D1313" s="1" t="str">
        <f ca="1">IFERROR(__xludf.DUMMYFUNCTION("GOOGLETRANSLATE(English!D1313, ""en"", ""bg"")"),"фотосинтеза")</f>
        <v>фотосинтеза</v>
      </c>
      <c r="E1313" s="1" t="str">
        <f ca="1">IFERROR(__xludf.DUMMYFUNCTION("GOOGLETRANSLATE(English!E1313, ""en"", ""bg"")"),"Домашното ми пита за фотосинтезата. Не го разбирам.")</f>
        <v>Домашното ми пита за фотосинтезата. Не го разбирам.</v>
      </c>
      <c r="F1313" s="1" t="str">
        <f ca="1">IFERROR(__xludf.DUMMYFUNCTION("GOOGLETRANSLATE(English!F1313,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313" s="1" t="str">
        <f ca="1">IFERROR(__xludf.DUMMYFUNCTION("GOOGLETRANSLATE(English!G1313, ""en"", ""bg"")"),"помощ_за_домашно_изпълнение")</f>
        <v>помощ_за_домашно_изпълнение</v>
      </c>
      <c r="H1313" s="1" t="str">
        <f ca="1">IFERROR(__xludf.DUMMYFUNCTION("GOOGLETRANSLATE(English!H1313, ""en"", ""bg"")"),"помощ_за_домашно_задаване")</f>
        <v>помощ_за_домашно_задаване</v>
      </c>
    </row>
    <row r="1314" spans="1:8" ht="13.2" x14ac:dyDescent="0.25">
      <c r="A1314" s="1" t="str">
        <f ca="1">IFERROR(__xludf.DUMMYFUNCTION("GOOGLETRANSLATE(English!A1314, ""en"", ""bg"")"),"hw_13235")</f>
        <v>hw_13235</v>
      </c>
      <c r="B1314" s="1" t="str">
        <f ca="1">IFERROR(__xludf.DUMMYFUNCTION("GOOGLETRANSLATE(English!B1314, ""en"", ""bg"")"),"физика")</f>
        <v>физика</v>
      </c>
      <c r="C1314" s="1" t="str">
        <f ca="1">IFERROR(__xludf.DUMMYFUNCTION("GOOGLETRANSLATE(English!C1314, ""en"", ""bg"")"),"високо")</f>
        <v>високо</v>
      </c>
      <c r="D1314" s="1" t="str">
        <f ca="1">IFERROR(__xludf.DUMMYFUNCTION("GOOGLETRANSLATE(English!D1314, ""en"", ""bg"")"),"електромагнетизъм")</f>
        <v>електромагнетизъм</v>
      </c>
      <c r="E1314" s="1" t="str">
        <f ca="1">IFERROR(__xludf.DUMMYFUNCTION("GOOGLETRANSLATE(English!E1314, ""en"", ""bg"")"),"Трябва да разбирам електромагнетизма за изпита си.")</f>
        <v>Трябва да разбирам електромагнетизма за изпита си.</v>
      </c>
      <c r="F1314" s="1" t="str">
        <f ca="1">IFERROR(__xludf.DUMMYFUNCTION("GOOGLETRANSLATE(English!F1314,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1314" s="1" t="str">
        <f ca="1">IFERROR(__xludf.DUMMYFUNCTION("GOOGLETRANSLATE(English!G1314, ""en"", ""bg"")"),"помощ_за_домашно_изпълнение")</f>
        <v>помощ_за_домашно_изпълнение</v>
      </c>
      <c r="H1314" s="1" t="str">
        <f ca="1">IFERROR(__xludf.DUMMYFUNCTION("GOOGLETRANSLATE(English!H1314, ""en"", ""bg"")"),"помощ_за_домашно_задаване")</f>
        <v>помощ_за_домашно_задаване</v>
      </c>
    </row>
    <row r="1315" spans="1:8" ht="13.2" x14ac:dyDescent="0.25">
      <c r="A1315" s="1" t="str">
        <f ca="1">IFERROR(__xludf.DUMMYFUNCTION("GOOGLETRANSLATE(English!A1315, ""en"", ""bg"")"),"qa_00814")</f>
        <v>qa_00814</v>
      </c>
      <c r="B1315" s="1" t="str">
        <f ca="1">IFERROR(__xludf.DUMMYFUNCTION("GOOGLETRANSLATE(English!B1315, ""en"", ""bg"")"),"биология")</f>
        <v>биология</v>
      </c>
      <c r="C1315" s="1" t="str">
        <f ca="1">IFERROR(__xludf.DUMMYFUNCTION("GOOGLETRANSLATE(English!C1315, ""en"", ""bg"")"),"елементарен")</f>
        <v>елементарен</v>
      </c>
      <c r="D1315" s="1" t="str">
        <f ca="1">IFERROR(__xludf.DUMMYFUNCTION("GOOGLETRANSLATE(English!D1315, ""en"", ""bg"")"),"домашни любимци срещу диви животни")</f>
        <v>домашни любимци срещу диви животни</v>
      </c>
      <c r="E1315" s="1" t="str">
        <f ca="1">IFERROR(__xludf.DUMMYFUNCTION("GOOGLETRANSLATE(English!E1315, ""en"", ""bg"")"),"Как се различават домашните любимци от дивите животни?")</f>
        <v>Как се различават домашните любимци от дивите животни?</v>
      </c>
      <c r="F1315" s="1" t="str">
        <f ca="1">IFERROR(__xludf.DUMMYFUNCTION("GOOGLETRANSLATE(English!F1315,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1315" s="1" t="str">
        <f ca="1">IFERROR(__xludf.DUMMYFUNCTION("GOOGLETRANSLATE(English!G1315, ""en"", ""bg"")"),"direct_qa")</f>
        <v>direct_qa</v>
      </c>
      <c r="H1315" s="1" t="str">
        <f ca="1">IFERROR(__xludf.DUMMYFUNCTION("GOOGLETRANSLATE(English!H1315, ""en"", ""bg"")"),"заявка_за_знание")</f>
        <v>заявка_за_знание</v>
      </c>
    </row>
    <row r="1316" spans="1:8" ht="13.2" x14ac:dyDescent="0.25">
      <c r="A1316" s="1" t="str">
        <f ca="1">IFERROR(__xludf.DUMMYFUNCTION("GOOGLETRANSLATE(English!A1316, ""en"", ""bg"")"),"conv_09835")</f>
        <v>conv_09835</v>
      </c>
      <c r="B1316" s="1" t="str">
        <f ca="1">IFERROR(__xludf.DUMMYFUNCTION("GOOGLETRANSLATE(English!B1316, ""en"", ""bg"")"),"физика")</f>
        <v>физика</v>
      </c>
      <c r="C1316" s="1" t="str">
        <f ca="1">IFERROR(__xludf.DUMMYFUNCTION("GOOGLETRANSLATE(English!C1316, ""en"", ""bg"")"),"високо")</f>
        <v>високо</v>
      </c>
      <c r="D1316" s="1" t="str">
        <f ca="1">IFERROR(__xludf.DUMMYFUNCTION("GOOGLETRANSLATE(English!D1316, ""en"", ""bg"")"),"радиоактивност")</f>
        <v>радиоактивност</v>
      </c>
      <c r="E1316" s="1" t="str">
        <f ca="1">IFERROR(__xludf.DUMMYFUNCTION("GOOGLETRANSLATE(English!E1316, ""en"", ""bg"")"),"Здравей, преподавателю! Как радиоактивността се проявява във физиката?")</f>
        <v>Здравей, преподавателю! Как радиоактивността се проявява във физиката?</v>
      </c>
      <c r="F1316" s="1" t="str">
        <f ca="1">IFERROR(__xludf.DUMMYFUNCTION("GOOGLETRANSLATE(English!F1316,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1316" s="1" t="str">
        <f ca="1">IFERROR(__xludf.DUMMYFUNCTION("GOOGLETRANSLATE(English!G1316, ""en"", ""bg"")"),"разговор")</f>
        <v>разговор</v>
      </c>
      <c r="H1316" s="1" t="str">
        <f ca="1">IFERROR(__xludf.DUMMYFUNCTION("GOOGLETRANSLATE(English!H1316, ""en"", ""bg"")"),"образователна_помощ")</f>
        <v>образователна_помощ</v>
      </c>
    </row>
    <row r="1317" spans="1:8" ht="13.2" x14ac:dyDescent="0.25">
      <c r="A1317" s="1" t="str">
        <f ca="1">IFERROR(__xludf.DUMMYFUNCTION("GOOGLETRANSLATE(English!A1317, ""en"", ""bg"")"),"hw_00588")</f>
        <v>hw_00588</v>
      </c>
      <c r="B1317" s="1" t="str">
        <f ca="1">IFERROR(__xludf.DUMMYFUNCTION("GOOGLETRANSLATE(English!B1317, ""en"", ""bg"")"),"физика")</f>
        <v>физика</v>
      </c>
      <c r="C1317" s="1" t="str">
        <f ca="1">IFERROR(__xludf.DUMMYFUNCTION("GOOGLETRANSLATE(English!C1317, ""en"", ""bg"")"),"високо")</f>
        <v>високо</v>
      </c>
      <c r="D1317" s="1" t="str">
        <f ca="1">IFERROR(__xludf.DUMMYFUNCTION("GOOGLETRANSLATE(English!D1317, ""en"", ""bg"")"),"термодинамика")</f>
        <v>термодинамика</v>
      </c>
      <c r="E1317" s="1" t="str">
        <f ca="1">IFERROR(__xludf.DUMMYFUNCTION("GOOGLETRANSLATE(English!E1317, ""en"", ""bg"")"),"Трябва да разбирам термодинамиката за изпита си.")</f>
        <v>Трябва да разбирам термодинамиката за изпита си.</v>
      </c>
      <c r="F1317" s="1" t="str">
        <f ca="1">IFERROR(__xludf.DUMMYFUNCTION("GOOGLETRANSLATE(English!F1317,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1317" s="1" t="str">
        <f ca="1">IFERROR(__xludf.DUMMYFUNCTION("GOOGLETRANSLATE(English!G1317, ""en"", ""bg"")"),"помощ_за_домашно_изпълнение")</f>
        <v>помощ_за_домашно_изпълнение</v>
      </c>
      <c r="H1317" s="1" t="str">
        <f ca="1">IFERROR(__xludf.DUMMYFUNCTION("GOOGLETRANSLATE(English!H1317, ""en"", ""bg"")"),"помощ_за_домашно_задаване")</f>
        <v>помощ_за_домашно_задаване</v>
      </c>
    </row>
    <row r="1318" spans="1:8" ht="13.2" x14ac:dyDescent="0.25">
      <c r="A1318" s="1" t="str">
        <f ca="1">IFERROR(__xludf.DUMMYFUNCTION("GOOGLETRANSLATE(English!A1318, ""en"", ""bg"")"),"qa_12765")</f>
        <v>qa_12765</v>
      </c>
      <c r="B1318" s="1" t="str">
        <f ca="1">IFERROR(__xludf.DUMMYFUNCTION("GOOGLETRANSLATE(English!B1318, ""en"", ""bg"")"),"химия")</f>
        <v>химия</v>
      </c>
      <c r="C1318" s="1" t="str">
        <f ca="1">IFERROR(__xludf.DUMMYFUNCTION("GOOGLETRANSLATE(English!C1318, ""en"", ""bg"")"),"високо")</f>
        <v>високо</v>
      </c>
      <c r="D1318" s="1" t="str">
        <f ca="1">IFERROR(__xludf.DUMMYFUNCTION("GOOGLETRANSLATE(English!D1318, ""en"", ""bg"")"),"химическо свързване")</f>
        <v>химическо свързване</v>
      </c>
      <c r="E1318" s="1" t="str">
        <f ca="1">IFERROR(__xludf.DUMMYFUNCTION("GOOGLETRANSLATE(English!E1318, ""en"", ""bg"")"),"Защо е важно да се учи химичното свързване?")</f>
        <v>Защо е важно да се учи химичното свързване?</v>
      </c>
      <c r="F1318" s="1" t="str">
        <f ca="1">IFERROR(__xludf.DUMMYFUNCTION("GOOGLETRANSLATE(English!F1318,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1318" s="1" t="str">
        <f ca="1">IFERROR(__xludf.DUMMYFUNCTION("GOOGLETRANSLATE(English!G1318, ""en"", ""bg"")"),"direct_qa")</f>
        <v>direct_qa</v>
      </c>
      <c r="H1318" s="1" t="str">
        <f ca="1">IFERROR(__xludf.DUMMYFUNCTION("GOOGLETRANSLATE(English!H1318, ""en"", ""bg"")"),"заявка_за_знание")</f>
        <v>заявка_за_знание</v>
      </c>
    </row>
    <row r="1319" spans="1:8" ht="13.2" x14ac:dyDescent="0.25">
      <c r="A1319" s="1" t="str">
        <f ca="1">IFERROR(__xludf.DUMMYFUNCTION("GOOGLETRANSLATE(English!A1319, ""en"", ""bg"")"),"qa_06221")</f>
        <v>qa_06221</v>
      </c>
      <c r="B1319" s="1" t="str">
        <f ca="1">IFERROR(__xludf.DUMMYFUNCTION("GOOGLETRANSLATE(English!B1319, ""en"", ""bg"")"),"биология")</f>
        <v>биология</v>
      </c>
      <c r="C1319" s="1" t="str">
        <f ca="1">IFERROR(__xludf.DUMMYFUNCTION("GOOGLETRANSLATE(English!C1319, ""en"", ""bg"")"),"елементарен")</f>
        <v>елементарен</v>
      </c>
      <c r="D1319" s="1" t="str">
        <f ca="1">IFERROR(__xludf.DUMMYFUNCTION("GOOGLETRANSLATE(English!D1319, ""en"", ""bg"")"),"жизнени цикли")</f>
        <v>жизнени цикли</v>
      </c>
      <c r="E1319" s="1" t="str">
        <f ca="1">IFERROR(__xludf.DUMMYFUNCTION("GOOGLETRANSLATE(English!E1319, ""en"", ""bg"")"),"Какво е важно да знаем за жизнените цикли?")</f>
        <v>Какво е важно да знаем за жизнените цикли?</v>
      </c>
      <c r="F1319" s="1" t="str">
        <f ca="1">IFERROR(__xludf.DUMMYFUNCTION("GOOGLETRANSLATE(English!F1319,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1319" s="1" t="str">
        <f ca="1">IFERROR(__xludf.DUMMYFUNCTION("GOOGLETRANSLATE(English!G1319, ""en"", ""bg"")"),"direct_qa")</f>
        <v>direct_qa</v>
      </c>
      <c r="H1319" s="1" t="str">
        <f ca="1">IFERROR(__xludf.DUMMYFUNCTION("GOOGLETRANSLATE(English!H1319, ""en"", ""bg"")"),"заявка_за_знание")</f>
        <v>заявка_за_знание</v>
      </c>
    </row>
    <row r="1320" spans="1:8" ht="13.2" x14ac:dyDescent="0.25">
      <c r="A1320" s="1" t="str">
        <f ca="1">IFERROR(__xludf.DUMMYFUNCTION("GOOGLETRANSLATE(English!A1320, ""en"", ""bg"")"),"hw_02754")</f>
        <v>hw_02754</v>
      </c>
      <c r="B1320" s="1" t="str">
        <f ca="1">IFERROR(__xludf.DUMMYFUNCTION("GOOGLETRANSLATE(English!B1320, ""en"", ""bg"")"),"биология")</f>
        <v>биология</v>
      </c>
      <c r="C1320" s="1" t="str">
        <f ca="1">IFERROR(__xludf.DUMMYFUNCTION("GOOGLETRANSLATE(English!C1320, ""en"", ""bg"")"),"елементарен")</f>
        <v>елементарен</v>
      </c>
      <c r="D1320" s="1" t="str">
        <f ca="1">IFERROR(__xludf.DUMMYFUNCTION("GOOGLETRANSLATE(English!D1320, ""en"", ""bg"")"),"сетива")</f>
        <v>сетива</v>
      </c>
      <c r="E1320" s="1" t="str">
        <f ca="1">IFERROR(__xludf.DUMMYFUNCTION("GOOGLETRANSLATE(English!E1320, ""en"", ""bg"")"),"Можете ли да обясните сетивата за моя научен проект?")</f>
        <v>Можете ли да обясните сетивата за моя научен проект?</v>
      </c>
      <c r="F1320" s="1" t="str">
        <f ca="1">IFERROR(__xludf.DUMMYFUNCTION("GOOGLETRANSLATE(English!F1320,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1320" s="1" t="str">
        <f ca="1">IFERROR(__xludf.DUMMYFUNCTION("GOOGLETRANSLATE(English!G1320, ""en"", ""bg"")"),"помощ_за_домашно_изпълнение")</f>
        <v>помощ_за_домашно_изпълнение</v>
      </c>
      <c r="H1320" s="1" t="str">
        <f ca="1">IFERROR(__xludf.DUMMYFUNCTION("GOOGLETRANSLATE(English!H1320, ""en"", ""bg"")"),"помощ_за_домашно_задаване")</f>
        <v>помощ_за_домашно_задаване</v>
      </c>
    </row>
    <row r="1321" spans="1:8" ht="13.2" x14ac:dyDescent="0.25">
      <c r="A1321" s="1" t="str">
        <f ca="1">IFERROR(__xludf.DUMMYFUNCTION("GOOGLETRANSLATE(English!A1321, ""en"", ""bg"")"),"qa_03875")</f>
        <v>qa_03875</v>
      </c>
      <c r="B1321" s="1" t="str">
        <f ca="1">IFERROR(__xludf.DUMMYFUNCTION("GOOGLETRANSLATE(English!B1321, ""en"", ""bg"")"),"физика")</f>
        <v>физика</v>
      </c>
      <c r="C1321" s="1" t="str">
        <f ca="1">IFERROR(__xludf.DUMMYFUNCTION("GOOGLETRANSLATE(English!C1321, ""en"", ""bg"")"),"елементарен")</f>
        <v>елементарен</v>
      </c>
      <c r="D1321" s="1" t="str">
        <f ca="1">IFERROR(__xludf.DUMMYFUNCTION("GOOGLETRANSLATE(English!D1321, ""en"", ""bg"")"),"светлина и сянка")</f>
        <v>светлина и сянка</v>
      </c>
      <c r="E1321" s="1" t="str">
        <f ca="1">IFERROR(__xludf.DUMMYFUNCTION("GOOGLETRANSLATE(English!E1321, ""en"", ""bg"")"),"Какво се случва, когато светлината попадне в огледало?")</f>
        <v>Какво се случва, когато светлината попадне в огледало?</v>
      </c>
      <c r="F1321" s="1" t="str">
        <f ca="1">IFERROR(__xludf.DUMMYFUNCTION("GOOGLETRANSLATE(English!F1321,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1321" s="1" t="str">
        <f ca="1">IFERROR(__xludf.DUMMYFUNCTION("GOOGLETRANSLATE(English!G1321, ""en"", ""bg"")"),"direct_qa")</f>
        <v>direct_qa</v>
      </c>
      <c r="H1321" s="1" t="str">
        <f ca="1">IFERROR(__xludf.DUMMYFUNCTION("GOOGLETRANSLATE(English!H1321, ""en"", ""bg"")"),"заявка_за_знание")</f>
        <v>заявка_за_знание</v>
      </c>
    </row>
    <row r="1322" spans="1:8" ht="13.2" x14ac:dyDescent="0.25">
      <c r="A1322" s="1" t="str">
        <f ca="1">IFERROR(__xludf.DUMMYFUNCTION("GOOGLETRANSLATE(English!A1322, ""en"", ""bg"")"),"hw_12771")</f>
        <v>hw_12771</v>
      </c>
      <c r="B1322" s="1" t="str">
        <f ca="1">IFERROR(__xludf.DUMMYFUNCTION("GOOGLETRANSLATE(English!B1322, ""en"", ""bg"")"),"химия")</f>
        <v>химия</v>
      </c>
      <c r="C1322" s="1" t="str">
        <f ca="1">IFERROR(__xludf.DUMMYFUNCTION("GOOGLETRANSLATE(English!C1322, ""en"", ""bg"")"),"елементарен")</f>
        <v>елементарен</v>
      </c>
      <c r="D1322" s="1" t="str">
        <f ca="1">IFERROR(__xludf.DUMMYFUNCTION("GOOGLETRANSLATE(English!D1322, ""en"", ""bg"")"),"разтваряне")</f>
        <v>разтваряне</v>
      </c>
      <c r="E1322" s="1" t="str">
        <f ca="1">IFERROR(__xludf.DUMMYFUNCTION("GOOGLETRANSLATE(English!E1322,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1322" s="1" t="str">
        <f ca="1">IFERROR(__xludf.DUMMYFUNCTION("GOOGLETRANSLATE(English!F1322,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1322" s="1" t="str">
        <f ca="1">IFERROR(__xludf.DUMMYFUNCTION("GOOGLETRANSLATE(English!G1322, ""en"", ""bg"")"),"помощ_за_домашно_изпълнение")</f>
        <v>помощ_за_домашно_изпълнение</v>
      </c>
      <c r="H1322" s="1" t="str">
        <f ca="1">IFERROR(__xludf.DUMMYFUNCTION("GOOGLETRANSLATE(English!H1322, ""en"", ""bg"")"),"помощ_за_домашно_задаване")</f>
        <v>помощ_за_домашно_задаване</v>
      </c>
    </row>
    <row r="1323" spans="1:8" ht="13.2" x14ac:dyDescent="0.25">
      <c r="A1323" s="1" t="str">
        <f ca="1">IFERROR(__xludf.DUMMYFUNCTION("GOOGLETRANSLATE(English!A1323, ""en"", ""bg"")"),"conv_06457")</f>
        <v>conv_06457</v>
      </c>
      <c r="B1323" s="1" t="str">
        <f ca="1">IFERROR(__xludf.DUMMYFUNCTION("GOOGLETRANSLATE(English!B1323, ""en"", ""bg"")"),"биология")</f>
        <v>биология</v>
      </c>
      <c r="C1323" s="1" t="str">
        <f ca="1">IFERROR(__xludf.DUMMYFUNCTION("GOOGLETRANSLATE(English!C1323, ""en"", ""bg"")"),"високо")</f>
        <v>високо</v>
      </c>
      <c r="D1323" s="1" t="str">
        <f ca="1">IFERROR(__xludf.DUMMYFUNCTION("GOOGLETRANSLATE(English!D1323, ""en"", ""bg"")"),"Структура на ДНК")</f>
        <v>Структура на ДНК</v>
      </c>
      <c r="E1323" s="1" t="str">
        <f ca="1">IFERROR(__xludf.DUMMYFUNCTION("GOOGLETRANSLATE(English!E1323, ""en"", ""bg"")"),"Помогнете ми да уча за теста си. Какво е важно да знаем за структурата на ДНК?")</f>
        <v>Помогнете ми да уча за теста си. Какво е важно да знаем за структурата на ДНК?</v>
      </c>
      <c r="F1323" s="1" t="str">
        <f ca="1">IFERROR(__xludf.DUMMYFUNCTION("GOOGLETRANSLATE(English!F1323,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1323" s="1" t="str">
        <f ca="1">IFERROR(__xludf.DUMMYFUNCTION("GOOGLETRANSLATE(English!G1323, ""en"", ""bg"")"),"разговор")</f>
        <v>разговор</v>
      </c>
      <c r="H1323" s="1" t="str">
        <f ca="1">IFERROR(__xludf.DUMMYFUNCTION("GOOGLETRANSLATE(English!H1323, ""en"", ""bg"")"),"образователна_помощ")</f>
        <v>образователна_помощ</v>
      </c>
    </row>
    <row r="1324" spans="1:8" ht="13.2" x14ac:dyDescent="0.25">
      <c r="A1324" s="1" t="str">
        <f ca="1">IFERROR(__xludf.DUMMYFUNCTION("GOOGLETRANSLATE(English!A1324, ""en"", ""bg"")"),"conv_16585")</f>
        <v>conv_16585</v>
      </c>
      <c r="B1324" s="1" t="str">
        <f ca="1">IFERROR(__xludf.DUMMYFUNCTION("GOOGLETRANSLATE(English!B1324, ""en"", ""bg"")"),"химия")</f>
        <v>химия</v>
      </c>
      <c r="C1324" s="1" t="str">
        <f ca="1">IFERROR(__xludf.DUMMYFUNCTION("GOOGLETRANSLATE(English!C1324, ""en"", ""bg"")"),"високо")</f>
        <v>високо</v>
      </c>
      <c r="D1324" s="1" t="str">
        <f ca="1">IFERROR(__xludf.DUMMYFUNCTION("GOOGLETRANSLATE(English!D1324, ""en"", ""bg"")"),"органична химия")</f>
        <v>органична химия</v>
      </c>
      <c r="E1324" s="1" t="str">
        <f ca="1">IFERROR(__xludf.DUMMYFUNCTION("GOOGLETRANSLATE(English!E1324, ""en"", ""bg"")"),"Здравей, преподавателю! Защо е важно да се учи органична химия?")</f>
        <v>Здравей, преподавателю! Защо е важно да се учи органична химия?</v>
      </c>
      <c r="F1324" s="1" t="str">
        <f ca="1">IFERROR(__xludf.DUMMYFUNCTION("GOOGLETRANSLATE(English!F1324,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1324" s="1" t="str">
        <f ca="1">IFERROR(__xludf.DUMMYFUNCTION("GOOGLETRANSLATE(English!G1324, ""en"", ""bg"")"),"разговор")</f>
        <v>разговор</v>
      </c>
      <c r="H1324" s="1" t="str">
        <f ca="1">IFERROR(__xludf.DUMMYFUNCTION("GOOGLETRANSLATE(English!H1324, ""en"", ""bg"")"),"образователна_помощ")</f>
        <v>образователна_помощ</v>
      </c>
    </row>
    <row r="1325" spans="1:8" ht="13.2" x14ac:dyDescent="0.25">
      <c r="A1325" s="1" t="str">
        <f ca="1">IFERROR(__xludf.DUMMYFUNCTION("GOOGLETRANSLATE(English!A1325, ""en"", ""bg"")"),"hw_01346")</f>
        <v>hw_01346</v>
      </c>
      <c r="B1325" s="1" t="str">
        <f ca="1">IFERROR(__xludf.DUMMYFUNCTION("GOOGLETRANSLATE(English!B1325, ""en"", ""bg"")"),"химия")</f>
        <v>химия</v>
      </c>
      <c r="C1325" s="1" t="str">
        <f ca="1">IFERROR(__xludf.DUMMYFUNCTION("GOOGLETRANSLATE(English!C1325, ""en"", ""bg"")"),"елементарен")</f>
        <v>елементарен</v>
      </c>
      <c r="D1325" s="1" t="str">
        <f ca="1">IFERROR(__xludf.DUMMYFUNCTION("GOOGLETRANSLATE(English!D1325, ""en"", ""bg"")"),"промени в материалите")</f>
        <v>промени в материалите</v>
      </c>
      <c r="E1325" s="1" t="str">
        <f ca="1">IFERROR(__xludf.DUMMYFUNCTION("GOOGLETRANSLATE(English!E1325,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1325" s="1" t="str">
        <f ca="1">IFERROR(__xludf.DUMMYFUNCTION("GOOGLETRANSLATE(English!F1325,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325" s="1" t="str">
        <f ca="1">IFERROR(__xludf.DUMMYFUNCTION("GOOGLETRANSLATE(English!G1325, ""en"", ""bg"")"),"помощ_за_домашно_изпълнение")</f>
        <v>помощ_за_домашно_изпълнение</v>
      </c>
      <c r="H1325" s="1" t="str">
        <f ca="1">IFERROR(__xludf.DUMMYFUNCTION("GOOGLETRANSLATE(English!H1325, ""en"", ""bg"")"),"помощ_за_домашно_задаване")</f>
        <v>помощ_за_домашно_задаване</v>
      </c>
    </row>
    <row r="1326" spans="1:8" ht="13.2" x14ac:dyDescent="0.25">
      <c r="A1326" s="1" t="str">
        <f ca="1">IFERROR(__xludf.DUMMYFUNCTION("GOOGLETRANSLATE(English!A1326, ""en"", ""bg"")"),"qa_05793")</f>
        <v>qa_05793</v>
      </c>
      <c r="B1326" s="1" t="str">
        <f ca="1">IFERROR(__xludf.DUMMYFUNCTION("GOOGLETRANSLATE(English!B1326, ""en"", ""bg"")"),"физика")</f>
        <v>физика</v>
      </c>
      <c r="C1326" s="1" t="str">
        <f ca="1">IFERROR(__xludf.DUMMYFUNCTION("GOOGLETRANSLATE(English!C1326, ""en"", ""bg"")"),"високо")</f>
        <v>високо</v>
      </c>
      <c r="D1326" s="1" t="str">
        <f ca="1">IFERROR(__xludf.DUMMYFUNCTION("GOOGLETRANSLATE(English!D1326, ""en"", ""bg"")"),"механика")</f>
        <v>механика</v>
      </c>
      <c r="E1326" s="1" t="str">
        <f ca="1">IFERROR(__xludf.DUMMYFUNCTION("GOOGLETRANSLATE(English!E1326, ""en"", ""bg"")"),"Как работи механиката във физиката?")</f>
        <v>Как работи механиката във физиката?</v>
      </c>
      <c r="F1326" s="1" t="str">
        <f ca="1">IFERROR(__xludf.DUMMYFUNCTION("GOOGLETRANSLATE(English!F1326,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1326" s="1" t="str">
        <f ca="1">IFERROR(__xludf.DUMMYFUNCTION("GOOGLETRANSLATE(English!G1326, ""en"", ""bg"")"),"direct_qa")</f>
        <v>direct_qa</v>
      </c>
      <c r="H1326" s="1" t="str">
        <f ca="1">IFERROR(__xludf.DUMMYFUNCTION("GOOGLETRANSLATE(English!H1326, ""en"", ""bg"")"),"заявка_за_знание")</f>
        <v>заявка_за_знание</v>
      </c>
    </row>
    <row r="1327" spans="1:8" ht="13.2" x14ac:dyDescent="0.25">
      <c r="A1327" s="1" t="str">
        <f ca="1">IFERROR(__xludf.DUMMYFUNCTION("GOOGLETRANSLATE(English!A1327, ""en"", ""bg"")"),"hw_13749")</f>
        <v>hw_13749</v>
      </c>
      <c r="B1327" s="1" t="str">
        <f ca="1">IFERROR(__xludf.DUMMYFUNCTION("GOOGLETRANSLATE(English!B1327, ""en"", ""bg"")"),"физика")</f>
        <v>физика</v>
      </c>
      <c r="C1327" s="1" t="str">
        <f ca="1">IFERROR(__xludf.DUMMYFUNCTION("GOOGLETRANSLATE(English!C1327, ""en"", ""bg"")"),"елементарен")</f>
        <v>елементарен</v>
      </c>
      <c r="D1327" s="1" t="str">
        <f ca="1">IFERROR(__xludf.DUMMYFUNCTION("GOOGLETRANSLATE(English!D1327, ""en"", ""bg"")"),"бутане и дърпане")</f>
        <v>бутане и дърпане</v>
      </c>
      <c r="E1327" s="1" t="str">
        <f ca="1">IFERROR(__xludf.DUMMYFUNCTION("GOOGLETRANSLATE(English!E1327,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1327" s="1" t="str">
        <f ca="1">IFERROR(__xludf.DUMMYFUNCTION("GOOGLETRANSLATE(English!F1327,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1327" s="1" t="str">
        <f ca="1">IFERROR(__xludf.DUMMYFUNCTION("GOOGLETRANSLATE(English!G1327, ""en"", ""bg"")"),"помощ_за_домашно_изпълнение")</f>
        <v>помощ_за_домашно_изпълнение</v>
      </c>
      <c r="H1327" s="1" t="str">
        <f ca="1">IFERROR(__xludf.DUMMYFUNCTION("GOOGLETRANSLATE(English!H1327, ""en"", ""bg"")"),"помощ_за_домашно_задаване")</f>
        <v>помощ_за_домашно_задаване</v>
      </c>
    </row>
    <row r="1328" spans="1:8" ht="13.2" x14ac:dyDescent="0.25">
      <c r="A1328" s="1" t="str">
        <f ca="1">IFERROR(__xludf.DUMMYFUNCTION("GOOGLETRANSLATE(English!A1328, ""en"", ""bg"")"),"hw_02385")</f>
        <v>hw_02385</v>
      </c>
      <c r="B1328" s="1" t="str">
        <f ca="1">IFERROR(__xludf.DUMMYFUNCTION("GOOGLETRANSLATE(English!B1328, ""en"", ""bg"")"),"физика")</f>
        <v>физика</v>
      </c>
      <c r="C1328" s="1" t="str">
        <f ca="1">IFERROR(__xludf.DUMMYFUNCTION("GOOGLETRANSLATE(English!C1328, ""en"", ""bg"")"),"високо")</f>
        <v>високо</v>
      </c>
      <c r="D1328" s="1" t="str">
        <f ca="1">IFERROR(__xludf.DUMMYFUNCTION("GOOGLETRANSLATE(English!D1328, ""en"", ""bg"")"),"оптика")</f>
        <v>оптика</v>
      </c>
      <c r="E1328" s="1" t="str">
        <f ca="1">IFERROR(__xludf.DUMMYFUNCTION("GOOGLETRANSLATE(English!E1328, ""en"", ""bg"")"),"Трябва да разбирам оптиката за изпита си.")</f>
        <v>Трябва да разбирам оптиката за изпита си.</v>
      </c>
      <c r="F1328" s="1" t="str">
        <f ca="1">IFERROR(__xludf.DUMMYFUNCTION("GOOGLETRANSLATE(English!F1328,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1328" s="1" t="str">
        <f ca="1">IFERROR(__xludf.DUMMYFUNCTION("GOOGLETRANSLATE(English!G1328, ""en"", ""bg"")"),"помощ_за_домашно_изпълнение")</f>
        <v>помощ_за_домашно_изпълнение</v>
      </c>
      <c r="H1328" s="1" t="str">
        <f ca="1">IFERROR(__xludf.DUMMYFUNCTION("GOOGLETRANSLATE(English!H1328, ""en"", ""bg"")"),"помощ_за_домашно_задаване")</f>
        <v>помощ_за_домашно_задаване</v>
      </c>
    </row>
    <row r="1329" spans="1:8" ht="13.2" x14ac:dyDescent="0.25">
      <c r="A1329" s="1" t="str">
        <f ca="1">IFERROR(__xludf.DUMMYFUNCTION("GOOGLETRANSLATE(English!A1329, ""en"", ""bg"")"),"conv_12886")</f>
        <v>conv_12886</v>
      </c>
      <c r="B1329" s="1" t="str">
        <f ca="1">IFERROR(__xludf.DUMMYFUNCTION("GOOGLETRANSLATE(English!B1329, ""en"", ""bg"")"),"биология")</f>
        <v>биология</v>
      </c>
      <c r="C1329" s="1" t="str">
        <f ca="1">IFERROR(__xludf.DUMMYFUNCTION("GOOGLETRANSLATE(English!C1329, ""en"", ""bg"")"),"високо")</f>
        <v>високо</v>
      </c>
      <c r="D1329" s="1" t="str">
        <f ca="1">IFERROR(__xludf.DUMMYFUNCTION("GOOGLETRANSLATE(English!D1329, ""en"", ""bg"")"),"клетъчно дишане")</f>
        <v>клетъчно дишане</v>
      </c>
      <c r="E1329" s="1" t="str">
        <f ca="1">IFERROR(__xludf.DUMMYFUNCTION("GOOGLETRANSLATE(English!E1329, ""en"", ""bg"")"),"Имам научен въпрос. Как работи клетъчното дишане?")</f>
        <v>Имам научен въпрос. Как работи клетъчното дишане?</v>
      </c>
      <c r="F1329" s="1" t="str">
        <f ca="1">IFERROR(__xludf.DUMMYFUNCTION("GOOGLETRANSLATE(English!F1329,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1329" s="1" t="str">
        <f ca="1">IFERROR(__xludf.DUMMYFUNCTION("GOOGLETRANSLATE(English!G1329, ""en"", ""bg"")"),"разговор")</f>
        <v>разговор</v>
      </c>
      <c r="H1329" s="1" t="str">
        <f ca="1">IFERROR(__xludf.DUMMYFUNCTION("GOOGLETRANSLATE(English!H1329, ""en"", ""bg"")"),"образователна_помощ")</f>
        <v>образователна_помощ</v>
      </c>
    </row>
    <row r="1330" spans="1:8" ht="13.2" x14ac:dyDescent="0.25">
      <c r="A1330" s="1" t="str">
        <f ca="1">IFERROR(__xludf.DUMMYFUNCTION("GOOGLETRANSLATE(English!A1330, ""en"", ""bg"")"),"qa_14572")</f>
        <v>qa_14572</v>
      </c>
      <c r="B1330" s="1" t="str">
        <f ca="1">IFERROR(__xludf.DUMMYFUNCTION("GOOGLETRANSLATE(English!B1330, ""en"", ""bg"")"),"физика")</f>
        <v>физика</v>
      </c>
      <c r="C1330" s="1" t="str">
        <f ca="1">IFERROR(__xludf.DUMMYFUNCTION("GOOGLETRANSLATE(English!C1330, ""en"", ""bg"")"),"елементарен")</f>
        <v>елементарен</v>
      </c>
      <c r="D1330" s="1" t="str">
        <f ca="1">IFERROR(__xludf.DUMMYFUNCTION("GOOGLETRANSLATE(English!D1330, ""en"", ""bg"")"),"горещо и студено")</f>
        <v>горещо и студено</v>
      </c>
      <c r="E1330" s="1" t="str">
        <f ca="1">IFERROR(__xludf.DUMMYFUNCTION("GOOGLETRANSLATE(English!E1330, ""en"", ""bg"")"),"Защо е важно топлото и студеното?")</f>
        <v>Защо е важно топлото и студеното?</v>
      </c>
      <c r="F1330" s="1" t="str">
        <f ca="1">IFERROR(__xludf.DUMMYFUNCTION("GOOGLETRANSLATE(English!F1330,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1330" s="1" t="str">
        <f ca="1">IFERROR(__xludf.DUMMYFUNCTION("GOOGLETRANSLATE(English!G1330, ""en"", ""bg"")"),"direct_qa")</f>
        <v>direct_qa</v>
      </c>
      <c r="H1330" s="1" t="str">
        <f ca="1">IFERROR(__xludf.DUMMYFUNCTION("GOOGLETRANSLATE(English!H1330, ""en"", ""bg"")"),"заявка_за_знание")</f>
        <v>заявка_за_знание</v>
      </c>
    </row>
    <row r="1331" spans="1:8" ht="13.2" x14ac:dyDescent="0.25">
      <c r="A1331" s="1" t="str">
        <f ca="1">IFERROR(__xludf.DUMMYFUNCTION("GOOGLETRANSLATE(English!A1331, ""en"", ""bg"")"),"hw_08187")</f>
        <v>hw_08187</v>
      </c>
      <c r="B1331" s="1" t="str">
        <f ca="1">IFERROR(__xludf.DUMMYFUNCTION("GOOGLETRANSLATE(English!B1331, ""en"", ""bg"")"),"физика")</f>
        <v>физика</v>
      </c>
      <c r="C1331" s="1" t="str">
        <f ca="1">IFERROR(__xludf.DUMMYFUNCTION("GOOGLETRANSLATE(English!C1331, ""en"", ""bg"")"),"средата")</f>
        <v>средата</v>
      </c>
      <c r="D1331" s="1" t="str">
        <f ca="1">IFERROR(__xludf.DUMMYFUNCTION("GOOGLETRANSLATE(English!D1331, ""en"", ""bg"")"),"видове енергия")</f>
        <v>видове енергия</v>
      </c>
      <c r="E1331" s="1" t="str">
        <f ca="1">IFERROR(__xludf.DUMMYFUNCTION("GOOGLETRANSLATE(English!E1331, ""en"", ""bg"")"),"Домашното ми по физика е за видовете енергия. Объркващо е!")</f>
        <v>Домашното ми по физика е за видовете енергия. Объркващо е!</v>
      </c>
      <c r="F1331" s="1" t="str">
        <f ca="1">IFERROR(__xludf.DUMMYFUNCTION("GOOGLETRANSLATE(English!F1331,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331" s="1" t="str">
        <f ca="1">IFERROR(__xludf.DUMMYFUNCTION("GOOGLETRANSLATE(English!G1331, ""en"", ""bg"")"),"помощ_за_домашно_изпълнение")</f>
        <v>помощ_за_домашно_изпълнение</v>
      </c>
      <c r="H1331" s="1" t="str">
        <f ca="1">IFERROR(__xludf.DUMMYFUNCTION("GOOGLETRANSLATE(English!H1331, ""en"", ""bg"")"),"помощ_за_домашно_задаване")</f>
        <v>помощ_за_домашно_задаване</v>
      </c>
    </row>
    <row r="1332" spans="1:8" ht="13.2" x14ac:dyDescent="0.25">
      <c r="A1332" s="1" t="str">
        <f ca="1">IFERROR(__xludf.DUMMYFUNCTION("GOOGLETRANSLATE(English!A1332, ""en"", ""bg"")"),"hw_06567")</f>
        <v>hw_06567</v>
      </c>
      <c r="B1332" s="1" t="str">
        <f ca="1">IFERROR(__xludf.DUMMYFUNCTION("GOOGLETRANSLATE(English!B1332, ""en"", ""bg"")"),"биология")</f>
        <v>биология</v>
      </c>
      <c r="C1332" s="1" t="str">
        <f ca="1">IFERROR(__xludf.DUMMYFUNCTION("GOOGLETRANSLATE(English!C1332, ""en"", ""bg"")"),"средата")</f>
        <v>средата</v>
      </c>
      <c r="D1332" s="1" t="str">
        <f ca="1">IFERROR(__xludf.DUMMYFUNCTION("GOOGLETRANSLATE(English!D1332, ""en"", ""bg"")"),"размножаване")</f>
        <v>размножаване</v>
      </c>
      <c r="E1332" s="1" t="str">
        <f ca="1">IFERROR(__xludf.DUMMYFUNCTION("GOOGLETRANSLATE(English!E1332, ""en"", ""bg"")"),"Домашното ми пита за размножаването. Не го разбирам.")</f>
        <v>Домашното ми пита за размножаването. Не го разбирам.</v>
      </c>
      <c r="F1332" s="1" t="str">
        <f ca="1">IFERROR(__xludf.DUMMYFUNCTION("GOOGLETRANSLATE(English!F1332,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1332" s="1" t="str">
        <f ca="1">IFERROR(__xludf.DUMMYFUNCTION("GOOGLETRANSLATE(English!G1332, ""en"", ""bg"")"),"помощ_за_домашно_изпълнение")</f>
        <v>помощ_за_домашно_изпълнение</v>
      </c>
      <c r="H1332" s="1" t="str">
        <f ca="1">IFERROR(__xludf.DUMMYFUNCTION("GOOGLETRANSLATE(English!H1332, ""en"", ""bg"")"),"помощ_за_домашно_задаване")</f>
        <v>помощ_за_домашно_задаване</v>
      </c>
    </row>
    <row r="1333" spans="1:8" ht="13.2" x14ac:dyDescent="0.25">
      <c r="A1333" s="1" t="str">
        <f ca="1">IFERROR(__xludf.DUMMYFUNCTION("GOOGLETRANSLATE(English!A1333, ""en"", ""bg"")"),"hw_04967")</f>
        <v>hw_04967</v>
      </c>
      <c r="B1333" s="1" t="str">
        <f ca="1">IFERROR(__xludf.DUMMYFUNCTION("GOOGLETRANSLATE(English!B1333, ""en"", ""bg"")"),"физика")</f>
        <v>физика</v>
      </c>
      <c r="C1333" s="1" t="str">
        <f ca="1">IFERROR(__xludf.DUMMYFUNCTION("GOOGLETRANSLATE(English!C1333, ""en"", ""bg"")"),"високо")</f>
        <v>високо</v>
      </c>
      <c r="D1333" s="1" t="str">
        <f ca="1">IFERROR(__xludf.DUMMYFUNCTION("GOOGLETRANSLATE(English!D1333, ""en"", ""bg"")"),"радиоактивност")</f>
        <v>радиоактивност</v>
      </c>
      <c r="E1333" s="1" t="str">
        <f ca="1">IFERROR(__xludf.DUMMYFUNCTION("GOOGLETRANSLATE(English!E1333, ""en"", ""bg"")"),"Домашното ми по физика е за радиоактивност. Объркващо е!")</f>
        <v>Домашното ми по физика е за радиоактивност. Объркващо е!</v>
      </c>
      <c r="F1333" s="1" t="str">
        <f ca="1">IFERROR(__xludf.DUMMYFUNCTION("GOOGLETRANSLATE(English!F1333,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333" s="1" t="str">
        <f ca="1">IFERROR(__xludf.DUMMYFUNCTION("GOOGLETRANSLATE(English!G1333, ""en"", ""bg"")"),"помощ_за_домашно_изпълнение")</f>
        <v>помощ_за_домашно_изпълнение</v>
      </c>
      <c r="H1333" s="1" t="str">
        <f ca="1">IFERROR(__xludf.DUMMYFUNCTION("GOOGLETRANSLATE(English!H1333, ""en"", ""bg"")"),"помощ_за_домашно_задаване")</f>
        <v>помощ_за_домашно_задаване</v>
      </c>
    </row>
    <row r="1334" spans="1:8" ht="13.2" x14ac:dyDescent="0.25">
      <c r="A1334" s="1" t="str">
        <f ca="1">IFERROR(__xludf.DUMMYFUNCTION("GOOGLETRANSLATE(English!A1334, ""en"", ""bg"")"),"hw_13257")</f>
        <v>hw_13257</v>
      </c>
      <c r="B1334" s="1" t="str">
        <f ca="1">IFERROR(__xludf.DUMMYFUNCTION("GOOGLETRANSLATE(English!B1334, ""en"", ""bg"")"),"биология")</f>
        <v>биология</v>
      </c>
      <c r="C1334" s="1" t="str">
        <f ca="1">IFERROR(__xludf.DUMMYFUNCTION("GOOGLETRANSLATE(English!C1334, ""en"", ""bg"")"),"високо")</f>
        <v>високо</v>
      </c>
      <c r="D1334" s="1" t="str">
        <f ca="1">IFERROR(__xludf.DUMMYFUNCTION("GOOGLETRANSLATE(English!D1334, ""en"", ""bg"")"),"митоза и мейоза")</f>
        <v>митоза и мейоза</v>
      </c>
      <c r="E1334" s="1" t="str">
        <f ca="1">IFERROR(__xludf.DUMMYFUNCTION("GOOGLETRANSLATE(English!E1334, ""en"", ""bg"")"),"Домашното ми пита за митоза и мейоза. Не го разбирам.")</f>
        <v>Домашното ми пита за митоза и мейоза. Не го разбирам.</v>
      </c>
      <c r="F1334" s="1" t="str">
        <f ca="1">IFERROR(__xludf.DUMMYFUNCTION("GOOGLETRANSLATE(English!F1334,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334" s="1" t="str">
        <f ca="1">IFERROR(__xludf.DUMMYFUNCTION("GOOGLETRANSLATE(English!G1334, ""en"", ""bg"")"),"помощ_за_домашно_изпълнение")</f>
        <v>помощ_за_домашно_изпълнение</v>
      </c>
      <c r="H1334" s="1" t="str">
        <f ca="1">IFERROR(__xludf.DUMMYFUNCTION("GOOGLETRANSLATE(English!H1334, ""en"", ""bg"")"),"помощ_за_домашно_задаване")</f>
        <v>помощ_за_домашно_задаване</v>
      </c>
    </row>
    <row r="1335" spans="1:8" ht="13.2" x14ac:dyDescent="0.25">
      <c r="A1335" s="1" t="str">
        <f ca="1">IFERROR(__xludf.DUMMYFUNCTION("GOOGLETRANSLATE(English!A1335, ""en"", ""bg"")"),"qa_09614")</f>
        <v>qa_09614</v>
      </c>
      <c r="B1335" s="1" t="str">
        <f ca="1">IFERROR(__xludf.DUMMYFUNCTION("GOOGLETRANSLATE(English!B1335, ""en"", ""bg"")"),"химия")</f>
        <v>химия</v>
      </c>
      <c r="C1335" s="1" t="str">
        <f ca="1">IFERROR(__xludf.DUMMYFUNCTION("GOOGLETRANSLATE(English!C1335, ""en"", ""bg"")"),"високо")</f>
        <v>високо</v>
      </c>
      <c r="D1335" s="1" t="str">
        <f ca="1">IFERROR(__xludf.DUMMYFUNCTION("GOOGLETRANSLATE(English!D1335, ""en"", ""bg"")"),"електрохимия")</f>
        <v>електрохимия</v>
      </c>
      <c r="E1335" s="1" t="str">
        <f ca="1">IFERROR(__xludf.DUMMYFUNCTION("GOOGLETRANSLATE(English!E1335, ""en"", ""bg"")"),"Можете ли да ми помогнете да разбера електрохимията?")</f>
        <v>Можете ли да ми помогнете да разбера електрохимията?</v>
      </c>
      <c r="F1335" s="1" t="str">
        <f ca="1">IFERROR(__xludf.DUMMYFUNCTION("GOOGLETRANSLATE(English!F1335,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1335" s="1" t="str">
        <f ca="1">IFERROR(__xludf.DUMMYFUNCTION("GOOGLETRANSLATE(English!G1335, ""en"", ""bg"")"),"direct_qa")</f>
        <v>direct_qa</v>
      </c>
      <c r="H1335" s="1" t="str">
        <f ca="1">IFERROR(__xludf.DUMMYFUNCTION("GOOGLETRANSLATE(English!H1335, ""en"", ""bg"")"),"заявка_за_знание")</f>
        <v>заявка_за_знание</v>
      </c>
    </row>
    <row r="1336" spans="1:8" ht="13.2" x14ac:dyDescent="0.25">
      <c r="A1336" s="1" t="str">
        <f ca="1">IFERROR(__xludf.DUMMYFUNCTION("GOOGLETRANSLATE(English!A1336, ""en"", ""bg"")"),"qa_03731")</f>
        <v>qa_03731</v>
      </c>
      <c r="B1336" s="1" t="str">
        <f ca="1">IFERROR(__xludf.DUMMYFUNCTION("GOOGLETRANSLATE(English!B1336, ""en"", ""bg"")"),"биология")</f>
        <v>биология</v>
      </c>
      <c r="C1336" s="1" t="str">
        <f ca="1">IFERROR(__xludf.DUMMYFUNCTION("GOOGLETRANSLATE(English!C1336, ""en"", ""bg"")"),"средата")</f>
        <v>средата</v>
      </c>
      <c r="D1336" s="1" t="str">
        <f ca="1">IFERROR(__xludf.DUMMYFUNCTION("GOOGLETRANSLATE(English!D1336, ""en"", ""bg"")"),"дишане")</f>
        <v>дишане</v>
      </c>
      <c r="E1336" s="1" t="str">
        <f ca="1">IFERROR(__xludf.DUMMYFUNCTION("GOOGLETRANSLATE(English!E1336, ""en"", ""bg"")"),"Как работи дишането?")</f>
        <v>Как работи дишането?</v>
      </c>
      <c r="F1336" s="1" t="str">
        <f ca="1">IFERROR(__xludf.DUMMYFUNCTION("GOOGLETRANSLATE(English!F1336,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1336" s="1" t="str">
        <f ca="1">IFERROR(__xludf.DUMMYFUNCTION("GOOGLETRANSLATE(English!G1336, ""en"", ""bg"")"),"direct_qa")</f>
        <v>direct_qa</v>
      </c>
      <c r="H1336" s="1" t="str">
        <f ca="1">IFERROR(__xludf.DUMMYFUNCTION("GOOGLETRANSLATE(English!H1336, ""en"", ""bg"")"),"заявка_за_знание")</f>
        <v>заявка_за_знание</v>
      </c>
    </row>
    <row r="1337" spans="1:8" ht="13.2" x14ac:dyDescent="0.25">
      <c r="A1337" s="1" t="str">
        <f ca="1">IFERROR(__xludf.DUMMYFUNCTION("GOOGLETRANSLATE(English!A1337, ""en"", ""bg"")"),"conv_13033")</f>
        <v>conv_13033</v>
      </c>
      <c r="B1337" s="1" t="str">
        <f ca="1">IFERROR(__xludf.DUMMYFUNCTION("GOOGLETRANSLATE(English!B1337, ""en"", ""bg"")"),"физика")</f>
        <v>физика</v>
      </c>
      <c r="C1337" s="1" t="str">
        <f ca="1">IFERROR(__xludf.DUMMYFUNCTION("GOOGLETRANSLATE(English!C1337, ""en"", ""bg"")"),"елементарен")</f>
        <v>елементарен</v>
      </c>
      <c r="D1337" s="1" t="str">
        <f ca="1">IFERROR(__xludf.DUMMYFUNCTION("GOOGLETRANSLATE(English!D1337, ""en"", ""bg"")"),"магнити")</f>
        <v>магнити</v>
      </c>
      <c r="E1337" s="1" t="str">
        <f ca="1">IFERROR(__xludf.DUMMYFUNCTION("GOOGLETRANSLATE(English!E1337, ""en"", ""bg"")"),"Имам научен въпрос. Може ли да се направи магнит по-силен?")</f>
        <v>Имам научен въпрос. Може ли да се направи магнит по-силен?</v>
      </c>
      <c r="F1337" s="1" t="str">
        <f ca="1">IFERROR(__xludf.DUMMYFUNCTION("GOOGLETRANSLATE(English!F1337,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1337" s="1" t="str">
        <f ca="1">IFERROR(__xludf.DUMMYFUNCTION("GOOGLETRANSLATE(English!G1337, ""en"", ""bg"")"),"разговор")</f>
        <v>разговор</v>
      </c>
      <c r="H1337" s="1" t="str">
        <f ca="1">IFERROR(__xludf.DUMMYFUNCTION("GOOGLETRANSLATE(English!H1337, ""en"", ""bg"")"),"образователна_помощ")</f>
        <v>образователна_помощ</v>
      </c>
    </row>
    <row r="1338" spans="1:8" ht="13.2" x14ac:dyDescent="0.25">
      <c r="A1338" s="1" t="str">
        <f ca="1">IFERROR(__xludf.DUMMYFUNCTION("GOOGLETRANSLATE(English!A1338, ""en"", ""bg"")"),"conv_15482")</f>
        <v>conv_15482</v>
      </c>
      <c r="B1338" s="1" t="str">
        <f ca="1">IFERROR(__xludf.DUMMYFUNCTION("GOOGLETRANSLATE(English!B1338, ""en"", ""bg"")"),"химия")</f>
        <v>химия</v>
      </c>
      <c r="C1338" s="1" t="str">
        <f ca="1">IFERROR(__xludf.DUMMYFUNCTION("GOOGLETRANSLATE(English!C1338, ""en"", ""bg"")"),"средата")</f>
        <v>средата</v>
      </c>
      <c r="D1338" s="1" t="str">
        <f ca="1">IFERROR(__xludf.DUMMYFUNCTION("GOOGLETRANSLATE(English!D1338, ""en"", ""bg"")"),"атоми и молекули")</f>
        <v>атоми и молекули</v>
      </c>
      <c r="E1338" s="1" t="str">
        <f ca="1">IFERROR(__xludf.DUMMYFUNCTION("GOOGLETRANSLATE(English!E1338, ""en"", ""bg"")"),"Здравей, преподавателю! От какви части се състои атомът?")</f>
        <v>Здравей, преподавателю! От какви части се състои атомът?</v>
      </c>
      <c r="F1338" s="1" t="str">
        <f ca="1">IFERROR(__xludf.DUMMYFUNCTION("GOOGLETRANSLATE(English!F1338,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1338" s="1" t="str">
        <f ca="1">IFERROR(__xludf.DUMMYFUNCTION("GOOGLETRANSLATE(English!G1338, ""en"", ""bg"")"),"разговор")</f>
        <v>разговор</v>
      </c>
      <c r="H1338" s="1" t="str">
        <f ca="1">IFERROR(__xludf.DUMMYFUNCTION("GOOGLETRANSLATE(English!H1338, ""en"", ""bg"")"),"образователна_помощ")</f>
        <v>образователна_помощ</v>
      </c>
    </row>
    <row r="1339" spans="1:8" ht="13.2" x14ac:dyDescent="0.25">
      <c r="A1339" s="1" t="str">
        <f ca="1">IFERROR(__xludf.DUMMYFUNCTION("GOOGLETRANSLATE(English!A1339, ""en"", ""bg"")"),"conv_05762")</f>
        <v>conv_05762</v>
      </c>
      <c r="B1339" s="1" t="str">
        <f ca="1">IFERROR(__xludf.DUMMYFUNCTION("GOOGLETRANSLATE(English!B1339, ""en"", ""bg"")"),"биология")</f>
        <v>биология</v>
      </c>
      <c r="C1339" s="1" t="str">
        <f ca="1">IFERROR(__xludf.DUMMYFUNCTION("GOOGLETRANSLATE(English!C1339, ""en"", ""bg"")"),"средата")</f>
        <v>средата</v>
      </c>
      <c r="D1339" s="1" t="str">
        <f ca="1">IFERROR(__xludf.DUMMYFUNCTION("GOOGLETRANSLATE(English!D1339, ""en"", ""bg"")"),"дишане")</f>
        <v>дишане</v>
      </c>
      <c r="E1339" s="1" t="str">
        <f ca="1">IFERROR(__xludf.DUMMYFUNCTION("GOOGLETRANSLATE(English!E1339, ""en"", ""bg"")"),"Можете ли да ми помогнете? Можете ли да ми разкажете за дишането?")</f>
        <v>Можете ли да ми помогнете? Можете ли да ми разкажете за дишането?</v>
      </c>
      <c r="F1339" s="1" t="str">
        <f ca="1">IFERROR(__xludf.DUMMYFUNCTION("GOOGLETRANSLATE(English!F1339,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1339" s="1" t="str">
        <f ca="1">IFERROR(__xludf.DUMMYFUNCTION("GOOGLETRANSLATE(English!G1339, ""en"", ""bg"")"),"разговор")</f>
        <v>разговор</v>
      </c>
      <c r="H1339" s="1" t="str">
        <f ca="1">IFERROR(__xludf.DUMMYFUNCTION("GOOGLETRANSLATE(English!H1339, ""en"", ""bg"")"),"образователна_помощ")</f>
        <v>образователна_помощ</v>
      </c>
    </row>
    <row r="1340" spans="1:8" ht="13.2" x14ac:dyDescent="0.25">
      <c r="A1340" s="1" t="str">
        <f ca="1">IFERROR(__xludf.DUMMYFUNCTION("GOOGLETRANSLATE(English!A1340, ""en"", ""bg"")"),"qa_05854")</f>
        <v>qa_05854</v>
      </c>
      <c r="B1340" s="1" t="str">
        <f ca="1">IFERROR(__xludf.DUMMYFUNCTION("GOOGLETRANSLATE(English!B1340, ""en"", ""bg"")"),"физика")</f>
        <v>физика</v>
      </c>
      <c r="C1340" s="1" t="str">
        <f ca="1">IFERROR(__xludf.DUMMYFUNCTION("GOOGLETRANSLATE(English!C1340, ""en"", ""bg"")"),"високо")</f>
        <v>високо</v>
      </c>
      <c r="D1340" s="1" t="str">
        <f ca="1">IFERROR(__xludf.DUMMYFUNCTION("GOOGLETRANSLATE(English!D1340, ""en"", ""bg"")"),"оптика")</f>
        <v>оптика</v>
      </c>
      <c r="E1340" s="1" t="str">
        <f ca="1">IFERROR(__xludf.DUMMYFUNCTION("GOOGLETRANSLATE(English!E1340, ""en"", ""bg"")"),"Защо е важна оптиката?")</f>
        <v>Защо е важна оптиката?</v>
      </c>
      <c r="F1340" s="1" t="str">
        <f ca="1">IFERROR(__xludf.DUMMYFUNCTION("GOOGLETRANSLATE(English!F1340,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1340" s="1" t="str">
        <f ca="1">IFERROR(__xludf.DUMMYFUNCTION("GOOGLETRANSLATE(English!G1340, ""en"", ""bg"")"),"direct_qa")</f>
        <v>direct_qa</v>
      </c>
      <c r="H1340" s="1" t="str">
        <f ca="1">IFERROR(__xludf.DUMMYFUNCTION("GOOGLETRANSLATE(English!H1340, ""en"", ""bg"")"),"заявка_за_знание")</f>
        <v>заявка_за_знание</v>
      </c>
    </row>
    <row r="1341" spans="1:8" ht="13.2" x14ac:dyDescent="0.25">
      <c r="A1341" s="1" t="str">
        <f ca="1">IFERROR(__xludf.DUMMYFUNCTION("GOOGLETRANSLATE(English!A1341, ""en"", ""bg"")"),"conv_15466")</f>
        <v>conv_15466</v>
      </c>
      <c r="B1341" s="1" t="str">
        <f ca="1">IFERROR(__xludf.DUMMYFUNCTION("GOOGLETRANSLATE(English!B1341, ""en"", ""bg"")"),"физика")</f>
        <v>физика</v>
      </c>
      <c r="C1341" s="1" t="str">
        <f ca="1">IFERROR(__xludf.DUMMYFUNCTION("GOOGLETRANSLATE(English!C1341, ""en"", ""bg"")"),"средата")</f>
        <v>средата</v>
      </c>
      <c r="D1341" s="1" t="str">
        <f ca="1">IFERROR(__xludf.DUMMYFUNCTION("GOOGLETRANSLATE(English!D1341, ""en"", ""bg"")"),"основи на електричеството")</f>
        <v>основи на електричеството</v>
      </c>
      <c r="E1341" s="1" t="str">
        <f ca="1">IFERROR(__xludf.DUMMYFUNCTION("GOOGLETRANSLATE(English!E1341, ""en"", ""bg"")"),"Здравей, преподавателю! Можеш ли да ми обясниш основите на електричеството?")</f>
        <v>Здравей, преподавателю! Можеш ли да ми обясниш основите на електричеството?</v>
      </c>
      <c r="F1341" s="1" t="str">
        <f ca="1">IFERROR(__xludf.DUMMYFUNCTION("GOOGLETRANSLATE(English!F1341,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1341" s="1" t="str">
        <f ca="1">IFERROR(__xludf.DUMMYFUNCTION("GOOGLETRANSLATE(English!G1341, ""en"", ""bg"")"),"разговор")</f>
        <v>разговор</v>
      </c>
      <c r="H1341" s="1" t="str">
        <f ca="1">IFERROR(__xludf.DUMMYFUNCTION("GOOGLETRANSLATE(English!H1341, ""en"", ""bg"")"),"образователна_помощ")</f>
        <v>образователна_помощ</v>
      </c>
    </row>
    <row r="1342" spans="1:8" ht="13.2" x14ac:dyDescent="0.25">
      <c r="A1342" s="1" t="str">
        <f ca="1">IFERROR(__xludf.DUMMYFUNCTION("GOOGLETRANSLATE(English!A1342, ""en"", ""bg"")"),"conv_09056")</f>
        <v>conv_09056</v>
      </c>
      <c r="B1342" s="1" t="str">
        <f ca="1">IFERROR(__xludf.DUMMYFUNCTION("GOOGLETRANSLATE(English!B1342, ""en"", ""bg"")"),"химия")</f>
        <v>химия</v>
      </c>
      <c r="C1342" s="1" t="str">
        <f ca="1">IFERROR(__xludf.DUMMYFUNCTION("GOOGLETRANSLATE(English!C1342, ""en"", ""bg"")"),"високо")</f>
        <v>високо</v>
      </c>
      <c r="D1342" s="1" t="str">
        <f ca="1">IFERROR(__xludf.DUMMYFUNCTION("GOOGLETRANSLATE(English!D1342, ""en"", ""bg"")"),"стехиометрия")</f>
        <v>стехиометрия</v>
      </c>
      <c r="E1342" s="1" t="str">
        <f ca="1">IFERROR(__xludf.DUMMYFUNCTION("GOOGLETRANSLATE(English!E1342, ""en"", ""bg"")"),"Можете ли да ми обясните това? Как работи стехиометрията в химията?")</f>
        <v>Можете ли да ми обясните това? Как работи стехиометрията в химията?</v>
      </c>
      <c r="F1342" s="1" t="str">
        <f ca="1">IFERROR(__xludf.DUMMYFUNCTION("GOOGLETRANSLATE(English!F1342,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1342" s="1" t="str">
        <f ca="1">IFERROR(__xludf.DUMMYFUNCTION("GOOGLETRANSLATE(English!G1342, ""en"", ""bg"")"),"разговор")</f>
        <v>разговор</v>
      </c>
      <c r="H1342" s="1" t="str">
        <f ca="1">IFERROR(__xludf.DUMMYFUNCTION("GOOGLETRANSLATE(English!H1342, ""en"", ""bg"")"),"образователна_помощ")</f>
        <v>образователна_помощ</v>
      </c>
    </row>
    <row r="1343" spans="1:8" ht="13.2" x14ac:dyDescent="0.25">
      <c r="A1343" s="1" t="str">
        <f ca="1">IFERROR(__xludf.DUMMYFUNCTION("GOOGLETRANSLATE(English!A1343, ""en"", ""bg"")"),"hw_02923")</f>
        <v>hw_02923</v>
      </c>
      <c r="B1343" s="1" t="str">
        <f ca="1">IFERROR(__xludf.DUMMYFUNCTION("GOOGLETRANSLATE(English!B1343, ""en"", ""bg"")"),"физика")</f>
        <v>физика</v>
      </c>
      <c r="C1343" s="1" t="str">
        <f ca="1">IFERROR(__xludf.DUMMYFUNCTION("GOOGLETRANSLATE(English!C1343, ""en"", ""bg"")"),"елементарен")</f>
        <v>елементарен</v>
      </c>
      <c r="D1343" s="1" t="str">
        <f ca="1">IFERROR(__xludf.DUMMYFUNCTION("GOOGLETRANSLATE(English!D1343, ""en"", ""bg"")"),"магнити")</f>
        <v>магнити</v>
      </c>
      <c r="E1343" s="1" t="str">
        <f ca="1">IFERROR(__xludf.DUMMYFUNCTION("GOOGLETRANSLATE(English!E1343, ""en"", ""bg"")"),"Заседнал съм с този проблем с магнитите. Можете ли да помогнете?")</f>
        <v>Заседнал съм с този проблем с магнитите. Можете ли да помогнете?</v>
      </c>
      <c r="F1343" s="1" t="str">
        <f ca="1">IFERROR(__xludf.DUMMYFUNCTION("GOOGLETRANSLATE(English!F1343,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343" s="1" t="str">
        <f ca="1">IFERROR(__xludf.DUMMYFUNCTION("GOOGLETRANSLATE(English!G1343, ""en"", ""bg"")"),"помощ_за_домашно_изпълнение")</f>
        <v>помощ_за_домашно_изпълнение</v>
      </c>
      <c r="H1343" s="1" t="str">
        <f ca="1">IFERROR(__xludf.DUMMYFUNCTION("GOOGLETRANSLATE(English!H1343, ""en"", ""bg"")"),"помощ_за_домашно_задаване")</f>
        <v>помощ_за_домашно_задаване</v>
      </c>
    </row>
    <row r="1344" spans="1:8" ht="13.2" x14ac:dyDescent="0.25">
      <c r="A1344" s="1" t="str">
        <f ca="1">IFERROR(__xludf.DUMMYFUNCTION("GOOGLETRANSLATE(English!A1344, ""en"", ""bg"")"),"hw_14445")</f>
        <v>hw_14445</v>
      </c>
      <c r="B1344" s="1" t="str">
        <f ca="1">IFERROR(__xludf.DUMMYFUNCTION("GOOGLETRANSLATE(English!B1344, ""en"", ""bg"")"),"химия")</f>
        <v>химия</v>
      </c>
      <c r="C1344" s="1" t="str">
        <f ca="1">IFERROR(__xludf.DUMMYFUNCTION("GOOGLETRANSLATE(English!C1344, ""en"", ""bg"")"),"високо")</f>
        <v>високо</v>
      </c>
      <c r="D1344" s="1" t="str">
        <f ca="1">IFERROR(__xludf.DUMMYFUNCTION("GOOGLETRANSLATE(English!D1344, ""en"", ""bg"")"),"стехиометрия")</f>
        <v>стехиометрия</v>
      </c>
      <c r="E1344" s="1" t="str">
        <f ca="1">IFERROR(__xludf.DUMMYFUNCTION("GOOGLETRANSLATE(English!E1344,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1344" s="1" t="str">
        <f ca="1">IFERROR(__xludf.DUMMYFUNCTION("GOOGLETRANSLATE(English!F1344,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344" s="1" t="str">
        <f ca="1">IFERROR(__xludf.DUMMYFUNCTION("GOOGLETRANSLATE(English!G1344, ""en"", ""bg"")"),"помощ_за_домашно_изпълнение")</f>
        <v>помощ_за_домашно_изпълнение</v>
      </c>
      <c r="H1344" s="1" t="str">
        <f ca="1">IFERROR(__xludf.DUMMYFUNCTION("GOOGLETRANSLATE(English!H1344, ""en"", ""bg"")"),"помощ_за_домашно_задаване")</f>
        <v>помощ_за_домашно_задаване</v>
      </c>
    </row>
    <row r="1345" spans="1:8" ht="13.2" x14ac:dyDescent="0.25">
      <c r="A1345" s="1" t="str">
        <f ca="1">IFERROR(__xludf.DUMMYFUNCTION("GOOGLETRANSLATE(English!A1345, ""en"", ""bg"")"),"hw_07899")</f>
        <v>hw_07899</v>
      </c>
      <c r="B1345" s="1" t="str">
        <f ca="1">IFERROR(__xludf.DUMMYFUNCTION("GOOGLETRANSLATE(English!B1345, ""en"", ""bg"")"),"химия")</f>
        <v>химия</v>
      </c>
      <c r="C1345" s="1" t="str">
        <f ca="1">IFERROR(__xludf.DUMMYFUNCTION("GOOGLETRANSLATE(English!C1345, ""en"", ""bg"")"),"средата")</f>
        <v>средата</v>
      </c>
      <c r="D1345" s="1" t="str">
        <f ca="1">IFERROR(__xludf.DUMMYFUNCTION("GOOGLETRANSLATE(English!D1345, ""en"", ""bg"")"),"основи на периодичната таблица")</f>
        <v>основи на периодичната таблица</v>
      </c>
      <c r="E1345" s="1" t="str">
        <f ca="1">IFERROR(__xludf.DUMMYFUNCTION("GOOGLETRANSLATE(English!E1345, ""en"", ""bg"")"),"Можете ли да ми помогнете с основните изчисления на периодичната таблица?")</f>
        <v>Можете ли да ми помогнете с основните изчисления на периодичната таблица?</v>
      </c>
      <c r="F1345" s="1" t="str">
        <f ca="1">IFERROR(__xludf.DUMMYFUNCTION("GOOGLETRANSLATE(English!F1345,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1345" s="1" t="str">
        <f ca="1">IFERROR(__xludf.DUMMYFUNCTION("GOOGLETRANSLATE(English!G1345, ""en"", ""bg"")"),"помощ_за_домашно_изпълнение")</f>
        <v>помощ_за_домашно_изпълнение</v>
      </c>
      <c r="H1345" s="1" t="str">
        <f ca="1">IFERROR(__xludf.DUMMYFUNCTION("GOOGLETRANSLATE(English!H1345, ""en"", ""bg"")"),"помощ_за_домашно_задаване")</f>
        <v>помощ_за_домашно_задаване</v>
      </c>
    </row>
    <row r="1346" spans="1:8" ht="13.2" x14ac:dyDescent="0.25">
      <c r="A1346" s="1" t="str">
        <f ca="1">IFERROR(__xludf.DUMMYFUNCTION("GOOGLETRANSLATE(English!A1346, ""en"", ""bg"")"),"conv_01532")</f>
        <v>conv_01532</v>
      </c>
      <c r="B1346" s="1" t="str">
        <f ca="1">IFERROR(__xludf.DUMMYFUNCTION("GOOGLETRANSLATE(English!B1346, ""en"", ""bg"")"),"физика")</f>
        <v>физика</v>
      </c>
      <c r="C1346" s="1" t="str">
        <f ca="1">IFERROR(__xludf.DUMMYFUNCTION("GOOGLETRANSLATE(English!C1346, ""en"", ""bg"")"),"средата")</f>
        <v>средата</v>
      </c>
      <c r="D1346" s="1" t="str">
        <f ca="1">IFERROR(__xludf.DUMMYFUNCTION("GOOGLETRANSLATE(English!D1346, ""en"", ""bg"")"),"вълни")</f>
        <v>вълни</v>
      </c>
      <c r="E1346" s="1" t="str">
        <f ca="1">IFERROR(__xludf.DUMMYFUNCTION("GOOGLETRANSLATE(English!E1346, ""en"", ""bg"")"),"Можете ли да ми обясните това? Можете ли да ми обясните вълните?")</f>
        <v>Можете ли да ми обясните това? Можете ли да ми обясните вълните?</v>
      </c>
      <c r="F1346" s="1" t="str">
        <f ca="1">IFERROR(__xludf.DUMMYFUNCTION("GOOGLETRANSLATE(English!F1346,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1346" s="1" t="str">
        <f ca="1">IFERROR(__xludf.DUMMYFUNCTION("GOOGLETRANSLATE(English!G1346, ""en"", ""bg"")"),"разговор")</f>
        <v>разговор</v>
      </c>
      <c r="H1346" s="1" t="str">
        <f ca="1">IFERROR(__xludf.DUMMYFUNCTION("GOOGLETRANSLATE(English!H1346, ""en"", ""bg"")"),"образователна_помощ")</f>
        <v>образователна_помощ</v>
      </c>
    </row>
    <row r="1347" spans="1:8" ht="13.2" x14ac:dyDescent="0.25">
      <c r="A1347" s="1" t="str">
        <f ca="1">IFERROR(__xludf.DUMMYFUNCTION("GOOGLETRANSLATE(English!A1347, ""en"", ""bg"")"),"qa_12574")</f>
        <v>qa_12574</v>
      </c>
      <c r="B1347" s="1" t="str">
        <f ca="1">IFERROR(__xludf.DUMMYFUNCTION("GOOGLETRANSLATE(English!B1347, ""en"", ""bg"")"),"биология")</f>
        <v>биология</v>
      </c>
      <c r="C1347" s="1" t="str">
        <f ca="1">IFERROR(__xludf.DUMMYFUNCTION("GOOGLETRANSLATE(English!C1347, ""en"", ""bg"")"),"средата")</f>
        <v>средата</v>
      </c>
      <c r="D1347" s="1" t="str">
        <f ca="1">IFERROR(__xludf.DUMMYFUNCTION("GOOGLETRANSLATE(English!D1347, ""en"", ""bg"")"),"екосистеми")</f>
        <v>екосистеми</v>
      </c>
      <c r="E1347" s="1" t="str">
        <f ca="1">IFERROR(__xludf.DUMMYFUNCTION("GOOGLETRANSLATE(English!E1347, ""en"", ""bg"")"),"Можете ли да ми разкажете за екосистемите?")</f>
        <v>Можете ли да ми разкажете за екосистемите?</v>
      </c>
      <c r="F1347" s="1" t="str">
        <f ca="1">IFERROR(__xludf.DUMMYFUNCTION("GOOGLETRANSLATE(English!F1347,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1347" s="1" t="str">
        <f ca="1">IFERROR(__xludf.DUMMYFUNCTION("GOOGLETRANSLATE(English!G1347, ""en"", ""bg"")"),"direct_qa")</f>
        <v>direct_qa</v>
      </c>
      <c r="H1347" s="1" t="str">
        <f ca="1">IFERROR(__xludf.DUMMYFUNCTION("GOOGLETRANSLATE(English!H1347, ""en"", ""bg"")"),"заявка_за_знание")</f>
        <v>заявка_за_знание</v>
      </c>
    </row>
    <row r="1348" spans="1:8" ht="13.2" x14ac:dyDescent="0.25">
      <c r="A1348" s="1" t="str">
        <f ca="1">IFERROR(__xludf.DUMMYFUNCTION("GOOGLETRANSLATE(English!A1348, ""en"", ""bg"")"),"qa_02559")</f>
        <v>qa_02559</v>
      </c>
      <c r="B1348" s="1" t="str">
        <f ca="1">IFERROR(__xludf.DUMMYFUNCTION("GOOGLETRANSLATE(English!B1348, ""en"", ""bg"")"),"физика")</f>
        <v>физика</v>
      </c>
      <c r="C1348" s="1" t="str">
        <f ca="1">IFERROR(__xludf.DUMMYFUNCTION("GOOGLETRANSLATE(English!C1348, ""en"", ""bg"")"),"високо")</f>
        <v>високо</v>
      </c>
      <c r="D1348" s="1" t="str">
        <f ca="1">IFERROR(__xludf.DUMMYFUNCTION("GOOGLETRANSLATE(English!D1348, ""en"", ""bg"")"),"радиоактивност")</f>
        <v>радиоактивност</v>
      </c>
      <c r="E1348" s="1" t="str">
        <f ca="1">IFERROR(__xludf.DUMMYFUNCTION("GOOGLETRANSLATE(English!E1348, ""en"", ""bg"")"),"Как работи радиоактивността във физиката?")</f>
        <v>Как работи радиоактивността във физиката?</v>
      </c>
      <c r="F1348" s="1" t="str">
        <f ca="1">IFERROR(__xludf.DUMMYFUNCTION("GOOGLETRANSLATE(English!F1348,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1348" s="1" t="str">
        <f ca="1">IFERROR(__xludf.DUMMYFUNCTION("GOOGLETRANSLATE(English!G1348, ""en"", ""bg"")"),"direct_qa")</f>
        <v>direct_qa</v>
      </c>
      <c r="H1348" s="1" t="str">
        <f ca="1">IFERROR(__xludf.DUMMYFUNCTION("GOOGLETRANSLATE(English!H1348, ""en"", ""bg"")"),"заявка_за_знание")</f>
        <v>заявка_за_знание</v>
      </c>
    </row>
    <row r="1349" spans="1:8" ht="13.2" x14ac:dyDescent="0.25">
      <c r="A1349" s="1" t="str">
        <f ca="1">IFERROR(__xludf.DUMMYFUNCTION("GOOGLETRANSLATE(English!A1349, ""en"", ""bg"")"),"qa_09792")</f>
        <v>qa_09792</v>
      </c>
      <c r="B1349" s="1" t="str">
        <f ca="1">IFERROR(__xludf.DUMMYFUNCTION("GOOGLETRANSLATE(English!B1349, ""en"", ""bg"")"),"физика")</f>
        <v>физика</v>
      </c>
      <c r="C1349" s="1" t="str">
        <f ca="1">IFERROR(__xludf.DUMMYFUNCTION("GOOGLETRANSLATE(English!C1349, ""en"", ""bg"")"),"елементарен")</f>
        <v>елементарен</v>
      </c>
      <c r="D1349" s="1" t="str">
        <f ca="1">IFERROR(__xludf.DUMMYFUNCTION("GOOGLETRANSLATE(English!D1349, ""en"", ""bg"")"),"плаващ и потъващ")</f>
        <v>плаващ и потъващ</v>
      </c>
      <c r="E1349" s="1" t="str">
        <f ca="1">IFERROR(__xludf.DUMMYFUNCTION("GOOGLETRANSLATE(English!E1349, ""en"", ""bg"")"),"Можете ли да ми обясните какво е плаване и потъване?")</f>
        <v>Можете ли да ми обясните какво е плаване и потъване?</v>
      </c>
      <c r="F1349" s="1" t="str">
        <f ca="1">IFERROR(__xludf.DUMMYFUNCTION("GOOGLETRANSLATE(English!F1349,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1349" s="1" t="str">
        <f ca="1">IFERROR(__xludf.DUMMYFUNCTION("GOOGLETRANSLATE(English!G1349, ""en"", ""bg"")"),"direct_qa")</f>
        <v>direct_qa</v>
      </c>
      <c r="H1349" s="1" t="str">
        <f ca="1">IFERROR(__xludf.DUMMYFUNCTION("GOOGLETRANSLATE(English!H1349, ""en"", ""bg"")"),"заявка_за_знание")</f>
        <v>заявка_за_знание</v>
      </c>
    </row>
    <row r="1350" spans="1:8" ht="13.2" x14ac:dyDescent="0.25">
      <c r="A1350" s="1" t="str">
        <f ca="1">IFERROR(__xludf.DUMMYFUNCTION("GOOGLETRANSLATE(English!A1350, ""en"", ""bg"")"),"qa_13827")</f>
        <v>qa_13827</v>
      </c>
      <c r="B1350" s="1" t="str">
        <f ca="1">IFERROR(__xludf.DUMMYFUNCTION("GOOGLETRANSLATE(English!B1350, ""en"", ""bg"")"),"биология")</f>
        <v>биология</v>
      </c>
      <c r="C1350" s="1" t="str">
        <f ca="1">IFERROR(__xludf.DUMMYFUNCTION("GOOGLETRANSLATE(English!C1350, ""en"", ""bg"")"),"елементарен")</f>
        <v>елементарен</v>
      </c>
      <c r="D1350" s="1" t="str">
        <f ca="1">IFERROR(__xludf.DUMMYFUNCTION("GOOGLETRANSLATE(English!D1350, ""en"", ""bg"")"),"основни нужди")</f>
        <v>основни нужди</v>
      </c>
      <c r="E1350" s="1" t="str">
        <f ca="1">IFERROR(__xludf.DUMMYFUNCTION("GOOGLETRANSLATE(English!E1350, ""en"", ""bg"")"),"Как функционират основните потребности?")</f>
        <v>Как функционират основните потребности?</v>
      </c>
      <c r="F1350" s="1" t="str">
        <f ca="1">IFERROR(__xludf.DUMMYFUNCTION("GOOGLETRANSLATE(English!F1350,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1350" s="1" t="str">
        <f ca="1">IFERROR(__xludf.DUMMYFUNCTION("GOOGLETRANSLATE(English!G1350, ""en"", ""bg"")"),"direct_qa")</f>
        <v>direct_qa</v>
      </c>
      <c r="H1350" s="1" t="str">
        <f ca="1">IFERROR(__xludf.DUMMYFUNCTION("GOOGLETRANSLATE(English!H1350, ""en"", ""bg"")"),"заявка_за_знание")</f>
        <v>заявка_за_знание</v>
      </c>
    </row>
    <row r="1351" spans="1:8" ht="13.2" x14ac:dyDescent="0.25">
      <c r="A1351" s="1" t="str">
        <f ca="1">IFERROR(__xludf.DUMMYFUNCTION("GOOGLETRANSLATE(English!A1351, ""en"", ""bg"")"),"conv_19507")</f>
        <v>conv_19507</v>
      </c>
      <c r="B1351" s="1" t="str">
        <f ca="1">IFERROR(__xludf.DUMMYFUNCTION("GOOGLETRANSLATE(English!B1351, ""en"", ""bg"")"),"физика")</f>
        <v>физика</v>
      </c>
      <c r="C1351" s="1" t="str">
        <f ca="1">IFERROR(__xludf.DUMMYFUNCTION("GOOGLETRANSLATE(English!C1351, ""en"", ""bg"")"),"средата")</f>
        <v>средата</v>
      </c>
      <c r="D1351" s="1" t="str">
        <f ca="1">IFERROR(__xludf.DUMMYFUNCTION("GOOGLETRANSLATE(English!D1351, ""en"", ""bg"")"),"прости схеми")</f>
        <v>прости схеми</v>
      </c>
      <c r="E1351" s="1" t="str">
        <f ca="1">IFERROR(__xludf.DUMMYFUNCTION("GOOGLETRANSLATE(English!E1351, ""en"", ""bg"")"),"Помогнете ми да уча за теста си. Защо простите електрически вериги са важни?")</f>
        <v>Помогнете ми да уча за теста си. Защо простите електрически вериги са важни?</v>
      </c>
      <c r="F1351" s="1" t="str">
        <f ca="1">IFERROR(__xludf.DUMMYFUNCTION("GOOGLETRANSLATE(English!F1351,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351" s="1" t="str">
        <f ca="1">IFERROR(__xludf.DUMMYFUNCTION("GOOGLETRANSLATE(English!G1351, ""en"", ""bg"")"),"разговор")</f>
        <v>разговор</v>
      </c>
      <c r="H1351" s="1" t="str">
        <f ca="1">IFERROR(__xludf.DUMMYFUNCTION("GOOGLETRANSLATE(English!H1351, ""en"", ""bg"")"),"образователна_помощ")</f>
        <v>образователна_помощ</v>
      </c>
    </row>
    <row r="1352" spans="1:8" ht="13.2" x14ac:dyDescent="0.25">
      <c r="A1352" s="1" t="str">
        <f ca="1">IFERROR(__xludf.DUMMYFUNCTION("GOOGLETRANSLATE(English!A1352, ""en"", ""bg"")"),"conv_19766")</f>
        <v>conv_19766</v>
      </c>
      <c r="B1352" s="1" t="str">
        <f ca="1">IFERROR(__xludf.DUMMYFUNCTION("GOOGLETRANSLATE(English!B1352, ""en"", ""bg"")"),"физика")</f>
        <v>физика</v>
      </c>
      <c r="C1352" s="1" t="str">
        <f ca="1">IFERROR(__xludf.DUMMYFUNCTION("GOOGLETRANSLATE(English!C1352, ""en"", ""bg"")"),"високо")</f>
        <v>високо</v>
      </c>
      <c r="D1352" s="1" t="str">
        <f ca="1">IFERROR(__xludf.DUMMYFUNCTION("GOOGLETRANSLATE(English!D1352, ""en"", ""bg"")"),"електромагнетизъм")</f>
        <v>електромагнетизъм</v>
      </c>
      <c r="E1352" s="1" t="str">
        <f ca="1">IFERROR(__xludf.DUMMYFUNCTION("GOOGLETRANSLATE(English!E1352, ""en"", ""bg"")"),"Можете ли да ми помогнете? Как работи електромагнетизмът във физиката?")</f>
        <v>Можете ли да ми помогнете? Как работи електромагнетизмът във физиката?</v>
      </c>
      <c r="F1352" s="1" t="str">
        <f ca="1">IFERROR(__xludf.DUMMYFUNCTION("GOOGLETRANSLATE(English!F1352,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1352" s="1" t="str">
        <f ca="1">IFERROR(__xludf.DUMMYFUNCTION("GOOGLETRANSLATE(English!G1352, ""en"", ""bg"")"),"разговор")</f>
        <v>разговор</v>
      </c>
      <c r="H1352" s="1" t="str">
        <f ca="1">IFERROR(__xludf.DUMMYFUNCTION("GOOGLETRANSLATE(English!H1352, ""en"", ""bg"")"),"образователна_помощ")</f>
        <v>образователна_помощ</v>
      </c>
    </row>
    <row r="1353" spans="1:8" ht="13.2" x14ac:dyDescent="0.25">
      <c r="A1353" s="1" t="str">
        <f ca="1">IFERROR(__xludf.DUMMYFUNCTION("GOOGLETRANSLATE(English!A1353, ""en"", ""bg"")"),"conv_09360")</f>
        <v>conv_09360</v>
      </c>
      <c r="B1353" s="1" t="str">
        <f ca="1">IFERROR(__xludf.DUMMYFUNCTION("GOOGLETRANSLATE(English!B1353, ""en"", ""bg"")"),"биология")</f>
        <v>биология</v>
      </c>
      <c r="C1353" s="1" t="str">
        <f ca="1">IFERROR(__xludf.DUMMYFUNCTION("GOOGLETRANSLATE(English!C1353, ""en"", ""bg"")"),"средата")</f>
        <v>средата</v>
      </c>
      <c r="D1353" s="1" t="str">
        <f ca="1">IFERROR(__xludf.DUMMYFUNCTION("GOOGLETRANSLATE(English!D1353, ""en"", ""bg"")"),"екосистеми")</f>
        <v>екосистеми</v>
      </c>
      <c r="E1353" s="1" t="str">
        <f ca="1">IFERROR(__xludf.DUMMYFUNCTION("GOOGLETRANSLATE(English!E1353, ""en"", ""bg"")"),"Можете ли да ми помогнете? Как функционират екосистемите?")</f>
        <v>Можете ли да ми помогнете? Как функционират екосистемите?</v>
      </c>
      <c r="F1353" s="1" t="str">
        <f ca="1">IFERROR(__xludf.DUMMYFUNCTION("GOOGLETRANSLATE(English!F1353,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1353" s="1" t="str">
        <f ca="1">IFERROR(__xludf.DUMMYFUNCTION("GOOGLETRANSLATE(English!G1353, ""en"", ""bg"")"),"разговор")</f>
        <v>разговор</v>
      </c>
      <c r="H1353" s="1" t="str">
        <f ca="1">IFERROR(__xludf.DUMMYFUNCTION("GOOGLETRANSLATE(English!H1353, ""en"", ""bg"")"),"образователна_помощ")</f>
        <v>образователна_помощ</v>
      </c>
    </row>
    <row r="1354" spans="1:8" ht="13.2" x14ac:dyDescent="0.25">
      <c r="A1354" s="1" t="str">
        <f ca="1">IFERROR(__xludf.DUMMYFUNCTION("GOOGLETRANSLATE(English!A1354, ""en"", ""bg"")"),"qa_04805")</f>
        <v>qa_04805</v>
      </c>
      <c r="B1354" s="1" t="str">
        <f ca="1">IFERROR(__xludf.DUMMYFUNCTION("GOOGLETRANSLATE(English!B1354, ""en"", ""bg"")"),"физика")</f>
        <v>физика</v>
      </c>
      <c r="C1354" s="1" t="str">
        <f ca="1">IFERROR(__xludf.DUMMYFUNCTION("GOOGLETRANSLATE(English!C1354, ""en"", ""bg"")"),"средата")</f>
        <v>средата</v>
      </c>
      <c r="D1354" s="1" t="str">
        <f ca="1">IFERROR(__xludf.DUMMYFUNCTION("GOOGLETRANSLATE(English!D1354, ""en"", ""bg"")"),"основи на електричеството")</f>
        <v>основи на електричеството</v>
      </c>
      <c r="E1354" s="1" t="str">
        <f ca="1">IFERROR(__xludf.DUMMYFUNCTION("GOOGLETRANSLATE(English!E1354, ""en"", ""bg"")"),"Как работят основите на електричеството във физиката?")</f>
        <v>Как работят основите на електричеството във физиката?</v>
      </c>
      <c r="F1354" s="1" t="str">
        <f ca="1">IFERROR(__xludf.DUMMYFUNCTION("GOOGLETRANSLATE(English!F1354,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1354" s="1" t="str">
        <f ca="1">IFERROR(__xludf.DUMMYFUNCTION("GOOGLETRANSLATE(English!G1354, ""en"", ""bg"")"),"direct_qa")</f>
        <v>direct_qa</v>
      </c>
      <c r="H1354" s="1" t="str">
        <f ca="1">IFERROR(__xludf.DUMMYFUNCTION("GOOGLETRANSLATE(English!H1354, ""en"", ""bg"")"),"заявка_за_знание")</f>
        <v>заявка_за_знание</v>
      </c>
    </row>
    <row r="1355" spans="1:8" ht="13.2" x14ac:dyDescent="0.25">
      <c r="A1355" s="1" t="str">
        <f ca="1">IFERROR(__xludf.DUMMYFUNCTION("GOOGLETRANSLATE(English!A1355, ""en"", ""bg"")"),"conv_06581")</f>
        <v>conv_06581</v>
      </c>
      <c r="B1355" s="1" t="str">
        <f ca="1">IFERROR(__xludf.DUMMYFUNCTION("GOOGLETRANSLATE(English!B1355, ""en"", ""bg"")"),"физика")</f>
        <v>физика</v>
      </c>
      <c r="C1355" s="1" t="str">
        <f ca="1">IFERROR(__xludf.DUMMYFUNCTION("GOOGLETRANSLATE(English!C1355, ""en"", ""bg"")"),"високо")</f>
        <v>високо</v>
      </c>
      <c r="D1355" s="1" t="str">
        <f ca="1">IFERROR(__xludf.DUMMYFUNCTION("GOOGLETRANSLATE(English!D1355, ""en"", ""bg"")"),"атомна структура")</f>
        <v>атомна структура</v>
      </c>
      <c r="E1355" s="1" t="str">
        <f ca="1">IFERROR(__xludf.DUMMYFUNCTION("GOOGLETRANSLATE(English!E1355, ""en"", ""bg"")"),"Здравей, преподавателю! Можеш ли да ми обясниш структурата на атома?")</f>
        <v>Здравей, преподавателю! Можеш ли да ми обясниш структурата на атома?</v>
      </c>
      <c r="F1355" s="1" t="str">
        <f ca="1">IFERROR(__xludf.DUMMYFUNCTION("GOOGLETRANSLATE(English!F1355,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1355" s="1" t="str">
        <f ca="1">IFERROR(__xludf.DUMMYFUNCTION("GOOGLETRANSLATE(English!G1355, ""en"", ""bg"")"),"разговор")</f>
        <v>разговор</v>
      </c>
      <c r="H1355" s="1" t="str">
        <f ca="1">IFERROR(__xludf.DUMMYFUNCTION("GOOGLETRANSLATE(English!H1355, ""en"", ""bg"")"),"образователна_помощ")</f>
        <v>образователна_помощ</v>
      </c>
    </row>
    <row r="1356" spans="1:8" ht="13.2" x14ac:dyDescent="0.25">
      <c r="A1356" s="1" t="str">
        <f ca="1">IFERROR(__xludf.DUMMYFUNCTION("GOOGLETRANSLATE(English!A1356, ""en"", ""bg"")"),"conv_09203")</f>
        <v>conv_09203</v>
      </c>
      <c r="B1356" s="1" t="str">
        <f ca="1">IFERROR(__xludf.DUMMYFUNCTION("GOOGLETRANSLATE(English!B1356, ""en"", ""bg"")"),"физика")</f>
        <v>физика</v>
      </c>
      <c r="C1356" s="1" t="str">
        <f ca="1">IFERROR(__xludf.DUMMYFUNCTION("GOOGLETRANSLATE(English!C1356, ""en"", ""bg"")"),"високо")</f>
        <v>високо</v>
      </c>
      <c r="D1356" s="1" t="str">
        <f ca="1">IFERROR(__xludf.DUMMYFUNCTION("GOOGLETRANSLATE(English!D1356, ""en"", ""bg"")"),"атомна структура")</f>
        <v>атомна структура</v>
      </c>
      <c r="E1356" s="1" t="str">
        <f ca="1">IFERROR(__xludf.DUMMYFUNCTION("GOOGLETRANSLATE(English!E1356, ""en"", ""bg"")"),"Помогнете ми да уча за теста си. Защо атомната структура е важна?")</f>
        <v>Помогнете ми да уча за теста си. Защо атомната структура е важна?</v>
      </c>
      <c r="F1356" s="1" t="str">
        <f ca="1">IFERROR(__xludf.DUMMYFUNCTION("GOOGLETRANSLATE(English!F1356,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1356" s="1" t="str">
        <f ca="1">IFERROR(__xludf.DUMMYFUNCTION("GOOGLETRANSLATE(English!G1356, ""en"", ""bg"")"),"разговор")</f>
        <v>разговор</v>
      </c>
      <c r="H1356" s="1" t="str">
        <f ca="1">IFERROR(__xludf.DUMMYFUNCTION("GOOGLETRANSLATE(English!H1356, ""en"", ""bg"")"),"образователна_помощ")</f>
        <v>образователна_помощ</v>
      </c>
    </row>
    <row r="1357" spans="1:8" ht="13.2" x14ac:dyDescent="0.25">
      <c r="A1357" s="1" t="str">
        <f ca="1">IFERROR(__xludf.DUMMYFUNCTION("GOOGLETRANSLATE(English!A1357, ""en"", ""bg"")"),"qa_09994")</f>
        <v>qa_09994</v>
      </c>
      <c r="B1357" s="1" t="str">
        <f ca="1">IFERROR(__xludf.DUMMYFUNCTION("GOOGLETRANSLATE(English!B1357, ""en"", ""bg"")"),"химия")</f>
        <v>химия</v>
      </c>
      <c r="C1357" s="1" t="str">
        <f ca="1">IFERROR(__xludf.DUMMYFUNCTION("GOOGLETRANSLATE(English!C1357, ""en"", ""bg"")"),"средата")</f>
        <v>средата</v>
      </c>
      <c r="D1357" s="1" t="str">
        <f ca="1">IFERROR(__xludf.DUMMYFUNCTION("GOOGLETRANSLATE(English!D1357, ""en"", ""bg"")"),"химични реакции")</f>
        <v>химични реакции</v>
      </c>
      <c r="E1357" s="1" t="str">
        <f ca="1">IFERROR(__xludf.DUMMYFUNCTION("GOOGLETRANSLATE(English!E1357, ""en"", ""bg"")"),"Какво е химична реакция?")</f>
        <v>Какво е химична реакция?</v>
      </c>
      <c r="F1357" s="1" t="str">
        <f ca="1">IFERROR(__xludf.DUMMYFUNCTION("GOOGLETRANSLATE(English!F1357,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1357" s="1" t="str">
        <f ca="1">IFERROR(__xludf.DUMMYFUNCTION("GOOGLETRANSLATE(English!G1357, ""en"", ""bg"")"),"direct_qa")</f>
        <v>direct_qa</v>
      </c>
      <c r="H1357" s="1" t="str">
        <f ca="1">IFERROR(__xludf.DUMMYFUNCTION("GOOGLETRANSLATE(English!H1357, ""en"", ""bg"")"),"заявка_за_знание")</f>
        <v>заявка_за_знание</v>
      </c>
    </row>
    <row r="1358" spans="1:8" ht="13.2" x14ac:dyDescent="0.25">
      <c r="A1358" s="1" t="str">
        <f ca="1">IFERROR(__xludf.DUMMYFUNCTION("GOOGLETRANSLATE(English!A1358, ""en"", ""bg"")"),"hw_06702")</f>
        <v>hw_06702</v>
      </c>
      <c r="B1358" s="1" t="str">
        <f ca="1">IFERROR(__xludf.DUMMYFUNCTION("GOOGLETRANSLATE(English!B1358, ""en"", ""bg"")"),"химия")</f>
        <v>химия</v>
      </c>
      <c r="C1358" s="1" t="str">
        <f ca="1">IFERROR(__xludf.DUMMYFUNCTION("GOOGLETRANSLATE(English!C1358, ""en"", ""bg"")"),"високо")</f>
        <v>високо</v>
      </c>
      <c r="D1358" s="1" t="str">
        <f ca="1">IFERROR(__xludf.DUMMYFUNCTION("GOOGLETRANSLATE(English!D1358, ""en"", ""bg"")"),"равновесие")</f>
        <v>равновесие</v>
      </c>
      <c r="E1358" s="1" t="str">
        <f ca="1">IFERROR(__xludf.DUMMYFUNCTION("GOOGLETRANSLATE(English!E1358,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1358" s="1" t="str">
        <f ca="1">IFERROR(__xludf.DUMMYFUNCTION("GOOGLETRANSLATE(English!F1358,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358" s="1" t="str">
        <f ca="1">IFERROR(__xludf.DUMMYFUNCTION("GOOGLETRANSLATE(English!G1358, ""en"", ""bg"")"),"помощ_за_домашно_изпълнение")</f>
        <v>помощ_за_домашно_изпълнение</v>
      </c>
      <c r="H1358" s="1" t="str">
        <f ca="1">IFERROR(__xludf.DUMMYFUNCTION("GOOGLETRANSLATE(English!H1358, ""en"", ""bg"")"),"помощ_за_домашно_задаване")</f>
        <v>помощ_за_домашно_задаване</v>
      </c>
    </row>
    <row r="1359" spans="1:8" ht="13.2" x14ac:dyDescent="0.25">
      <c r="A1359" s="1" t="str">
        <f ca="1">IFERROR(__xludf.DUMMYFUNCTION("GOOGLETRANSLATE(English!A1359, ""en"", ""bg"")"),"qa_06527")</f>
        <v>qa_06527</v>
      </c>
      <c r="B1359" s="1" t="str">
        <f ca="1">IFERROR(__xludf.DUMMYFUNCTION("GOOGLETRANSLATE(English!B1359, ""en"", ""bg"")"),"химия")</f>
        <v>химия</v>
      </c>
      <c r="C1359" s="1" t="str">
        <f ca="1">IFERROR(__xludf.DUMMYFUNCTION("GOOGLETRANSLATE(English!C1359, ""en"", ""bg"")"),"елементарен")</f>
        <v>елементарен</v>
      </c>
      <c r="D1359" s="1" t="str">
        <f ca="1">IFERROR(__xludf.DUMMYFUNCTION("GOOGLETRANSLATE(English!D1359, ""en"", ""bg"")"),"смесване на материали")</f>
        <v>смесване на материали</v>
      </c>
      <c r="E1359" s="1" t="str">
        <f ca="1">IFERROR(__xludf.DUMMYFUNCTION("GOOGLETRANSLATE(English!E1359, ""en"", ""bg"")"),"Как можете да отделите солта от водата?")</f>
        <v>Как можете да отделите солта от водата?</v>
      </c>
      <c r="F1359" s="1" t="str">
        <f ca="1">IFERROR(__xludf.DUMMYFUNCTION("GOOGLETRANSLATE(English!F1359,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1359" s="1" t="str">
        <f ca="1">IFERROR(__xludf.DUMMYFUNCTION("GOOGLETRANSLATE(English!G1359, ""en"", ""bg"")"),"direct_qa")</f>
        <v>direct_qa</v>
      </c>
      <c r="H1359" s="1" t="str">
        <f ca="1">IFERROR(__xludf.DUMMYFUNCTION("GOOGLETRANSLATE(English!H1359, ""en"", ""bg"")"),"заявка_за_знание")</f>
        <v>заявка_за_знание</v>
      </c>
    </row>
    <row r="1360" spans="1:8" ht="13.2" x14ac:dyDescent="0.25">
      <c r="A1360" s="1" t="str">
        <f ca="1">IFERROR(__xludf.DUMMYFUNCTION("GOOGLETRANSLATE(English!A1360, ""en"", ""bg"")"),"conv_00688")</f>
        <v>conv_00688</v>
      </c>
      <c r="B1360" s="1" t="str">
        <f ca="1">IFERROR(__xludf.DUMMYFUNCTION("GOOGLETRANSLATE(English!B1360, ""en"", ""bg"")"),"химия")</f>
        <v>химия</v>
      </c>
      <c r="C1360" s="1" t="str">
        <f ca="1">IFERROR(__xludf.DUMMYFUNCTION("GOOGLETRANSLATE(English!C1360, ""en"", ""bg"")"),"високо")</f>
        <v>високо</v>
      </c>
      <c r="D1360" s="1" t="str">
        <f ca="1">IFERROR(__xludf.DUMMYFUNCTION("GOOGLETRANSLATE(English!D1360, ""en"", ""bg"")"),"стехиометрия")</f>
        <v>стехиометрия</v>
      </c>
      <c r="E1360" s="1" t="str">
        <f ca="1">IFERROR(__xludf.DUMMYFUNCTION("GOOGLETRANSLATE(English!E1360, ""en"", ""bg"")"),"Не разбирам тази тема. Защо е важно да се учи стехиометрията?")</f>
        <v>Не разбирам тази тема. Защо е важно да се учи стехиометрията?</v>
      </c>
      <c r="F1360" s="1" t="str">
        <f ca="1">IFERROR(__xludf.DUMMYFUNCTION("GOOGLETRANSLATE(English!F1360,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1360" s="1" t="str">
        <f ca="1">IFERROR(__xludf.DUMMYFUNCTION("GOOGLETRANSLATE(English!G1360, ""en"", ""bg"")"),"разговор")</f>
        <v>разговор</v>
      </c>
      <c r="H1360" s="1" t="str">
        <f ca="1">IFERROR(__xludf.DUMMYFUNCTION("GOOGLETRANSLATE(English!H1360, ""en"", ""bg"")"),"образователна_помощ")</f>
        <v>образователна_помощ</v>
      </c>
    </row>
    <row r="1361" spans="1:8" ht="13.2" x14ac:dyDescent="0.25">
      <c r="A1361" s="1" t="str">
        <f ca="1">IFERROR(__xludf.DUMMYFUNCTION("GOOGLETRANSLATE(English!A1361, ""en"", ""bg"")"),"qa_11566")</f>
        <v>qa_11566</v>
      </c>
      <c r="B1361" s="1" t="str">
        <f ca="1">IFERROR(__xludf.DUMMYFUNCTION("GOOGLETRANSLATE(English!B1361, ""en"", ""bg"")"),"физика")</f>
        <v>физика</v>
      </c>
      <c r="C1361" s="1" t="str">
        <f ca="1">IFERROR(__xludf.DUMMYFUNCTION("GOOGLETRANSLATE(English!C1361, ""en"", ""bg"")"),"високо")</f>
        <v>високо</v>
      </c>
      <c r="D1361" s="1" t="str">
        <f ca="1">IFERROR(__xludf.DUMMYFUNCTION("GOOGLETRANSLATE(English!D1361, ""en"", ""bg"")"),"механика")</f>
        <v>механика</v>
      </c>
      <c r="E1361" s="1" t="str">
        <f ca="1">IFERROR(__xludf.DUMMYFUNCTION("GOOGLETRANSLATE(English!E1361, ""en"", ""bg"")"),"Какво трябва да знам за механиката?")</f>
        <v>Какво трябва да знам за механиката?</v>
      </c>
      <c r="F1361" s="1" t="str">
        <f ca="1">IFERROR(__xludf.DUMMYFUNCTION("GOOGLETRANSLATE(English!F1361,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1361" s="1" t="str">
        <f ca="1">IFERROR(__xludf.DUMMYFUNCTION("GOOGLETRANSLATE(English!G1361, ""en"", ""bg"")"),"direct_qa")</f>
        <v>direct_qa</v>
      </c>
      <c r="H1361" s="1" t="str">
        <f ca="1">IFERROR(__xludf.DUMMYFUNCTION("GOOGLETRANSLATE(English!H1361, ""en"", ""bg"")"),"заявка_за_знание")</f>
        <v>заявка_за_знание</v>
      </c>
    </row>
    <row r="1362" spans="1:8" ht="13.2" x14ac:dyDescent="0.25">
      <c r="A1362" s="1" t="str">
        <f ca="1">IFERROR(__xludf.DUMMYFUNCTION("GOOGLETRANSLATE(English!A1362, ""en"", ""bg"")"),"conv_05912")</f>
        <v>conv_05912</v>
      </c>
      <c r="B1362" s="1" t="str">
        <f ca="1">IFERROR(__xludf.DUMMYFUNCTION("GOOGLETRANSLATE(English!B1362, ""en"", ""bg"")"),"биология")</f>
        <v>биология</v>
      </c>
      <c r="C1362" s="1" t="str">
        <f ca="1">IFERROR(__xludf.DUMMYFUNCTION("GOOGLETRANSLATE(English!C1362, ""en"", ""bg"")"),"елементарен")</f>
        <v>елементарен</v>
      </c>
      <c r="D1362" s="1" t="str">
        <f ca="1">IFERROR(__xludf.DUMMYFUNCTION("GOOGLETRANSLATE(English!D1362, ""en"", ""bg"")"),"човешкото тяло")</f>
        <v>човешкото тяло</v>
      </c>
      <c r="E1362" s="1" t="str">
        <f ca="1">IFERROR(__xludf.DUMMYFUNCTION("GOOGLETRANSLATE(English!E1362, ""en"", ""bg"")"),"Здравей, преподавателю! Можеш ли да ми разкажеш за човешкото тяло?")</f>
        <v>Здравей, преподавателю! Можеш ли да ми разкажеш за човешкото тяло?</v>
      </c>
      <c r="F1362" s="1" t="str">
        <f ca="1">IFERROR(__xludf.DUMMYFUNCTION("GOOGLETRANSLATE(English!F1362,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1362" s="1" t="str">
        <f ca="1">IFERROR(__xludf.DUMMYFUNCTION("GOOGLETRANSLATE(English!G1362, ""en"", ""bg"")"),"разговор")</f>
        <v>разговор</v>
      </c>
      <c r="H1362" s="1" t="str">
        <f ca="1">IFERROR(__xludf.DUMMYFUNCTION("GOOGLETRANSLATE(English!H1362, ""en"", ""bg"")"),"образователна_помощ")</f>
        <v>образователна_помощ</v>
      </c>
    </row>
    <row r="1363" spans="1:8" ht="13.2" x14ac:dyDescent="0.25">
      <c r="A1363" s="1" t="str">
        <f ca="1">IFERROR(__xludf.DUMMYFUNCTION("GOOGLETRANSLATE(English!A1363, ""en"", ""bg"")"),"conv_06041")</f>
        <v>conv_06041</v>
      </c>
      <c r="B1363" s="1" t="str">
        <f ca="1">IFERROR(__xludf.DUMMYFUNCTION("GOOGLETRANSLATE(English!B1363, ""en"", ""bg"")"),"биология")</f>
        <v>биология</v>
      </c>
      <c r="C1363" s="1" t="str">
        <f ca="1">IFERROR(__xludf.DUMMYFUNCTION("GOOGLETRANSLATE(English!C1363, ""en"", ""bg"")"),"елементарен")</f>
        <v>елементарен</v>
      </c>
      <c r="D1363" s="1" t="str">
        <f ca="1">IFERROR(__xludf.DUMMYFUNCTION("GOOGLETRANSLATE(English!D1363, ""en"", ""bg"")"),"хранителни вериги")</f>
        <v>хранителни вериги</v>
      </c>
      <c r="E1363" s="1" t="str">
        <f ca="1">IFERROR(__xludf.DUMMYFUNCTION("GOOGLETRANSLATE(English!E1363, ""en"", ""bg"")"),"Здравей, преподавателю! Какво е важно да знаеш за хранителните вериги?")</f>
        <v>Здравей, преподавателю! Какво е важно да знаеш за хранителните вериги?</v>
      </c>
      <c r="F1363" s="1" t="str">
        <f ca="1">IFERROR(__xludf.DUMMYFUNCTION("GOOGLETRANSLATE(English!F1363,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1363" s="1" t="str">
        <f ca="1">IFERROR(__xludf.DUMMYFUNCTION("GOOGLETRANSLATE(English!G1363, ""en"", ""bg"")"),"разговор")</f>
        <v>разговор</v>
      </c>
      <c r="H1363" s="1" t="str">
        <f ca="1">IFERROR(__xludf.DUMMYFUNCTION("GOOGLETRANSLATE(English!H1363, ""en"", ""bg"")"),"образователна_помощ")</f>
        <v>образователна_помощ</v>
      </c>
    </row>
    <row r="1364" spans="1:8" ht="13.2" x14ac:dyDescent="0.25">
      <c r="A1364" s="1" t="str">
        <f ca="1">IFERROR(__xludf.DUMMYFUNCTION("GOOGLETRANSLATE(English!A1364, ""en"", ""bg"")"),"hw_01597")</f>
        <v>hw_01597</v>
      </c>
      <c r="B1364" s="1" t="str">
        <f ca="1">IFERROR(__xludf.DUMMYFUNCTION("GOOGLETRANSLATE(English!B1364, ""en"", ""bg"")"),"физика")</f>
        <v>физика</v>
      </c>
      <c r="C1364" s="1" t="str">
        <f ca="1">IFERROR(__xludf.DUMMYFUNCTION("GOOGLETRANSLATE(English!C1364, ""en"", ""bg"")"),"елементарен")</f>
        <v>елементарен</v>
      </c>
      <c r="D1364" s="1" t="str">
        <f ca="1">IFERROR(__xludf.DUMMYFUNCTION("GOOGLETRANSLATE(English!D1364, ""en"", ""bg"")"),"звук")</f>
        <v>звук</v>
      </c>
      <c r="E1364" s="1" t="str">
        <f ca="1">IFERROR(__xludf.DUMMYFUNCTION("GOOGLETRANSLATE(English!E1364,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1364" s="1" t="str">
        <f ca="1">IFERROR(__xludf.DUMMYFUNCTION("GOOGLETRANSLATE(English!F1364,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364" s="1" t="str">
        <f ca="1">IFERROR(__xludf.DUMMYFUNCTION("GOOGLETRANSLATE(English!G1364, ""en"", ""bg"")"),"помощ_за_домашно_изпълнение")</f>
        <v>помощ_за_домашно_изпълнение</v>
      </c>
      <c r="H1364" s="1" t="str">
        <f ca="1">IFERROR(__xludf.DUMMYFUNCTION("GOOGLETRANSLATE(English!H1364, ""en"", ""bg"")"),"помощ_за_домашно_задаване")</f>
        <v>помощ_за_домашно_задаване</v>
      </c>
    </row>
    <row r="1365" spans="1:8" ht="13.2" x14ac:dyDescent="0.25">
      <c r="A1365" s="1" t="str">
        <f ca="1">IFERROR(__xludf.DUMMYFUNCTION("GOOGLETRANSLATE(English!A1365, ""en"", ""bg"")"),"qa_02491")</f>
        <v>qa_02491</v>
      </c>
      <c r="B1365" s="1" t="str">
        <f ca="1">IFERROR(__xludf.DUMMYFUNCTION("GOOGLETRANSLATE(English!B1365, ""en"", ""bg"")"),"биология")</f>
        <v>биология</v>
      </c>
      <c r="C1365" s="1" t="str">
        <f ca="1">IFERROR(__xludf.DUMMYFUNCTION("GOOGLETRANSLATE(English!C1365, ""en"", ""bg"")"),"елементарен")</f>
        <v>елементарен</v>
      </c>
      <c r="D1365" s="1" t="str">
        <f ca="1">IFERROR(__xludf.DUMMYFUNCTION("GOOGLETRANSLATE(English!D1365, ""en"", ""bg"")"),"основни нужди")</f>
        <v>основни нужди</v>
      </c>
      <c r="E1365" s="1" t="str">
        <f ca="1">IFERROR(__xludf.DUMMYFUNCTION("GOOGLETRANSLATE(English!E1365, ""en"", ""bg"")"),"Защо основните потребности са важни в биологията?")</f>
        <v>Защо основните потребности са важни в биологията?</v>
      </c>
      <c r="F1365" s="1" t="str">
        <f ca="1">IFERROR(__xludf.DUMMYFUNCTION("GOOGLETRANSLATE(English!F1365, ""en"", ""bg"")"),"Основните потребности са важни, защото ни помагат да разберем живота и как живите същества оцеляват.")</f>
        <v>Основните потребности са важни, защото ни помагат да разберем живота и как живите същества оцеляват.</v>
      </c>
      <c r="G1365" s="1" t="str">
        <f ca="1">IFERROR(__xludf.DUMMYFUNCTION("GOOGLETRANSLATE(English!G1365, ""en"", ""bg"")"),"direct_qa")</f>
        <v>direct_qa</v>
      </c>
      <c r="H1365" s="1" t="str">
        <f ca="1">IFERROR(__xludf.DUMMYFUNCTION("GOOGLETRANSLATE(English!H1365, ""en"", ""bg"")"),"заявка_за_знание")</f>
        <v>заявка_за_знание</v>
      </c>
    </row>
    <row r="1366" spans="1:8" ht="13.2" x14ac:dyDescent="0.25">
      <c r="A1366" s="1" t="str">
        <f ca="1">IFERROR(__xludf.DUMMYFUNCTION("GOOGLETRANSLATE(English!A1366, ""en"", ""bg"")"),"hw_02644")</f>
        <v>hw_02644</v>
      </c>
      <c r="B1366" s="1" t="str">
        <f ca="1">IFERROR(__xludf.DUMMYFUNCTION("GOOGLETRANSLATE(English!B1366, ""en"", ""bg"")"),"биология")</f>
        <v>биология</v>
      </c>
      <c r="C1366" s="1" t="str">
        <f ca="1">IFERROR(__xludf.DUMMYFUNCTION("GOOGLETRANSLATE(English!C1366, ""en"", ""bg"")"),"средата")</f>
        <v>средата</v>
      </c>
      <c r="D1366" s="1" t="str">
        <f ca="1">IFERROR(__xludf.DUMMYFUNCTION("GOOGLETRANSLATE(English!D1366, ""en"", ""bg"")"),"основи на еволюцията")</f>
        <v>основи на еволюцията</v>
      </c>
      <c r="E1366" s="1" t="str">
        <f ca="1">IFERROR(__xludf.DUMMYFUNCTION("GOOGLETRANSLATE(English!E1366, ""en"", ""bg"")"),"Трябва да напиша доклад за основите на еволюцията. Можете ли да ми помогнете да започна?")</f>
        <v>Трябва да напиша доклад за основите на еволюцията. Можете ли да ми помогнете да започна?</v>
      </c>
      <c r="F1366" s="1" t="str">
        <f ca="1">IFERROR(__xludf.DUMMYFUNCTION("GOOGLETRANSLATE(English!F1366,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1366" s="1" t="str">
        <f ca="1">IFERROR(__xludf.DUMMYFUNCTION("GOOGLETRANSLATE(English!G1366, ""en"", ""bg"")"),"помощ_за_домашно_изпълнение")</f>
        <v>помощ_за_домашно_изпълнение</v>
      </c>
      <c r="H1366" s="1" t="str">
        <f ca="1">IFERROR(__xludf.DUMMYFUNCTION("GOOGLETRANSLATE(English!H1366, ""en"", ""bg"")"),"помощ_за_домашно_задаване")</f>
        <v>помощ_за_домашно_задаване</v>
      </c>
    </row>
    <row r="1367" spans="1:8" ht="13.2" x14ac:dyDescent="0.25">
      <c r="A1367" s="1" t="str">
        <f ca="1">IFERROR(__xludf.DUMMYFUNCTION("GOOGLETRANSLATE(English!A1367, ""en"", ""bg"")"),"conv_01330")</f>
        <v>conv_01330</v>
      </c>
      <c r="B1367" s="1" t="str">
        <f ca="1">IFERROR(__xludf.DUMMYFUNCTION("GOOGLETRANSLATE(English!B1367, ""en"", ""bg"")"),"биология")</f>
        <v>биология</v>
      </c>
      <c r="C1367" s="1" t="str">
        <f ca="1">IFERROR(__xludf.DUMMYFUNCTION("GOOGLETRANSLATE(English!C1367, ""en"", ""bg"")"),"средата")</f>
        <v>средата</v>
      </c>
      <c r="D1367" s="1" t="str">
        <f ca="1">IFERROR(__xludf.DUMMYFUNCTION("GOOGLETRANSLATE(English!D1367, ""en"", ""bg"")"),"класификация")</f>
        <v>класификация</v>
      </c>
      <c r="E1367" s="1" t="str">
        <f ca="1">IFERROR(__xludf.DUMMYFUNCTION("GOOGLETRANSLATE(English!E1367, ""en"", ""bg"")"),"Можете ли да ми обясните това? Какво е важно да се знае за класификацията?")</f>
        <v>Можете ли да ми обясните това? Какво е важно да се знае за класификацията?</v>
      </c>
      <c r="F1367" s="1" t="str">
        <f ca="1">IFERROR(__xludf.DUMMYFUNCTION("GOOGLETRANSLATE(English!F1367,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1367" s="1" t="str">
        <f ca="1">IFERROR(__xludf.DUMMYFUNCTION("GOOGLETRANSLATE(English!G1367, ""en"", ""bg"")"),"разговор")</f>
        <v>разговор</v>
      </c>
      <c r="H1367" s="1" t="str">
        <f ca="1">IFERROR(__xludf.DUMMYFUNCTION("GOOGLETRANSLATE(English!H1367, ""en"", ""bg"")"),"образователна_помощ")</f>
        <v>образователна_помощ</v>
      </c>
    </row>
    <row r="1368" spans="1:8" ht="13.2" x14ac:dyDescent="0.25">
      <c r="A1368" s="1" t="str">
        <f ca="1">IFERROR(__xludf.DUMMYFUNCTION("GOOGLETRANSLATE(English!A1368, ""en"", ""bg"")"),"conv_00049")</f>
        <v>conv_00049</v>
      </c>
      <c r="B1368" s="1" t="str">
        <f ca="1">IFERROR(__xludf.DUMMYFUNCTION("GOOGLETRANSLATE(English!B1368, ""en"", ""bg"")"),"химия")</f>
        <v>химия</v>
      </c>
      <c r="C1368" s="1" t="str">
        <f ca="1">IFERROR(__xludf.DUMMYFUNCTION("GOOGLETRANSLATE(English!C1368, ""en"", ""bg"")"),"високо")</f>
        <v>високо</v>
      </c>
      <c r="D1368" s="1" t="str">
        <f ca="1">IFERROR(__xludf.DUMMYFUNCTION("GOOGLETRANSLATE(English!D1368, ""en"", ""bg"")"),"равновесие")</f>
        <v>равновесие</v>
      </c>
      <c r="E1368" s="1" t="str">
        <f ca="1">IFERROR(__xludf.DUMMYFUNCTION("GOOGLETRANSLATE(English!E1368, ""en"", ""bg"")"),"Можете ли да ми обясните това? Какво е равновесие?")</f>
        <v>Можете ли да ми обясните това? Какво е равновесие?</v>
      </c>
      <c r="F1368" s="1" t="str">
        <f ca="1">IFERROR(__xludf.DUMMYFUNCTION("GOOGLETRANSLATE(English!F1368,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1368" s="1" t="str">
        <f ca="1">IFERROR(__xludf.DUMMYFUNCTION("GOOGLETRANSLATE(English!G1368, ""en"", ""bg"")"),"разговор")</f>
        <v>разговор</v>
      </c>
      <c r="H1368" s="1" t="str">
        <f ca="1">IFERROR(__xludf.DUMMYFUNCTION("GOOGLETRANSLATE(English!H1368, ""en"", ""bg"")"),"образователна_помощ")</f>
        <v>образователна_помощ</v>
      </c>
    </row>
    <row r="1369" spans="1:8" ht="13.2" x14ac:dyDescent="0.25">
      <c r="A1369" s="1" t="str">
        <f ca="1">IFERROR(__xludf.DUMMYFUNCTION("GOOGLETRANSLATE(English!A1369, ""en"", ""bg"")"),"qa_07652")</f>
        <v>qa_07652</v>
      </c>
      <c r="B1369" s="1" t="str">
        <f ca="1">IFERROR(__xludf.DUMMYFUNCTION("GOOGLETRANSLATE(English!B1369, ""en"", ""bg"")"),"физика")</f>
        <v>физика</v>
      </c>
      <c r="C1369" s="1" t="str">
        <f ca="1">IFERROR(__xludf.DUMMYFUNCTION("GOOGLETRANSLATE(English!C1369, ""en"", ""bg"")"),"елементарен")</f>
        <v>елементарен</v>
      </c>
      <c r="D1369" s="1" t="str">
        <f ca="1">IFERROR(__xludf.DUMMYFUNCTION("GOOGLETRANSLATE(English!D1369, ""en"", ""bg"")"),"светлина и сянка")</f>
        <v>светлина и сянка</v>
      </c>
      <c r="E1369" s="1" t="str">
        <f ca="1">IFERROR(__xludf.DUMMYFUNCTION("GOOGLETRANSLATE(English!E1369, ""en"", ""bg"")"),"Какво се случва, когато светлината попадне в огледало?")</f>
        <v>Какво се случва, когато светлината попадне в огледало?</v>
      </c>
      <c r="F1369" s="1" t="str">
        <f ca="1">IFERROR(__xludf.DUMMYFUNCTION("GOOGLETRANSLATE(English!F1369,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1369" s="1" t="str">
        <f ca="1">IFERROR(__xludf.DUMMYFUNCTION("GOOGLETRANSLATE(English!G1369, ""en"", ""bg"")"),"direct_qa")</f>
        <v>direct_qa</v>
      </c>
      <c r="H1369" s="1" t="str">
        <f ca="1">IFERROR(__xludf.DUMMYFUNCTION("GOOGLETRANSLATE(English!H1369, ""en"", ""bg"")"),"заявка_за_знание")</f>
        <v>заявка_за_знание</v>
      </c>
    </row>
    <row r="1370" spans="1:8" ht="13.2" x14ac:dyDescent="0.25">
      <c r="A1370" s="1" t="str">
        <f ca="1">IFERROR(__xludf.DUMMYFUNCTION("GOOGLETRANSLATE(English!A1370, ""en"", ""bg"")"),"qa_05883")</f>
        <v>qa_05883</v>
      </c>
      <c r="B1370" s="1" t="str">
        <f ca="1">IFERROR(__xludf.DUMMYFUNCTION("GOOGLETRANSLATE(English!B1370, ""en"", ""bg"")"),"физика")</f>
        <v>физика</v>
      </c>
      <c r="C1370" s="1" t="str">
        <f ca="1">IFERROR(__xludf.DUMMYFUNCTION("GOOGLETRANSLATE(English!C1370, ""en"", ""bg"")"),"елементарен")</f>
        <v>елементарен</v>
      </c>
      <c r="D1370" s="1" t="str">
        <f ca="1">IFERROR(__xludf.DUMMYFUNCTION("GOOGLETRANSLATE(English!D1370, ""en"", ""bg"")"),"светлина и сянка")</f>
        <v>светлина и сянка</v>
      </c>
      <c r="E1370" s="1" t="str">
        <f ca="1">IFERROR(__xludf.DUMMYFUNCTION("GOOGLETRANSLATE(English!E1370, ""en"", ""bg"")"),"Защо можем да виждаме цветове?")</f>
        <v>Защо можем да виждаме цветове?</v>
      </c>
      <c r="F1370" s="1" t="str">
        <f ca="1">IFERROR(__xludf.DUMMYFUNCTION("GOOGLETRANSLATE(English!F1370,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1370" s="1" t="str">
        <f ca="1">IFERROR(__xludf.DUMMYFUNCTION("GOOGLETRANSLATE(English!G1370, ""en"", ""bg"")"),"direct_qa")</f>
        <v>direct_qa</v>
      </c>
      <c r="H1370" s="1" t="str">
        <f ca="1">IFERROR(__xludf.DUMMYFUNCTION("GOOGLETRANSLATE(English!H1370, ""en"", ""bg"")"),"заявка_за_знание")</f>
        <v>заявка_за_знание</v>
      </c>
    </row>
    <row r="1371" spans="1:8" ht="13.2" x14ac:dyDescent="0.25">
      <c r="A1371" s="1" t="str">
        <f ca="1">IFERROR(__xludf.DUMMYFUNCTION("GOOGLETRANSLATE(English!A1371, ""en"", ""bg"")"),"hw_00824")</f>
        <v>hw_00824</v>
      </c>
      <c r="B1371" s="1" t="str">
        <f ca="1">IFERROR(__xludf.DUMMYFUNCTION("GOOGLETRANSLATE(English!B1371, ""en"", ""bg"")"),"биология")</f>
        <v>биология</v>
      </c>
      <c r="C1371" s="1" t="str">
        <f ca="1">IFERROR(__xludf.DUMMYFUNCTION("GOOGLETRANSLATE(English!C1371, ""en"", ""bg"")"),"средата")</f>
        <v>средата</v>
      </c>
      <c r="D1371" s="1" t="str">
        <f ca="1">IFERROR(__xludf.DUMMYFUNCTION("GOOGLETRANSLATE(English!D1371, ""en"", ""bg"")"),"класификация")</f>
        <v>класификация</v>
      </c>
      <c r="E1371" s="1" t="str">
        <f ca="1">IFERROR(__xludf.DUMMYFUNCTION("GOOGLETRANSLATE(English!E1371, ""en"", ""bg"")"),"Утре имам тест по класификация. Помогни ми да уча!")</f>
        <v>Утре имам тест по класификация. Помогни ми да уча!</v>
      </c>
      <c r="F1371" s="1" t="str">
        <f ca="1">IFERROR(__xludf.DUMMYFUNCTION("GOOGLETRANSLATE(English!F1371,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1371" s="1" t="str">
        <f ca="1">IFERROR(__xludf.DUMMYFUNCTION("GOOGLETRANSLATE(English!G1371, ""en"", ""bg"")"),"помощ_за_домашно_изпълнение")</f>
        <v>помощ_за_домашно_изпълнение</v>
      </c>
      <c r="H1371" s="1" t="str">
        <f ca="1">IFERROR(__xludf.DUMMYFUNCTION("GOOGLETRANSLATE(English!H1371, ""en"", ""bg"")"),"помощ_за_домашно_задаване")</f>
        <v>помощ_за_домашно_задаване</v>
      </c>
    </row>
    <row r="1372" spans="1:8" ht="13.2" x14ac:dyDescent="0.25">
      <c r="A1372" s="1" t="str">
        <f ca="1">IFERROR(__xludf.DUMMYFUNCTION("GOOGLETRANSLATE(English!A1372, ""en"", ""bg"")"),"conv_06464")</f>
        <v>conv_06464</v>
      </c>
      <c r="B1372" s="1" t="str">
        <f ca="1">IFERROR(__xludf.DUMMYFUNCTION("GOOGLETRANSLATE(English!B1372, ""en"", ""bg"")"),"физика")</f>
        <v>физика</v>
      </c>
      <c r="C1372" s="1" t="str">
        <f ca="1">IFERROR(__xludf.DUMMYFUNCTION("GOOGLETRANSLATE(English!C1372, ""en"", ""bg"")"),"елементарен")</f>
        <v>елементарен</v>
      </c>
      <c r="D1372" s="1" t="str">
        <f ca="1">IFERROR(__xludf.DUMMYFUNCTION("GOOGLETRANSLATE(English!D1372, ""en"", ""bg"")"),"прости машини")</f>
        <v>прости машини</v>
      </c>
      <c r="E1372" s="1" t="str">
        <f ca="1">IFERROR(__xludf.DUMMYFUNCTION("GOOGLETRANSLATE(English!E1372, ""en"", ""bg"")"),"Помогнете ми да уча за теста си. Защо простите машини са важни?")</f>
        <v>Помогнете ми да уча за теста си. Защо простите машини са важни?</v>
      </c>
      <c r="F1372" s="1" t="str">
        <f ca="1">IFERROR(__xludf.DUMMYFUNCTION("GOOGLETRANSLATE(English!F1372,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1372" s="1" t="str">
        <f ca="1">IFERROR(__xludf.DUMMYFUNCTION("GOOGLETRANSLATE(English!G1372, ""en"", ""bg"")"),"разговор")</f>
        <v>разговор</v>
      </c>
      <c r="H1372" s="1" t="str">
        <f ca="1">IFERROR(__xludf.DUMMYFUNCTION("GOOGLETRANSLATE(English!H1372, ""en"", ""bg"")"),"образователна_помощ")</f>
        <v>образователна_помощ</v>
      </c>
    </row>
    <row r="1373" spans="1:8" ht="13.2" x14ac:dyDescent="0.25">
      <c r="A1373" s="1" t="str">
        <f ca="1">IFERROR(__xludf.DUMMYFUNCTION("GOOGLETRANSLATE(English!A1373, ""en"", ""bg"")"),"qa_13808")</f>
        <v>qa_13808</v>
      </c>
      <c r="B1373" s="1" t="str">
        <f ca="1">IFERROR(__xludf.DUMMYFUNCTION("GOOGLETRANSLATE(English!B1373, ""en"", ""bg"")"),"биология")</f>
        <v>биология</v>
      </c>
      <c r="C1373" s="1" t="str">
        <f ca="1">IFERROR(__xludf.DUMMYFUNCTION("GOOGLETRANSLATE(English!C1373, ""en"", ""bg"")"),"средата")</f>
        <v>средата</v>
      </c>
      <c r="D1373" s="1" t="str">
        <f ca="1">IFERROR(__xludf.DUMMYFUNCTION("GOOGLETRANSLATE(English!D1373, ""en"", ""bg"")"),"класификация")</f>
        <v>класификация</v>
      </c>
      <c r="E1373" s="1" t="str">
        <f ca="1">IFERROR(__xludf.DUMMYFUNCTION("GOOGLETRANSLATE(English!E1373, ""en"", ""bg"")"),"Защо класификацията е важна в биологията?")</f>
        <v>Защо класификацията е важна в биологията?</v>
      </c>
      <c r="F1373" s="1" t="str">
        <f ca="1">IFERROR(__xludf.DUMMYFUNCTION("GOOGLETRANSLATE(English!F1373,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1373" s="1" t="str">
        <f ca="1">IFERROR(__xludf.DUMMYFUNCTION("GOOGLETRANSLATE(English!G1373, ""en"", ""bg"")"),"direct_qa")</f>
        <v>direct_qa</v>
      </c>
      <c r="H1373" s="1" t="str">
        <f ca="1">IFERROR(__xludf.DUMMYFUNCTION("GOOGLETRANSLATE(English!H1373, ""en"", ""bg"")"),"заявка_за_знание")</f>
        <v>заявка_за_знание</v>
      </c>
    </row>
    <row r="1374" spans="1:8" ht="13.2" x14ac:dyDescent="0.25">
      <c r="A1374" s="1" t="str">
        <f ca="1">IFERROR(__xludf.DUMMYFUNCTION("GOOGLETRANSLATE(English!A1374, ""en"", ""bg"")"),"hw_01141")</f>
        <v>hw_01141</v>
      </c>
      <c r="B1374" s="1" t="str">
        <f ca="1">IFERROR(__xludf.DUMMYFUNCTION("GOOGLETRANSLATE(English!B1374, ""en"", ""bg"")"),"физика")</f>
        <v>физика</v>
      </c>
      <c r="C1374" s="1" t="str">
        <f ca="1">IFERROR(__xludf.DUMMYFUNCTION("GOOGLETRANSLATE(English!C1374, ""en"", ""bg"")"),"елементарен")</f>
        <v>елементарен</v>
      </c>
      <c r="D1374" s="1" t="str">
        <f ca="1">IFERROR(__xludf.DUMMYFUNCTION("GOOGLETRANSLATE(English!D1374, ""en"", ""bg"")"),"магнити")</f>
        <v>магнити</v>
      </c>
      <c r="E1374" s="1" t="str">
        <f ca="1">IFERROR(__xludf.DUMMYFUNCTION("GOOGLETRANSLATE(English!E1374, ""en"", ""bg"")"),"Заседнал съм с този проблем с магнитите. Можете ли да помогнете?")</f>
        <v>Заседнал съм с този проблем с магнитите. Можете ли да помогнете?</v>
      </c>
      <c r="F1374" s="1" t="str">
        <f ca="1">IFERROR(__xludf.DUMMYFUNCTION("GOOGLETRANSLATE(English!F1374,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374" s="1" t="str">
        <f ca="1">IFERROR(__xludf.DUMMYFUNCTION("GOOGLETRANSLATE(English!G1374, ""en"", ""bg"")"),"помощ_за_домашно_изпълнение")</f>
        <v>помощ_за_домашно_изпълнение</v>
      </c>
      <c r="H1374" s="1" t="str">
        <f ca="1">IFERROR(__xludf.DUMMYFUNCTION("GOOGLETRANSLATE(English!H1374, ""en"", ""bg"")"),"помощ_за_домашно_задаване")</f>
        <v>помощ_за_домашно_задаване</v>
      </c>
    </row>
    <row r="1375" spans="1:8" ht="13.2" x14ac:dyDescent="0.25">
      <c r="A1375" s="1" t="str">
        <f ca="1">IFERROR(__xludf.DUMMYFUNCTION("GOOGLETRANSLATE(English!A1375, ""en"", ""bg"")"),"hw_09216")</f>
        <v>hw_09216</v>
      </c>
      <c r="B1375" s="1" t="str">
        <f ca="1">IFERROR(__xludf.DUMMYFUNCTION("GOOGLETRANSLATE(English!B1375, ""en"", ""bg"")"),"биология")</f>
        <v>биология</v>
      </c>
      <c r="C1375" s="1" t="str">
        <f ca="1">IFERROR(__xludf.DUMMYFUNCTION("GOOGLETRANSLATE(English!C1375, ""en"", ""bg"")"),"високо")</f>
        <v>високо</v>
      </c>
      <c r="D1375" s="1" t="str">
        <f ca="1">IFERROR(__xludf.DUMMYFUNCTION("GOOGLETRANSLATE(English!D1375, ""en"", ""bg"")"),"синтез на протеини")</f>
        <v>синтез на протеини</v>
      </c>
      <c r="E1375" s="1" t="str">
        <f ca="1">IFERROR(__xludf.DUMMYFUNCTION("GOOGLETRANSLATE(English!E1375, ""en"", ""bg"")"),"Утре имам тест по протеинов синтез. Помогни ми да уча!")</f>
        <v>Утре имам тест по протеинов синтез. Помогни ми да уча!</v>
      </c>
      <c r="F1375" s="1" t="str">
        <f ca="1">IFERROR(__xludf.DUMMYFUNCTION("GOOGLETRANSLATE(English!F1375,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1375" s="1" t="str">
        <f ca="1">IFERROR(__xludf.DUMMYFUNCTION("GOOGLETRANSLATE(English!G1375, ""en"", ""bg"")"),"помощ_за_домашно_изпълнение")</f>
        <v>помощ_за_домашно_изпълнение</v>
      </c>
      <c r="H1375" s="1" t="str">
        <f ca="1">IFERROR(__xludf.DUMMYFUNCTION("GOOGLETRANSLATE(English!H1375, ""en"", ""bg"")"),"помощ_за_домашно_задаване")</f>
        <v>помощ_за_домашно_задаване</v>
      </c>
    </row>
    <row r="1376" spans="1:8" ht="13.2" x14ac:dyDescent="0.25">
      <c r="A1376" s="1" t="str">
        <f ca="1">IFERROR(__xludf.DUMMYFUNCTION("GOOGLETRANSLATE(English!A1376, ""en"", ""bg"")"),"hw_14233")</f>
        <v>hw_14233</v>
      </c>
      <c r="B1376" s="1" t="str">
        <f ca="1">IFERROR(__xludf.DUMMYFUNCTION("GOOGLETRANSLATE(English!B1376, ""en"", ""bg"")"),"химия")</f>
        <v>химия</v>
      </c>
      <c r="C1376" s="1" t="str">
        <f ca="1">IFERROR(__xludf.DUMMYFUNCTION("GOOGLETRANSLATE(English!C1376, ""en"", ""bg"")"),"средата")</f>
        <v>средата</v>
      </c>
      <c r="D1376" s="1" t="str">
        <f ca="1">IFERROR(__xludf.DUMMYFUNCTION("GOOGLETRANSLATE(English!D1376, ""en"", ""bg"")"),"химични реакции")</f>
        <v>химични реакции</v>
      </c>
      <c r="E1376" s="1" t="str">
        <f ca="1">IFERROR(__xludf.DUMMYFUNCTION("GOOGLETRANSLATE(English!E1376, ""en"", ""bg"")"),"Моят доклад по химия е за химични реакции. Помогнете ми да разбера.")</f>
        <v>Моят доклад по химия е за химични реакции. Помогнете ми да разбера.</v>
      </c>
      <c r="F1376" s="1" t="str">
        <f ca="1">IFERROR(__xludf.DUMMYFUNCTION("GOOGLETRANSLATE(English!F1376,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1376" s="1" t="str">
        <f ca="1">IFERROR(__xludf.DUMMYFUNCTION("GOOGLETRANSLATE(English!G1376, ""en"", ""bg"")"),"помощ_за_домашно_изпълнение")</f>
        <v>помощ_за_домашно_изпълнение</v>
      </c>
      <c r="H1376" s="1" t="str">
        <f ca="1">IFERROR(__xludf.DUMMYFUNCTION("GOOGLETRANSLATE(English!H1376, ""en"", ""bg"")"),"помощ_за_домашно_задаване")</f>
        <v>помощ_за_домашно_задаване</v>
      </c>
    </row>
    <row r="1377" spans="1:8" ht="13.2" x14ac:dyDescent="0.25">
      <c r="A1377" s="1" t="str">
        <f ca="1">IFERROR(__xludf.DUMMYFUNCTION("GOOGLETRANSLATE(English!A1377, ""en"", ""bg"")"),"qa_11697")</f>
        <v>qa_11697</v>
      </c>
      <c r="B1377" s="1" t="str">
        <f ca="1">IFERROR(__xludf.DUMMYFUNCTION("GOOGLETRANSLATE(English!B1377, ""en"", ""bg"")"),"физика")</f>
        <v>физика</v>
      </c>
      <c r="C1377" s="1" t="str">
        <f ca="1">IFERROR(__xludf.DUMMYFUNCTION("GOOGLETRANSLATE(English!C1377, ""en"", ""bg"")"),"елементарен")</f>
        <v>елементарен</v>
      </c>
      <c r="D1377" s="1" t="str">
        <f ca="1">IFERROR(__xludf.DUMMYFUNCTION("GOOGLETRANSLATE(English!D1377, ""en"", ""bg"")"),"плаващ и потъващ")</f>
        <v>плаващ и потъващ</v>
      </c>
      <c r="E1377" s="1" t="str">
        <f ca="1">IFERROR(__xludf.DUMMYFUNCTION("GOOGLETRANSLATE(English!E1377, ""en"", ""bg"")"),"Можете ли да ми обясните какво е плаване и потъване?")</f>
        <v>Можете ли да ми обясните какво е плаване и потъване?</v>
      </c>
      <c r="F1377" s="1" t="str">
        <f ca="1">IFERROR(__xludf.DUMMYFUNCTION("GOOGLETRANSLATE(English!F1377,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1377" s="1" t="str">
        <f ca="1">IFERROR(__xludf.DUMMYFUNCTION("GOOGLETRANSLATE(English!G1377, ""en"", ""bg"")"),"direct_qa")</f>
        <v>direct_qa</v>
      </c>
      <c r="H1377" s="1" t="str">
        <f ca="1">IFERROR(__xludf.DUMMYFUNCTION("GOOGLETRANSLATE(English!H1377, ""en"", ""bg"")"),"заявка_за_знание")</f>
        <v>заявка_за_знание</v>
      </c>
    </row>
    <row r="1378" spans="1:8" ht="13.2" x14ac:dyDescent="0.25">
      <c r="A1378" s="1" t="str">
        <f ca="1">IFERROR(__xludf.DUMMYFUNCTION("GOOGLETRANSLATE(English!A1378, ""en"", ""bg"")"),"qa_12924")</f>
        <v>qa_12924</v>
      </c>
      <c r="B1378" s="1" t="str">
        <f ca="1">IFERROR(__xludf.DUMMYFUNCTION("GOOGLETRANSLATE(English!B1378, ""en"", ""bg"")"),"биология")</f>
        <v>биология</v>
      </c>
      <c r="C1378" s="1" t="str">
        <f ca="1">IFERROR(__xludf.DUMMYFUNCTION("GOOGLETRANSLATE(English!C1378, ""en"", ""bg"")"),"елементарен")</f>
        <v>елементарен</v>
      </c>
      <c r="D1378" s="1" t="str">
        <f ca="1">IFERROR(__xludf.DUMMYFUNCTION("GOOGLETRANSLATE(English!D1378, ""en"", ""bg"")"),"основни нужди")</f>
        <v>основни нужди</v>
      </c>
      <c r="E1378" s="1" t="str">
        <f ca="1">IFERROR(__xludf.DUMMYFUNCTION("GOOGLETRANSLATE(English!E1378, ""en"", ""bg"")"),"Как функционират основните потребности?")</f>
        <v>Как функционират основните потребности?</v>
      </c>
      <c r="F1378" s="1" t="str">
        <f ca="1">IFERROR(__xludf.DUMMYFUNCTION("GOOGLETRANSLATE(English!F1378,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1378" s="1" t="str">
        <f ca="1">IFERROR(__xludf.DUMMYFUNCTION("GOOGLETRANSLATE(English!G1378, ""en"", ""bg"")"),"direct_qa")</f>
        <v>direct_qa</v>
      </c>
      <c r="H1378" s="1" t="str">
        <f ca="1">IFERROR(__xludf.DUMMYFUNCTION("GOOGLETRANSLATE(English!H1378, ""en"", ""bg"")"),"заявка_за_знание")</f>
        <v>заявка_за_знание</v>
      </c>
    </row>
    <row r="1379" spans="1:8" ht="13.2" x14ac:dyDescent="0.25">
      <c r="A1379" s="1" t="str">
        <f ca="1">IFERROR(__xludf.DUMMYFUNCTION("GOOGLETRANSLATE(English!A1379, ""en"", ""bg"")"),"conv_01961")</f>
        <v>conv_01961</v>
      </c>
      <c r="B1379" s="1" t="str">
        <f ca="1">IFERROR(__xludf.DUMMYFUNCTION("GOOGLETRANSLATE(English!B1379, ""en"", ""bg"")"),"химия")</f>
        <v>химия</v>
      </c>
      <c r="C1379" s="1" t="str">
        <f ca="1">IFERROR(__xludf.DUMMYFUNCTION("GOOGLETRANSLATE(English!C1379, ""en"", ""bg"")"),"елементарен")</f>
        <v>елементарен</v>
      </c>
      <c r="D1379" s="1" t="str">
        <f ca="1">IFERROR(__xludf.DUMMYFUNCTION("GOOGLETRANSLATE(English!D1379, ""en"", ""bg"")"),"твърди вещества, течности, газове")</f>
        <v>твърди вещества, течности, газове</v>
      </c>
      <c r="E1379" s="1" t="str">
        <f ca="1">IFERROR(__xludf.DUMMYFUNCTION("GOOGLETRANSLATE(English!E1379, ""en"", ""bg"")"),"Не разбирам тази тема. Кои са трите агрегатни състояния на материята?")</f>
        <v>Не разбирам тази тема. Кои са трите агрегатни състояния на материята?</v>
      </c>
      <c r="F1379" s="1" t="str">
        <f ca="1">IFERROR(__xludf.DUMMYFUNCTION("GOOGLETRANSLATE(English!F1379,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1379" s="1" t="str">
        <f ca="1">IFERROR(__xludf.DUMMYFUNCTION("GOOGLETRANSLATE(English!G1379, ""en"", ""bg"")"),"разговор")</f>
        <v>разговор</v>
      </c>
      <c r="H1379" s="1" t="str">
        <f ca="1">IFERROR(__xludf.DUMMYFUNCTION("GOOGLETRANSLATE(English!H1379, ""en"", ""bg"")"),"образователна_помощ")</f>
        <v>образователна_помощ</v>
      </c>
    </row>
    <row r="1380" spans="1:8" ht="13.2" x14ac:dyDescent="0.25">
      <c r="A1380" s="1" t="str">
        <f ca="1">IFERROR(__xludf.DUMMYFUNCTION("GOOGLETRANSLATE(English!A1380, ""en"", ""bg"")"),"hw_12442")</f>
        <v>hw_12442</v>
      </c>
      <c r="B1380" s="1" t="str">
        <f ca="1">IFERROR(__xludf.DUMMYFUNCTION("GOOGLETRANSLATE(English!B1380, ""en"", ""bg"")"),"химия")</f>
        <v>химия</v>
      </c>
      <c r="C1380" s="1" t="str">
        <f ca="1">IFERROR(__xludf.DUMMYFUNCTION("GOOGLETRANSLATE(English!C1380, ""en"", ""bg"")"),"елементарен")</f>
        <v>елементарен</v>
      </c>
      <c r="D1380" s="1" t="str">
        <f ca="1">IFERROR(__xludf.DUMMYFUNCTION("GOOGLETRANSLATE(English!D1380, ""en"", ""bg"")"),"промени в материалите")</f>
        <v>промени в материалите</v>
      </c>
      <c r="E1380" s="1" t="str">
        <f ca="1">IFERROR(__xludf.DUMMYFUNCTION("GOOGLETRANSLATE(English!E1380,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1380" s="1" t="str">
        <f ca="1">IFERROR(__xludf.DUMMYFUNCTION("GOOGLETRANSLATE(English!F1380,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380" s="1" t="str">
        <f ca="1">IFERROR(__xludf.DUMMYFUNCTION("GOOGLETRANSLATE(English!G1380, ""en"", ""bg"")"),"помощ_за_домашно_изпълнение")</f>
        <v>помощ_за_домашно_изпълнение</v>
      </c>
      <c r="H1380" s="1" t="str">
        <f ca="1">IFERROR(__xludf.DUMMYFUNCTION("GOOGLETRANSLATE(English!H1380, ""en"", ""bg"")"),"помощ_за_домашно_задаване")</f>
        <v>помощ_за_домашно_задаване</v>
      </c>
    </row>
    <row r="1381" spans="1:8" ht="13.2" x14ac:dyDescent="0.25">
      <c r="A1381" s="1" t="str">
        <f ca="1">IFERROR(__xludf.DUMMYFUNCTION("GOOGLETRANSLATE(English!A1381, ""en"", ""bg"")"),"hw_07403")</f>
        <v>hw_07403</v>
      </c>
      <c r="B1381" s="1" t="str">
        <f ca="1">IFERROR(__xludf.DUMMYFUNCTION("GOOGLETRANSLATE(English!B1381, ""en"", ""bg"")"),"биология")</f>
        <v>биология</v>
      </c>
      <c r="C1381" s="1" t="str">
        <f ca="1">IFERROR(__xludf.DUMMYFUNCTION("GOOGLETRANSLATE(English!C1381, ""en"", ""bg"")"),"средата")</f>
        <v>средата</v>
      </c>
      <c r="D1381" s="1" t="str">
        <f ca="1">IFERROR(__xludf.DUMMYFUNCTION("GOOGLETRANSLATE(English!D1381, ""en"", ""bg"")"),"клетки")</f>
        <v>клетки</v>
      </c>
      <c r="E1381" s="1" t="str">
        <f ca="1">IFERROR(__xludf.DUMMYFUNCTION("GOOGLETRANSLATE(English!E1381, ""en"", ""bg"")"),"Трябва да напиша доклад за клетките. Можете ли да ми помогнете да започна?")</f>
        <v>Трябва да напиша доклад за клетките. Можете ли да ми помогнете да започна?</v>
      </c>
      <c r="F1381" s="1" t="str">
        <f ca="1">IFERROR(__xludf.DUMMYFUNCTION("GOOGLETRANSLATE(English!F1381,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1381" s="1" t="str">
        <f ca="1">IFERROR(__xludf.DUMMYFUNCTION("GOOGLETRANSLATE(English!G1381, ""en"", ""bg"")"),"помощ_за_домашно_изпълнение")</f>
        <v>помощ_за_домашно_изпълнение</v>
      </c>
      <c r="H1381" s="1" t="str">
        <f ca="1">IFERROR(__xludf.DUMMYFUNCTION("GOOGLETRANSLATE(English!H1381, ""en"", ""bg"")"),"помощ_за_домашно_задаване")</f>
        <v>помощ_за_домашно_задаване</v>
      </c>
    </row>
    <row r="1382" spans="1:8" ht="13.2" x14ac:dyDescent="0.25">
      <c r="A1382" s="1" t="str">
        <f ca="1">IFERROR(__xludf.DUMMYFUNCTION("GOOGLETRANSLATE(English!A1382, ""en"", ""bg"")"),"conv_01369")</f>
        <v>conv_01369</v>
      </c>
      <c r="B1382" s="1" t="str">
        <f ca="1">IFERROR(__xludf.DUMMYFUNCTION("GOOGLETRANSLATE(English!B1382, ""en"", ""bg"")"),"химия")</f>
        <v>химия</v>
      </c>
      <c r="C1382" s="1" t="str">
        <f ca="1">IFERROR(__xludf.DUMMYFUNCTION("GOOGLETRANSLATE(English!C1382, ""en"", ""bg"")"),"високо")</f>
        <v>високо</v>
      </c>
      <c r="D1382" s="1" t="str">
        <f ca="1">IFERROR(__xludf.DUMMYFUNCTION("GOOGLETRANSLATE(English!D1382, ""en"", ""bg"")"),"равновесие")</f>
        <v>равновесие</v>
      </c>
      <c r="E1382" s="1" t="str">
        <f ca="1">IFERROR(__xludf.DUMMYFUNCTION("GOOGLETRANSLATE(English!E1382, ""en"", ""bg"")"),"Помогнете ми да уча за теста си. Какво е равновесие?")</f>
        <v>Помогнете ми да уча за теста си. Какво е равновесие?</v>
      </c>
      <c r="F1382" s="1" t="str">
        <f ca="1">IFERROR(__xludf.DUMMYFUNCTION("GOOGLETRANSLATE(English!F1382,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1382" s="1" t="str">
        <f ca="1">IFERROR(__xludf.DUMMYFUNCTION("GOOGLETRANSLATE(English!G1382, ""en"", ""bg"")"),"разговор")</f>
        <v>разговор</v>
      </c>
      <c r="H1382" s="1" t="str">
        <f ca="1">IFERROR(__xludf.DUMMYFUNCTION("GOOGLETRANSLATE(English!H1382, ""en"", ""bg"")"),"образователна_помощ")</f>
        <v>образователна_помощ</v>
      </c>
    </row>
    <row r="1383" spans="1:8" ht="13.2" x14ac:dyDescent="0.25">
      <c r="A1383" s="1" t="str">
        <f ca="1">IFERROR(__xludf.DUMMYFUNCTION("GOOGLETRANSLATE(English!A1383, ""en"", ""bg"")"),"qa_01861")</f>
        <v>qa_01861</v>
      </c>
      <c r="B1383" s="1" t="str">
        <f ca="1">IFERROR(__xludf.DUMMYFUNCTION("GOOGLETRANSLATE(English!B1383, ""en"", ""bg"")"),"биология")</f>
        <v>биология</v>
      </c>
      <c r="C1383" s="1" t="str">
        <f ca="1">IFERROR(__xludf.DUMMYFUNCTION("GOOGLETRANSLATE(English!C1383, ""en"", ""bg"")"),"средата")</f>
        <v>средата</v>
      </c>
      <c r="D1383" s="1" t="str">
        <f ca="1">IFERROR(__xludf.DUMMYFUNCTION("GOOGLETRANSLATE(English!D1383, ""en"", ""bg"")"),"основи на генетиката")</f>
        <v>основи на генетиката</v>
      </c>
      <c r="E1383" s="1" t="str">
        <f ca="1">IFERROR(__xludf.DUMMYFUNCTION("GOOGLETRANSLATE(English!E1383, ""en"", ""bg"")"),"Какво е важно да знаем за основите на генетиката?")</f>
        <v>Какво е важно да знаем за основите на генетиката?</v>
      </c>
      <c r="F1383" s="1" t="str">
        <f ca="1">IFERROR(__xludf.DUMMYFUNCTION("GOOGLETRANSLATE(English!F1383,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1383" s="1" t="str">
        <f ca="1">IFERROR(__xludf.DUMMYFUNCTION("GOOGLETRANSLATE(English!G1383, ""en"", ""bg"")"),"direct_qa")</f>
        <v>direct_qa</v>
      </c>
      <c r="H1383" s="1" t="str">
        <f ca="1">IFERROR(__xludf.DUMMYFUNCTION("GOOGLETRANSLATE(English!H1383, ""en"", ""bg"")"),"заявка_за_знание")</f>
        <v>заявка_за_знание</v>
      </c>
    </row>
    <row r="1384" spans="1:8" ht="13.2" x14ac:dyDescent="0.25">
      <c r="A1384" s="1" t="str">
        <f ca="1">IFERROR(__xludf.DUMMYFUNCTION("GOOGLETRANSLATE(English!A1384, ""en"", ""bg"")"),"qa_08799")</f>
        <v>qa_08799</v>
      </c>
      <c r="B1384" s="1" t="str">
        <f ca="1">IFERROR(__xludf.DUMMYFUNCTION("GOOGLETRANSLATE(English!B1384, ""en"", ""bg"")"),"химия")</f>
        <v>химия</v>
      </c>
      <c r="C1384" s="1" t="str">
        <f ca="1">IFERROR(__xludf.DUMMYFUNCTION("GOOGLETRANSLATE(English!C1384, ""en"", ""bg"")"),"средата")</f>
        <v>средата</v>
      </c>
      <c r="D1384" s="1" t="str">
        <f ca="1">IFERROR(__xludf.DUMMYFUNCTION("GOOGLETRANSLATE(English!D1384, ""en"", ""bg"")"),"основи на периодичната таблица")</f>
        <v>основи на периодичната таблица</v>
      </c>
      <c r="E1384" s="1" t="str">
        <f ca="1">IFERROR(__xludf.DUMMYFUNCTION("GOOGLETRANSLATE(English!E1384, ""en"", ""bg"")"),"Какво представляват основите на периодичната таблица?")</f>
        <v>Какво представляват основите на периодичната таблица?</v>
      </c>
      <c r="F1384" s="1" t="str">
        <f ca="1">IFERROR(__xludf.DUMMYFUNCTION("GOOGLETRANSLATE(English!F1384,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1384" s="1" t="str">
        <f ca="1">IFERROR(__xludf.DUMMYFUNCTION("GOOGLETRANSLATE(English!G1384, ""en"", ""bg"")"),"direct_qa")</f>
        <v>direct_qa</v>
      </c>
      <c r="H1384" s="1" t="str">
        <f ca="1">IFERROR(__xludf.DUMMYFUNCTION("GOOGLETRANSLATE(English!H1384, ""en"", ""bg"")"),"заявка_за_знание")</f>
        <v>заявка_за_знание</v>
      </c>
    </row>
    <row r="1385" spans="1:8" ht="13.2" x14ac:dyDescent="0.25">
      <c r="A1385" s="1" t="str">
        <f ca="1">IFERROR(__xludf.DUMMYFUNCTION("GOOGLETRANSLATE(English!A1385, ""en"", ""bg"")"),"hw_00946")</f>
        <v>hw_00946</v>
      </c>
      <c r="B1385" s="1" t="str">
        <f ca="1">IFERROR(__xludf.DUMMYFUNCTION("GOOGLETRANSLATE(English!B1385, ""en"", ""bg"")"),"физика")</f>
        <v>физика</v>
      </c>
      <c r="C1385" s="1" t="str">
        <f ca="1">IFERROR(__xludf.DUMMYFUNCTION("GOOGLETRANSLATE(English!C1385, ""en"", ""bg"")"),"елементарен")</f>
        <v>елементарен</v>
      </c>
      <c r="D1385" s="1" t="str">
        <f ca="1">IFERROR(__xludf.DUMMYFUNCTION("GOOGLETRANSLATE(English!D1385, ""en"", ""bg"")"),"светлина и сянка")</f>
        <v>светлина и сянка</v>
      </c>
      <c r="E1385" s="1" t="str">
        <f ca="1">IFERROR(__xludf.DUMMYFUNCTION("GOOGLETRANSLATE(English!E1385, ""en"", ""bg"")"),"Домашното ми по физика е за светлина и сянка. Объркващо е!")</f>
        <v>Домашното ми по физика е за светлина и сянка. Объркващо е!</v>
      </c>
      <c r="F1385" s="1" t="str">
        <f ca="1">IFERROR(__xludf.DUMMYFUNCTION("GOOGLETRANSLATE(English!F1385,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1385" s="1" t="str">
        <f ca="1">IFERROR(__xludf.DUMMYFUNCTION("GOOGLETRANSLATE(English!G1385, ""en"", ""bg"")"),"помощ_за_домашно_изпълнение")</f>
        <v>помощ_за_домашно_изпълнение</v>
      </c>
      <c r="H1385" s="1" t="str">
        <f ca="1">IFERROR(__xludf.DUMMYFUNCTION("GOOGLETRANSLATE(English!H1385, ""en"", ""bg"")"),"помощ_за_домашно_задаване")</f>
        <v>помощ_за_домашно_задаване</v>
      </c>
    </row>
    <row r="1386" spans="1:8" ht="13.2" x14ac:dyDescent="0.25">
      <c r="A1386" s="1" t="str">
        <f ca="1">IFERROR(__xludf.DUMMYFUNCTION("GOOGLETRANSLATE(English!A1386, ""en"", ""bg"")"),"qa_13438")</f>
        <v>qa_13438</v>
      </c>
      <c r="B1386" s="1" t="str">
        <f ca="1">IFERROR(__xludf.DUMMYFUNCTION("GOOGLETRANSLATE(English!B1386, ""en"", ""bg"")"),"биология")</f>
        <v>биология</v>
      </c>
      <c r="C1386" s="1" t="str">
        <f ca="1">IFERROR(__xludf.DUMMYFUNCTION("GOOGLETRANSLATE(English!C1386, ""en"", ""bg"")"),"високо")</f>
        <v>високо</v>
      </c>
      <c r="D1386" s="1" t="str">
        <f ca="1">IFERROR(__xludf.DUMMYFUNCTION("GOOGLETRANSLATE(English!D1386, ""en"", ""bg"")"),"митоза и мейоза")</f>
        <v>митоза и мейоза</v>
      </c>
      <c r="E1386" s="1" t="str">
        <f ca="1">IFERROR(__xludf.DUMMYFUNCTION("GOOGLETRANSLATE(English!E1386, ""en"", ""bg"")"),"Какво е важно да знаем за митозата и мейозата?")</f>
        <v>Какво е важно да знаем за митозата и мейозата?</v>
      </c>
      <c r="F1386" s="1" t="str">
        <f ca="1">IFERROR(__xludf.DUMMYFUNCTION("GOOGLETRANSLATE(English!F1386,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1386" s="1" t="str">
        <f ca="1">IFERROR(__xludf.DUMMYFUNCTION("GOOGLETRANSLATE(English!G1386, ""en"", ""bg"")"),"direct_qa")</f>
        <v>direct_qa</v>
      </c>
      <c r="H1386" s="1" t="str">
        <f ca="1">IFERROR(__xludf.DUMMYFUNCTION("GOOGLETRANSLATE(English!H1386, ""en"", ""bg"")"),"заявка_за_знание")</f>
        <v>заявка_за_знание</v>
      </c>
    </row>
    <row r="1387" spans="1:8" ht="13.2" x14ac:dyDescent="0.25">
      <c r="A1387" s="1" t="str">
        <f ca="1">IFERROR(__xludf.DUMMYFUNCTION("GOOGLETRANSLATE(English!A1387, ""en"", ""bg"")"),"hw_10720")</f>
        <v>hw_10720</v>
      </c>
      <c r="B1387" s="1" t="str">
        <f ca="1">IFERROR(__xludf.DUMMYFUNCTION("GOOGLETRANSLATE(English!B1387, ""en"", ""bg"")"),"химия")</f>
        <v>химия</v>
      </c>
      <c r="C1387" s="1" t="str">
        <f ca="1">IFERROR(__xludf.DUMMYFUNCTION("GOOGLETRANSLATE(English!C1387, ""en"", ""bg"")"),"средата")</f>
        <v>средата</v>
      </c>
      <c r="D1387" s="1" t="str">
        <f ca="1">IFERROR(__xludf.DUMMYFUNCTION("GOOGLETRANSLATE(English!D1387, ""en"", ""bg"")"),"химични реакции")</f>
        <v>химични реакции</v>
      </c>
      <c r="E1387" s="1" t="str">
        <f ca="1">IFERROR(__xludf.DUMMYFUNCTION("GOOGLETRANSLATE(English!E1387, ""en"", ""bg"")"),"Моят доклад по химия е за химични реакции. Помогнете ми да разбера.")</f>
        <v>Моят доклад по химия е за химични реакции. Помогнете ми да разбера.</v>
      </c>
      <c r="F1387" s="1" t="str">
        <f ca="1">IFERROR(__xludf.DUMMYFUNCTION("GOOGLETRANSLATE(English!F1387,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1387" s="1" t="str">
        <f ca="1">IFERROR(__xludf.DUMMYFUNCTION("GOOGLETRANSLATE(English!G1387, ""en"", ""bg"")"),"помощ_за_домашно_изпълнение")</f>
        <v>помощ_за_домашно_изпълнение</v>
      </c>
      <c r="H1387" s="1" t="str">
        <f ca="1">IFERROR(__xludf.DUMMYFUNCTION("GOOGLETRANSLATE(English!H1387, ""en"", ""bg"")"),"помощ_за_домашно_задаване")</f>
        <v>помощ_за_домашно_задаване</v>
      </c>
    </row>
    <row r="1388" spans="1:8" ht="13.2" x14ac:dyDescent="0.25">
      <c r="A1388" s="1" t="str">
        <f ca="1">IFERROR(__xludf.DUMMYFUNCTION("GOOGLETRANSLATE(English!A1388, ""en"", ""bg"")"),"qa_04693")</f>
        <v>qa_04693</v>
      </c>
      <c r="B1388" s="1" t="str">
        <f ca="1">IFERROR(__xludf.DUMMYFUNCTION("GOOGLETRANSLATE(English!B1388, ""en"", ""bg"")"),"физика")</f>
        <v>физика</v>
      </c>
      <c r="C1388" s="1" t="str">
        <f ca="1">IFERROR(__xludf.DUMMYFUNCTION("GOOGLETRANSLATE(English!C1388, ""en"", ""bg"")"),"средата")</f>
        <v>средата</v>
      </c>
      <c r="D1388" s="1" t="str">
        <f ca="1">IFERROR(__xludf.DUMMYFUNCTION("GOOGLETRANSLATE(English!D1388, ""en"", ""bg"")"),"плътност")</f>
        <v>плътност</v>
      </c>
      <c r="E1388" s="1" t="str">
        <f ca="1">IFERROR(__xludf.DUMMYFUNCTION("GOOGLETRANSLATE(English!E1388, ""en"", ""bg"")"),"Какво трябва да знам за плътността?")</f>
        <v>Какво трябва да знам за плътността?</v>
      </c>
      <c r="F1388" s="1" t="str">
        <f ca="1">IFERROR(__xludf.DUMMYFUNCTION("GOOGLETRANSLATE(English!F1388,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1388" s="1" t="str">
        <f ca="1">IFERROR(__xludf.DUMMYFUNCTION("GOOGLETRANSLATE(English!G1388, ""en"", ""bg"")"),"direct_qa")</f>
        <v>direct_qa</v>
      </c>
      <c r="H1388" s="1" t="str">
        <f ca="1">IFERROR(__xludf.DUMMYFUNCTION("GOOGLETRANSLATE(English!H1388, ""en"", ""bg"")"),"заявка_за_знание")</f>
        <v>заявка_за_знание</v>
      </c>
    </row>
    <row r="1389" spans="1:8" ht="13.2" x14ac:dyDescent="0.25">
      <c r="A1389" s="1" t="str">
        <f ca="1">IFERROR(__xludf.DUMMYFUNCTION("GOOGLETRANSLATE(English!A1389, ""en"", ""bg"")"),"qa_10364")</f>
        <v>qa_10364</v>
      </c>
      <c r="B1389" s="1" t="str">
        <f ca="1">IFERROR(__xludf.DUMMYFUNCTION("GOOGLETRANSLATE(English!B1389, ""en"", ""bg"")"),"химия")</f>
        <v>химия</v>
      </c>
      <c r="C1389" s="1" t="str">
        <f ca="1">IFERROR(__xludf.DUMMYFUNCTION("GOOGLETRANSLATE(English!C1389, ""en"", ""bg"")"),"високо")</f>
        <v>високо</v>
      </c>
      <c r="D1389" s="1" t="str">
        <f ca="1">IFERROR(__xludf.DUMMYFUNCTION("GOOGLETRANSLATE(English!D1389, ""en"", ""bg"")"),"равновесие")</f>
        <v>равновесие</v>
      </c>
      <c r="E1389" s="1" t="str">
        <f ca="1">IFERROR(__xludf.DUMMYFUNCTION("GOOGLETRANSLATE(English!E1389, ""en"", ""bg"")"),"Можете ли да ми помогнете да разбера какво е равновесие?")</f>
        <v>Можете ли да ми помогнете да разбера какво е равновесие?</v>
      </c>
      <c r="F1389" s="1" t="str">
        <f ca="1">IFERROR(__xludf.DUMMYFUNCTION("GOOGLETRANSLATE(English!F1389,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1389" s="1" t="str">
        <f ca="1">IFERROR(__xludf.DUMMYFUNCTION("GOOGLETRANSLATE(English!G1389, ""en"", ""bg"")"),"direct_qa")</f>
        <v>direct_qa</v>
      </c>
      <c r="H1389" s="1" t="str">
        <f ca="1">IFERROR(__xludf.DUMMYFUNCTION("GOOGLETRANSLATE(English!H1389, ""en"", ""bg"")"),"заявка_за_знание")</f>
        <v>заявка_за_знание</v>
      </c>
    </row>
    <row r="1390" spans="1:8" ht="13.2" x14ac:dyDescent="0.25">
      <c r="A1390" s="1" t="str">
        <f ca="1">IFERROR(__xludf.DUMMYFUNCTION("GOOGLETRANSLATE(English!A1390, ""en"", ""bg"")"),"hw_01493")</f>
        <v>hw_01493</v>
      </c>
      <c r="B1390" s="1" t="str">
        <f ca="1">IFERROR(__xludf.DUMMYFUNCTION("GOOGLETRANSLATE(English!B1390, ""en"", ""bg"")"),"биология")</f>
        <v>биология</v>
      </c>
      <c r="C1390" s="1" t="str">
        <f ca="1">IFERROR(__xludf.DUMMYFUNCTION("GOOGLETRANSLATE(English!C1390, ""en"", ""bg"")"),"високо")</f>
        <v>високо</v>
      </c>
      <c r="D1390" s="1" t="str">
        <f ca="1">IFERROR(__xludf.DUMMYFUNCTION("GOOGLETRANSLATE(English!D1390, ""en"", ""bg"")"),"молекулярна биология")</f>
        <v>молекулярна биология</v>
      </c>
      <c r="E1390" s="1" t="str">
        <f ca="1">IFERROR(__xludf.DUMMYFUNCTION("GOOGLETRANSLATE(English!E1390, ""en"", ""bg"")"),"Утре имам тест по молекулярна биология. Помогни ми да уча!")</f>
        <v>Утре имам тест по молекулярна биология. Помогни ми да уча!</v>
      </c>
      <c r="F1390" s="1" t="str">
        <f ca="1">IFERROR(__xludf.DUMMYFUNCTION("GOOGLETRANSLATE(English!F1390,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1390" s="1" t="str">
        <f ca="1">IFERROR(__xludf.DUMMYFUNCTION("GOOGLETRANSLATE(English!G1390, ""en"", ""bg"")"),"помощ_за_домашно_изпълнение")</f>
        <v>помощ_за_домашно_изпълнение</v>
      </c>
      <c r="H1390" s="1" t="str">
        <f ca="1">IFERROR(__xludf.DUMMYFUNCTION("GOOGLETRANSLATE(English!H1390, ""en"", ""bg"")"),"помощ_за_домашно_задаване")</f>
        <v>помощ_за_домашно_задаване</v>
      </c>
    </row>
    <row r="1391" spans="1:8" ht="13.2" x14ac:dyDescent="0.25">
      <c r="A1391" s="1" t="str">
        <f ca="1">IFERROR(__xludf.DUMMYFUNCTION("GOOGLETRANSLATE(English!A1391, ""en"", ""bg"")"),"conv_18620")</f>
        <v>conv_18620</v>
      </c>
      <c r="B1391" s="1" t="str">
        <f ca="1">IFERROR(__xludf.DUMMYFUNCTION("GOOGLETRANSLATE(English!B1391, ""en"", ""bg"")"),"физика")</f>
        <v>физика</v>
      </c>
      <c r="C1391" s="1" t="str">
        <f ca="1">IFERROR(__xludf.DUMMYFUNCTION("GOOGLETRANSLATE(English!C1391, ""en"", ""bg"")"),"високо")</f>
        <v>високо</v>
      </c>
      <c r="D1391" s="1" t="str">
        <f ca="1">IFERROR(__xludf.DUMMYFUNCTION("GOOGLETRANSLATE(English!D1391, ""en"", ""bg"")"),"атомна структура")</f>
        <v>атомна структура</v>
      </c>
      <c r="E1391" s="1" t="str">
        <f ca="1">IFERROR(__xludf.DUMMYFUNCTION("GOOGLETRANSLATE(English!E1391, ""en"", ""bg"")"),"Здравей, преподавателю! Какво трябва да знам за атомната структура?")</f>
        <v>Здравей, преподавателю! Какво трябва да знам за атомната структура?</v>
      </c>
      <c r="F1391" s="1" t="str">
        <f ca="1">IFERROR(__xludf.DUMMYFUNCTION("GOOGLETRANSLATE(English!F1391,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1391" s="1" t="str">
        <f ca="1">IFERROR(__xludf.DUMMYFUNCTION("GOOGLETRANSLATE(English!G1391, ""en"", ""bg"")"),"разговор")</f>
        <v>разговор</v>
      </c>
      <c r="H1391" s="1" t="str">
        <f ca="1">IFERROR(__xludf.DUMMYFUNCTION("GOOGLETRANSLATE(English!H1391, ""en"", ""bg"")"),"образователна_помощ")</f>
        <v>образователна_помощ</v>
      </c>
    </row>
    <row r="1392" spans="1:8" ht="13.2" x14ac:dyDescent="0.25">
      <c r="A1392" s="1" t="str">
        <f ca="1">IFERROR(__xludf.DUMMYFUNCTION("GOOGLETRANSLATE(English!A1392, ""en"", ""bg"")"),"qa_01838")</f>
        <v>qa_01838</v>
      </c>
      <c r="B1392" s="1" t="str">
        <f ca="1">IFERROR(__xludf.DUMMYFUNCTION("GOOGLETRANSLATE(English!B1392, ""en"", ""bg"")"),"физика")</f>
        <v>физика</v>
      </c>
      <c r="C1392" s="1" t="str">
        <f ca="1">IFERROR(__xludf.DUMMYFUNCTION("GOOGLETRANSLATE(English!C1392, ""en"", ""bg"")"),"елементарен")</f>
        <v>елементарен</v>
      </c>
      <c r="D1392" s="1" t="str">
        <f ca="1">IFERROR(__xludf.DUMMYFUNCTION("GOOGLETRANSLATE(English!D1392, ""en"", ""bg"")"),"плаващ и потъващ")</f>
        <v>плаващ и потъващ</v>
      </c>
      <c r="E1392" s="1" t="str">
        <f ca="1">IFERROR(__xludf.DUMMYFUNCTION("GOOGLETRANSLATE(English!E1392, ""en"", ""bg"")"),"Можете ли да ми обясните какво е плаване и потъване?")</f>
        <v>Можете ли да ми обясните какво е плаване и потъване?</v>
      </c>
      <c r="F1392" s="1" t="str">
        <f ca="1">IFERROR(__xludf.DUMMYFUNCTION("GOOGLETRANSLATE(English!F1392,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1392" s="1" t="str">
        <f ca="1">IFERROR(__xludf.DUMMYFUNCTION("GOOGLETRANSLATE(English!G1392, ""en"", ""bg"")"),"direct_qa")</f>
        <v>direct_qa</v>
      </c>
      <c r="H1392" s="1" t="str">
        <f ca="1">IFERROR(__xludf.DUMMYFUNCTION("GOOGLETRANSLATE(English!H1392, ""en"", ""bg"")"),"заявка_за_знание")</f>
        <v>заявка_за_знание</v>
      </c>
    </row>
    <row r="1393" spans="1:8" ht="13.2" x14ac:dyDescent="0.25">
      <c r="A1393" s="1" t="str">
        <f ca="1">IFERROR(__xludf.DUMMYFUNCTION("GOOGLETRANSLATE(English!A1393, ""en"", ""bg"")"),"qa_11911")</f>
        <v>qa_11911</v>
      </c>
      <c r="B1393" s="1" t="str">
        <f ca="1">IFERROR(__xludf.DUMMYFUNCTION("GOOGLETRANSLATE(English!B1393, ""en"", ""bg"")"),"физика")</f>
        <v>физика</v>
      </c>
      <c r="C1393" s="1" t="str">
        <f ca="1">IFERROR(__xludf.DUMMYFUNCTION("GOOGLETRANSLATE(English!C1393, ""en"", ""bg"")"),"средата")</f>
        <v>средата</v>
      </c>
      <c r="D1393" s="1" t="str">
        <f ca="1">IFERROR(__xludf.DUMMYFUNCTION("GOOGLETRANSLATE(English!D1393, ""en"", ""bg"")"),"видове енергия")</f>
        <v>видове енергия</v>
      </c>
      <c r="E1393" s="1" t="str">
        <f ca="1">IFERROR(__xludf.DUMMYFUNCTION("GOOGLETRANSLATE(English!E1393, ""en"", ""bg"")"),"Какво е потенциална енергия?")</f>
        <v>Какво е потенциална енергия?</v>
      </c>
      <c r="F1393" s="1" t="str">
        <f ca="1">IFERROR(__xludf.DUMMYFUNCTION("GOOGLETRANSLATE(English!F1393,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1393" s="1" t="str">
        <f ca="1">IFERROR(__xludf.DUMMYFUNCTION("GOOGLETRANSLATE(English!G1393, ""en"", ""bg"")"),"direct_qa")</f>
        <v>direct_qa</v>
      </c>
      <c r="H1393" s="1" t="str">
        <f ca="1">IFERROR(__xludf.DUMMYFUNCTION("GOOGLETRANSLATE(English!H1393, ""en"", ""bg"")"),"заявка_за_знание")</f>
        <v>заявка_за_знание</v>
      </c>
    </row>
    <row r="1394" spans="1:8" ht="13.2" x14ac:dyDescent="0.25">
      <c r="A1394" s="1" t="str">
        <f ca="1">IFERROR(__xludf.DUMMYFUNCTION("GOOGLETRANSLATE(English!A1394, ""en"", ""bg"")"),"conv_05515")</f>
        <v>conv_05515</v>
      </c>
      <c r="B1394" s="1" t="str">
        <f ca="1">IFERROR(__xludf.DUMMYFUNCTION("GOOGLETRANSLATE(English!B1394, ""en"", ""bg"")"),"химия")</f>
        <v>химия</v>
      </c>
      <c r="C1394" s="1" t="str">
        <f ca="1">IFERROR(__xludf.DUMMYFUNCTION("GOOGLETRANSLATE(English!C1394, ""en"", ""bg"")"),"високо")</f>
        <v>високо</v>
      </c>
      <c r="D1394" s="1" t="str">
        <f ca="1">IFERROR(__xludf.DUMMYFUNCTION("GOOGLETRANSLATE(English!D1394, ""en"", ""bg"")"),"скорости на реакция")</f>
        <v>скорости на реакция</v>
      </c>
      <c r="E1394" s="1" t="str">
        <f ca="1">IFERROR(__xludf.DUMMYFUNCTION("GOOGLETRANSLATE(English!E1394, ""en"", ""bg"")"),"Здравей, преподавателю! Можеш ли да ми помогнеш да разбера скоростта на реакция?")</f>
        <v>Здравей, преподавателю! Можеш ли да ми помогнеш да разбера скоростта на реакция?</v>
      </c>
      <c r="F1394" s="1" t="str">
        <f ca="1">IFERROR(__xludf.DUMMYFUNCTION("GOOGLETRANSLATE(English!F1394,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1394" s="1" t="str">
        <f ca="1">IFERROR(__xludf.DUMMYFUNCTION("GOOGLETRANSLATE(English!G1394, ""en"", ""bg"")"),"разговор")</f>
        <v>разговор</v>
      </c>
      <c r="H1394" s="1" t="str">
        <f ca="1">IFERROR(__xludf.DUMMYFUNCTION("GOOGLETRANSLATE(English!H1394, ""en"", ""bg"")"),"образователна_помощ")</f>
        <v>образователна_помощ</v>
      </c>
    </row>
    <row r="1395" spans="1:8" ht="13.2" x14ac:dyDescent="0.25">
      <c r="A1395" s="1" t="str">
        <f ca="1">IFERROR(__xludf.DUMMYFUNCTION("GOOGLETRANSLATE(English!A1395, ""en"", ""bg"")"),"qa_09311")</f>
        <v>qa_09311</v>
      </c>
      <c r="B1395" s="1" t="str">
        <f ca="1">IFERROR(__xludf.DUMMYFUNCTION("GOOGLETRANSLATE(English!B1395, ""en"", ""bg"")"),"физика")</f>
        <v>физика</v>
      </c>
      <c r="C1395" s="1" t="str">
        <f ca="1">IFERROR(__xludf.DUMMYFUNCTION("GOOGLETRANSLATE(English!C1395, ""en"", ""bg"")"),"елементарен")</f>
        <v>елементарен</v>
      </c>
      <c r="D1395" s="1" t="str">
        <f ca="1">IFERROR(__xludf.DUMMYFUNCTION("GOOGLETRANSLATE(English!D1395, ""en"", ""bg"")"),"звук")</f>
        <v>звук</v>
      </c>
      <c r="E1395" s="1" t="str">
        <f ca="1">IFERROR(__xludf.DUMMYFUNCTION("GOOGLETRANSLATE(English!E1395, ""en"", ""bg"")"),"Защо звукът е важен?")</f>
        <v>Защо звукът е важен?</v>
      </c>
      <c r="F1395" s="1" t="str">
        <f ca="1">IFERROR(__xludf.DUMMYFUNCTION("GOOGLETRANSLATE(English!F1395,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1395" s="1" t="str">
        <f ca="1">IFERROR(__xludf.DUMMYFUNCTION("GOOGLETRANSLATE(English!G1395, ""en"", ""bg"")"),"direct_qa")</f>
        <v>direct_qa</v>
      </c>
      <c r="H1395" s="1" t="str">
        <f ca="1">IFERROR(__xludf.DUMMYFUNCTION("GOOGLETRANSLATE(English!H1395, ""en"", ""bg"")"),"заявка_за_знание")</f>
        <v>заявка_за_знание</v>
      </c>
    </row>
    <row r="1396" spans="1:8" ht="13.2" x14ac:dyDescent="0.25">
      <c r="A1396" s="1" t="str">
        <f ca="1">IFERROR(__xludf.DUMMYFUNCTION("GOOGLETRANSLATE(English!A1396, ""en"", ""bg"")"),"qa_09632")</f>
        <v>qa_09632</v>
      </c>
      <c r="B1396" s="1" t="str">
        <f ca="1">IFERROR(__xludf.DUMMYFUNCTION("GOOGLETRANSLATE(English!B1396, ""en"", ""bg"")"),"химия")</f>
        <v>химия</v>
      </c>
      <c r="C1396" s="1" t="str">
        <f ca="1">IFERROR(__xludf.DUMMYFUNCTION("GOOGLETRANSLATE(English!C1396, ""en"", ""bg"")"),"елементарен")</f>
        <v>елементарен</v>
      </c>
      <c r="D1396" s="1" t="str">
        <f ca="1">IFERROR(__xludf.DUMMYFUNCTION("GOOGLETRANSLATE(English!D1396, ""en"", ""bg"")"),"разтваряне")</f>
        <v>разтваряне</v>
      </c>
      <c r="E1396" s="1" t="str">
        <f ca="1">IFERROR(__xludf.DUMMYFUNCTION("GOOGLETRANSLATE(English!E1396, ""en"", ""bg"")"),"Как работи разтварянето в химията?")</f>
        <v>Как работи разтварянето в химията?</v>
      </c>
      <c r="F1396" s="1" t="str">
        <f ca="1">IFERROR(__xludf.DUMMYFUNCTION("GOOGLETRANSLATE(English!F1396,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1396" s="1" t="str">
        <f ca="1">IFERROR(__xludf.DUMMYFUNCTION("GOOGLETRANSLATE(English!G1396, ""en"", ""bg"")"),"direct_qa")</f>
        <v>direct_qa</v>
      </c>
      <c r="H1396" s="1" t="str">
        <f ca="1">IFERROR(__xludf.DUMMYFUNCTION("GOOGLETRANSLATE(English!H1396, ""en"", ""bg"")"),"заявка_за_знание")</f>
        <v>заявка_за_знание</v>
      </c>
    </row>
    <row r="1397" spans="1:8" ht="13.2" x14ac:dyDescent="0.25">
      <c r="A1397" s="1" t="str">
        <f ca="1">IFERROR(__xludf.DUMMYFUNCTION("GOOGLETRANSLATE(English!A1397, ""en"", ""bg"")"),"qa_05165")</f>
        <v>qa_05165</v>
      </c>
      <c r="B1397" s="1" t="str">
        <f ca="1">IFERROR(__xludf.DUMMYFUNCTION("GOOGLETRANSLATE(English!B1397, ""en"", ""bg"")"),"химия")</f>
        <v>химия</v>
      </c>
      <c r="C1397" s="1" t="str">
        <f ca="1">IFERROR(__xludf.DUMMYFUNCTION("GOOGLETRANSLATE(English!C1397, ""en"", ""bg"")"),"елементарен")</f>
        <v>елементарен</v>
      </c>
      <c r="D1397" s="1" t="str">
        <f ca="1">IFERROR(__xludf.DUMMYFUNCTION("GOOGLETRANSLATE(English!D1397, ""en"", ""bg"")"),"промени в материалите")</f>
        <v>промени в материалите</v>
      </c>
      <c r="E1397" s="1" t="str">
        <f ca="1">IFERROR(__xludf.DUMMYFUNCTION("GOOGLETRANSLATE(English!E1397, ""en"", ""bg"")"),"Как протичат промените в материалите в химията?")</f>
        <v>Как протичат промените в материалите в химията?</v>
      </c>
      <c r="F1397" s="1" t="str">
        <f ca="1">IFERROR(__xludf.DUMMYFUNCTION("GOOGLETRANSLATE(English!F1397,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1397" s="1" t="str">
        <f ca="1">IFERROR(__xludf.DUMMYFUNCTION("GOOGLETRANSLATE(English!G1397, ""en"", ""bg"")"),"direct_qa")</f>
        <v>direct_qa</v>
      </c>
      <c r="H1397" s="1" t="str">
        <f ca="1">IFERROR(__xludf.DUMMYFUNCTION("GOOGLETRANSLATE(English!H1397, ""en"", ""bg"")"),"заявка_за_знание")</f>
        <v>заявка_за_знание</v>
      </c>
    </row>
    <row r="1398" spans="1:8" ht="13.2" x14ac:dyDescent="0.25">
      <c r="A1398" s="1" t="str">
        <f ca="1">IFERROR(__xludf.DUMMYFUNCTION("GOOGLETRANSLATE(English!A1398, ""en"", ""bg"")"),"hw_09997")</f>
        <v>hw_09997</v>
      </c>
      <c r="B1398" s="1" t="str">
        <f ca="1">IFERROR(__xludf.DUMMYFUNCTION("GOOGLETRANSLATE(English!B1398, ""en"", ""bg"")"),"биология")</f>
        <v>биология</v>
      </c>
      <c r="C1398" s="1" t="str">
        <f ca="1">IFERROR(__xludf.DUMMYFUNCTION("GOOGLETRANSLATE(English!C1398, ""en"", ""bg"")"),"елементарен")</f>
        <v>елементарен</v>
      </c>
      <c r="D1398" s="1" t="str">
        <f ca="1">IFERROR(__xludf.DUMMYFUNCTION("GOOGLETRANSLATE(English!D1398, ""en"", ""bg"")"),"жизнени цикли")</f>
        <v>жизнени цикли</v>
      </c>
      <c r="E1398" s="1" t="str">
        <f ca="1">IFERROR(__xludf.DUMMYFUNCTION("GOOGLETRANSLATE(English!E1398, ""en"", ""bg"")"),"Утре имам тест по жизнени цикли. Помогни ми да уча!")</f>
        <v>Утре имам тест по жизнени цикли. Помогни ми да уча!</v>
      </c>
      <c r="F1398" s="1" t="str">
        <f ca="1">IFERROR(__xludf.DUMMYFUNCTION("GOOGLETRANSLATE(English!F1398,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1398" s="1" t="str">
        <f ca="1">IFERROR(__xludf.DUMMYFUNCTION("GOOGLETRANSLATE(English!G1398, ""en"", ""bg"")"),"помощ_за_домашно_изпълнение")</f>
        <v>помощ_за_домашно_изпълнение</v>
      </c>
      <c r="H1398" s="1" t="str">
        <f ca="1">IFERROR(__xludf.DUMMYFUNCTION("GOOGLETRANSLATE(English!H1398, ""en"", ""bg"")"),"помощ_за_домашно_задаване")</f>
        <v>помощ_за_домашно_задаване</v>
      </c>
    </row>
    <row r="1399" spans="1:8" ht="13.2" x14ac:dyDescent="0.25">
      <c r="A1399" s="1" t="str">
        <f ca="1">IFERROR(__xludf.DUMMYFUNCTION("GOOGLETRANSLATE(English!A1399, ""en"", ""bg"")"),"conv_14342")</f>
        <v>conv_14342</v>
      </c>
      <c r="B1399" s="1" t="str">
        <f ca="1">IFERROR(__xludf.DUMMYFUNCTION("GOOGLETRANSLATE(English!B1399, ""en"", ""bg"")"),"физика")</f>
        <v>физика</v>
      </c>
      <c r="C1399" s="1" t="str">
        <f ca="1">IFERROR(__xludf.DUMMYFUNCTION("GOOGLETRANSLATE(English!C1399, ""en"", ""bg"")"),"средата")</f>
        <v>средата</v>
      </c>
      <c r="D1399" s="1" t="str">
        <f ca="1">IFERROR(__xludf.DUMMYFUNCTION("GOOGLETRANSLATE(English!D1399, ""en"", ""bg"")"),"прости схеми")</f>
        <v>прости схеми</v>
      </c>
      <c r="E1399" s="1" t="str">
        <f ca="1">IFERROR(__xludf.DUMMYFUNCTION("GOOGLETRANSLATE(English!E1399, ""en"", ""bg"")"),"Имам научен въпрос. Какво трябва да знам за простите електрически вериги?")</f>
        <v>Имам научен въпрос. Какво трябва да знам за простите електрически вериги?</v>
      </c>
      <c r="F1399" s="1" t="str">
        <f ca="1">IFERROR(__xludf.DUMMYFUNCTION("GOOGLETRANSLATE(English!F1399,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1399" s="1" t="str">
        <f ca="1">IFERROR(__xludf.DUMMYFUNCTION("GOOGLETRANSLATE(English!G1399, ""en"", ""bg"")"),"разговор")</f>
        <v>разговор</v>
      </c>
      <c r="H1399" s="1" t="str">
        <f ca="1">IFERROR(__xludf.DUMMYFUNCTION("GOOGLETRANSLATE(English!H1399, ""en"", ""bg"")"),"образователна_помощ")</f>
        <v>образователна_помощ</v>
      </c>
    </row>
    <row r="1400" spans="1:8" ht="13.2" x14ac:dyDescent="0.25">
      <c r="A1400" s="1" t="str">
        <f ca="1">IFERROR(__xludf.DUMMYFUNCTION("GOOGLETRANSLATE(English!A1400, ""en"", ""bg"")"),"qa_13661")</f>
        <v>qa_13661</v>
      </c>
      <c r="B1400" s="1" t="str">
        <f ca="1">IFERROR(__xludf.DUMMYFUNCTION("GOOGLETRANSLATE(English!B1400, ""en"", ""bg"")"),"физика")</f>
        <v>физика</v>
      </c>
      <c r="C1400" s="1" t="str">
        <f ca="1">IFERROR(__xludf.DUMMYFUNCTION("GOOGLETRANSLATE(English!C1400, ""en"", ""bg"")"),"елементарен")</f>
        <v>елементарен</v>
      </c>
      <c r="D1400" s="1" t="str">
        <f ca="1">IFERROR(__xludf.DUMMYFUNCTION("GOOGLETRANSLATE(English!D1400, ""en"", ""bg"")"),"прости машини")</f>
        <v>прости машини</v>
      </c>
      <c r="E1400" s="1" t="str">
        <f ca="1">IFERROR(__xludf.DUMMYFUNCTION("GOOGLETRANSLATE(English!E1400, ""en"", ""bg"")"),"Какво трябва да знам за простите машини?")</f>
        <v>Какво трябва да знам за простите машини?</v>
      </c>
      <c r="F1400" s="1" t="str">
        <f ca="1">IFERROR(__xludf.DUMMYFUNCTION("GOOGLETRANSLATE(English!F1400,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1400" s="1" t="str">
        <f ca="1">IFERROR(__xludf.DUMMYFUNCTION("GOOGLETRANSLATE(English!G1400, ""en"", ""bg"")"),"direct_qa")</f>
        <v>direct_qa</v>
      </c>
      <c r="H1400" s="1" t="str">
        <f ca="1">IFERROR(__xludf.DUMMYFUNCTION("GOOGLETRANSLATE(English!H1400, ""en"", ""bg"")"),"заявка_за_знание")</f>
        <v>заявка_за_знание</v>
      </c>
    </row>
    <row r="1401" spans="1:8" ht="13.2" x14ac:dyDescent="0.25">
      <c r="A1401" s="1" t="str">
        <f ca="1">IFERROR(__xludf.DUMMYFUNCTION("GOOGLETRANSLATE(English!A1401, ""en"", ""bg"")"),"conv_06080")</f>
        <v>conv_06080</v>
      </c>
      <c r="B1401" s="1" t="str">
        <f ca="1">IFERROR(__xludf.DUMMYFUNCTION("GOOGLETRANSLATE(English!B1401, ""en"", ""bg"")"),"биология")</f>
        <v>биология</v>
      </c>
      <c r="C1401" s="1" t="str">
        <f ca="1">IFERROR(__xludf.DUMMYFUNCTION("GOOGLETRANSLATE(English!C1401, ""en"", ""bg"")"),"елементарен")</f>
        <v>елементарен</v>
      </c>
      <c r="D1401" s="1" t="str">
        <f ca="1">IFERROR(__xludf.DUMMYFUNCTION("GOOGLETRANSLATE(English!D1401, ""en"", ""bg"")"),"жизнени цикли")</f>
        <v>жизнени цикли</v>
      </c>
      <c r="E1401" s="1" t="str">
        <f ca="1">IFERROR(__xludf.DUMMYFUNCTION("GOOGLETRANSLATE(English!E1401, ""en"", ""bg"")"),"Имам нужда от помощ с домашното. Можете ли да ми разкажете за жизнените цикли?")</f>
        <v>Имам нужда от помощ с домашното. Можете ли да ми разкажете за жизнените цикли?</v>
      </c>
      <c r="F1401" s="1" t="str">
        <f ca="1">IFERROR(__xludf.DUMMYFUNCTION("GOOGLETRANSLATE(English!F1401,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1401" s="1" t="str">
        <f ca="1">IFERROR(__xludf.DUMMYFUNCTION("GOOGLETRANSLATE(English!G1401, ""en"", ""bg"")"),"разговор")</f>
        <v>разговор</v>
      </c>
      <c r="H1401" s="1" t="str">
        <f ca="1">IFERROR(__xludf.DUMMYFUNCTION("GOOGLETRANSLATE(English!H1401, ""en"", ""bg"")"),"образователна_помощ")</f>
        <v>образователна_помощ</v>
      </c>
    </row>
    <row r="1402" spans="1:8" ht="13.2" x14ac:dyDescent="0.25">
      <c r="A1402" s="1" t="str">
        <f ca="1">IFERROR(__xludf.DUMMYFUNCTION("GOOGLETRANSLATE(English!A1402, ""en"", ""bg"")"),"qa_08780")</f>
        <v>qa_08780</v>
      </c>
      <c r="B1402" s="1" t="str">
        <f ca="1">IFERROR(__xludf.DUMMYFUNCTION("GOOGLETRANSLATE(English!B1402, ""en"", ""bg"")"),"химия")</f>
        <v>химия</v>
      </c>
      <c r="C1402" s="1" t="str">
        <f ca="1">IFERROR(__xludf.DUMMYFUNCTION("GOOGLETRANSLATE(English!C1402, ""en"", ""bg"")"),"високо")</f>
        <v>високо</v>
      </c>
      <c r="D1402" s="1" t="str">
        <f ca="1">IFERROR(__xludf.DUMMYFUNCTION("GOOGLETRANSLATE(English!D1402, ""en"", ""bg"")"),"химическо свързване")</f>
        <v>химическо свързване</v>
      </c>
      <c r="E1402" s="1" t="str">
        <f ca="1">IFERROR(__xludf.DUMMYFUNCTION("GOOGLETRANSLATE(English!E1402, ""en"", ""bg"")"),"Защо е важно да се учи химичното свързване?")</f>
        <v>Защо е важно да се учи химичното свързване?</v>
      </c>
      <c r="F1402" s="1" t="str">
        <f ca="1">IFERROR(__xludf.DUMMYFUNCTION("GOOGLETRANSLATE(English!F1402,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1402" s="1" t="str">
        <f ca="1">IFERROR(__xludf.DUMMYFUNCTION("GOOGLETRANSLATE(English!G1402, ""en"", ""bg"")"),"direct_qa")</f>
        <v>direct_qa</v>
      </c>
      <c r="H1402" s="1" t="str">
        <f ca="1">IFERROR(__xludf.DUMMYFUNCTION("GOOGLETRANSLATE(English!H1402, ""en"", ""bg"")"),"заявка_за_знание")</f>
        <v>заявка_за_знание</v>
      </c>
    </row>
    <row r="1403" spans="1:8" ht="13.2" x14ac:dyDescent="0.25">
      <c r="A1403" s="1" t="str">
        <f ca="1">IFERROR(__xludf.DUMMYFUNCTION("GOOGLETRANSLATE(English!A1403, ""en"", ""bg"")"),"qa_12872")</f>
        <v>qa_12872</v>
      </c>
      <c r="B1403" s="1" t="str">
        <f ca="1">IFERROR(__xludf.DUMMYFUNCTION("GOOGLETRANSLATE(English!B1403, ""en"", ""bg"")"),"биология")</f>
        <v>биология</v>
      </c>
      <c r="C1403" s="1" t="str">
        <f ca="1">IFERROR(__xludf.DUMMYFUNCTION("GOOGLETRANSLATE(English!C1403, ""en"", ""bg"")"),"средата")</f>
        <v>средата</v>
      </c>
      <c r="D1403" s="1" t="str">
        <f ca="1">IFERROR(__xludf.DUMMYFUNCTION("GOOGLETRANSLATE(English!D1403, ""en"", ""bg"")"),"класификация")</f>
        <v>класификация</v>
      </c>
      <c r="E1403" s="1" t="str">
        <f ca="1">IFERROR(__xludf.DUMMYFUNCTION("GOOGLETRANSLATE(English!E1403, ""en"", ""bg"")"),"Защо класификацията е важна в биологията?")</f>
        <v>Защо класификацията е важна в биологията?</v>
      </c>
      <c r="F1403" s="1" t="str">
        <f ca="1">IFERROR(__xludf.DUMMYFUNCTION("GOOGLETRANSLATE(English!F1403,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1403" s="1" t="str">
        <f ca="1">IFERROR(__xludf.DUMMYFUNCTION("GOOGLETRANSLATE(English!G1403, ""en"", ""bg"")"),"direct_qa")</f>
        <v>direct_qa</v>
      </c>
      <c r="H1403" s="1" t="str">
        <f ca="1">IFERROR(__xludf.DUMMYFUNCTION("GOOGLETRANSLATE(English!H1403, ""en"", ""bg"")"),"заявка_за_знание")</f>
        <v>заявка_за_знание</v>
      </c>
    </row>
    <row r="1404" spans="1:8" ht="13.2" x14ac:dyDescent="0.25">
      <c r="A1404" s="1" t="str">
        <f ca="1">IFERROR(__xludf.DUMMYFUNCTION("GOOGLETRANSLATE(English!A1404, ""en"", ""bg"")"),"qa_03608")</f>
        <v>qa_03608</v>
      </c>
      <c r="B1404" s="1" t="str">
        <f ca="1">IFERROR(__xludf.DUMMYFUNCTION("GOOGLETRANSLATE(English!B1404, ""en"", ""bg"")"),"биология")</f>
        <v>биология</v>
      </c>
      <c r="C1404" s="1" t="str">
        <f ca="1">IFERROR(__xludf.DUMMYFUNCTION("GOOGLETRANSLATE(English!C1404, ""en"", ""bg"")"),"средата")</f>
        <v>средата</v>
      </c>
      <c r="D1404" s="1" t="str">
        <f ca="1">IFERROR(__xludf.DUMMYFUNCTION("GOOGLETRANSLATE(English!D1404, ""en"", ""bg"")"),"фотосинтеза")</f>
        <v>фотосинтеза</v>
      </c>
      <c r="E1404" s="1" t="str">
        <f ca="1">IFERROR(__xludf.DUMMYFUNCTION("GOOGLETRANSLATE(English!E1404, ""en"", ""bg"")"),"Какво е важно да знаем за фотосинтезата?")</f>
        <v>Какво е важно да знаем за фотосинтезата?</v>
      </c>
      <c r="F1404" s="1" t="str">
        <f ca="1">IFERROR(__xludf.DUMMYFUNCTION("GOOGLETRANSLATE(English!F1404,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1404" s="1" t="str">
        <f ca="1">IFERROR(__xludf.DUMMYFUNCTION("GOOGLETRANSLATE(English!G1404, ""en"", ""bg"")"),"direct_qa")</f>
        <v>direct_qa</v>
      </c>
      <c r="H1404" s="1" t="str">
        <f ca="1">IFERROR(__xludf.DUMMYFUNCTION("GOOGLETRANSLATE(English!H1404, ""en"", ""bg"")"),"заявка_за_знание")</f>
        <v>заявка_за_знание</v>
      </c>
    </row>
    <row r="1405" spans="1:8" ht="13.2" x14ac:dyDescent="0.25">
      <c r="A1405" s="1" t="str">
        <f ca="1">IFERROR(__xludf.DUMMYFUNCTION("GOOGLETRANSLATE(English!A1405, ""en"", ""bg"")"),"conv_13279")</f>
        <v>conv_13279</v>
      </c>
      <c r="B1405" s="1" t="str">
        <f ca="1">IFERROR(__xludf.DUMMYFUNCTION("GOOGLETRANSLATE(English!B1405, ""en"", ""bg"")"),"физика")</f>
        <v>физика</v>
      </c>
      <c r="C1405" s="1" t="str">
        <f ca="1">IFERROR(__xludf.DUMMYFUNCTION("GOOGLETRANSLATE(English!C1405, ""en"", ""bg"")"),"високо")</f>
        <v>високо</v>
      </c>
      <c r="D1405" s="1" t="str">
        <f ca="1">IFERROR(__xludf.DUMMYFUNCTION("GOOGLETRANSLATE(English!D1405, ""en"", ""bg"")"),"радиоактивност")</f>
        <v>радиоактивност</v>
      </c>
      <c r="E1405" s="1" t="str">
        <f ca="1">IFERROR(__xludf.DUMMYFUNCTION("GOOGLETRANSLATE(English!E1405, ""en"", ""bg"")"),"Здравей, преподавателю! Как радиоактивността се проявява във физиката?")</f>
        <v>Здравей, преподавателю! Как радиоактивността се проявява във физиката?</v>
      </c>
      <c r="F1405" s="1" t="str">
        <f ca="1">IFERROR(__xludf.DUMMYFUNCTION("GOOGLETRANSLATE(English!F1405,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1405" s="1" t="str">
        <f ca="1">IFERROR(__xludf.DUMMYFUNCTION("GOOGLETRANSLATE(English!G1405, ""en"", ""bg"")"),"разговор")</f>
        <v>разговор</v>
      </c>
      <c r="H1405" s="1" t="str">
        <f ca="1">IFERROR(__xludf.DUMMYFUNCTION("GOOGLETRANSLATE(English!H1405, ""en"", ""bg"")"),"образователна_помощ")</f>
        <v>образователна_помощ</v>
      </c>
    </row>
    <row r="1406" spans="1:8" ht="13.2" x14ac:dyDescent="0.25">
      <c r="A1406" s="1" t="str">
        <f ca="1">IFERROR(__xludf.DUMMYFUNCTION("GOOGLETRANSLATE(English!A1406, ""en"", ""bg"")"),"hw_09413")</f>
        <v>hw_09413</v>
      </c>
      <c r="B1406" s="1" t="str">
        <f ca="1">IFERROR(__xludf.DUMMYFUNCTION("GOOGLETRANSLATE(English!B1406, ""en"", ""bg"")"),"биология")</f>
        <v>биология</v>
      </c>
      <c r="C1406" s="1" t="str">
        <f ca="1">IFERROR(__xludf.DUMMYFUNCTION("GOOGLETRANSLATE(English!C1406, ""en"", ""bg"")"),"елементарен")</f>
        <v>елементарен</v>
      </c>
      <c r="D1406" s="1" t="str">
        <f ca="1">IFERROR(__xludf.DUMMYFUNCTION("GOOGLETRANSLATE(English!D1406, ""en"", ""bg"")"),"домашни любимци срещу диви животни")</f>
        <v>домашни любимци срещу диви животни</v>
      </c>
      <c r="E1406" s="1" t="str">
        <f ca="1">IFERROR(__xludf.DUMMYFUNCTION("GOOGLETRANSLATE(English!E1406, ""en"", ""bg"")"),"Можете ли да обясните понятията домашни любимци и диви животни за моя научен проект?")</f>
        <v>Можете ли да обясните понятията домашни любимци и диви животни за моя научен проект?</v>
      </c>
      <c r="F1406" s="1" t="str">
        <f ca="1">IFERROR(__xludf.DUMMYFUNCTION("GOOGLETRANSLATE(English!F1406,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1406" s="1" t="str">
        <f ca="1">IFERROR(__xludf.DUMMYFUNCTION("GOOGLETRANSLATE(English!G1406, ""en"", ""bg"")"),"помощ_за_домашно_изпълнение")</f>
        <v>помощ_за_домашно_изпълнение</v>
      </c>
      <c r="H1406" s="1" t="str">
        <f ca="1">IFERROR(__xludf.DUMMYFUNCTION("GOOGLETRANSLATE(English!H1406, ""en"", ""bg"")"),"помощ_за_домашно_задаване")</f>
        <v>помощ_за_домашно_задаване</v>
      </c>
    </row>
    <row r="1407" spans="1:8" ht="13.2" x14ac:dyDescent="0.25">
      <c r="A1407" s="1" t="str">
        <f ca="1">IFERROR(__xludf.DUMMYFUNCTION("GOOGLETRANSLATE(English!A1407, ""en"", ""bg"")"),"qa_04106")</f>
        <v>qa_04106</v>
      </c>
      <c r="B1407" s="1" t="str">
        <f ca="1">IFERROR(__xludf.DUMMYFUNCTION("GOOGLETRANSLATE(English!B1407, ""en"", ""bg"")"),"физика")</f>
        <v>физика</v>
      </c>
      <c r="C1407" s="1" t="str">
        <f ca="1">IFERROR(__xludf.DUMMYFUNCTION("GOOGLETRANSLATE(English!C1407, ""en"", ""bg"")"),"елементарен")</f>
        <v>елементарен</v>
      </c>
      <c r="D1407" s="1" t="str">
        <f ca="1">IFERROR(__xludf.DUMMYFUNCTION("GOOGLETRANSLATE(English!D1407, ""en"", ""bg"")"),"плаващ и потъващ")</f>
        <v>плаващ и потъващ</v>
      </c>
      <c r="E1407" s="1" t="str">
        <f ca="1">IFERROR(__xludf.DUMMYFUNCTION("GOOGLETRANSLATE(English!E1407, ""en"", ""bg"")"),"Защо е важно да се носиш и да потъваш?")</f>
        <v>Защо е важно да се носиш и да потъваш?</v>
      </c>
      <c r="F1407" s="1" t="str">
        <f ca="1">IFERROR(__xludf.DUMMYFUNCTION("GOOGLETRANSLATE(English!F1407,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1407" s="1" t="str">
        <f ca="1">IFERROR(__xludf.DUMMYFUNCTION("GOOGLETRANSLATE(English!G1407, ""en"", ""bg"")"),"direct_qa")</f>
        <v>direct_qa</v>
      </c>
      <c r="H1407" s="1" t="str">
        <f ca="1">IFERROR(__xludf.DUMMYFUNCTION("GOOGLETRANSLATE(English!H1407, ""en"", ""bg"")"),"заявка_за_знание")</f>
        <v>заявка_за_знание</v>
      </c>
    </row>
    <row r="1408" spans="1:8" ht="13.2" x14ac:dyDescent="0.25">
      <c r="A1408" s="1" t="str">
        <f ca="1">IFERROR(__xludf.DUMMYFUNCTION("GOOGLETRANSLATE(English!A1408, ""en"", ""bg"")"),"conv_03423")</f>
        <v>conv_03423</v>
      </c>
      <c r="B1408" s="1" t="str">
        <f ca="1">IFERROR(__xludf.DUMMYFUNCTION("GOOGLETRANSLATE(English!B1408, ""en"", ""bg"")"),"биология")</f>
        <v>биология</v>
      </c>
      <c r="C1408" s="1" t="str">
        <f ca="1">IFERROR(__xludf.DUMMYFUNCTION("GOOGLETRANSLATE(English!C1408, ""en"", ""bg"")"),"средата")</f>
        <v>средата</v>
      </c>
      <c r="D1408" s="1" t="str">
        <f ca="1">IFERROR(__xludf.DUMMYFUNCTION("GOOGLETRANSLATE(English!D1408, ""en"", ""bg"")"),"класификация")</f>
        <v>класификация</v>
      </c>
      <c r="E1408" s="1" t="str">
        <f ca="1">IFERROR(__xludf.DUMMYFUNCTION("GOOGLETRANSLATE(English!E1408, ""en"", ""bg"")"),"Не разбирам тази тема. Можете ли да ми кажете за класификацията?")</f>
        <v>Не разбирам тази тема. Можете ли да ми кажете за класификацията?</v>
      </c>
      <c r="F1408" s="1" t="str">
        <f ca="1">IFERROR(__xludf.DUMMYFUNCTION("GOOGLETRANSLATE(English!F1408,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1408" s="1" t="str">
        <f ca="1">IFERROR(__xludf.DUMMYFUNCTION("GOOGLETRANSLATE(English!G1408, ""en"", ""bg"")"),"разговор")</f>
        <v>разговор</v>
      </c>
      <c r="H1408" s="1" t="str">
        <f ca="1">IFERROR(__xludf.DUMMYFUNCTION("GOOGLETRANSLATE(English!H1408, ""en"", ""bg"")"),"образователна_помощ")</f>
        <v>образователна_помощ</v>
      </c>
    </row>
    <row r="1409" spans="1:8" ht="13.2" x14ac:dyDescent="0.25">
      <c r="A1409" s="1" t="str">
        <f ca="1">IFERROR(__xludf.DUMMYFUNCTION("GOOGLETRANSLATE(English!A1409, ""en"", ""bg"")"),"qa_13107")</f>
        <v>qa_13107</v>
      </c>
      <c r="B1409" s="1" t="str">
        <f ca="1">IFERROR(__xludf.DUMMYFUNCTION("GOOGLETRANSLATE(English!B1409, ""en"", ""bg"")"),"химия")</f>
        <v>химия</v>
      </c>
      <c r="C1409" s="1" t="str">
        <f ca="1">IFERROR(__xludf.DUMMYFUNCTION("GOOGLETRANSLATE(English!C1409, ""en"", ""bg"")"),"високо")</f>
        <v>високо</v>
      </c>
      <c r="D1409" s="1" t="str">
        <f ca="1">IFERROR(__xludf.DUMMYFUNCTION("GOOGLETRANSLATE(English!D1409, ""en"", ""bg"")"),"равновесие")</f>
        <v>равновесие</v>
      </c>
      <c r="E1409" s="1" t="str">
        <f ca="1">IFERROR(__xludf.DUMMYFUNCTION("GOOGLETRANSLATE(English!E1409, ""en"", ""bg"")"),"Какво е равновесието изобщо?")</f>
        <v>Какво е равновесието изобщо?</v>
      </c>
      <c r="F1409" s="1" t="str">
        <f ca="1">IFERROR(__xludf.DUMMYFUNCTION("GOOGLETRANSLATE(English!F1409,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1409" s="1" t="str">
        <f ca="1">IFERROR(__xludf.DUMMYFUNCTION("GOOGLETRANSLATE(English!G1409, ""en"", ""bg"")"),"direct_qa")</f>
        <v>direct_qa</v>
      </c>
      <c r="H1409" s="1" t="str">
        <f ca="1">IFERROR(__xludf.DUMMYFUNCTION("GOOGLETRANSLATE(English!H1409, ""en"", ""bg"")"),"заявка_за_знание")</f>
        <v>заявка_за_знание</v>
      </c>
    </row>
    <row r="1410" spans="1:8" ht="13.2" x14ac:dyDescent="0.25">
      <c r="A1410" s="1" t="str">
        <f ca="1">IFERROR(__xludf.DUMMYFUNCTION("GOOGLETRANSLATE(English!A1410, ""en"", ""bg"")"),"qa_03648")</f>
        <v>qa_03648</v>
      </c>
      <c r="B1410" s="1" t="str">
        <f ca="1">IFERROR(__xludf.DUMMYFUNCTION("GOOGLETRANSLATE(English!B1410, ""en"", ""bg"")"),"физика")</f>
        <v>физика</v>
      </c>
      <c r="C1410" s="1" t="str">
        <f ca="1">IFERROR(__xludf.DUMMYFUNCTION("GOOGLETRANSLATE(English!C1410, ""en"", ""bg"")"),"елементарен")</f>
        <v>елементарен</v>
      </c>
      <c r="D1410" s="1" t="str">
        <f ca="1">IFERROR(__xludf.DUMMYFUNCTION("GOOGLETRANSLATE(English!D1410, ""en"", ""bg"")"),"горещо и студено")</f>
        <v>горещо и студено</v>
      </c>
      <c r="E1410" s="1" t="str">
        <f ca="1">IFERROR(__xludf.DUMMYFUNCTION("GOOGLETRANSLATE(English!E1410, ""en"", ""bg"")"),"Защо е важно топлото и студеното?")</f>
        <v>Защо е важно топлото и студеното?</v>
      </c>
      <c r="F1410" s="1" t="str">
        <f ca="1">IFERROR(__xludf.DUMMYFUNCTION("GOOGLETRANSLATE(English!F1410,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1410" s="1" t="str">
        <f ca="1">IFERROR(__xludf.DUMMYFUNCTION("GOOGLETRANSLATE(English!G1410, ""en"", ""bg"")"),"direct_qa")</f>
        <v>direct_qa</v>
      </c>
      <c r="H1410" s="1" t="str">
        <f ca="1">IFERROR(__xludf.DUMMYFUNCTION("GOOGLETRANSLATE(English!H1410, ""en"", ""bg"")"),"заявка_за_знание")</f>
        <v>заявка_за_знание</v>
      </c>
    </row>
    <row r="1411" spans="1:8" ht="13.2" x14ac:dyDescent="0.25">
      <c r="A1411" s="1" t="str">
        <f ca="1">IFERROR(__xludf.DUMMYFUNCTION("GOOGLETRANSLATE(English!A1411, ""en"", ""bg"")"),"conv_02682")</f>
        <v>conv_02682</v>
      </c>
      <c r="B1411" s="1" t="str">
        <f ca="1">IFERROR(__xludf.DUMMYFUNCTION("GOOGLETRANSLATE(English!B1411, ""en"", ""bg"")"),"физика")</f>
        <v>физика</v>
      </c>
      <c r="C1411" s="1" t="str">
        <f ca="1">IFERROR(__xludf.DUMMYFUNCTION("GOOGLETRANSLATE(English!C1411, ""en"", ""bg"")"),"средата")</f>
        <v>средата</v>
      </c>
      <c r="D1411" s="1" t="str">
        <f ca="1">IFERROR(__xludf.DUMMYFUNCTION("GOOGLETRANSLATE(English!D1411, ""en"", ""bg"")"),"състояния на материята")</f>
        <v>състояния на материята</v>
      </c>
      <c r="E1411" s="1" t="str">
        <f ca="1">IFERROR(__xludf.DUMMYFUNCTION("GOOGLETRANSLATE(English!E1411, ""en"", ""bg"")"),"Можете ли да ми помогнете? Защо състоянията на материята са важни?")</f>
        <v>Можете ли да ми помогнете? Защо състоянията на материята са важни?</v>
      </c>
      <c r="F1411" s="1" t="str">
        <f ca="1">IFERROR(__xludf.DUMMYFUNCTION("GOOGLETRANSLATE(English!F1411,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1411" s="1" t="str">
        <f ca="1">IFERROR(__xludf.DUMMYFUNCTION("GOOGLETRANSLATE(English!G1411, ""en"", ""bg"")"),"разговор")</f>
        <v>разговор</v>
      </c>
      <c r="H1411" s="1" t="str">
        <f ca="1">IFERROR(__xludf.DUMMYFUNCTION("GOOGLETRANSLATE(English!H1411, ""en"", ""bg"")"),"образователна_помощ")</f>
        <v>образователна_помощ</v>
      </c>
    </row>
    <row r="1412" spans="1:8" ht="13.2" x14ac:dyDescent="0.25">
      <c r="A1412" s="1" t="str">
        <f ca="1">IFERROR(__xludf.DUMMYFUNCTION("GOOGLETRANSLATE(English!A1412, ""en"", ""bg"")"),"qa_00674")</f>
        <v>qa_00674</v>
      </c>
      <c r="B1412" s="1" t="str">
        <f ca="1">IFERROR(__xludf.DUMMYFUNCTION("GOOGLETRANSLATE(English!B1412, ""en"", ""bg"")"),"химия")</f>
        <v>химия</v>
      </c>
      <c r="C1412" s="1" t="str">
        <f ca="1">IFERROR(__xludf.DUMMYFUNCTION("GOOGLETRANSLATE(English!C1412, ""en"", ""bg"")"),"високо")</f>
        <v>високо</v>
      </c>
      <c r="D1412" s="1" t="str">
        <f ca="1">IFERROR(__xludf.DUMMYFUNCTION("GOOGLETRANSLATE(English!D1412, ""en"", ""bg"")"),"органична химия")</f>
        <v>органична химия</v>
      </c>
      <c r="E1412" s="1" t="str">
        <f ca="1">IFERROR(__xludf.DUMMYFUNCTION("GOOGLETRANSLATE(English!E1412, ""en"", ""bg"")"),"Можете ли да ми помогнете да разбера органичната химия?")</f>
        <v>Можете ли да ми помогнете да разбера органичната химия?</v>
      </c>
      <c r="F1412" s="1" t="str">
        <f ca="1">IFERROR(__xludf.DUMMYFUNCTION("GOOGLETRANSLATE(English!F1412,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1412" s="1" t="str">
        <f ca="1">IFERROR(__xludf.DUMMYFUNCTION("GOOGLETRANSLATE(English!G1412, ""en"", ""bg"")"),"direct_qa")</f>
        <v>direct_qa</v>
      </c>
      <c r="H1412" s="1" t="str">
        <f ca="1">IFERROR(__xludf.DUMMYFUNCTION("GOOGLETRANSLATE(English!H1412, ""en"", ""bg"")"),"заявка_за_знание")</f>
        <v>заявка_за_знание</v>
      </c>
    </row>
    <row r="1413" spans="1:8" ht="13.2" x14ac:dyDescent="0.25">
      <c r="A1413" s="1" t="str">
        <f ca="1">IFERROR(__xludf.DUMMYFUNCTION("GOOGLETRANSLATE(English!A1413, ""en"", ""bg"")"),"conv_04660")</f>
        <v>conv_04660</v>
      </c>
      <c r="B1413" s="1" t="str">
        <f ca="1">IFERROR(__xludf.DUMMYFUNCTION("GOOGLETRANSLATE(English!B1413, ""en"", ""bg"")"),"биология")</f>
        <v>биология</v>
      </c>
      <c r="C1413" s="1" t="str">
        <f ca="1">IFERROR(__xludf.DUMMYFUNCTION("GOOGLETRANSLATE(English!C1413, ""en"", ""bg"")"),"високо")</f>
        <v>високо</v>
      </c>
      <c r="D1413" s="1" t="str">
        <f ca="1">IFERROR(__xludf.DUMMYFUNCTION("GOOGLETRANSLATE(English!D1413, ""en"", ""bg"")"),"клетъчно дишане")</f>
        <v>клетъчно дишане</v>
      </c>
      <c r="E1413" s="1" t="str">
        <f ca="1">IFERROR(__xludf.DUMMYFUNCTION("GOOGLETRANSLATE(English!E1413, ""en"", ""bg"")"),"Имам нужда от помощ с домашното. Защо клетъчното дишане е важно в биологията?")</f>
        <v>Имам нужда от помощ с домашното. Защо клетъчното дишане е важно в биологията?</v>
      </c>
      <c r="F1413" s="1" t="str">
        <f ca="1">IFERROR(__xludf.DUMMYFUNCTION("GOOGLETRANSLATE(English!F1413,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1413" s="1" t="str">
        <f ca="1">IFERROR(__xludf.DUMMYFUNCTION("GOOGLETRANSLATE(English!G1413, ""en"", ""bg"")"),"разговор")</f>
        <v>разговор</v>
      </c>
      <c r="H1413" s="1" t="str">
        <f ca="1">IFERROR(__xludf.DUMMYFUNCTION("GOOGLETRANSLATE(English!H1413, ""en"", ""bg"")"),"образователна_помощ")</f>
        <v>образователна_помощ</v>
      </c>
    </row>
    <row r="1414" spans="1:8" ht="13.2" x14ac:dyDescent="0.25">
      <c r="A1414" s="1" t="str">
        <f ca="1">IFERROR(__xludf.DUMMYFUNCTION("GOOGLETRANSLATE(English!A1414, ""en"", ""bg"")"),"qa_11621")</f>
        <v>qa_11621</v>
      </c>
      <c r="B1414" s="1" t="str">
        <f ca="1">IFERROR(__xludf.DUMMYFUNCTION("GOOGLETRANSLATE(English!B1414, ""en"", ""bg"")"),"биология")</f>
        <v>биология</v>
      </c>
      <c r="C1414" s="1" t="str">
        <f ca="1">IFERROR(__xludf.DUMMYFUNCTION("GOOGLETRANSLATE(English!C1414, ""en"", ""bg"")"),"високо")</f>
        <v>високо</v>
      </c>
      <c r="D1414" s="1" t="str">
        <f ca="1">IFERROR(__xludf.DUMMYFUNCTION("GOOGLETRANSLATE(English!D1414, ""en"", ""bg"")"),"модели на наследяване")</f>
        <v>модели на наследяване</v>
      </c>
      <c r="E1414" s="1" t="str">
        <f ca="1">IFERROR(__xludf.DUMMYFUNCTION("GOOGLETRANSLATE(English!E1414, ""en"", ""bg"")"),"Защо моделите на наследяване са важни в биологията?")</f>
        <v>Защо моделите на наследяване са важни в биологията?</v>
      </c>
      <c r="F1414" s="1" t="str">
        <f ca="1">IFERROR(__xludf.DUMMYFUNCTION("GOOGLETRANSLATE(English!F1414,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1414" s="1" t="str">
        <f ca="1">IFERROR(__xludf.DUMMYFUNCTION("GOOGLETRANSLATE(English!G1414, ""en"", ""bg"")"),"direct_qa")</f>
        <v>direct_qa</v>
      </c>
      <c r="H1414" s="1" t="str">
        <f ca="1">IFERROR(__xludf.DUMMYFUNCTION("GOOGLETRANSLATE(English!H1414, ""en"", ""bg"")"),"заявка_за_знание")</f>
        <v>заявка_за_знание</v>
      </c>
    </row>
    <row r="1415" spans="1:8" ht="13.2" x14ac:dyDescent="0.25">
      <c r="A1415" s="1" t="str">
        <f ca="1">IFERROR(__xludf.DUMMYFUNCTION("GOOGLETRANSLATE(English!A1415, ""en"", ""bg"")"),"hw_02729")</f>
        <v>hw_02729</v>
      </c>
      <c r="B1415" s="1" t="str">
        <f ca="1">IFERROR(__xludf.DUMMYFUNCTION("GOOGLETRANSLATE(English!B1415, ""en"", ""bg"")"),"химия")</f>
        <v>химия</v>
      </c>
      <c r="C1415" s="1" t="str">
        <f ca="1">IFERROR(__xludf.DUMMYFUNCTION("GOOGLETRANSLATE(English!C1415, ""en"", ""bg"")"),"високо")</f>
        <v>високо</v>
      </c>
      <c r="D1415" s="1" t="str">
        <f ca="1">IFERROR(__xludf.DUMMYFUNCTION("GOOGLETRANSLATE(English!D1415, ""en"", ""bg"")"),"електрохимия")</f>
        <v>електрохимия</v>
      </c>
      <c r="E1415" s="1" t="str">
        <f ca="1">IFERROR(__xludf.DUMMYFUNCTION("GOOGLETRANSLATE(English!E1415, ""en"", ""bg"")"),"Можете ли да ми помогнете с електрохимични изчисления?")</f>
        <v>Можете ли да ми помогнете с електрохимични изчисления?</v>
      </c>
      <c r="F1415" s="1" t="str">
        <f ca="1">IFERROR(__xludf.DUMMYFUNCTION("GOOGLETRANSLATE(English!F1415,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1415" s="1" t="str">
        <f ca="1">IFERROR(__xludf.DUMMYFUNCTION("GOOGLETRANSLATE(English!G1415, ""en"", ""bg"")"),"помощ_за_домашно_изпълнение")</f>
        <v>помощ_за_домашно_изпълнение</v>
      </c>
      <c r="H1415" s="1" t="str">
        <f ca="1">IFERROR(__xludf.DUMMYFUNCTION("GOOGLETRANSLATE(English!H1415, ""en"", ""bg"")"),"помощ_за_домашно_задаване")</f>
        <v>помощ_за_домашно_задаване</v>
      </c>
    </row>
    <row r="1416" spans="1:8" ht="13.2" x14ac:dyDescent="0.25">
      <c r="A1416" s="1" t="str">
        <f ca="1">IFERROR(__xludf.DUMMYFUNCTION("GOOGLETRANSLATE(English!A1416, ""en"", ""bg"")"),"hw_07373")</f>
        <v>hw_07373</v>
      </c>
      <c r="B1416" s="1" t="str">
        <f ca="1">IFERROR(__xludf.DUMMYFUNCTION("GOOGLETRANSLATE(English!B1416, ""en"", ""bg"")"),"химия")</f>
        <v>химия</v>
      </c>
      <c r="C1416" s="1" t="str">
        <f ca="1">IFERROR(__xludf.DUMMYFUNCTION("GOOGLETRANSLATE(English!C1416, ""en"", ""bg"")"),"високо")</f>
        <v>високо</v>
      </c>
      <c r="D1416" s="1" t="str">
        <f ca="1">IFERROR(__xludf.DUMMYFUNCTION("GOOGLETRANSLATE(English!D1416, ""en"", ""bg"")"),"органична химия")</f>
        <v>органична химия</v>
      </c>
      <c r="E1416" s="1" t="str">
        <f ca="1">IFERROR(__xludf.DUMMYFUNCTION("GOOGLETRANSLATE(English!E1416, ""en"", ""bg"")"),"Можете ли да ми помогнете с изчисленията в органичната химия?")</f>
        <v>Можете ли да ми помогнете с изчисленията в органичната химия?</v>
      </c>
      <c r="F1416" s="1" t="str">
        <f ca="1">IFERROR(__xludf.DUMMYFUNCTION("GOOGLETRANSLATE(English!F1416,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1416" s="1" t="str">
        <f ca="1">IFERROR(__xludf.DUMMYFUNCTION("GOOGLETRANSLATE(English!G1416, ""en"", ""bg"")"),"помощ_за_домашно_изпълнение")</f>
        <v>помощ_за_домашно_изпълнение</v>
      </c>
      <c r="H1416" s="1" t="str">
        <f ca="1">IFERROR(__xludf.DUMMYFUNCTION("GOOGLETRANSLATE(English!H1416, ""en"", ""bg"")"),"помощ_за_домашно_задаване")</f>
        <v>помощ_за_домашно_задаване</v>
      </c>
    </row>
    <row r="1417" spans="1:8" ht="13.2" x14ac:dyDescent="0.25">
      <c r="A1417" s="1" t="str">
        <f ca="1">IFERROR(__xludf.DUMMYFUNCTION("GOOGLETRANSLATE(English!A1417, ""en"", ""bg"")"),"hw_06736")</f>
        <v>hw_06736</v>
      </c>
      <c r="B1417" s="1" t="str">
        <f ca="1">IFERROR(__xludf.DUMMYFUNCTION("GOOGLETRANSLATE(English!B1417, ""en"", ""bg"")"),"физика")</f>
        <v>физика</v>
      </c>
      <c r="C1417" s="1" t="str">
        <f ca="1">IFERROR(__xludf.DUMMYFUNCTION("GOOGLETRANSLATE(English!C1417, ""en"", ""bg"")"),"средата")</f>
        <v>средата</v>
      </c>
      <c r="D1417" s="1" t="str">
        <f ca="1">IFERROR(__xludf.DUMMYFUNCTION("GOOGLETRANSLATE(English!D1417, ""en"", ""bg"")"),"вълни")</f>
        <v>вълни</v>
      </c>
      <c r="E1417" s="1" t="str">
        <f ca="1">IFERROR(__xludf.DUMMYFUNCTION("GOOGLETRANSLATE(English!E1417, ""en"", ""bg"")"),"Заседнал съм с този проблем с вълните. Можете ли да помогнете?")</f>
        <v>Заседнал съм с този проблем с вълните. Можете ли да помогнете?</v>
      </c>
      <c r="F1417" s="1" t="str">
        <f ca="1">IFERROR(__xludf.DUMMYFUNCTION("GOOGLETRANSLATE(English!F1417,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1417" s="1" t="str">
        <f ca="1">IFERROR(__xludf.DUMMYFUNCTION("GOOGLETRANSLATE(English!G1417, ""en"", ""bg"")"),"помощ_за_домашно_изпълнение")</f>
        <v>помощ_за_домашно_изпълнение</v>
      </c>
      <c r="H1417" s="1" t="str">
        <f ca="1">IFERROR(__xludf.DUMMYFUNCTION("GOOGLETRANSLATE(English!H1417, ""en"", ""bg"")"),"помощ_за_домашно_задаване")</f>
        <v>помощ_за_домашно_задаване</v>
      </c>
    </row>
    <row r="1418" spans="1:8" ht="13.2" x14ac:dyDescent="0.25">
      <c r="A1418" s="1" t="str">
        <f ca="1">IFERROR(__xludf.DUMMYFUNCTION("GOOGLETRANSLATE(English!A1418, ""en"", ""bg"")"),"conv_17882")</f>
        <v>conv_17882</v>
      </c>
      <c r="B1418" s="1" t="str">
        <f ca="1">IFERROR(__xludf.DUMMYFUNCTION("GOOGLETRANSLATE(English!B1418, ""en"", ""bg"")"),"биология")</f>
        <v>биология</v>
      </c>
      <c r="C1418" s="1" t="str">
        <f ca="1">IFERROR(__xludf.DUMMYFUNCTION("GOOGLETRANSLATE(English!C1418, ""en"", ""bg"")"),"средата")</f>
        <v>средата</v>
      </c>
      <c r="D1418" s="1" t="str">
        <f ca="1">IFERROR(__xludf.DUMMYFUNCTION("GOOGLETRANSLATE(English!D1418, ""en"", ""bg"")"),"дишане")</f>
        <v>дишане</v>
      </c>
      <c r="E1418" s="1" t="str">
        <f ca="1">IFERROR(__xludf.DUMMYFUNCTION("GOOGLETRANSLATE(English!E1418, ""en"", ""bg"")"),"Помогни ми да уча за теста. Можеш ли да ми кажеш нещо за дишането?")</f>
        <v>Помогни ми да уча за теста. Можеш ли да ми кажеш нещо за дишането?</v>
      </c>
      <c r="F1418" s="1" t="str">
        <f ca="1">IFERROR(__xludf.DUMMYFUNCTION("GOOGLETRANSLATE(English!F1418,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1418" s="1" t="str">
        <f ca="1">IFERROR(__xludf.DUMMYFUNCTION("GOOGLETRANSLATE(English!G1418, ""en"", ""bg"")"),"разговор")</f>
        <v>разговор</v>
      </c>
      <c r="H1418" s="1" t="str">
        <f ca="1">IFERROR(__xludf.DUMMYFUNCTION("GOOGLETRANSLATE(English!H1418, ""en"", ""bg"")"),"образователна_помощ")</f>
        <v>образователна_помощ</v>
      </c>
    </row>
    <row r="1419" spans="1:8" ht="13.2" x14ac:dyDescent="0.25">
      <c r="A1419" s="1" t="str">
        <f ca="1">IFERROR(__xludf.DUMMYFUNCTION("GOOGLETRANSLATE(English!A1419, ""en"", ""bg"")"),"hw_05906")</f>
        <v>hw_05906</v>
      </c>
      <c r="B1419" s="1" t="str">
        <f ca="1">IFERROR(__xludf.DUMMYFUNCTION("GOOGLETRANSLATE(English!B1419, ""en"", ""bg"")"),"химия")</f>
        <v>химия</v>
      </c>
      <c r="C1419" s="1" t="str">
        <f ca="1">IFERROR(__xludf.DUMMYFUNCTION("GOOGLETRANSLATE(English!C1419, ""en"", ""bg"")"),"елементарен")</f>
        <v>елементарен</v>
      </c>
      <c r="D1419" s="1" t="str">
        <f ca="1">IFERROR(__xludf.DUMMYFUNCTION("GOOGLETRANSLATE(English!D1419, ""en"", ""bg"")"),"промени в материалите")</f>
        <v>промени в материалите</v>
      </c>
      <c r="E1419" s="1" t="str">
        <f ca="1">IFERROR(__xludf.DUMMYFUNCTION("GOOGLETRANSLATE(English!E1419,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1419" s="1" t="str">
        <f ca="1">IFERROR(__xludf.DUMMYFUNCTION("GOOGLETRANSLATE(English!F1419,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419" s="1" t="str">
        <f ca="1">IFERROR(__xludf.DUMMYFUNCTION("GOOGLETRANSLATE(English!G1419, ""en"", ""bg"")"),"помощ_за_домашно_изпълнение")</f>
        <v>помощ_за_домашно_изпълнение</v>
      </c>
      <c r="H1419" s="1" t="str">
        <f ca="1">IFERROR(__xludf.DUMMYFUNCTION("GOOGLETRANSLATE(English!H1419, ""en"", ""bg"")"),"помощ_за_домашно_задаване")</f>
        <v>помощ_за_домашно_задаване</v>
      </c>
    </row>
    <row r="1420" spans="1:8" ht="13.2" x14ac:dyDescent="0.25">
      <c r="A1420" s="1" t="str">
        <f ca="1">IFERROR(__xludf.DUMMYFUNCTION("GOOGLETRANSLATE(English!A1420, ""en"", ""bg"")"),"qa_08974")</f>
        <v>qa_08974</v>
      </c>
      <c r="B1420" s="1" t="str">
        <f ca="1">IFERROR(__xludf.DUMMYFUNCTION("GOOGLETRANSLATE(English!B1420, ""en"", ""bg"")"),"физика")</f>
        <v>физика</v>
      </c>
      <c r="C1420" s="1" t="str">
        <f ca="1">IFERROR(__xludf.DUMMYFUNCTION("GOOGLETRANSLATE(English!C1420, ""en"", ""bg"")"),"елементарен")</f>
        <v>елементарен</v>
      </c>
      <c r="D1420" s="1" t="str">
        <f ca="1">IFERROR(__xludf.DUMMYFUNCTION("GOOGLETRANSLATE(English!D1420, ""en"", ""bg"")"),"звук")</f>
        <v>звук</v>
      </c>
      <c r="E1420" s="1" t="str">
        <f ca="1">IFERROR(__xludf.DUMMYFUNCTION("GOOGLETRANSLATE(English!E1420, ""en"", ""bg"")"),"Можеш ли да ми обясниш звука?")</f>
        <v>Можеш ли да ми обясниш звука?</v>
      </c>
      <c r="F1420" s="1" t="str">
        <f ca="1">IFERROR(__xludf.DUMMYFUNCTION("GOOGLETRANSLATE(English!F1420,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1420" s="1" t="str">
        <f ca="1">IFERROR(__xludf.DUMMYFUNCTION("GOOGLETRANSLATE(English!G1420, ""en"", ""bg"")"),"direct_qa")</f>
        <v>direct_qa</v>
      </c>
      <c r="H1420" s="1" t="str">
        <f ca="1">IFERROR(__xludf.DUMMYFUNCTION("GOOGLETRANSLATE(English!H1420, ""en"", ""bg"")"),"заявка_за_знание")</f>
        <v>заявка_за_знание</v>
      </c>
    </row>
    <row r="1421" spans="1:8" ht="13.2" x14ac:dyDescent="0.25">
      <c r="A1421" s="1" t="str">
        <f ca="1">IFERROR(__xludf.DUMMYFUNCTION("GOOGLETRANSLATE(English!A1421, ""en"", ""bg"")"),"hw_12813")</f>
        <v>hw_12813</v>
      </c>
      <c r="B1421" s="1" t="str">
        <f ca="1">IFERROR(__xludf.DUMMYFUNCTION("GOOGLETRANSLATE(English!B1421, ""en"", ""bg"")"),"химия")</f>
        <v>химия</v>
      </c>
      <c r="C1421" s="1" t="str">
        <f ca="1">IFERROR(__xludf.DUMMYFUNCTION("GOOGLETRANSLATE(English!C1421, ""en"", ""bg"")"),"средата")</f>
        <v>средата</v>
      </c>
      <c r="D1421" s="1" t="str">
        <f ca="1">IFERROR(__xludf.DUMMYFUNCTION("GOOGLETRANSLATE(English!D1421, ""en"", ""bg"")"),"съединения срещу елементи")</f>
        <v>съединения срещу елементи</v>
      </c>
      <c r="E1421" s="1" t="str">
        <f ca="1">IFERROR(__xludf.DUMMYFUNCTION("GOOGLETRANSLATE(English!E1421,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1421" s="1" t="str">
        <f ca="1">IFERROR(__xludf.DUMMYFUNCTION("GOOGLETRANSLATE(English!F1421,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1421" s="1" t="str">
        <f ca="1">IFERROR(__xludf.DUMMYFUNCTION("GOOGLETRANSLATE(English!G1421, ""en"", ""bg"")"),"помощ_за_домашно_изпълнение")</f>
        <v>помощ_за_домашно_изпълнение</v>
      </c>
      <c r="H1421" s="1" t="str">
        <f ca="1">IFERROR(__xludf.DUMMYFUNCTION("GOOGLETRANSLATE(English!H1421, ""en"", ""bg"")"),"помощ_за_домашно_задаване")</f>
        <v>помощ_за_домашно_задаване</v>
      </c>
    </row>
    <row r="1422" spans="1:8" ht="13.2" x14ac:dyDescent="0.25">
      <c r="A1422" s="1" t="str">
        <f ca="1">IFERROR(__xludf.DUMMYFUNCTION("GOOGLETRANSLATE(English!A1422, ""en"", ""bg"")"),"hw_08689")</f>
        <v>hw_08689</v>
      </c>
      <c r="B1422" s="1" t="str">
        <f ca="1">IFERROR(__xludf.DUMMYFUNCTION("GOOGLETRANSLATE(English!B1422, ""en"", ""bg"")"),"физика")</f>
        <v>физика</v>
      </c>
      <c r="C1422" s="1" t="str">
        <f ca="1">IFERROR(__xludf.DUMMYFUNCTION("GOOGLETRANSLATE(English!C1422, ""en"", ""bg"")"),"високо")</f>
        <v>високо</v>
      </c>
      <c r="D1422" s="1" t="str">
        <f ca="1">IFERROR(__xludf.DUMMYFUNCTION("GOOGLETRANSLATE(English!D1422, ""en"", ""bg"")"),"радиоактивност")</f>
        <v>радиоактивност</v>
      </c>
      <c r="E1422" s="1" t="str">
        <f ca="1">IFERROR(__xludf.DUMMYFUNCTION("GOOGLETRANSLATE(English!E1422,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1422" s="1" t="str">
        <f ca="1">IFERROR(__xludf.DUMMYFUNCTION("GOOGLETRANSLATE(English!F1422,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422" s="1" t="str">
        <f ca="1">IFERROR(__xludf.DUMMYFUNCTION("GOOGLETRANSLATE(English!G1422, ""en"", ""bg"")"),"помощ_за_домашно_изпълнение")</f>
        <v>помощ_за_домашно_изпълнение</v>
      </c>
      <c r="H1422" s="1" t="str">
        <f ca="1">IFERROR(__xludf.DUMMYFUNCTION("GOOGLETRANSLATE(English!H1422, ""en"", ""bg"")"),"помощ_за_домашно_задаване")</f>
        <v>помощ_за_домашно_задаване</v>
      </c>
    </row>
    <row r="1423" spans="1:8" ht="13.2" x14ac:dyDescent="0.25">
      <c r="A1423" s="1" t="str">
        <f ca="1">IFERROR(__xludf.DUMMYFUNCTION("GOOGLETRANSLATE(English!A1423, ""en"", ""bg"")"),"qa_01316")</f>
        <v>qa_01316</v>
      </c>
      <c r="B1423" s="1" t="str">
        <f ca="1">IFERROR(__xludf.DUMMYFUNCTION("GOOGLETRANSLATE(English!B1423, ""en"", ""bg"")"),"физика")</f>
        <v>физика</v>
      </c>
      <c r="C1423" s="1" t="str">
        <f ca="1">IFERROR(__xludf.DUMMYFUNCTION("GOOGLETRANSLATE(English!C1423, ""en"", ""bg"")"),"средата")</f>
        <v>средата</v>
      </c>
      <c r="D1423" s="1" t="str">
        <f ca="1">IFERROR(__xludf.DUMMYFUNCTION("GOOGLETRANSLATE(English!D1423, ""en"", ""bg"")"),"състояния на материята")</f>
        <v>състояния на материята</v>
      </c>
      <c r="E1423" s="1" t="str">
        <f ca="1">IFERROR(__xludf.DUMMYFUNCTION("GOOGLETRANSLATE(English!E1423, ""en"", ""bg"")"),"Можете ли да ми обясните състоянията на материята?")</f>
        <v>Можете ли да ми обясните състоянията на материята?</v>
      </c>
      <c r="F1423" s="1" t="str">
        <f ca="1">IFERROR(__xludf.DUMMYFUNCTION("GOOGLETRANSLATE(English!F1423,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1423" s="1" t="str">
        <f ca="1">IFERROR(__xludf.DUMMYFUNCTION("GOOGLETRANSLATE(English!G1423, ""en"", ""bg"")"),"direct_qa")</f>
        <v>direct_qa</v>
      </c>
      <c r="H1423" s="1" t="str">
        <f ca="1">IFERROR(__xludf.DUMMYFUNCTION("GOOGLETRANSLATE(English!H1423, ""en"", ""bg"")"),"заявка_за_знание")</f>
        <v>заявка_за_знание</v>
      </c>
    </row>
    <row r="1424" spans="1:8" ht="13.2" x14ac:dyDescent="0.25">
      <c r="A1424" s="1" t="str">
        <f ca="1">IFERROR(__xludf.DUMMYFUNCTION("GOOGLETRANSLATE(English!A1424, ""en"", ""bg"")"),"hw_13621")</f>
        <v>hw_13621</v>
      </c>
      <c r="B1424" s="1" t="str">
        <f ca="1">IFERROR(__xludf.DUMMYFUNCTION("GOOGLETRANSLATE(English!B1424, ""en"", ""bg"")"),"физика")</f>
        <v>физика</v>
      </c>
      <c r="C1424" s="1" t="str">
        <f ca="1">IFERROR(__xludf.DUMMYFUNCTION("GOOGLETRANSLATE(English!C1424, ""en"", ""bg"")"),"елементарен")</f>
        <v>елементарен</v>
      </c>
      <c r="D1424" s="1" t="str">
        <f ca="1">IFERROR(__xludf.DUMMYFUNCTION("GOOGLETRANSLATE(English!D1424, ""en"", ""bg"")"),"светлина и сянка")</f>
        <v>светлина и сянка</v>
      </c>
      <c r="E1424" s="1" t="str">
        <f ca="1">IFERROR(__xludf.DUMMYFUNCTION("GOOGLETRANSLATE(English!E1424,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1424" s="1" t="str">
        <f ca="1">IFERROR(__xludf.DUMMYFUNCTION("GOOGLETRANSLATE(English!F1424,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1424" s="1" t="str">
        <f ca="1">IFERROR(__xludf.DUMMYFUNCTION("GOOGLETRANSLATE(English!G1424, ""en"", ""bg"")"),"помощ_за_домашно_изпълнение")</f>
        <v>помощ_за_домашно_изпълнение</v>
      </c>
      <c r="H1424" s="1" t="str">
        <f ca="1">IFERROR(__xludf.DUMMYFUNCTION("GOOGLETRANSLATE(English!H1424, ""en"", ""bg"")"),"помощ_за_домашно_задаване")</f>
        <v>помощ_за_домашно_задаване</v>
      </c>
    </row>
    <row r="1425" spans="1:8" ht="13.2" x14ac:dyDescent="0.25">
      <c r="A1425" s="1" t="str">
        <f ca="1">IFERROR(__xludf.DUMMYFUNCTION("GOOGLETRANSLATE(English!A1425, ""en"", ""bg"")"),"conv_17459")</f>
        <v>conv_17459</v>
      </c>
      <c r="B1425" s="1" t="str">
        <f ca="1">IFERROR(__xludf.DUMMYFUNCTION("GOOGLETRANSLATE(English!B1425, ""en"", ""bg"")"),"химия")</f>
        <v>химия</v>
      </c>
      <c r="C1425" s="1" t="str">
        <f ca="1">IFERROR(__xludf.DUMMYFUNCTION("GOOGLETRANSLATE(English!C1425, ""en"", ""bg"")"),"елементарен")</f>
        <v>елементарен</v>
      </c>
      <c r="D1425" s="1" t="str">
        <f ca="1">IFERROR(__xludf.DUMMYFUNCTION("GOOGLETRANSLATE(English!D1425, ""en"", ""bg"")"),"твърди вещества, течности, газове")</f>
        <v>твърди вещества, течности, газове</v>
      </c>
      <c r="E1425" s="1" t="str">
        <f ca="1">IFERROR(__xludf.DUMMYFUNCTION("GOOGLETRANSLATE(English!E1425, ""en"", ""bg"")"),"Имам нужда от помощ с домашното. Може ли газът да се превърне обратно в течност?")</f>
        <v>Имам нужда от помощ с домашното. Може ли газът да се превърне обратно в течност?</v>
      </c>
      <c r="F1425" s="1" t="str">
        <f ca="1">IFERROR(__xludf.DUMMYFUNCTION("GOOGLETRANSLATE(English!F1425, ""en"", ""bg"")"),"Да! Можете да превърнете газ обратно в течност, като го охладите. Този процес се нарича кондензация.")</f>
        <v>Да! Можете да превърнете газ обратно в течност, като го охладите. Този процес се нарича кондензация.</v>
      </c>
      <c r="G1425" s="1" t="str">
        <f ca="1">IFERROR(__xludf.DUMMYFUNCTION("GOOGLETRANSLATE(English!G1425, ""en"", ""bg"")"),"разговор")</f>
        <v>разговор</v>
      </c>
      <c r="H1425" s="1" t="str">
        <f ca="1">IFERROR(__xludf.DUMMYFUNCTION("GOOGLETRANSLATE(English!H1425, ""en"", ""bg"")"),"образователна_помощ")</f>
        <v>образователна_помощ</v>
      </c>
    </row>
    <row r="1426" spans="1:8" ht="13.2" x14ac:dyDescent="0.25">
      <c r="A1426" s="1" t="str">
        <f ca="1">IFERROR(__xludf.DUMMYFUNCTION("GOOGLETRANSLATE(English!A1426, ""en"", ""bg"")"),"conv_10026")</f>
        <v>conv_10026</v>
      </c>
      <c r="B1426" s="1" t="str">
        <f ca="1">IFERROR(__xludf.DUMMYFUNCTION("GOOGLETRANSLATE(English!B1426, ""en"", ""bg"")"),"физика")</f>
        <v>физика</v>
      </c>
      <c r="C1426" s="1" t="str">
        <f ca="1">IFERROR(__xludf.DUMMYFUNCTION("GOOGLETRANSLATE(English!C1426, ""en"", ""bg"")"),"средата")</f>
        <v>средата</v>
      </c>
      <c r="D1426" s="1" t="str">
        <f ca="1">IFERROR(__xludf.DUMMYFUNCTION("GOOGLETRANSLATE(English!D1426, ""en"", ""bg"")"),"сили и движение")</f>
        <v>сили и движение</v>
      </c>
      <c r="E1426" s="1" t="str">
        <f ca="1">IFERROR(__xludf.DUMMYFUNCTION("GOOGLETRANSLATE(English!E1426, ""en"", ""bg"")"),"Здравей, преподавателю! Каква е разликата между скорост и скорост?")</f>
        <v>Здравей, преподавателю! Каква е разликата между скорост и скорост?</v>
      </c>
      <c r="F1426" s="1" t="str">
        <f ca="1">IFERROR(__xludf.DUMMYFUNCTION("GOOGLETRANSLATE(English!F1426,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1426" s="1" t="str">
        <f ca="1">IFERROR(__xludf.DUMMYFUNCTION("GOOGLETRANSLATE(English!G1426, ""en"", ""bg"")"),"разговор")</f>
        <v>разговор</v>
      </c>
      <c r="H1426" s="1" t="str">
        <f ca="1">IFERROR(__xludf.DUMMYFUNCTION("GOOGLETRANSLATE(English!H1426, ""en"", ""bg"")"),"образователна_помощ")</f>
        <v>образователна_помощ</v>
      </c>
    </row>
    <row r="1427" spans="1:8" ht="13.2" x14ac:dyDescent="0.25">
      <c r="A1427" s="1" t="str">
        <f ca="1">IFERROR(__xludf.DUMMYFUNCTION("GOOGLETRANSLATE(English!A1427, ""en"", ""bg"")"),"hw_10321")</f>
        <v>hw_10321</v>
      </c>
      <c r="B1427" s="1" t="str">
        <f ca="1">IFERROR(__xludf.DUMMYFUNCTION("GOOGLETRANSLATE(English!B1427, ""en"", ""bg"")"),"биология")</f>
        <v>биология</v>
      </c>
      <c r="C1427" s="1" t="str">
        <f ca="1">IFERROR(__xludf.DUMMYFUNCTION("GOOGLETRANSLATE(English!C1427, ""en"", ""bg"")"),"високо")</f>
        <v>високо</v>
      </c>
      <c r="D1427" s="1" t="str">
        <f ca="1">IFERROR(__xludf.DUMMYFUNCTION("GOOGLETRANSLATE(English!D1427, ""en"", ""bg"")"),"модели на наследяване")</f>
        <v>модели на наследяване</v>
      </c>
      <c r="E1427" s="1" t="str">
        <f ca="1">IFERROR(__xludf.DUMMYFUNCTION("GOOGLETRANSLATE(English!E1427, ""en"", ""bg"")"),"Можете ли да обясните моделите на наследяване за моя научен проект?")</f>
        <v>Можете ли да обясните моделите на наследяване за моя научен проект?</v>
      </c>
      <c r="F1427" s="1" t="str">
        <f ca="1">IFERROR(__xludf.DUMMYFUNCTION("GOOGLETRANSLATE(English!F1427,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1427" s="1" t="str">
        <f ca="1">IFERROR(__xludf.DUMMYFUNCTION("GOOGLETRANSLATE(English!G1427, ""en"", ""bg"")"),"помощ_за_домашно_изпълнение")</f>
        <v>помощ_за_домашно_изпълнение</v>
      </c>
      <c r="H1427" s="1" t="str">
        <f ca="1">IFERROR(__xludf.DUMMYFUNCTION("GOOGLETRANSLATE(English!H1427, ""en"", ""bg"")"),"помощ_за_домашно_задаване")</f>
        <v>помощ_за_домашно_задаване</v>
      </c>
    </row>
    <row r="1428" spans="1:8" ht="13.2" x14ac:dyDescent="0.25">
      <c r="A1428" s="1" t="str">
        <f ca="1">IFERROR(__xludf.DUMMYFUNCTION("GOOGLETRANSLATE(English!A1428, ""en"", ""bg"")"),"hw_00949")</f>
        <v>hw_00949</v>
      </c>
      <c r="B1428" s="1" t="str">
        <f ca="1">IFERROR(__xludf.DUMMYFUNCTION("GOOGLETRANSLATE(English!B1428, ""en"", ""bg"")"),"химия")</f>
        <v>химия</v>
      </c>
      <c r="C1428" s="1" t="str">
        <f ca="1">IFERROR(__xludf.DUMMYFUNCTION("GOOGLETRANSLATE(English!C1428, ""en"", ""bg"")"),"високо")</f>
        <v>високо</v>
      </c>
      <c r="D1428" s="1" t="str">
        <f ca="1">IFERROR(__xludf.DUMMYFUNCTION("GOOGLETRANSLATE(English!D1428, ""en"", ""bg"")"),"химическо свързване")</f>
        <v>химическо свързване</v>
      </c>
      <c r="E1428" s="1" t="str">
        <f ca="1">IFERROR(__xludf.DUMMYFUNCTION("GOOGLETRANSLATE(English!E1428,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1428" s="1" t="str">
        <f ca="1">IFERROR(__xludf.DUMMYFUNCTION("GOOGLETRANSLATE(English!F1428,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1428" s="1" t="str">
        <f ca="1">IFERROR(__xludf.DUMMYFUNCTION("GOOGLETRANSLATE(English!G1428, ""en"", ""bg"")"),"помощ_за_домашно_изпълнение")</f>
        <v>помощ_за_домашно_изпълнение</v>
      </c>
      <c r="H1428" s="1" t="str">
        <f ca="1">IFERROR(__xludf.DUMMYFUNCTION("GOOGLETRANSLATE(English!H1428, ""en"", ""bg"")"),"помощ_за_домашно_задаване")</f>
        <v>помощ_за_домашно_задаване</v>
      </c>
    </row>
    <row r="1429" spans="1:8" ht="13.2" x14ac:dyDescent="0.25">
      <c r="A1429" s="1" t="str">
        <f ca="1">IFERROR(__xludf.DUMMYFUNCTION("GOOGLETRANSLATE(English!A1429, ""en"", ""bg"")"),"hw_10927")</f>
        <v>hw_10927</v>
      </c>
      <c r="B1429" s="1" t="str">
        <f ca="1">IFERROR(__xludf.DUMMYFUNCTION("GOOGLETRANSLATE(English!B1429, ""en"", ""bg"")"),"химия")</f>
        <v>химия</v>
      </c>
      <c r="C1429" s="1" t="str">
        <f ca="1">IFERROR(__xludf.DUMMYFUNCTION("GOOGLETRANSLATE(English!C1429, ""en"", ""bg"")"),"средата")</f>
        <v>средата</v>
      </c>
      <c r="D1429" s="1" t="str">
        <f ca="1">IFERROR(__xludf.DUMMYFUNCTION("GOOGLETRANSLATE(English!D1429, ""en"", ""bg"")"),"основи на периодичната таблица")</f>
        <v>основи на периодичната таблица</v>
      </c>
      <c r="E1429" s="1" t="str">
        <f ca="1">IFERROR(__xludf.DUMMYFUNCTION("GOOGLETRANSLATE(English!E1429,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1429" s="1" t="str">
        <f ca="1">IFERROR(__xludf.DUMMYFUNCTION("GOOGLETRANSLATE(English!F1429,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1429" s="1" t="str">
        <f ca="1">IFERROR(__xludf.DUMMYFUNCTION("GOOGLETRANSLATE(English!G1429, ""en"", ""bg"")"),"помощ_за_домашно_изпълнение")</f>
        <v>помощ_за_домашно_изпълнение</v>
      </c>
      <c r="H1429" s="1" t="str">
        <f ca="1">IFERROR(__xludf.DUMMYFUNCTION("GOOGLETRANSLATE(English!H1429, ""en"", ""bg"")"),"помощ_за_домашно_задаване")</f>
        <v>помощ_за_домашно_задаване</v>
      </c>
    </row>
    <row r="1430" spans="1:8" ht="13.2" x14ac:dyDescent="0.25">
      <c r="A1430" s="1" t="str">
        <f ca="1">IFERROR(__xludf.DUMMYFUNCTION("GOOGLETRANSLATE(English!A1430, ""en"", ""bg"")"),"hw_11593")</f>
        <v>hw_11593</v>
      </c>
      <c r="B1430" s="1" t="str">
        <f ca="1">IFERROR(__xludf.DUMMYFUNCTION("GOOGLETRANSLATE(English!B1430, ""en"", ""bg"")"),"биология")</f>
        <v>биология</v>
      </c>
      <c r="C1430" s="1" t="str">
        <f ca="1">IFERROR(__xludf.DUMMYFUNCTION("GOOGLETRANSLATE(English!C1430, ""en"", ""bg"")"),"средата")</f>
        <v>средата</v>
      </c>
      <c r="D1430" s="1" t="str">
        <f ca="1">IFERROR(__xludf.DUMMYFUNCTION("GOOGLETRANSLATE(English!D1430, ""en"", ""bg"")"),"фотосинтеза")</f>
        <v>фотосинтеза</v>
      </c>
      <c r="E1430" s="1" t="str">
        <f ca="1">IFERROR(__xludf.DUMMYFUNCTION("GOOGLETRANSLATE(English!E1430, ""en"", ""bg"")"),"Можете ли да обясните фотосинтезата за моя научен проект?")</f>
        <v>Можете ли да обясните фотосинтезата за моя научен проект?</v>
      </c>
      <c r="F1430" s="1" t="str">
        <f ca="1">IFERROR(__xludf.DUMMYFUNCTION("GOOGLETRANSLATE(English!F1430,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430" s="1" t="str">
        <f ca="1">IFERROR(__xludf.DUMMYFUNCTION("GOOGLETRANSLATE(English!G1430, ""en"", ""bg"")"),"помощ_за_домашно_изпълнение")</f>
        <v>помощ_за_домашно_изпълнение</v>
      </c>
      <c r="H1430" s="1" t="str">
        <f ca="1">IFERROR(__xludf.DUMMYFUNCTION("GOOGLETRANSLATE(English!H1430, ""en"", ""bg"")"),"помощ_за_домашно_задаване")</f>
        <v>помощ_за_домашно_задаване</v>
      </c>
    </row>
    <row r="1431" spans="1:8" ht="13.2" x14ac:dyDescent="0.25">
      <c r="A1431" s="1" t="str">
        <f ca="1">IFERROR(__xludf.DUMMYFUNCTION("GOOGLETRANSLATE(English!A1431, ""en"", ""bg"")"),"hw_10681")</f>
        <v>hw_10681</v>
      </c>
      <c r="B1431" s="1" t="str">
        <f ca="1">IFERROR(__xludf.DUMMYFUNCTION("GOOGLETRANSLATE(English!B1431, ""en"", ""bg"")"),"физика")</f>
        <v>физика</v>
      </c>
      <c r="C1431" s="1" t="str">
        <f ca="1">IFERROR(__xludf.DUMMYFUNCTION("GOOGLETRANSLATE(English!C1431, ""en"", ""bg"")"),"елементарен")</f>
        <v>елементарен</v>
      </c>
      <c r="D1431" s="1" t="str">
        <f ca="1">IFERROR(__xludf.DUMMYFUNCTION("GOOGLETRANSLATE(English!D1431, ""en"", ""bg"")"),"прости машини")</f>
        <v>прости машини</v>
      </c>
      <c r="E1431" s="1" t="str">
        <f ca="1">IFERROR(__xludf.DUMMYFUNCTION("GOOGLETRANSLATE(English!E1431, ""en"", ""bg"")"),"Домашното ми по физика е за прости машини. Объркващо е!")</f>
        <v>Домашното ми по физика е за прости машини. Объркващо е!</v>
      </c>
      <c r="F1431" s="1" t="str">
        <f ca="1">IFERROR(__xludf.DUMMYFUNCTION("GOOGLETRANSLATE(English!F1431,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1431" s="1" t="str">
        <f ca="1">IFERROR(__xludf.DUMMYFUNCTION("GOOGLETRANSLATE(English!G1431, ""en"", ""bg"")"),"помощ_за_домашно_изпълнение")</f>
        <v>помощ_за_домашно_изпълнение</v>
      </c>
      <c r="H1431" s="1" t="str">
        <f ca="1">IFERROR(__xludf.DUMMYFUNCTION("GOOGLETRANSLATE(English!H1431, ""en"", ""bg"")"),"помощ_за_домашно_задаване")</f>
        <v>помощ_за_домашно_задаване</v>
      </c>
    </row>
    <row r="1432" spans="1:8" ht="13.2" x14ac:dyDescent="0.25">
      <c r="A1432" s="1" t="str">
        <f ca="1">IFERROR(__xludf.DUMMYFUNCTION("GOOGLETRANSLATE(English!A1432, ""en"", ""bg"")"),"qa_05989")</f>
        <v>qa_05989</v>
      </c>
      <c r="B1432" s="1" t="str">
        <f ca="1">IFERROR(__xludf.DUMMYFUNCTION("GOOGLETRANSLATE(English!B1432, ""en"", ""bg"")"),"физика")</f>
        <v>физика</v>
      </c>
      <c r="C1432" s="1" t="str">
        <f ca="1">IFERROR(__xludf.DUMMYFUNCTION("GOOGLETRANSLATE(English!C1432, ""en"", ""bg"")"),"средата")</f>
        <v>средата</v>
      </c>
      <c r="D1432" s="1" t="str">
        <f ca="1">IFERROR(__xludf.DUMMYFUNCTION("GOOGLETRANSLATE(English!D1432, ""en"", ""bg"")"),"състояния на материята")</f>
        <v>състояния на материята</v>
      </c>
      <c r="E1432" s="1" t="str">
        <f ca="1">IFERROR(__xludf.DUMMYFUNCTION("GOOGLETRANSLATE(English!E1432, ""en"", ""bg"")"),"Какво трябва да знам за състоянията на материята?")</f>
        <v>Какво трябва да знам за състоянията на материята?</v>
      </c>
      <c r="F1432" s="1" t="str">
        <f ca="1">IFERROR(__xludf.DUMMYFUNCTION("GOOGLETRANSLATE(English!F1432,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1432" s="1" t="str">
        <f ca="1">IFERROR(__xludf.DUMMYFUNCTION("GOOGLETRANSLATE(English!G1432, ""en"", ""bg"")"),"direct_qa")</f>
        <v>direct_qa</v>
      </c>
      <c r="H1432" s="1" t="str">
        <f ca="1">IFERROR(__xludf.DUMMYFUNCTION("GOOGLETRANSLATE(English!H1432, ""en"", ""bg"")"),"заявка_за_знание")</f>
        <v>заявка_за_знание</v>
      </c>
    </row>
    <row r="1433" spans="1:8" ht="13.2" x14ac:dyDescent="0.25">
      <c r="A1433" s="1" t="str">
        <f ca="1">IFERROR(__xludf.DUMMYFUNCTION("GOOGLETRANSLATE(English!A1433, ""en"", ""bg"")"),"conv_03987")</f>
        <v>conv_03987</v>
      </c>
      <c r="B1433" s="1" t="str">
        <f ca="1">IFERROR(__xludf.DUMMYFUNCTION("GOOGLETRANSLATE(English!B1433, ""en"", ""bg"")"),"физика")</f>
        <v>физика</v>
      </c>
      <c r="C1433" s="1" t="str">
        <f ca="1">IFERROR(__xludf.DUMMYFUNCTION("GOOGLETRANSLATE(English!C1433, ""en"", ""bg"")"),"средата")</f>
        <v>средата</v>
      </c>
      <c r="D1433" s="1" t="str">
        <f ca="1">IFERROR(__xludf.DUMMYFUNCTION("GOOGLETRANSLATE(English!D1433, ""en"", ""bg"")"),"прости схеми")</f>
        <v>прости схеми</v>
      </c>
      <c r="E1433" s="1" t="str">
        <f ca="1">IFERROR(__xludf.DUMMYFUNCTION("GOOGLETRANSLATE(English!E1433, ""en"", ""bg"")"),"Можете ли да ми обясните това? Защо простите схеми са важни?")</f>
        <v>Можете ли да ми обясните това? Защо простите схеми са важни?</v>
      </c>
      <c r="F1433" s="1" t="str">
        <f ca="1">IFERROR(__xludf.DUMMYFUNCTION("GOOGLETRANSLATE(English!F1433,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433" s="1" t="str">
        <f ca="1">IFERROR(__xludf.DUMMYFUNCTION("GOOGLETRANSLATE(English!G1433, ""en"", ""bg"")"),"разговор")</f>
        <v>разговор</v>
      </c>
      <c r="H1433" s="1" t="str">
        <f ca="1">IFERROR(__xludf.DUMMYFUNCTION("GOOGLETRANSLATE(English!H1433, ""en"", ""bg"")"),"образователна_помощ")</f>
        <v>образователна_помощ</v>
      </c>
    </row>
    <row r="1434" spans="1:8" ht="13.2" x14ac:dyDescent="0.25">
      <c r="A1434" s="1" t="str">
        <f ca="1">IFERROR(__xludf.DUMMYFUNCTION("GOOGLETRANSLATE(English!A1434, ""en"", ""bg"")"),"hw_07791")</f>
        <v>hw_07791</v>
      </c>
      <c r="B1434" s="1" t="str">
        <f ca="1">IFERROR(__xludf.DUMMYFUNCTION("GOOGLETRANSLATE(English!B1434, ""en"", ""bg"")"),"химия")</f>
        <v>химия</v>
      </c>
      <c r="C1434" s="1" t="str">
        <f ca="1">IFERROR(__xludf.DUMMYFUNCTION("GOOGLETRANSLATE(English!C1434, ""en"", ""bg"")"),"високо")</f>
        <v>високо</v>
      </c>
      <c r="D1434" s="1" t="str">
        <f ca="1">IFERROR(__xludf.DUMMYFUNCTION("GOOGLETRANSLATE(English!D1434, ""en"", ""bg"")"),"органична химия")</f>
        <v>органична химия</v>
      </c>
      <c r="E1434" s="1" t="str">
        <f ca="1">IFERROR(__xludf.DUMMYFUNCTION("GOOGLETRANSLATE(English!E1434, ""en"", ""bg"")"),"Моят доклад по химия е за органична химия. Помогнете ми да разбера.")</f>
        <v>Моят доклад по химия е за органична химия. Помогнете ми да разбера.</v>
      </c>
      <c r="F1434" s="1" t="str">
        <f ca="1">IFERROR(__xludf.DUMMYFUNCTION("GOOGLETRANSLATE(English!F1434,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1434" s="1" t="str">
        <f ca="1">IFERROR(__xludf.DUMMYFUNCTION("GOOGLETRANSLATE(English!G1434, ""en"", ""bg"")"),"помощ_за_домашно_изпълнение")</f>
        <v>помощ_за_домашно_изпълнение</v>
      </c>
      <c r="H1434" s="1" t="str">
        <f ca="1">IFERROR(__xludf.DUMMYFUNCTION("GOOGLETRANSLATE(English!H1434, ""en"", ""bg"")"),"помощ_за_домашно_задаване")</f>
        <v>помощ_за_домашно_задаване</v>
      </c>
    </row>
    <row r="1435" spans="1:8" ht="13.2" x14ac:dyDescent="0.25">
      <c r="A1435" s="1" t="str">
        <f ca="1">IFERROR(__xludf.DUMMYFUNCTION("GOOGLETRANSLATE(English!A1435, ""en"", ""bg"")"),"hw_03214")</f>
        <v>hw_03214</v>
      </c>
      <c r="B1435" s="1" t="str">
        <f ca="1">IFERROR(__xludf.DUMMYFUNCTION("GOOGLETRANSLATE(English!B1435, ""en"", ""bg"")"),"биология")</f>
        <v>биология</v>
      </c>
      <c r="C1435" s="1" t="str">
        <f ca="1">IFERROR(__xludf.DUMMYFUNCTION("GOOGLETRANSLATE(English!C1435, ""en"", ""bg"")"),"високо")</f>
        <v>високо</v>
      </c>
      <c r="D1435" s="1" t="str">
        <f ca="1">IFERROR(__xludf.DUMMYFUNCTION("GOOGLETRANSLATE(English!D1435, ""en"", ""bg"")"),"Структура на ДНК")</f>
        <v>Структура на ДНК</v>
      </c>
      <c r="E1435" s="1" t="str">
        <f ca="1">IFERROR(__xludf.DUMMYFUNCTION("GOOGLETRANSLATE(English!E1435,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1435" s="1" t="str">
        <f ca="1">IFERROR(__xludf.DUMMYFUNCTION("GOOGLETRANSLATE(English!F1435,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1435" s="1" t="str">
        <f ca="1">IFERROR(__xludf.DUMMYFUNCTION("GOOGLETRANSLATE(English!G1435, ""en"", ""bg"")"),"помощ_за_домашно_изпълнение")</f>
        <v>помощ_за_домашно_изпълнение</v>
      </c>
      <c r="H1435" s="1" t="str">
        <f ca="1">IFERROR(__xludf.DUMMYFUNCTION("GOOGLETRANSLATE(English!H1435, ""en"", ""bg"")"),"помощ_за_домашно_задаване")</f>
        <v>помощ_за_домашно_задаване</v>
      </c>
    </row>
    <row r="1436" spans="1:8" ht="13.2" x14ac:dyDescent="0.25">
      <c r="A1436" s="1" t="str">
        <f ca="1">IFERROR(__xludf.DUMMYFUNCTION("GOOGLETRANSLATE(English!A1436, ""en"", ""bg"")"),"conv_14921")</f>
        <v>conv_14921</v>
      </c>
      <c r="B1436" s="1" t="str">
        <f ca="1">IFERROR(__xludf.DUMMYFUNCTION("GOOGLETRANSLATE(English!B1436, ""en"", ""bg"")"),"физика")</f>
        <v>физика</v>
      </c>
      <c r="C1436" s="1" t="str">
        <f ca="1">IFERROR(__xludf.DUMMYFUNCTION("GOOGLETRANSLATE(English!C1436, ""en"", ""bg"")"),"средата")</f>
        <v>средата</v>
      </c>
      <c r="D1436" s="1" t="str">
        <f ca="1">IFERROR(__xludf.DUMMYFUNCTION("GOOGLETRANSLATE(English!D1436, ""en"", ""bg"")"),"вълни")</f>
        <v>вълни</v>
      </c>
      <c r="E1436" s="1" t="str">
        <f ca="1">IFERROR(__xludf.DUMMYFUNCTION("GOOGLETRANSLATE(English!E1436, ""en"", ""bg"")"),"Помогни ми да уча за теста. Можеш ли да ми обясниш вълните?")</f>
        <v>Помогни ми да уча за теста. Можеш ли да ми обясниш вълните?</v>
      </c>
      <c r="F1436" s="1" t="str">
        <f ca="1">IFERROR(__xludf.DUMMYFUNCTION("GOOGLETRANSLATE(English!F1436,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1436" s="1" t="str">
        <f ca="1">IFERROR(__xludf.DUMMYFUNCTION("GOOGLETRANSLATE(English!G1436, ""en"", ""bg"")"),"разговор")</f>
        <v>разговор</v>
      </c>
      <c r="H1436" s="1" t="str">
        <f ca="1">IFERROR(__xludf.DUMMYFUNCTION("GOOGLETRANSLATE(English!H1436, ""en"", ""bg"")"),"образователна_помощ")</f>
        <v>образователна_помощ</v>
      </c>
    </row>
    <row r="1437" spans="1:8" ht="13.2" x14ac:dyDescent="0.25">
      <c r="A1437" s="1" t="str">
        <f ca="1">IFERROR(__xludf.DUMMYFUNCTION("GOOGLETRANSLATE(English!A1437, ""en"", ""bg"")"),"qa_00069")</f>
        <v>qa_00069</v>
      </c>
      <c r="B1437" s="1" t="str">
        <f ca="1">IFERROR(__xludf.DUMMYFUNCTION("GOOGLETRANSLATE(English!B1437, ""en"", ""bg"")"),"физика")</f>
        <v>физика</v>
      </c>
      <c r="C1437" s="1" t="str">
        <f ca="1">IFERROR(__xludf.DUMMYFUNCTION("GOOGLETRANSLATE(English!C1437, ""en"", ""bg"")"),"високо")</f>
        <v>високо</v>
      </c>
      <c r="D1437" s="1" t="str">
        <f ca="1">IFERROR(__xludf.DUMMYFUNCTION("GOOGLETRANSLATE(English!D1437, ""en"", ""bg"")"),"атомна структура")</f>
        <v>атомна структура</v>
      </c>
      <c r="E1437" s="1" t="str">
        <f ca="1">IFERROR(__xludf.DUMMYFUNCTION("GOOGLETRANSLATE(English!E1437, ""en"", ""bg"")"),"Как работи атомната структура във физиката?")</f>
        <v>Как работи атомната структура във физиката?</v>
      </c>
      <c r="F1437" s="1" t="str">
        <f ca="1">IFERROR(__xludf.DUMMYFUNCTION("GOOGLETRANSLATE(English!F1437,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1437" s="1" t="str">
        <f ca="1">IFERROR(__xludf.DUMMYFUNCTION("GOOGLETRANSLATE(English!G1437, ""en"", ""bg"")"),"direct_qa")</f>
        <v>direct_qa</v>
      </c>
      <c r="H1437" s="1" t="str">
        <f ca="1">IFERROR(__xludf.DUMMYFUNCTION("GOOGLETRANSLATE(English!H1437, ""en"", ""bg"")"),"заявка_за_знание")</f>
        <v>заявка_за_знание</v>
      </c>
    </row>
    <row r="1438" spans="1:8" ht="13.2" x14ac:dyDescent="0.25">
      <c r="A1438" s="1" t="str">
        <f ca="1">IFERROR(__xludf.DUMMYFUNCTION("GOOGLETRANSLATE(English!A1438, ""en"", ""bg"")"),"qa_09933")</f>
        <v>qa_09933</v>
      </c>
      <c r="B1438" s="1" t="str">
        <f ca="1">IFERROR(__xludf.DUMMYFUNCTION("GOOGLETRANSLATE(English!B1438, ""en"", ""bg"")"),"химия")</f>
        <v>химия</v>
      </c>
      <c r="C1438" s="1" t="str">
        <f ca="1">IFERROR(__xludf.DUMMYFUNCTION("GOOGLETRANSLATE(English!C1438, ""en"", ""bg"")"),"елементарен")</f>
        <v>елементарен</v>
      </c>
      <c r="D1438" s="1" t="str">
        <f ca="1">IFERROR(__xludf.DUMMYFUNCTION("GOOGLETRANSLATE(English!D1438, ""en"", ""bg"")"),"разтваряне")</f>
        <v>разтваряне</v>
      </c>
      <c r="E1438" s="1" t="str">
        <f ca="1">IFERROR(__xludf.DUMMYFUNCTION("GOOGLETRANSLATE(English!E1438, ""en"", ""bg"")"),"Защо е важно да се научим да разтваряме?")</f>
        <v>Защо е важно да се научим да разтваряме?</v>
      </c>
      <c r="F1438" s="1" t="str">
        <f ca="1">IFERROR(__xludf.DUMMYFUNCTION("GOOGLETRANSLATE(English!F1438,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1438" s="1" t="str">
        <f ca="1">IFERROR(__xludf.DUMMYFUNCTION("GOOGLETRANSLATE(English!G1438, ""en"", ""bg"")"),"direct_qa")</f>
        <v>direct_qa</v>
      </c>
      <c r="H1438" s="1" t="str">
        <f ca="1">IFERROR(__xludf.DUMMYFUNCTION("GOOGLETRANSLATE(English!H1438, ""en"", ""bg"")"),"заявка_за_знание")</f>
        <v>заявка_за_знание</v>
      </c>
    </row>
    <row r="1439" spans="1:8" ht="13.2" x14ac:dyDescent="0.25">
      <c r="A1439" s="1" t="str">
        <f ca="1">IFERROR(__xludf.DUMMYFUNCTION("GOOGLETRANSLATE(English!A1439, ""en"", ""bg"")"),"hw_03277")</f>
        <v>hw_03277</v>
      </c>
      <c r="B1439" s="1" t="str">
        <f ca="1">IFERROR(__xludf.DUMMYFUNCTION("GOOGLETRANSLATE(English!B1439, ""en"", ""bg"")"),"биология")</f>
        <v>биология</v>
      </c>
      <c r="C1439" s="1" t="str">
        <f ca="1">IFERROR(__xludf.DUMMYFUNCTION("GOOGLETRANSLATE(English!C1439, ""en"", ""bg"")"),"високо")</f>
        <v>високо</v>
      </c>
      <c r="D1439" s="1" t="str">
        <f ca="1">IFERROR(__xludf.DUMMYFUNCTION("GOOGLETRANSLATE(English!D1439, ""en"", ""bg"")"),"митоза и мейоза")</f>
        <v>митоза и мейоза</v>
      </c>
      <c r="E1439" s="1" t="str">
        <f ca="1">IFERROR(__xludf.DUMMYFUNCTION("GOOGLETRANSLATE(English!E1439, ""en"", ""bg"")"),"Домашното ми пита за митоза и мейоза. Не го разбирам.")</f>
        <v>Домашното ми пита за митоза и мейоза. Не го разбирам.</v>
      </c>
      <c r="F1439" s="1" t="str">
        <f ca="1">IFERROR(__xludf.DUMMYFUNCTION("GOOGLETRANSLATE(English!F1439,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439" s="1" t="str">
        <f ca="1">IFERROR(__xludf.DUMMYFUNCTION("GOOGLETRANSLATE(English!G1439, ""en"", ""bg"")"),"помощ_за_домашно_изпълнение")</f>
        <v>помощ_за_домашно_изпълнение</v>
      </c>
      <c r="H1439" s="1" t="str">
        <f ca="1">IFERROR(__xludf.DUMMYFUNCTION("GOOGLETRANSLATE(English!H1439, ""en"", ""bg"")"),"помощ_за_домашно_задаване")</f>
        <v>помощ_за_домашно_задаване</v>
      </c>
    </row>
    <row r="1440" spans="1:8" ht="13.2" x14ac:dyDescent="0.25">
      <c r="A1440" s="1" t="str">
        <f ca="1">IFERROR(__xludf.DUMMYFUNCTION("GOOGLETRANSLATE(English!A1440, ""en"", ""bg"")"),"qa_02437")</f>
        <v>qa_02437</v>
      </c>
      <c r="B1440" s="1" t="str">
        <f ca="1">IFERROR(__xludf.DUMMYFUNCTION("GOOGLETRANSLATE(English!B1440, ""en"", ""bg"")"),"биология")</f>
        <v>биология</v>
      </c>
      <c r="C1440" s="1" t="str">
        <f ca="1">IFERROR(__xludf.DUMMYFUNCTION("GOOGLETRANSLATE(English!C1440, ""en"", ""bg"")"),"средата")</f>
        <v>средата</v>
      </c>
      <c r="D1440" s="1" t="str">
        <f ca="1">IFERROR(__xludf.DUMMYFUNCTION("GOOGLETRANSLATE(English!D1440, ""en"", ""bg"")"),"фотосинтеза")</f>
        <v>фотосинтеза</v>
      </c>
      <c r="E1440" s="1" t="str">
        <f ca="1">IFERROR(__xludf.DUMMYFUNCTION("GOOGLETRANSLATE(English!E1440, ""en"", ""bg"")"),"Защо фотосинтезата е важна в биологията?")</f>
        <v>Защо фотосинтезата е важна в биологията?</v>
      </c>
      <c r="F1440" s="1" t="str">
        <f ca="1">IFERROR(__xludf.DUMMYFUNCTION("GOOGLETRANSLATE(English!F1440,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1440" s="1" t="str">
        <f ca="1">IFERROR(__xludf.DUMMYFUNCTION("GOOGLETRANSLATE(English!G1440, ""en"", ""bg"")"),"direct_qa")</f>
        <v>direct_qa</v>
      </c>
      <c r="H1440" s="1" t="str">
        <f ca="1">IFERROR(__xludf.DUMMYFUNCTION("GOOGLETRANSLATE(English!H1440, ""en"", ""bg"")"),"заявка_за_знание")</f>
        <v>заявка_за_знание</v>
      </c>
    </row>
    <row r="1441" spans="1:8" ht="13.2" x14ac:dyDescent="0.25">
      <c r="A1441" s="1" t="str">
        <f ca="1">IFERROR(__xludf.DUMMYFUNCTION("GOOGLETRANSLATE(English!A1441, ""en"", ""bg"")"),"qa_13528")</f>
        <v>qa_13528</v>
      </c>
      <c r="B1441" s="1" t="str">
        <f ca="1">IFERROR(__xludf.DUMMYFUNCTION("GOOGLETRANSLATE(English!B1441, ""en"", ""bg"")"),"химия")</f>
        <v>химия</v>
      </c>
      <c r="C1441" s="1" t="str">
        <f ca="1">IFERROR(__xludf.DUMMYFUNCTION("GOOGLETRANSLATE(English!C1441, ""en"", ""bg"")"),"средата")</f>
        <v>средата</v>
      </c>
      <c r="D1441" s="1" t="str">
        <f ca="1">IFERROR(__xludf.DUMMYFUNCTION("GOOGLETRANSLATE(English!D1441, ""en"", ""bg"")"),"химични реакции")</f>
        <v>химични реакции</v>
      </c>
      <c r="E1441" s="1" t="str">
        <f ca="1">IFERROR(__xludf.DUMMYFUNCTION("GOOGLETRANSLATE(English!E1441, ""en"", ""bg"")"),"Могат ли химичните реакции да бъдат обратими?")</f>
        <v>Могат ли химичните реакции да бъдат обратими?</v>
      </c>
      <c r="F1441" s="1" t="str">
        <f ca="1">IFERROR(__xludf.DUMMYFUNCTION("GOOGLETRANSLATE(English!F1441,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441" s="1" t="str">
        <f ca="1">IFERROR(__xludf.DUMMYFUNCTION("GOOGLETRANSLATE(English!G1441, ""en"", ""bg"")"),"direct_qa")</f>
        <v>direct_qa</v>
      </c>
      <c r="H1441" s="1" t="str">
        <f ca="1">IFERROR(__xludf.DUMMYFUNCTION("GOOGLETRANSLATE(English!H1441, ""en"", ""bg"")"),"заявка_за_знание")</f>
        <v>заявка_за_знание</v>
      </c>
    </row>
    <row r="1442" spans="1:8" ht="13.2" x14ac:dyDescent="0.25">
      <c r="A1442" s="1" t="str">
        <f ca="1">IFERROR(__xludf.DUMMYFUNCTION("GOOGLETRANSLATE(English!A1442, ""en"", ""bg"")"),"qa_13494")</f>
        <v>qa_13494</v>
      </c>
      <c r="B1442" s="1" t="str">
        <f ca="1">IFERROR(__xludf.DUMMYFUNCTION("GOOGLETRANSLATE(English!B1442, ""en"", ""bg"")"),"химия")</f>
        <v>химия</v>
      </c>
      <c r="C1442" s="1" t="str">
        <f ca="1">IFERROR(__xludf.DUMMYFUNCTION("GOOGLETRANSLATE(English!C1442, ""en"", ""bg"")"),"елементарен")</f>
        <v>елементарен</v>
      </c>
      <c r="D1442" s="1" t="str">
        <f ca="1">IFERROR(__xludf.DUMMYFUNCTION("GOOGLETRANSLATE(English!D1442, ""en"", ""bg"")"),"безопасност")</f>
        <v>безопасност</v>
      </c>
      <c r="E1442" s="1" t="str">
        <f ca="1">IFERROR(__xludf.DUMMYFUNCTION("GOOGLETRANSLATE(English!E1442, ""en"", ""bg"")"),"Защо е важно да се учим за безопасността?")</f>
        <v>Защо е важно да се учим за безопасността?</v>
      </c>
      <c r="F1442" s="1" t="str">
        <f ca="1">IFERROR(__xludf.DUMMYFUNCTION("GOOGLETRANSLATE(English!F1442,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1442" s="1" t="str">
        <f ca="1">IFERROR(__xludf.DUMMYFUNCTION("GOOGLETRANSLATE(English!G1442, ""en"", ""bg"")"),"direct_qa")</f>
        <v>direct_qa</v>
      </c>
      <c r="H1442" s="1" t="str">
        <f ca="1">IFERROR(__xludf.DUMMYFUNCTION("GOOGLETRANSLATE(English!H1442, ""en"", ""bg"")"),"заявка_за_знание")</f>
        <v>заявка_за_знание</v>
      </c>
    </row>
    <row r="1443" spans="1:8" ht="13.2" x14ac:dyDescent="0.25">
      <c r="A1443" s="1" t="str">
        <f ca="1">IFERROR(__xludf.DUMMYFUNCTION("GOOGLETRANSLATE(English!A1443, ""en"", ""bg"")"),"conv_17698")</f>
        <v>conv_17698</v>
      </c>
      <c r="B1443" s="1" t="str">
        <f ca="1">IFERROR(__xludf.DUMMYFUNCTION("GOOGLETRANSLATE(English!B1443, ""en"", ""bg"")"),"физика")</f>
        <v>физика</v>
      </c>
      <c r="C1443" s="1" t="str">
        <f ca="1">IFERROR(__xludf.DUMMYFUNCTION("GOOGLETRANSLATE(English!C1443, ""en"", ""bg"")"),"високо")</f>
        <v>високо</v>
      </c>
      <c r="D1443" s="1" t="str">
        <f ca="1">IFERROR(__xludf.DUMMYFUNCTION("GOOGLETRANSLATE(English!D1443, ""en"", ""bg"")"),"радиоактивност")</f>
        <v>радиоактивност</v>
      </c>
      <c r="E1443" s="1" t="str">
        <f ca="1">IFERROR(__xludf.DUMMYFUNCTION("GOOGLETRANSLATE(English!E1443, ""en"", ""bg"")"),"Не разбирам тази тема. Как работи радиоактивността във физиката?")</f>
        <v>Не разбирам тази тема. Как работи радиоактивността във физиката?</v>
      </c>
      <c r="F1443" s="1" t="str">
        <f ca="1">IFERROR(__xludf.DUMMYFUNCTION("GOOGLETRANSLATE(English!F1443,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1443" s="1" t="str">
        <f ca="1">IFERROR(__xludf.DUMMYFUNCTION("GOOGLETRANSLATE(English!G1443, ""en"", ""bg"")"),"разговор")</f>
        <v>разговор</v>
      </c>
      <c r="H1443" s="1" t="str">
        <f ca="1">IFERROR(__xludf.DUMMYFUNCTION("GOOGLETRANSLATE(English!H1443, ""en"", ""bg"")"),"образователна_помощ")</f>
        <v>образователна_помощ</v>
      </c>
    </row>
    <row r="1444" spans="1:8" ht="13.2" x14ac:dyDescent="0.25">
      <c r="A1444" s="1" t="str">
        <f ca="1">IFERROR(__xludf.DUMMYFUNCTION("GOOGLETRANSLATE(English!A1444, ""en"", ""bg"")"),"conv_11648")</f>
        <v>conv_11648</v>
      </c>
      <c r="B1444" s="1" t="str">
        <f ca="1">IFERROR(__xludf.DUMMYFUNCTION("GOOGLETRANSLATE(English!B1444, ""en"", ""bg"")"),"биология")</f>
        <v>биология</v>
      </c>
      <c r="C1444" s="1" t="str">
        <f ca="1">IFERROR(__xludf.DUMMYFUNCTION("GOOGLETRANSLATE(English!C1444, ""en"", ""bg"")"),"средата")</f>
        <v>средата</v>
      </c>
      <c r="D1444" s="1" t="str">
        <f ca="1">IFERROR(__xludf.DUMMYFUNCTION("GOOGLETRANSLATE(English!D1444, ""en"", ""bg"")"),"основи на еволюцията")</f>
        <v>основи на еволюцията</v>
      </c>
      <c r="E1444" s="1" t="str">
        <f ca="1">IFERROR(__xludf.DUMMYFUNCTION("GOOGLETRANSLATE(English!E1444, ""en"", ""bg"")"),"Здравей, преподавателю! Защо основите на еволюцията са важни в биологията?")</f>
        <v>Здравей, преподавателю! Защо основите на еволюцията са важни в биологията?</v>
      </c>
      <c r="F1444" s="1" t="str">
        <f ca="1">IFERROR(__xludf.DUMMYFUNCTION("GOOGLETRANSLATE(English!F1444,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1444" s="1" t="str">
        <f ca="1">IFERROR(__xludf.DUMMYFUNCTION("GOOGLETRANSLATE(English!G1444, ""en"", ""bg"")"),"разговор")</f>
        <v>разговор</v>
      </c>
      <c r="H1444" s="1" t="str">
        <f ca="1">IFERROR(__xludf.DUMMYFUNCTION("GOOGLETRANSLATE(English!H1444, ""en"", ""bg"")"),"образователна_помощ")</f>
        <v>образователна_помощ</v>
      </c>
    </row>
    <row r="1445" spans="1:8" ht="13.2" x14ac:dyDescent="0.25">
      <c r="A1445" s="1" t="str">
        <f ca="1">IFERROR(__xludf.DUMMYFUNCTION("GOOGLETRANSLATE(English!A1445, ""en"", ""bg"")"),"conv_12122")</f>
        <v>conv_12122</v>
      </c>
      <c r="B1445" s="1" t="str">
        <f ca="1">IFERROR(__xludf.DUMMYFUNCTION("GOOGLETRANSLATE(English!B1445, ""en"", ""bg"")"),"химия")</f>
        <v>химия</v>
      </c>
      <c r="C1445" s="1" t="str">
        <f ca="1">IFERROR(__xludf.DUMMYFUNCTION("GOOGLETRANSLATE(English!C1445, ""en"", ""bg"")"),"средата")</f>
        <v>средата</v>
      </c>
      <c r="D1445" s="1" t="str">
        <f ca="1">IFERROR(__xludf.DUMMYFUNCTION("GOOGLETRANSLATE(English!D1445, ""en"", ""bg"")"),"атоми и молекули")</f>
        <v>атоми и молекули</v>
      </c>
      <c r="E1445" s="1" t="str">
        <f ca="1">IFERROR(__xludf.DUMMYFUNCTION("GOOGLETRANSLATE(English!E1445, ""en"", ""bg"")"),"Не разбирам тази тема. Защо атомите се свързват?")</f>
        <v>Не разбирам тази тема. Защо атомите се свързват?</v>
      </c>
      <c r="F1445" s="1" t="str">
        <f ca="1">IFERROR(__xludf.DUMMYFUNCTION("GOOGLETRANSLATE(English!F1445,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1445" s="1" t="str">
        <f ca="1">IFERROR(__xludf.DUMMYFUNCTION("GOOGLETRANSLATE(English!G1445, ""en"", ""bg"")"),"разговор")</f>
        <v>разговор</v>
      </c>
      <c r="H1445" s="1" t="str">
        <f ca="1">IFERROR(__xludf.DUMMYFUNCTION("GOOGLETRANSLATE(English!H1445, ""en"", ""bg"")"),"образователна_помощ")</f>
        <v>образователна_помощ</v>
      </c>
    </row>
    <row r="1446" spans="1:8" ht="13.2" x14ac:dyDescent="0.25">
      <c r="A1446" s="1" t="str">
        <f ca="1">IFERROR(__xludf.DUMMYFUNCTION("GOOGLETRANSLATE(English!A1446, ""en"", ""bg"")"),"hw_03710")</f>
        <v>hw_03710</v>
      </c>
      <c r="B1446" s="1" t="str">
        <f ca="1">IFERROR(__xludf.DUMMYFUNCTION("GOOGLETRANSLATE(English!B1446, ""en"", ""bg"")"),"биология")</f>
        <v>биология</v>
      </c>
      <c r="C1446" s="1" t="str">
        <f ca="1">IFERROR(__xludf.DUMMYFUNCTION("GOOGLETRANSLATE(English!C1446, ""en"", ""bg"")"),"високо")</f>
        <v>високо</v>
      </c>
      <c r="D1446" s="1" t="str">
        <f ca="1">IFERROR(__xludf.DUMMYFUNCTION("GOOGLETRANSLATE(English!D1446, ""en"", ""bg"")"),"Структура на ДНК")</f>
        <v>Структура на ДНК</v>
      </c>
      <c r="E1446" s="1" t="str">
        <f ca="1">IFERROR(__xludf.DUMMYFUNCTION("GOOGLETRANSLATE(English!E1446, ""en"", ""bg"")"),"Можете ли да обясните структурата на ДНК за моя научен проект?")</f>
        <v>Можете ли да обясните структурата на ДНК за моя научен проект?</v>
      </c>
      <c r="F1446" s="1" t="str">
        <f ca="1">IFERROR(__xludf.DUMMYFUNCTION("GOOGLETRANSLATE(English!F1446,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1446" s="1" t="str">
        <f ca="1">IFERROR(__xludf.DUMMYFUNCTION("GOOGLETRANSLATE(English!G1446, ""en"", ""bg"")"),"помощ_за_домашно_изпълнение")</f>
        <v>помощ_за_домашно_изпълнение</v>
      </c>
      <c r="H1446" s="1" t="str">
        <f ca="1">IFERROR(__xludf.DUMMYFUNCTION("GOOGLETRANSLATE(English!H1446, ""en"", ""bg"")"),"помощ_за_домашно_задаване")</f>
        <v>помощ_за_домашно_задаване</v>
      </c>
    </row>
    <row r="1447" spans="1:8" ht="13.2" x14ac:dyDescent="0.25">
      <c r="A1447" s="1" t="str">
        <f ca="1">IFERROR(__xludf.DUMMYFUNCTION("GOOGLETRANSLATE(English!A1447, ""en"", ""bg"")"),"conv_19302")</f>
        <v>conv_19302</v>
      </c>
      <c r="B1447" s="1" t="str">
        <f ca="1">IFERROR(__xludf.DUMMYFUNCTION("GOOGLETRANSLATE(English!B1447, ""en"", ""bg"")"),"физика")</f>
        <v>физика</v>
      </c>
      <c r="C1447" s="1" t="str">
        <f ca="1">IFERROR(__xludf.DUMMYFUNCTION("GOOGLETRANSLATE(English!C1447, ""en"", ""bg"")"),"средата")</f>
        <v>средата</v>
      </c>
      <c r="D1447" s="1" t="str">
        <f ca="1">IFERROR(__xludf.DUMMYFUNCTION("GOOGLETRANSLATE(English!D1447, ""en"", ""bg"")"),"основи на електричеството")</f>
        <v>основи на електричеството</v>
      </c>
      <c r="E1447" s="1" t="str">
        <f ca="1">IFERROR(__xludf.DUMMYFUNCTION("GOOGLETRANSLATE(English!E1447, ""en"", ""bg"")"),"Имам научен въпрос. Какво трябва да знам за основите на електричеството?")</f>
        <v>Имам научен въпрос. Какво трябва да знам за основите на електричеството?</v>
      </c>
      <c r="F1447" s="1" t="str">
        <f ca="1">IFERROR(__xludf.DUMMYFUNCTION("GOOGLETRANSLATE(English!F1447, ""en"", ""bg"")"),"Ключовото нещо за основите на електричеството е как то следва законите на физиката, които управляват нашата вселена.")</f>
        <v>Ключовото нещо за основите на електричеството е как то следва законите на физиката, които управляват нашата вселена.</v>
      </c>
      <c r="G1447" s="1" t="str">
        <f ca="1">IFERROR(__xludf.DUMMYFUNCTION("GOOGLETRANSLATE(English!G1447, ""en"", ""bg"")"),"разговор")</f>
        <v>разговор</v>
      </c>
      <c r="H1447" s="1" t="str">
        <f ca="1">IFERROR(__xludf.DUMMYFUNCTION("GOOGLETRANSLATE(English!H1447, ""en"", ""bg"")"),"образователна_помощ")</f>
        <v>образователна_помощ</v>
      </c>
    </row>
    <row r="1448" spans="1:8" ht="13.2" x14ac:dyDescent="0.25">
      <c r="A1448" s="1" t="str">
        <f ca="1">IFERROR(__xludf.DUMMYFUNCTION("GOOGLETRANSLATE(English!A1448, ""en"", ""bg"")"),"qa_12526")</f>
        <v>qa_12526</v>
      </c>
      <c r="B1448" s="1" t="str">
        <f ca="1">IFERROR(__xludf.DUMMYFUNCTION("GOOGLETRANSLATE(English!B1448, ""en"", ""bg"")"),"биология")</f>
        <v>биология</v>
      </c>
      <c r="C1448" s="1" t="str">
        <f ca="1">IFERROR(__xludf.DUMMYFUNCTION("GOOGLETRANSLATE(English!C1448, ""en"", ""bg"")"),"средата")</f>
        <v>средата</v>
      </c>
      <c r="D1448" s="1" t="str">
        <f ca="1">IFERROR(__xludf.DUMMYFUNCTION("GOOGLETRANSLATE(English!D1448, ""en"", ""bg"")"),"клетки")</f>
        <v>клетки</v>
      </c>
      <c r="E1448" s="1" t="str">
        <f ca="1">IFERROR(__xludf.DUMMYFUNCTION("GOOGLETRANSLATE(English!E1448, ""en"", ""bg"")"),"Какво е клетка?")</f>
        <v>Какво е клетка?</v>
      </c>
      <c r="F1448" s="1" t="str">
        <f ca="1">IFERROR(__xludf.DUMMYFUNCTION("GOOGLETRANSLATE(English!F1448,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1448" s="1" t="str">
        <f ca="1">IFERROR(__xludf.DUMMYFUNCTION("GOOGLETRANSLATE(English!G1448, ""en"", ""bg"")"),"direct_qa")</f>
        <v>direct_qa</v>
      </c>
      <c r="H1448" s="1" t="str">
        <f ca="1">IFERROR(__xludf.DUMMYFUNCTION("GOOGLETRANSLATE(English!H1448, ""en"", ""bg"")"),"заявка_за_знание")</f>
        <v>заявка_за_знание</v>
      </c>
    </row>
    <row r="1449" spans="1:8" ht="13.2" x14ac:dyDescent="0.25">
      <c r="A1449" s="1" t="str">
        <f ca="1">IFERROR(__xludf.DUMMYFUNCTION("GOOGLETRANSLATE(English!A1449, ""en"", ""bg"")"),"hw_02166")</f>
        <v>hw_02166</v>
      </c>
      <c r="B1449" s="1" t="str">
        <f ca="1">IFERROR(__xludf.DUMMYFUNCTION("GOOGLETRANSLATE(English!B1449, ""en"", ""bg"")"),"физика")</f>
        <v>физика</v>
      </c>
      <c r="C1449" s="1" t="str">
        <f ca="1">IFERROR(__xludf.DUMMYFUNCTION("GOOGLETRANSLATE(English!C1449, ""en"", ""bg"")"),"високо")</f>
        <v>високо</v>
      </c>
      <c r="D1449" s="1" t="str">
        <f ca="1">IFERROR(__xludf.DUMMYFUNCTION("GOOGLETRANSLATE(English!D1449, ""en"", ""bg"")"),"механика")</f>
        <v>механика</v>
      </c>
      <c r="E1449" s="1" t="str">
        <f ca="1">IFERROR(__xludf.DUMMYFUNCTION("GOOGLETRANSLATE(English!E1449, ""en"", ""bg"")"),"Заседнал съм с този механичен проблем. Можете ли да помогнете?")</f>
        <v>Заседнал съм с този механичен проблем. Можете ли да помогнете?</v>
      </c>
      <c r="F1449" s="1" t="str">
        <f ca="1">IFERROR(__xludf.DUMMYFUNCTION("GOOGLETRANSLATE(English!F1449,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1449" s="1" t="str">
        <f ca="1">IFERROR(__xludf.DUMMYFUNCTION("GOOGLETRANSLATE(English!G1449, ""en"", ""bg"")"),"помощ_за_домашно_изпълнение")</f>
        <v>помощ_за_домашно_изпълнение</v>
      </c>
      <c r="H1449" s="1" t="str">
        <f ca="1">IFERROR(__xludf.DUMMYFUNCTION("GOOGLETRANSLATE(English!H1449, ""en"", ""bg"")"),"помощ_за_домашно_задаване")</f>
        <v>помощ_за_домашно_задаване</v>
      </c>
    </row>
    <row r="1450" spans="1:8" ht="13.2" x14ac:dyDescent="0.25">
      <c r="A1450" s="1" t="str">
        <f ca="1">IFERROR(__xludf.DUMMYFUNCTION("GOOGLETRANSLATE(English!A1450, ""en"", ""bg"")"),"hw_01760")</f>
        <v>hw_01760</v>
      </c>
      <c r="B1450" s="1" t="str">
        <f ca="1">IFERROR(__xludf.DUMMYFUNCTION("GOOGLETRANSLATE(English!B1450, ""en"", ""bg"")"),"химия")</f>
        <v>химия</v>
      </c>
      <c r="C1450" s="1" t="str">
        <f ca="1">IFERROR(__xludf.DUMMYFUNCTION("GOOGLETRANSLATE(English!C1450, ""en"", ""bg"")"),"високо")</f>
        <v>високо</v>
      </c>
      <c r="D1450" s="1" t="str">
        <f ca="1">IFERROR(__xludf.DUMMYFUNCTION("GOOGLETRANSLATE(English!D1450, ""en"", ""bg"")"),"стехиометрия")</f>
        <v>стехиометрия</v>
      </c>
      <c r="E1450" s="1" t="str">
        <f ca="1">IFERROR(__xludf.DUMMYFUNCTION("GOOGLETRANSLATE(English!E1450,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1450" s="1" t="str">
        <f ca="1">IFERROR(__xludf.DUMMYFUNCTION("GOOGLETRANSLATE(English!F1450,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450" s="1" t="str">
        <f ca="1">IFERROR(__xludf.DUMMYFUNCTION("GOOGLETRANSLATE(English!G1450, ""en"", ""bg"")"),"помощ_за_домашно_изпълнение")</f>
        <v>помощ_за_домашно_изпълнение</v>
      </c>
      <c r="H1450" s="1" t="str">
        <f ca="1">IFERROR(__xludf.DUMMYFUNCTION("GOOGLETRANSLATE(English!H1450, ""en"", ""bg"")"),"помощ_за_домашно_задаване")</f>
        <v>помощ_за_домашно_задаване</v>
      </c>
    </row>
    <row r="1451" spans="1:8" ht="13.2" x14ac:dyDescent="0.25">
      <c r="A1451" s="1" t="str">
        <f ca="1">IFERROR(__xludf.DUMMYFUNCTION("GOOGLETRANSLATE(English!A1451, ""en"", ""bg"")"),"qa_00002")</f>
        <v>qa_00002</v>
      </c>
      <c r="B1451" s="1" t="str">
        <f ca="1">IFERROR(__xludf.DUMMYFUNCTION("GOOGLETRANSLATE(English!B1451, ""en"", ""bg"")"),"физика")</f>
        <v>физика</v>
      </c>
      <c r="C1451" s="1" t="str">
        <f ca="1">IFERROR(__xludf.DUMMYFUNCTION("GOOGLETRANSLATE(English!C1451, ""en"", ""bg"")"),"средата")</f>
        <v>средата</v>
      </c>
      <c r="D1451" s="1" t="str">
        <f ca="1">IFERROR(__xludf.DUMMYFUNCTION("GOOGLETRANSLATE(English!D1451, ""en"", ""bg"")"),"сили и движение")</f>
        <v>сили и движение</v>
      </c>
      <c r="E1451" s="1" t="str">
        <f ca="1">IFERROR(__xludf.DUMMYFUNCTION("GOOGLETRANSLATE(English!E1451, ""en"", ""bg"")"),"Какъв е първият закон на Нютон?")</f>
        <v>Какъв е първият закон на Нютон?</v>
      </c>
      <c r="F1451" s="1" t="str">
        <f ca="1">IFERROR(__xludf.DUMMYFUNCTION("GOOGLETRANSLATE(English!F1451,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1451" s="1" t="str">
        <f ca="1">IFERROR(__xludf.DUMMYFUNCTION("GOOGLETRANSLATE(English!G1451, ""en"", ""bg"")"),"direct_qa")</f>
        <v>direct_qa</v>
      </c>
      <c r="H1451" s="1" t="str">
        <f ca="1">IFERROR(__xludf.DUMMYFUNCTION("GOOGLETRANSLATE(English!H1451, ""en"", ""bg"")"),"заявка_за_знание")</f>
        <v>заявка_за_знание</v>
      </c>
    </row>
    <row r="1452" spans="1:8" ht="13.2" x14ac:dyDescent="0.25">
      <c r="A1452" s="1" t="str">
        <f ca="1">IFERROR(__xludf.DUMMYFUNCTION("GOOGLETRANSLATE(English!A1452, ""en"", ""bg"")"),"hw_10050")</f>
        <v>hw_10050</v>
      </c>
      <c r="B1452" s="1" t="str">
        <f ca="1">IFERROR(__xludf.DUMMYFUNCTION("GOOGLETRANSLATE(English!B1452, ""en"", ""bg"")"),"химия")</f>
        <v>химия</v>
      </c>
      <c r="C1452" s="1" t="str">
        <f ca="1">IFERROR(__xludf.DUMMYFUNCTION("GOOGLETRANSLATE(English!C1452, ""en"", ""bg"")"),"елементарен")</f>
        <v>елементарен</v>
      </c>
      <c r="D1452" s="1" t="str">
        <f ca="1">IFERROR(__xludf.DUMMYFUNCTION("GOOGLETRANSLATE(English!D1452, ""en"", ""bg"")"),"промени в материалите")</f>
        <v>промени в материалите</v>
      </c>
      <c r="E1452" s="1" t="str">
        <f ca="1">IFERROR(__xludf.DUMMYFUNCTION("GOOGLETRANSLATE(English!E1452,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1452" s="1" t="str">
        <f ca="1">IFERROR(__xludf.DUMMYFUNCTION("GOOGLETRANSLATE(English!F1452,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452" s="1" t="str">
        <f ca="1">IFERROR(__xludf.DUMMYFUNCTION("GOOGLETRANSLATE(English!G1452, ""en"", ""bg"")"),"помощ_за_домашно_изпълнение")</f>
        <v>помощ_за_домашно_изпълнение</v>
      </c>
      <c r="H1452" s="1" t="str">
        <f ca="1">IFERROR(__xludf.DUMMYFUNCTION("GOOGLETRANSLATE(English!H1452, ""en"", ""bg"")"),"помощ_за_домашно_задаване")</f>
        <v>помощ_за_домашно_задаване</v>
      </c>
    </row>
    <row r="1453" spans="1:8" ht="13.2" x14ac:dyDescent="0.25">
      <c r="A1453" s="1" t="str">
        <f ca="1">IFERROR(__xludf.DUMMYFUNCTION("GOOGLETRANSLATE(English!A1453, ""en"", ""bg"")"),"hw_00747")</f>
        <v>hw_00747</v>
      </c>
      <c r="B1453" s="1" t="str">
        <f ca="1">IFERROR(__xludf.DUMMYFUNCTION("GOOGLETRANSLATE(English!B1453, ""en"", ""bg"")"),"физика")</f>
        <v>физика</v>
      </c>
      <c r="C1453" s="1" t="str">
        <f ca="1">IFERROR(__xludf.DUMMYFUNCTION("GOOGLETRANSLATE(English!C1453, ""en"", ""bg"")"),"елементарен")</f>
        <v>елементарен</v>
      </c>
      <c r="D1453" s="1" t="str">
        <f ca="1">IFERROR(__xludf.DUMMYFUNCTION("GOOGLETRANSLATE(English!D1453, ""en"", ""bg"")"),"горещо и студено")</f>
        <v>горещо и студено</v>
      </c>
      <c r="E1453" s="1" t="str">
        <f ca="1">IFERROR(__xludf.DUMMYFUNCTION("GOOGLETRANSLATE(English!E1453, ""en"", ""bg"")"),"Домашното ми по физика е за горещо и студено. Объркващо е!")</f>
        <v>Домашното ми по физика е за горещо и студено. Объркващо е!</v>
      </c>
      <c r="F1453" s="1" t="str">
        <f ca="1">IFERROR(__xludf.DUMMYFUNCTION("GOOGLETRANSLATE(English!F1453,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1453" s="1" t="str">
        <f ca="1">IFERROR(__xludf.DUMMYFUNCTION("GOOGLETRANSLATE(English!G1453, ""en"", ""bg"")"),"помощ_за_домашно_изпълнение")</f>
        <v>помощ_за_домашно_изпълнение</v>
      </c>
      <c r="H1453" s="1" t="str">
        <f ca="1">IFERROR(__xludf.DUMMYFUNCTION("GOOGLETRANSLATE(English!H1453, ""en"", ""bg"")"),"помощ_за_домашно_задаване")</f>
        <v>помощ_за_домашно_задаване</v>
      </c>
    </row>
    <row r="1454" spans="1:8" ht="13.2" x14ac:dyDescent="0.25">
      <c r="A1454" s="1" t="str">
        <f ca="1">IFERROR(__xludf.DUMMYFUNCTION("GOOGLETRANSLATE(English!A1454, ""en"", ""bg"")"),"conv_14259")</f>
        <v>conv_14259</v>
      </c>
      <c r="B1454" s="1" t="str">
        <f ca="1">IFERROR(__xludf.DUMMYFUNCTION("GOOGLETRANSLATE(English!B1454, ""en"", ""bg"")"),"химия")</f>
        <v>химия</v>
      </c>
      <c r="C1454" s="1" t="str">
        <f ca="1">IFERROR(__xludf.DUMMYFUNCTION("GOOGLETRANSLATE(English!C1454, ""en"", ""bg"")"),"средата")</f>
        <v>средата</v>
      </c>
      <c r="D1454" s="1" t="str">
        <f ca="1">IFERROR(__xludf.DUMMYFUNCTION("GOOGLETRANSLATE(English!D1454, ""en"", ""bg"")"),"химични реакции")</f>
        <v>химични реакции</v>
      </c>
      <c r="E1454" s="1" t="str">
        <f ca="1">IFERROR(__xludf.DUMMYFUNCTION("GOOGLETRANSLATE(English!E1454, ""en"", ""bg"")"),"Здравей, преподавателю! Какво е химична реакция?")</f>
        <v>Здравей, преподавателю! Какво е химична реакция?</v>
      </c>
      <c r="F1454" s="1" t="str">
        <f ca="1">IFERROR(__xludf.DUMMYFUNCTION("GOOGLETRANSLATE(English!F1454,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1454" s="1" t="str">
        <f ca="1">IFERROR(__xludf.DUMMYFUNCTION("GOOGLETRANSLATE(English!G1454, ""en"", ""bg"")"),"разговор")</f>
        <v>разговор</v>
      </c>
      <c r="H1454" s="1" t="str">
        <f ca="1">IFERROR(__xludf.DUMMYFUNCTION("GOOGLETRANSLATE(English!H1454, ""en"", ""bg"")"),"образователна_помощ")</f>
        <v>образователна_помощ</v>
      </c>
    </row>
    <row r="1455" spans="1:8" ht="13.2" x14ac:dyDescent="0.25">
      <c r="A1455" s="1" t="str">
        <f ca="1">IFERROR(__xludf.DUMMYFUNCTION("GOOGLETRANSLATE(English!A1455, ""en"", ""bg"")"),"hw_00085")</f>
        <v>hw_00085</v>
      </c>
      <c r="B1455" s="1" t="str">
        <f ca="1">IFERROR(__xludf.DUMMYFUNCTION("GOOGLETRANSLATE(English!B1455, ""en"", ""bg"")"),"биология")</f>
        <v>биология</v>
      </c>
      <c r="C1455" s="1" t="str">
        <f ca="1">IFERROR(__xludf.DUMMYFUNCTION("GOOGLETRANSLATE(English!C1455, ""en"", ""bg"")"),"средата")</f>
        <v>средата</v>
      </c>
      <c r="D1455" s="1" t="str">
        <f ca="1">IFERROR(__xludf.DUMMYFUNCTION("GOOGLETRANSLATE(English!D1455, ""en"", ""bg"")"),"фотосинтеза")</f>
        <v>фотосинтеза</v>
      </c>
      <c r="E1455" s="1" t="str">
        <f ca="1">IFERROR(__xludf.DUMMYFUNCTION("GOOGLETRANSLATE(English!E1455, ""en"", ""bg"")"),"Трябва да напиша доклад за фотосинтезата. Можете ли да ми помогнете да започна?")</f>
        <v>Трябва да напиша доклад за фотосинтезата. Можете ли да ми помогнете да започна?</v>
      </c>
      <c r="F1455" s="1" t="str">
        <f ca="1">IFERROR(__xludf.DUMMYFUNCTION("GOOGLETRANSLATE(English!F1455,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455" s="1" t="str">
        <f ca="1">IFERROR(__xludf.DUMMYFUNCTION("GOOGLETRANSLATE(English!G1455, ""en"", ""bg"")"),"помощ_за_домашно_изпълнение")</f>
        <v>помощ_за_домашно_изпълнение</v>
      </c>
      <c r="H1455" s="1" t="str">
        <f ca="1">IFERROR(__xludf.DUMMYFUNCTION("GOOGLETRANSLATE(English!H1455, ""en"", ""bg"")"),"помощ_за_домашно_задаване")</f>
        <v>помощ_за_домашно_задаване</v>
      </c>
    </row>
    <row r="1456" spans="1:8" ht="13.2" x14ac:dyDescent="0.25">
      <c r="A1456" s="1" t="str">
        <f ca="1">IFERROR(__xludf.DUMMYFUNCTION("GOOGLETRANSLATE(English!A1456, ""en"", ""bg"")"),"conv_13934")</f>
        <v>conv_13934</v>
      </c>
      <c r="B1456" s="1" t="str">
        <f ca="1">IFERROR(__xludf.DUMMYFUNCTION("GOOGLETRANSLATE(English!B1456, ""en"", ""bg"")"),"биология")</f>
        <v>биология</v>
      </c>
      <c r="C1456" s="1" t="str">
        <f ca="1">IFERROR(__xludf.DUMMYFUNCTION("GOOGLETRANSLATE(English!C1456, ""en"", ""bg"")"),"средата")</f>
        <v>средата</v>
      </c>
      <c r="D1456" s="1" t="str">
        <f ca="1">IFERROR(__xludf.DUMMYFUNCTION("GOOGLETRANSLATE(English!D1456, ""en"", ""bg"")"),"размножаване")</f>
        <v>размножаване</v>
      </c>
      <c r="E1456" s="1" t="str">
        <f ca="1">IFERROR(__xludf.DUMMYFUNCTION("GOOGLETRANSLATE(English!E1456, ""en"", ""bg"")"),"Не разбирам тази тема. Защо размножаването е важно в биологията?")</f>
        <v>Не разбирам тази тема. Защо размножаването е важно в биологията?</v>
      </c>
      <c r="F1456" s="1" t="str">
        <f ca="1">IFERROR(__xludf.DUMMYFUNCTION("GOOGLETRANSLATE(English!F1456,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1456" s="1" t="str">
        <f ca="1">IFERROR(__xludf.DUMMYFUNCTION("GOOGLETRANSLATE(English!G1456, ""en"", ""bg"")"),"разговор")</f>
        <v>разговор</v>
      </c>
      <c r="H1456" s="1" t="str">
        <f ca="1">IFERROR(__xludf.DUMMYFUNCTION("GOOGLETRANSLATE(English!H1456, ""en"", ""bg"")"),"образователна_помощ")</f>
        <v>образователна_помощ</v>
      </c>
    </row>
    <row r="1457" spans="1:8" ht="13.2" x14ac:dyDescent="0.25">
      <c r="A1457" s="1" t="str">
        <f ca="1">IFERROR(__xludf.DUMMYFUNCTION("GOOGLETRANSLATE(English!A1457, ""en"", ""bg"")"),"hw_01950")</f>
        <v>hw_01950</v>
      </c>
      <c r="B1457" s="1" t="str">
        <f ca="1">IFERROR(__xludf.DUMMYFUNCTION("GOOGLETRANSLATE(English!B1457, ""en"", ""bg"")"),"биология")</f>
        <v>биология</v>
      </c>
      <c r="C1457" s="1" t="str">
        <f ca="1">IFERROR(__xludf.DUMMYFUNCTION("GOOGLETRANSLATE(English!C1457, ""en"", ""bg"")"),"средата")</f>
        <v>средата</v>
      </c>
      <c r="D1457" s="1" t="str">
        <f ca="1">IFERROR(__xludf.DUMMYFUNCTION("GOOGLETRANSLATE(English!D1457, ""en"", ""bg"")"),"фотосинтеза")</f>
        <v>фотосинтеза</v>
      </c>
      <c r="E1457" s="1" t="str">
        <f ca="1">IFERROR(__xludf.DUMMYFUNCTION("GOOGLETRANSLATE(English!E1457, ""en"", ""bg"")"),"Трябва да напиша доклад за фотосинтезата. Можете ли да ми помогнете да започна?")</f>
        <v>Трябва да напиша доклад за фотосинтезата. Можете ли да ми помогнете да започна?</v>
      </c>
      <c r="F1457" s="1" t="str">
        <f ca="1">IFERROR(__xludf.DUMMYFUNCTION("GOOGLETRANSLATE(English!F1457,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457" s="1" t="str">
        <f ca="1">IFERROR(__xludf.DUMMYFUNCTION("GOOGLETRANSLATE(English!G1457, ""en"", ""bg"")"),"помощ_за_домашно_изпълнение")</f>
        <v>помощ_за_домашно_изпълнение</v>
      </c>
      <c r="H1457" s="1" t="str">
        <f ca="1">IFERROR(__xludf.DUMMYFUNCTION("GOOGLETRANSLATE(English!H1457, ""en"", ""bg"")"),"помощ_за_домашно_задаване")</f>
        <v>помощ_за_домашно_задаване</v>
      </c>
    </row>
    <row r="1458" spans="1:8" ht="13.2" x14ac:dyDescent="0.25">
      <c r="A1458" s="1" t="str">
        <f ca="1">IFERROR(__xludf.DUMMYFUNCTION("GOOGLETRANSLATE(English!A1458, ""en"", ""bg"")"),"conv_16351")</f>
        <v>conv_16351</v>
      </c>
      <c r="B1458" s="1" t="str">
        <f ca="1">IFERROR(__xludf.DUMMYFUNCTION("GOOGLETRANSLATE(English!B1458, ""en"", ""bg"")"),"химия")</f>
        <v>химия</v>
      </c>
      <c r="C1458" s="1" t="str">
        <f ca="1">IFERROR(__xludf.DUMMYFUNCTION("GOOGLETRANSLATE(English!C1458, ""en"", ""bg"")"),"елементарен")</f>
        <v>елементарен</v>
      </c>
      <c r="D1458" s="1" t="str">
        <f ca="1">IFERROR(__xludf.DUMMYFUNCTION("GOOGLETRANSLATE(English!D1458, ""en"", ""bg"")"),"безопасност")</f>
        <v>безопасност</v>
      </c>
      <c r="E1458" s="1" t="str">
        <f ca="1">IFERROR(__xludf.DUMMYFUNCTION("GOOGLETRANSLATE(English!E1458, ""en"", ""bg"")"),"Имам научен въпрос. Как работи безопасността в химията?")</f>
        <v>Имам научен въпрос. Как работи безопасността в химията?</v>
      </c>
      <c r="F1458" s="1" t="str">
        <f ca="1">IFERROR(__xludf.DUMMYFUNCTION("GOOGLETRANSLATE(English!F1458,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1458" s="1" t="str">
        <f ca="1">IFERROR(__xludf.DUMMYFUNCTION("GOOGLETRANSLATE(English!G1458, ""en"", ""bg"")"),"разговор")</f>
        <v>разговор</v>
      </c>
      <c r="H1458" s="1" t="str">
        <f ca="1">IFERROR(__xludf.DUMMYFUNCTION("GOOGLETRANSLATE(English!H1458, ""en"", ""bg"")"),"образователна_помощ")</f>
        <v>образователна_помощ</v>
      </c>
    </row>
    <row r="1459" spans="1:8" ht="13.2" x14ac:dyDescent="0.25">
      <c r="A1459" s="1" t="str">
        <f ca="1">IFERROR(__xludf.DUMMYFUNCTION("GOOGLETRANSLATE(English!A1459, ""en"", ""bg"")"),"hw_06061")</f>
        <v>hw_06061</v>
      </c>
      <c r="B1459" s="1" t="str">
        <f ca="1">IFERROR(__xludf.DUMMYFUNCTION("GOOGLETRANSLATE(English!B1459, ""en"", ""bg"")"),"физика")</f>
        <v>физика</v>
      </c>
      <c r="C1459" s="1" t="str">
        <f ca="1">IFERROR(__xludf.DUMMYFUNCTION("GOOGLETRANSLATE(English!C1459, ""en"", ""bg"")"),"високо")</f>
        <v>високо</v>
      </c>
      <c r="D1459" s="1" t="str">
        <f ca="1">IFERROR(__xludf.DUMMYFUNCTION("GOOGLETRANSLATE(English!D1459, ""en"", ""bg"")"),"електромагнетизъм")</f>
        <v>електромагнетизъм</v>
      </c>
      <c r="E1459" s="1" t="str">
        <f ca="1">IFERROR(__xludf.DUMMYFUNCTION("GOOGLETRANSLATE(English!E1459, ""en"", ""bg"")"),"Можете ли да решите този въпрос по електромагнетизъм с мен?")</f>
        <v>Можете ли да решите този въпрос по електромагнетизъм с мен?</v>
      </c>
      <c r="F1459" s="1" t="str">
        <f ca="1">IFERROR(__xludf.DUMMYFUNCTION("GOOGLETRANSLATE(English!F1459,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1459" s="1" t="str">
        <f ca="1">IFERROR(__xludf.DUMMYFUNCTION("GOOGLETRANSLATE(English!G1459, ""en"", ""bg"")"),"помощ_за_домашно_изпълнение")</f>
        <v>помощ_за_домашно_изпълнение</v>
      </c>
      <c r="H1459" s="1" t="str">
        <f ca="1">IFERROR(__xludf.DUMMYFUNCTION("GOOGLETRANSLATE(English!H1459, ""en"", ""bg"")"),"помощ_за_домашно_задаване")</f>
        <v>помощ_за_домашно_задаване</v>
      </c>
    </row>
    <row r="1460" spans="1:8" ht="13.2" x14ac:dyDescent="0.25">
      <c r="A1460" s="1" t="str">
        <f ca="1">IFERROR(__xludf.DUMMYFUNCTION("GOOGLETRANSLATE(English!A1460, ""en"", ""bg"")"),"conv_14042")</f>
        <v>conv_14042</v>
      </c>
      <c r="B1460" s="1" t="str">
        <f ca="1">IFERROR(__xludf.DUMMYFUNCTION("GOOGLETRANSLATE(English!B1460, ""en"", ""bg"")"),"биология")</f>
        <v>биология</v>
      </c>
      <c r="C1460" s="1" t="str">
        <f ca="1">IFERROR(__xludf.DUMMYFUNCTION("GOOGLETRANSLATE(English!C1460, ""en"", ""bg"")"),"средата")</f>
        <v>средата</v>
      </c>
      <c r="D1460" s="1" t="str">
        <f ca="1">IFERROR(__xludf.DUMMYFUNCTION("GOOGLETRANSLATE(English!D1460, ""en"", ""bg"")"),"дишане")</f>
        <v>дишане</v>
      </c>
      <c r="E1460" s="1" t="str">
        <f ca="1">IFERROR(__xludf.DUMMYFUNCTION("GOOGLETRANSLATE(English!E1460, ""en"", ""bg"")"),"Не разбирам тази тема. Как работи дишането?")</f>
        <v>Не разбирам тази тема. Как работи дишането?</v>
      </c>
      <c r="F1460" s="1" t="str">
        <f ca="1">IFERROR(__xludf.DUMMYFUNCTION("GOOGLETRANSLATE(English!F1460,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1460" s="1" t="str">
        <f ca="1">IFERROR(__xludf.DUMMYFUNCTION("GOOGLETRANSLATE(English!G1460, ""en"", ""bg"")"),"разговор")</f>
        <v>разговор</v>
      </c>
      <c r="H1460" s="1" t="str">
        <f ca="1">IFERROR(__xludf.DUMMYFUNCTION("GOOGLETRANSLATE(English!H1460, ""en"", ""bg"")"),"образователна_помощ")</f>
        <v>образователна_помощ</v>
      </c>
    </row>
    <row r="1461" spans="1:8" ht="13.2" x14ac:dyDescent="0.25">
      <c r="A1461" s="1" t="str">
        <f ca="1">IFERROR(__xludf.DUMMYFUNCTION("GOOGLETRANSLATE(English!A1461, ""en"", ""bg"")"),"conv_07547")</f>
        <v>conv_07547</v>
      </c>
      <c r="B1461" s="1" t="str">
        <f ca="1">IFERROR(__xludf.DUMMYFUNCTION("GOOGLETRANSLATE(English!B1461, ""en"", ""bg"")"),"химия")</f>
        <v>химия</v>
      </c>
      <c r="C1461" s="1" t="str">
        <f ca="1">IFERROR(__xludf.DUMMYFUNCTION("GOOGLETRANSLATE(English!C1461, ""en"", ""bg"")"),"средата")</f>
        <v>средата</v>
      </c>
      <c r="D1461" s="1" t="str">
        <f ca="1">IFERROR(__xludf.DUMMYFUNCTION("GOOGLETRANSLATE(English!D1461, ""en"", ""bg"")"),"химични промени")</f>
        <v>химични промени</v>
      </c>
      <c r="E1461" s="1" t="str">
        <f ca="1">IFERROR(__xludf.DUMMYFUNCTION("GOOGLETRANSLATE(English!E1461, ""en"", ""bg"")"),"Не разбирам тази тема. Можете ли да ми помогнете да разбера химичните промени?")</f>
        <v>Не разбирам тази тема. Можете ли да ми помогнете да разбера химичните промени?</v>
      </c>
      <c r="F1461" s="1" t="str">
        <f ca="1">IFERROR(__xludf.DUMMYFUNCTION("GOOGLETRANSLATE(English!F1461,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1461" s="1" t="str">
        <f ca="1">IFERROR(__xludf.DUMMYFUNCTION("GOOGLETRANSLATE(English!G1461, ""en"", ""bg"")"),"разговор")</f>
        <v>разговор</v>
      </c>
      <c r="H1461" s="1" t="str">
        <f ca="1">IFERROR(__xludf.DUMMYFUNCTION("GOOGLETRANSLATE(English!H1461, ""en"", ""bg"")"),"образователна_помощ")</f>
        <v>образователна_помощ</v>
      </c>
    </row>
    <row r="1462" spans="1:8" ht="13.2" x14ac:dyDescent="0.25">
      <c r="A1462" s="1" t="str">
        <f ca="1">IFERROR(__xludf.DUMMYFUNCTION("GOOGLETRANSLATE(English!A1462, ""en"", ""bg"")"),"qa_09436")</f>
        <v>qa_09436</v>
      </c>
      <c r="B1462" s="1" t="str">
        <f ca="1">IFERROR(__xludf.DUMMYFUNCTION("GOOGLETRANSLATE(English!B1462, ""en"", ""bg"")"),"физика")</f>
        <v>физика</v>
      </c>
      <c r="C1462" s="1" t="str">
        <f ca="1">IFERROR(__xludf.DUMMYFUNCTION("GOOGLETRANSLATE(English!C1462, ""en"", ""bg"")"),"елементарен")</f>
        <v>елементарен</v>
      </c>
      <c r="D1462" s="1" t="str">
        <f ca="1">IFERROR(__xludf.DUMMYFUNCTION("GOOGLETRANSLATE(English!D1462, ""en"", ""bg"")"),"светлина и сянка")</f>
        <v>светлина и сянка</v>
      </c>
      <c r="E1462" s="1" t="str">
        <f ca="1">IFERROR(__xludf.DUMMYFUNCTION("GOOGLETRANSLATE(English!E1462, ""en"", ""bg"")"),"Какво е светлина?")</f>
        <v>Какво е светлина?</v>
      </c>
      <c r="F1462" s="1" t="str">
        <f ca="1">IFERROR(__xludf.DUMMYFUNCTION("GOOGLETRANSLATE(English!F1462,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1462" s="1" t="str">
        <f ca="1">IFERROR(__xludf.DUMMYFUNCTION("GOOGLETRANSLATE(English!G1462, ""en"", ""bg"")"),"direct_qa")</f>
        <v>direct_qa</v>
      </c>
      <c r="H1462" s="1" t="str">
        <f ca="1">IFERROR(__xludf.DUMMYFUNCTION("GOOGLETRANSLATE(English!H1462, ""en"", ""bg"")"),"заявка_за_знание")</f>
        <v>заявка_за_знание</v>
      </c>
    </row>
    <row r="1463" spans="1:8" ht="13.2" x14ac:dyDescent="0.25">
      <c r="A1463" s="1" t="str">
        <f ca="1">IFERROR(__xludf.DUMMYFUNCTION("GOOGLETRANSLATE(English!A1463, ""en"", ""bg"")"),"hw_07895")</f>
        <v>hw_07895</v>
      </c>
      <c r="B1463" s="1" t="str">
        <f ca="1">IFERROR(__xludf.DUMMYFUNCTION("GOOGLETRANSLATE(English!B1463, ""en"", ""bg"")"),"химия")</f>
        <v>химия</v>
      </c>
      <c r="C1463" s="1" t="str">
        <f ca="1">IFERROR(__xludf.DUMMYFUNCTION("GOOGLETRANSLATE(English!C1463, ""en"", ""bg"")"),"високо")</f>
        <v>високо</v>
      </c>
      <c r="D1463" s="1" t="str">
        <f ca="1">IFERROR(__xludf.DUMMYFUNCTION("GOOGLETRANSLATE(English!D1463, ""en"", ""bg"")"),"стехиометрия")</f>
        <v>стехиометрия</v>
      </c>
      <c r="E1463" s="1" t="str">
        <f ca="1">IFERROR(__xludf.DUMMYFUNCTION("GOOGLETRANSLATE(English!E1463, ""en"", ""bg"")"),"Докладът ми по химия е за стехиометрията. Помогнете ми да разбера.")</f>
        <v>Докладът ми по химия е за стехиометрията. Помогнете ми да разбера.</v>
      </c>
      <c r="F1463" s="1" t="str">
        <f ca="1">IFERROR(__xludf.DUMMYFUNCTION("GOOGLETRANSLATE(English!F1463,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463" s="1" t="str">
        <f ca="1">IFERROR(__xludf.DUMMYFUNCTION("GOOGLETRANSLATE(English!G1463, ""en"", ""bg"")"),"помощ_за_домашно_изпълнение")</f>
        <v>помощ_за_домашно_изпълнение</v>
      </c>
      <c r="H1463" s="1" t="str">
        <f ca="1">IFERROR(__xludf.DUMMYFUNCTION("GOOGLETRANSLATE(English!H1463, ""en"", ""bg"")"),"помощ_за_домашно_задаване")</f>
        <v>помощ_за_домашно_задаване</v>
      </c>
    </row>
    <row r="1464" spans="1:8" ht="13.2" x14ac:dyDescent="0.25">
      <c r="A1464" s="1" t="str">
        <f ca="1">IFERROR(__xludf.DUMMYFUNCTION("GOOGLETRANSLATE(English!A1464, ""en"", ""bg"")"),"conv_06830")</f>
        <v>conv_06830</v>
      </c>
      <c r="B1464" s="1" t="str">
        <f ca="1">IFERROR(__xludf.DUMMYFUNCTION("GOOGLETRANSLATE(English!B1464, ""en"", ""bg"")"),"биология")</f>
        <v>биология</v>
      </c>
      <c r="C1464" s="1" t="str">
        <f ca="1">IFERROR(__xludf.DUMMYFUNCTION("GOOGLETRANSLATE(English!C1464, ""en"", ""bg"")"),"елементарен")</f>
        <v>елементарен</v>
      </c>
      <c r="D1464" s="1" t="str">
        <f ca="1">IFERROR(__xludf.DUMMYFUNCTION("GOOGLETRANSLATE(English!D1464, ""en"", ""bg"")"),"жизнени цикли")</f>
        <v>жизнени цикли</v>
      </c>
      <c r="E1464" s="1" t="str">
        <f ca="1">IFERROR(__xludf.DUMMYFUNCTION("GOOGLETRANSLATE(English!E1464, ""en"", ""bg"")"),"Имам научен въпрос. Какво е важно да знаем за жизнените цикли?")</f>
        <v>Имам научен въпрос. Какво е важно да знаем за жизнените цикли?</v>
      </c>
      <c r="F1464" s="1" t="str">
        <f ca="1">IFERROR(__xludf.DUMMYFUNCTION("GOOGLETRANSLATE(English!F1464,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1464" s="1" t="str">
        <f ca="1">IFERROR(__xludf.DUMMYFUNCTION("GOOGLETRANSLATE(English!G1464, ""en"", ""bg"")"),"разговор")</f>
        <v>разговор</v>
      </c>
      <c r="H1464" s="1" t="str">
        <f ca="1">IFERROR(__xludf.DUMMYFUNCTION("GOOGLETRANSLATE(English!H1464, ""en"", ""bg"")"),"образователна_помощ")</f>
        <v>образователна_помощ</v>
      </c>
    </row>
    <row r="1465" spans="1:8" ht="13.2" x14ac:dyDescent="0.25">
      <c r="A1465" s="1" t="str">
        <f ca="1">IFERROR(__xludf.DUMMYFUNCTION("GOOGLETRANSLATE(English!A1465, ""en"", ""bg"")"),"hw_14540")</f>
        <v>hw_14540</v>
      </c>
      <c r="B1465" s="1" t="str">
        <f ca="1">IFERROR(__xludf.DUMMYFUNCTION("GOOGLETRANSLATE(English!B1465, ""en"", ""bg"")"),"химия")</f>
        <v>химия</v>
      </c>
      <c r="C1465" s="1" t="str">
        <f ca="1">IFERROR(__xludf.DUMMYFUNCTION("GOOGLETRANSLATE(English!C1465, ""en"", ""bg"")"),"средата")</f>
        <v>средата</v>
      </c>
      <c r="D1465" s="1" t="str">
        <f ca="1">IFERROR(__xludf.DUMMYFUNCTION("GOOGLETRANSLATE(English!D1465, ""en"", ""bg"")"),"съединения срещу елементи")</f>
        <v>съединения срещу елементи</v>
      </c>
      <c r="E1465" s="1" t="str">
        <f ca="1">IFERROR(__xludf.DUMMYFUNCTION("GOOGLETRANSLATE(English!E1465,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1465" s="1" t="str">
        <f ca="1">IFERROR(__xludf.DUMMYFUNCTION("GOOGLETRANSLATE(English!F1465,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1465" s="1" t="str">
        <f ca="1">IFERROR(__xludf.DUMMYFUNCTION("GOOGLETRANSLATE(English!G1465, ""en"", ""bg"")"),"помощ_за_домашно_изпълнение")</f>
        <v>помощ_за_домашно_изпълнение</v>
      </c>
      <c r="H1465" s="1" t="str">
        <f ca="1">IFERROR(__xludf.DUMMYFUNCTION("GOOGLETRANSLATE(English!H1465, ""en"", ""bg"")"),"помощ_за_домашно_задаване")</f>
        <v>помощ_за_домашно_задаване</v>
      </c>
    </row>
    <row r="1466" spans="1:8" ht="13.2" x14ac:dyDescent="0.25">
      <c r="A1466" s="1" t="str">
        <f ca="1">IFERROR(__xludf.DUMMYFUNCTION("GOOGLETRANSLATE(English!A1466, ""en"", ""bg"")"),"hw_14073")</f>
        <v>hw_14073</v>
      </c>
      <c r="B1466" s="1" t="str">
        <f ca="1">IFERROR(__xludf.DUMMYFUNCTION("GOOGLETRANSLATE(English!B1466, ""en"", ""bg"")"),"физика")</f>
        <v>физика</v>
      </c>
      <c r="C1466" s="1" t="str">
        <f ca="1">IFERROR(__xludf.DUMMYFUNCTION("GOOGLETRANSLATE(English!C1466, ""en"", ""bg"")"),"средата")</f>
        <v>средата</v>
      </c>
      <c r="D1466" s="1" t="str">
        <f ca="1">IFERROR(__xludf.DUMMYFUNCTION("GOOGLETRANSLATE(English!D1466, ""en"", ""bg"")"),"състояния на материята")</f>
        <v>състояния на материята</v>
      </c>
      <c r="E1466" s="1" t="str">
        <f ca="1">IFERROR(__xludf.DUMMYFUNCTION("GOOGLETRANSLATE(English!E1466, ""en"", ""bg"")"),"Заседнал съм с този проблем със състоянията на материята. Можете ли да помогнете?")</f>
        <v>Заседнал съм с този проблем със състоянията на материята. Можете ли да помогнете?</v>
      </c>
      <c r="F1466" s="1" t="str">
        <f ca="1">IFERROR(__xludf.DUMMYFUNCTION("GOOGLETRANSLATE(English!F1466,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1466" s="1" t="str">
        <f ca="1">IFERROR(__xludf.DUMMYFUNCTION("GOOGLETRANSLATE(English!G1466, ""en"", ""bg"")"),"помощ_за_домашно_изпълнение")</f>
        <v>помощ_за_домашно_изпълнение</v>
      </c>
      <c r="H1466" s="1" t="str">
        <f ca="1">IFERROR(__xludf.DUMMYFUNCTION("GOOGLETRANSLATE(English!H1466, ""en"", ""bg"")"),"помощ_за_домашно_задаване")</f>
        <v>помощ_за_домашно_задаване</v>
      </c>
    </row>
    <row r="1467" spans="1:8" ht="13.2" x14ac:dyDescent="0.25">
      <c r="A1467" s="1" t="str">
        <f ca="1">IFERROR(__xludf.DUMMYFUNCTION("GOOGLETRANSLATE(English!A1467, ""en"", ""bg"")"),"conv_03879")</f>
        <v>conv_03879</v>
      </c>
      <c r="B1467" s="1" t="str">
        <f ca="1">IFERROR(__xludf.DUMMYFUNCTION("GOOGLETRANSLATE(English!B1467, ""en"", ""bg"")"),"химия")</f>
        <v>химия</v>
      </c>
      <c r="C1467" s="1" t="str">
        <f ca="1">IFERROR(__xludf.DUMMYFUNCTION("GOOGLETRANSLATE(English!C1467, ""en"", ""bg"")"),"високо")</f>
        <v>високо</v>
      </c>
      <c r="D1467" s="1" t="str">
        <f ca="1">IFERROR(__xludf.DUMMYFUNCTION("GOOGLETRANSLATE(English!D1467, ""en"", ""bg"")"),"скорости на реакция")</f>
        <v>скорости на реакция</v>
      </c>
      <c r="E1467" s="1" t="str">
        <f ca="1">IFERROR(__xludf.DUMMYFUNCTION("GOOGLETRANSLATE(English!E1467, ""en"", ""bg"")"),"Можете ли да ми обясните това? Как работят скоростите на реакциите в химията?")</f>
        <v>Можете ли да ми обясните това? Как работят скоростите на реакциите в химията?</v>
      </c>
      <c r="F1467" s="1" t="str">
        <f ca="1">IFERROR(__xludf.DUMMYFUNCTION("GOOGLETRANSLATE(English!F1467,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1467" s="1" t="str">
        <f ca="1">IFERROR(__xludf.DUMMYFUNCTION("GOOGLETRANSLATE(English!G1467, ""en"", ""bg"")"),"разговор")</f>
        <v>разговор</v>
      </c>
      <c r="H1467" s="1" t="str">
        <f ca="1">IFERROR(__xludf.DUMMYFUNCTION("GOOGLETRANSLATE(English!H1467, ""en"", ""bg"")"),"образователна_помощ")</f>
        <v>образователна_помощ</v>
      </c>
    </row>
    <row r="1468" spans="1:8" ht="13.2" x14ac:dyDescent="0.25">
      <c r="A1468" s="1" t="str">
        <f ca="1">IFERROR(__xludf.DUMMYFUNCTION("GOOGLETRANSLATE(English!A1468, ""en"", ""bg"")"),"hw_01647")</f>
        <v>hw_01647</v>
      </c>
      <c r="B1468" s="1" t="str">
        <f ca="1">IFERROR(__xludf.DUMMYFUNCTION("GOOGLETRANSLATE(English!B1468, ""en"", ""bg"")"),"физика")</f>
        <v>физика</v>
      </c>
      <c r="C1468" s="1" t="str">
        <f ca="1">IFERROR(__xludf.DUMMYFUNCTION("GOOGLETRANSLATE(English!C1468, ""en"", ""bg"")"),"елементарен")</f>
        <v>елементарен</v>
      </c>
      <c r="D1468" s="1" t="str">
        <f ca="1">IFERROR(__xludf.DUMMYFUNCTION("GOOGLETRANSLATE(English!D1468, ""en"", ""bg"")"),"магнити")</f>
        <v>магнити</v>
      </c>
      <c r="E1468" s="1" t="str">
        <f ca="1">IFERROR(__xludf.DUMMYFUNCTION("GOOGLETRANSLATE(English!E1468, ""en"", ""bg"")"),"Трябва да разбера какво представляват магнитите за изпита си.")</f>
        <v>Трябва да разбера какво представляват магнитите за изпита си.</v>
      </c>
      <c r="F1468" s="1" t="str">
        <f ca="1">IFERROR(__xludf.DUMMYFUNCTION("GOOGLETRANSLATE(English!F1468,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468" s="1" t="str">
        <f ca="1">IFERROR(__xludf.DUMMYFUNCTION("GOOGLETRANSLATE(English!G1468, ""en"", ""bg"")"),"помощ_за_домашно_изпълнение")</f>
        <v>помощ_за_домашно_изпълнение</v>
      </c>
      <c r="H1468" s="1" t="str">
        <f ca="1">IFERROR(__xludf.DUMMYFUNCTION("GOOGLETRANSLATE(English!H1468, ""en"", ""bg"")"),"помощ_за_домашно_задаване")</f>
        <v>помощ_за_домашно_задаване</v>
      </c>
    </row>
    <row r="1469" spans="1:8" ht="13.2" x14ac:dyDescent="0.25">
      <c r="A1469" s="1" t="str">
        <f ca="1">IFERROR(__xludf.DUMMYFUNCTION("GOOGLETRANSLATE(English!A1469, ""en"", ""bg"")"),"hw_14886")</f>
        <v>hw_14886</v>
      </c>
      <c r="B1469" s="1" t="str">
        <f ca="1">IFERROR(__xludf.DUMMYFUNCTION("GOOGLETRANSLATE(English!B1469, ""en"", ""bg"")"),"физика")</f>
        <v>физика</v>
      </c>
      <c r="C1469" s="1" t="str">
        <f ca="1">IFERROR(__xludf.DUMMYFUNCTION("GOOGLETRANSLATE(English!C1469, ""en"", ""bg"")"),"елементарен")</f>
        <v>елементарен</v>
      </c>
      <c r="D1469" s="1" t="str">
        <f ca="1">IFERROR(__xludf.DUMMYFUNCTION("GOOGLETRANSLATE(English!D1469, ""en"", ""bg"")"),"звук")</f>
        <v>звук</v>
      </c>
      <c r="E1469" s="1" t="str">
        <f ca="1">IFERROR(__xludf.DUMMYFUNCTION("GOOGLETRANSLATE(English!E1469, ""en"", ""bg"")"),"Трябва да разбирам звука за изпита си.")</f>
        <v>Трябва да разбирам звука за изпита си.</v>
      </c>
      <c r="F1469" s="1" t="str">
        <f ca="1">IFERROR(__xludf.DUMMYFUNCTION("GOOGLETRANSLATE(English!F1469,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469" s="1" t="str">
        <f ca="1">IFERROR(__xludf.DUMMYFUNCTION("GOOGLETRANSLATE(English!G1469, ""en"", ""bg"")"),"помощ_за_домашно_изпълнение")</f>
        <v>помощ_за_домашно_изпълнение</v>
      </c>
      <c r="H1469" s="1" t="str">
        <f ca="1">IFERROR(__xludf.DUMMYFUNCTION("GOOGLETRANSLATE(English!H1469, ""en"", ""bg"")"),"помощ_за_домашно_задаване")</f>
        <v>помощ_за_домашно_задаване</v>
      </c>
    </row>
    <row r="1470" spans="1:8" ht="13.2" x14ac:dyDescent="0.25">
      <c r="A1470" s="1" t="str">
        <f ca="1">IFERROR(__xludf.DUMMYFUNCTION("GOOGLETRANSLATE(English!A1470, ""en"", ""bg"")"),"conv_15607")</f>
        <v>conv_15607</v>
      </c>
      <c r="B1470" s="1" t="str">
        <f ca="1">IFERROR(__xludf.DUMMYFUNCTION("GOOGLETRANSLATE(English!B1470, ""en"", ""bg"")"),"физика")</f>
        <v>физика</v>
      </c>
      <c r="C1470" s="1" t="str">
        <f ca="1">IFERROR(__xludf.DUMMYFUNCTION("GOOGLETRANSLATE(English!C1470, ""en"", ""bg"")"),"елементарен")</f>
        <v>елементарен</v>
      </c>
      <c r="D1470" s="1" t="str">
        <f ca="1">IFERROR(__xludf.DUMMYFUNCTION("GOOGLETRANSLATE(English!D1470, ""en"", ""bg"")"),"бутане и дърпане")</f>
        <v>бутане и дърпане</v>
      </c>
      <c r="E1470" s="1" t="str">
        <f ca="1">IFERROR(__xludf.DUMMYFUNCTION("GOOGLETRANSLATE(English!E1470, ""en"", ""bg"")"),"Имам нужда от помощ с домашното. Какво трябва да знам за бутането и дърпането?")</f>
        <v>Имам нужда от помощ с домашното. Какво трябва да знам за бутането и дърпането?</v>
      </c>
      <c r="F1470" s="1" t="str">
        <f ca="1">IFERROR(__xludf.DUMMYFUNCTION("GOOGLETRANSLATE(English!F1470,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1470" s="1" t="str">
        <f ca="1">IFERROR(__xludf.DUMMYFUNCTION("GOOGLETRANSLATE(English!G1470, ""en"", ""bg"")"),"разговор")</f>
        <v>разговор</v>
      </c>
      <c r="H1470" s="1" t="str">
        <f ca="1">IFERROR(__xludf.DUMMYFUNCTION("GOOGLETRANSLATE(English!H1470, ""en"", ""bg"")"),"образователна_помощ")</f>
        <v>образователна_помощ</v>
      </c>
    </row>
    <row r="1471" spans="1:8" ht="13.2" x14ac:dyDescent="0.25">
      <c r="A1471" s="1" t="str">
        <f ca="1">IFERROR(__xludf.DUMMYFUNCTION("GOOGLETRANSLATE(English!A1471, ""en"", ""bg"")"),"qa_07008")</f>
        <v>qa_07008</v>
      </c>
      <c r="B1471" s="1" t="str">
        <f ca="1">IFERROR(__xludf.DUMMYFUNCTION("GOOGLETRANSLATE(English!B1471, ""en"", ""bg"")"),"биология")</f>
        <v>биология</v>
      </c>
      <c r="C1471" s="1" t="str">
        <f ca="1">IFERROR(__xludf.DUMMYFUNCTION("GOOGLETRANSLATE(English!C1471, ""en"", ""bg"")"),"елементарен")</f>
        <v>елементарен</v>
      </c>
      <c r="D1471" s="1" t="str">
        <f ca="1">IFERROR(__xludf.DUMMYFUNCTION("GOOGLETRANSLATE(English!D1471, ""en"", ""bg"")"),"жизнени цикли")</f>
        <v>жизнени цикли</v>
      </c>
      <c r="E1471" s="1" t="str">
        <f ca="1">IFERROR(__xludf.DUMMYFUNCTION("GOOGLETRANSLATE(English!E1471, ""en"", ""bg"")"),"Как функционират жизнените цикли?")</f>
        <v>Как функционират жизнените цикли?</v>
      </c>
      <c r="F1471" s="1" t="str">
        <f ca="1">IFERROR(__xludf.DUMMYFUNCTION("GOOGLETRANSLATE(English!F1471,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1471" s="1" t="str">
        <f ca="1">IFERROR(__xludf.DUMMYFUNCTION("GOOGLETRANSLATE(English!G1471, ""en"", ""bg"")"),"direct_qa")</f>
        <v>direct_qa</v>
      </c>
      <c r="H1471" s="1" t="str">
        <f ca="1">IFERROR(__xludf.DUMMYFUNCTION("GOOGLETRANSLATE(English!H1471, ""en"", ""bg"")"),"заявка_за_знание")</f>
        <v>заявка_за_знание</v>
      </c>
    </row>
    <row r="1472" spans="1:8" ht="13.2" x14ac:dyDescent="0.25">
      <c r="A1472" s="1" t="str">
        <f ca="1">IFERROR(__xludf.DUMMYFUNCTION("GOOGLETRANSLATE(English!A1472, ""en"", ""bg"")"),"qa_03525")</f>
        <v>qa_03525</v>
      </c>
      <c r="B1472" s="1" t="str">
        <f ca="1">IFERROR(__xludf.DUMMYFUNCTION("GOOGLETRANSLATE(English!B1472, ""en"", ""bg"")"),"физика")</f>
        <v>физика</v>
      </c>
      <c r="C1472" s="1" t="str">
        <f ca="1">IFERROR(__xludf.DUMMYFUNCTION("GOOGLETRANSLATE(English!C1472, ""en"", ""bg"")"),"високо")</f>
        <v>високо</v>
      </c>
      <c r="D1472" s="1" t="str">
        <f ca="1">IFERROR(__xludf.DUMMYFUNCTION("GOOGLETRANSLATE(English!D1472, ""en"", ""bg"")"),"термодинамика")</f>
        <v>термодинамика</v>
      </c>
      <c r="E1472" s="1" t="str">
        <f ca="1">IFERROR(__xludf.DUMMYFUNCTION("GOOGLETRANSLATE(English!E1472, ""en"", ""bg"")"),"Какво трябва да знам за термодинамиката?")</f>
        <v>Какво трябва да знам за термодинамиката?</v>
      </c>
      <c r="F1472" s="1" t="str">
        <f ca="1">IFERROR(__xludf.DUMMYFUNCTION("GOOGLETRANSLATE(English!F1472,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1472" s="1" t="str">
        <f ca="1">IFERROR(__xludf.DUMMYFUNCTION("GOOGLETRANSLATE(English!G1472, ""en"", ""bg"")"),"direct_qa")</f>
        <v>direct_qa</v>
      </c>
      <c r="H1472" s="1" t="str">
        <f ca="1">IFERROR(__xludf.DUMMYFUNCTION("GOOGLETRANSLATE(English!H1472, ""en"", ""bg"")"),"заявка_за_знание")</f>
        <v>заявка_за_знание</v>
      </c>
    </row>
    <row r="1473" spans="1:8" ht="13.2" x14ac:dyDescent="0.25">
      <c r="A1473" s="1" t="str">
        <f ca="1">IFERROR(__xludf.DUMMYFUNCTION("GOOGLETRANSLATE(English!A1473, ""en"", ""bg"")"),"qa_03756")</f>
        <v>qa_03756</v>
      </c>
      <c r="B1473" s="1" t="str">
        <f ca="1">IFERROR(__xludf.DUMMYFUNCTION("GOOGLETRANSLATE(English!B1473, ""en"", ""bg"")"),"химия")</f>
        <v>химия</v>
      </c>
      <c r="C1473" s="1" t="str">
        <f ca="1">IFERROR(__xludf.DUMMYFUNCTION("GOOGLETRANSLATE(English!C1473, ""en"", ""bg"")"),"елементарен")</f>
        <v>елементарен</v>
      </c>
      <c r="D1473" s="1" t="str">
        <f ca="1">IFERROR(__xludf.DUMMYFUNCTION("GOOGLETRANSLATE(English!D1473, ""en"", ""bg"")"),"твърди вещества, течности, газове")</f>
        <v>твърди вещества, течности, газове</v>
      </c>
      <c r="E1473" s="1" t="str">
        <f ca="1">IFERROR(__xludf.DUMMYFUNCTION("GOOGLETRANSLATE(English!E1473, ""en"", ""bg"")"),"Можете ли да превърнете газ обратно в течност?")</f>
        <v>Можете ли да превърнете газ обратно в течност?</v>
      </c>
      <c r="F1473" s="1" t="str">
        <f ca="1">IFERROR(__xludf.DUMMYFUNCTION("GOOGLETRANSLATE(English!F1473, ""en"", ""bg"")"),"Да! Можете да превърнете газ обратно в течност, като го охладите. Този процес се нарича кондензация.")</f>
        <v>Да! Можете да превърнете газ обратно в течност, като го охладите. Този процес се нарича кондензация.</v>
      </c>
      <c r="G1473" s="1" t="str">
        <f ca="1">IFERROR(__xludf.DUMMYFUNCTION("GOOGLETRANSLATE(English!G1473, ""en"", ""bg"")"),"direct_qa")</f>
        <v>direct_qa</v>
      </c>
      <c r="H1473" s="1" t="str">
        <f ca="1">IFERROR(__xludf.DUMMYFUNCTION("GOOGLETRANSLATE(English!H1473, ""en"", ""bg"")"),"заявка_за_знание")</f>
        <v>заявка_за_знание</v>
      </c>
    </row>
    <row r="1474" spans="1:8" ht="13.2" x14ac:dyDescent="0.25">
      <c r="A1474" s="1" t="str">
        <f ca="1">IFERROR(__xludf.DUMMYFUNCTION("GOOGLETRANSLATE(English!A1474, ""en"", ""bg"")"),"hw_07987")</f>
        <v>hw_07987</v>
      </c>
      <c r="B1474" s="1" t="str">
        <f ca="1">IFERROR(__xludf.DUMMYFUNCTION("GOOGLETRANSLATE(English!B1474, ""en"", ""bg"")"),"физика")</f>
        <v>физика</v>
      </c>
      <c r="C1474" s="1" t="str">
        <f ca="1">IFERROR(__xludf.DUMMYFUNCTION("GOOGLETRANSLATE(English!C1474, ""en"", ""bg"")"),"елементарен")</f>
        <v>елементарен</v>
      </c>
      <c r="D1474" s="1" t="str">
        <f ca="1">IFERROR(__xludf.DUMMYFUNCTION("GOOGLETRANSLATE(English!D1474, ""en"", ""bg"")"),"звук")</f>
        <v>звук</v>
      </c>
      <c r="E1474" s="1" t="str">
        <f ca="1">IFERROR(__xludf.DUMMYFUNCTION("GOOGLETRANSLATE(English!E1474, ""en"", ""bg"")"),"Можете ли да решите този важен въпрос с мен?")</f>
        <v>Можете ли да решите този важен въпрос с мен?</v>
      </c>
      <c r="F1474" s="1" t="str">
        <f ca="1">IFERROR(__xludf.DUMMYFUNCTION("GOOGLETRANSLATE(English!F1474,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474" s="1" t="str">
        <f ca="1">IFERROR(__xludf.DUMMYFUNCTION("GOOGLETRANSLATE(English!G1474, ""en"", ""bg"")"),"помощ_за_домашно_изпълнение")</f>
        <v>помощ_за_домашно_изпълнение</v>
      </c>
      <c r="H1474" s="1" t="str">
        <f ca="1">IFERROR(__xludf.DUMMYFUNCTION("GOOGLETRANSLATE(English!H1474, ""en"", ""bg"")"),"помощ_за_домашно_задаване")</f>
        <v>помощ_за_домашно_задаване</v>
      </c>
    </row>
    <row r="1475" spans="1:8" ht="13.2" x14ac:dyDescent="0.25">
      <c r="A1475" s="1" t="str">
        <f ca="1">IFERROR(__xludf.DUMMYFUNCTION("GOOGLETRANSLATE(English!A1475, ""en"", ""bg"")"),"hw_12263")</f>
        <v>hw_12263</v>
      </c>
      <c r="B1475" s="1" t="str">
        <f ca="1">IFERROR(__xludf.DUMMYFUNCTION("GOOGLETRANSLATE(English!B1475, ""en"", ""bg"")"),"биология")</f>
        <v>биология</v>
      </c>
      <c r="C1475" s="1" t="str">
        <f ca="1">IFERROR(__xludf.DUMMYFUNCTION("GOOGLETRANSLATE(English!C1475, ""en"", ""bg"")"),"високо")</f>
        <v>високо</v>
      </c>
      <c r="D1475" s="1" t="str">
        <f ca="1">IFERROR(__xludf.DUMMYFUNCTION("GOOGLETRANSLATE(English!D1475, ""en"", ""bg"")"),"модели на наследяване")</f>
        <v>модели на наследяване</v>
      </c>
      <c r="E1475" s="1" t="str">
        <f ca="1">IFERROR(__xludf.DUMMYFUNCTION("GOOGLETRANSLATE(English!E1475, ""en"", ""bg"")"),"Трябва да напиша доклад за моделите на наследяване. Можете ли да ми помогнете да започна?")</f>
        <v>Трябва да напиша доклад за моделите на наследяване. Можете ли да ми помогнете да започна?</v>
      </c>
      <c r="F1475" s="1" t="str">
        <f ca="1">IFERROR(__xludf.DUMMYFUNCTION("GOOGLETRANSLATE(English!F1475,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1475" s="1" t="str">
        <f ca="1">IFERROR(__xludf.DUMMYFUNCTION("GOOGLETRANSLATE(English!G1475, ""en"", ""bg"")"),"помощ_за_домашно_изпълнение")</f>
        <v>помощ_за_домашно_изпълнение</v>
      </c>
      <c r="H1475" s="1" t="str">
        <f ca="1">IFERROR(__xludf.DUMMYFUNCTION("GOOGLETRANSLATE(English!H1475, ""en"", ""bg"")"),"помощ_за_домашно_задаване")</f>
        <v>помощ_за_домашно_задаване</v>
      </c>
    </row>
    <row r="1476" spans="1:8" ht="13.2" x14ac:dyDescent="0.25">
      <c r="A1476" s="1" t="str">
        <f ca="1">IFERROR(__xludf.DUMMYFUNCTION("GOOGLETRANSLATE(English!A1476, ""en"", ""bg"")"),"hw_00923")</f>
        <v>hw_00923</v>
      </c>
      <c r="B1476" s="1" t="str">
        <f ca="1">IFERROR(__xludf.DUMMYFUNCTION("GOOGLETRANSLATE(English!B1476, ""en"", ""bg"")"),"физика")</f>
        <v>физика</v>
      </c>
      <c r="C1476" s="1" t="str">
        <f ca="1">IFERROR(__xludf.DUMMYFUNCTION("GOOGLETRANSLATE(English!C1476, ""en"", ""bg"")"),"елементарен")</f>
        <v>елементарен</v>
      </c>
      <c r="D1476" s="1" t="str">
        <f ca="1">IFERROR(__xludf.DUMMYFUNCTION("GOOGLETRANSLATE(English!D1476, ""en"", ""bg"")"),"горещо и студено")</f>
        <v>горещо и студено</v>
      </c>
      <c r="E1476" s="1" t="str">
        <f ca="1">IFERROR(__xludf.DUMMYFUNCTION("GOOGLETRANSLATE(English!E1476, ""en"", ""bg"")"),"Заседнал съм с този проблем с горещината и студените. Можете ли да помогнете?")</f>
        <v>Заседнал съм с този проблем с горещината и студените. Можете ли да помогнете?</v>
      </c>
      <c r="F1476" s="1" t="str">
        <f ca="1">IFERROR(__xludf.DUMMYFUNCTION("GOOGLETRANSLATE(English!F1476,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1476" s="1" t="str">
        <f ca="1">IFERROR(__xludf.DUMMYFUNCTION("GOOGLETRANSLATE(English!G1476, ""en"", ""bg"")"),"помощ_за_домашно_изпълнение")</f>
        <v>помощ_за_домашно_изпълнение</v>
      </c>
      <c r="H1476" s="1" t="str">
        <f ca="1">IFERROR(__xludf.DUMMYFUNCTION("GOOGLETRANSLATE(English!H1476, ""en"", ""bg"")"),"помощ_за_домашно_задаване")</f>
        <v>помощ_за_домашно_задаване</v>
      </c>
    </row>
    <row r="1477" spans="1:8" ht="13.2" x14ac:dyDescent="0.25">
      <c r="A1477" s="1" t="str">
        <f ca="1">IFERROR(__xludf.DUMMYFUNCTION("GOOGLETRANSLATE(English!A1477, ""en"", ""bg"")"),"conv_10510")</f>
        <v>conv_10510</v>
      </c>
      <c r="B1477" s="1" t="str">
        <f ca="1">IFERROR(__xludf.DUMMYFUNCTION("GOOGLETRANSLATE(English!B1477, ""en"", ""bg"")"),"физика")</f>
        <v>физика</v>
      </c>
      <c r="C1477" s="1" t="str">
        <f ca="1">IFERROR(__xludf.DUMMYFUNCTION("GOOGLETRANSLATE(English!C1477, ""en"", ""bg"")"),"елементарен")</f>
        <v>елементарен</v>
      </c>
      <c r="D1477" s="1" t="str">
        <f ca="1">IFERROR(__xludf.DUMMYFUNCTION("GOOGLETRANSLATE(English!D1477, ""en"", ""bg"")"),"плаващ и потъващ")</f>
        <v>плаващ и потъващ</v>
      </c>
      <c r="E1477" s="1" t="str">
        <f ca="1">IFERROR(__xludf.DUMMYFUNCTION("GOOGLETRANSLATE(English!E1477, ""en"", ""bg"")"),"Имам научен въпрос. Защо е важно да се носиш и да потъваш?")</f>
        <v>Имам научен въпрос. Защо е важно да се носиш и да потъваш?</v>
      </c>
      <c r="F1477" s="1" t="str">
        <f ca="1">IFERROR(__xludf.DUMMYFUNCTION("GOOGLETRANSLATE(English!F1477,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1477" s="1" t="str">
        <f ca="1">IFERROR(__xludf.DUMMYFUNCTION("GOOGLETRANSLATE(English!G1477, ""en"", ""bg"")"),"разговор")</f>
        <v>разговор</v>
      </c>
      <c r="H1477" s="1" t="str">
        <f ca="1">IFERROR(__xludf.DUMMYFUNCTION("GOOGLETRANSLATE(English!H1477, ""en"", ""bg"")"),"образователна_помощ")</f>
        <v>образователна_помощ</v>
      </c>
    </row>
    <row r="1478" spans="1:8" ht="13.2" x14ac:dyDescent="0.25">
      <c r="A1478" s="1" t="str">
        <f ca="1">IFERROR(__xludf.DUMMYFUNCTION("GOOGLETRANSLATE(English!A1478, ""en"", ""bg"")"),"conv_18293")</f>
        <v>conv_18293</v>
      </c>
      <c r="B1478" s="1" t="str">
        <f ca="1">IFERROR(__xludf.DUMMYFUNCTION("GOOGLETRANSLATE(English!B1478, ""en"", ""bg"")"),"биология")</f>
        <v>биология</v>
      </c>
      <c r="C1478" s="1" t="str">
        <f ca="1">IFERROR(__xludf.DUMMYFUNCTION("GOOGLETRANSLATE(English!C1478, ""en"", ""bg"")"),"високо")</f>
        <v>високо</v>
      </c>
      <c r="D1478" s="1" t="str">
        <f ca="1">IFERROR(__xludf.DUMMYFUNCTION("GOOGLETRANSLATE(English!D1478, ""en"", ""bg"")"),"клетъчно дишане")</f>
        <v>клетъчно дишане</v>
      </c>
      <c r="E1478" s="1" t="str">
        <f ca="1">IFERROR(__xludf.DUMMYFUNCTION("GOOGLETRANSLATE(English!E1478, ""en"", ""bg"")"),"Имам научен въпрос. Можете ли да ми разкажете за клетъчното дишане?")</f>
        <v>Имам научен въпрос. Можете ли да ми разкажете за клетъчното дишане?</v>
      </c>
      <c r="F1478" s="1" t="str">
        <f ca="1">IFERROR(__xludf.DUMMYFUNCTION("GOOGLETRANSLATE(English!F1478,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1478" s="1" t="str">
        <f ca="1">IFERROR(__xludf.DUMMYFUNCTION("GOOGLETRANSLATE(English!G1478, ""en"", ""bg"")"),"разговор")</f>
        <v>разговор</v>
      </c>
      <c r="H1478" s="1" t="str">
        <f ca="1">IFERROR(__xludf.DUMMYFUNCTION("GOOGLETRANSLATE(English!H1478, ""en"", ""bg"")"),"образователна_помощ")</f>
        <v>образователна_помощ</v>
      </c>
    </row>
    <row r="1479" spans="1:8" ht="13.2" x14ac:dyDescent="0.25">
      <c r="A1479" s="1" t="str">
        <f ca="1">IFERROR(__xludf.DUMMYFUNCTION("GOOGLETRANSLATE(English!A1479, ""en"", ""bg"")"),"conv_00915")</f>
        <v>conv_00915</v>
      </c>
      <c r="B1479" s="1" t="str">
        <f ca="1">IFERROR(__xludf.DUMMYFUNCTION("GOOGLETRANSLATE(English!B1479, ""en"", ""bg"")"),"химия")</f>
        <v>химия</v>
      </c>
      <c r="C1479" s="1" t="str">
        <f ca="1">IFERROR(__xludf.DUMMYFUNCTION("GOOGLETRANSLATE(English!C1479, ""en"", ""bg"")"),"високо")</f>
        <v>високо</v>
      </c>
      <c r="D1479" s="1" t="str">
        <f ca="1">IFERROR(__xludf.DUMMYFUNCTION("GOOGLETRANSLATE(English!D1479, ""en"", ""bg"")"),"химическо свързване")</f>
        <v>химическо свързване</v>
      </c>
      <c r="E1479" s="1" t="str">
        <f ca="1">IFERROR(__xludf.DUMMYFUNCTION("GOOGLETRANSLATE(English!E1479, ""en"", ""bg"")"),"Можете ли да ми помогнете? Какво представлява химичното свързване?")</f>
        <v>Можете ли да ми помогнете? Какво представлява химичното свързване?</v>
      </c>
      <c r="F1479" s="1" t="str">
        <f ca="1">IFERROR(__xludf.DUMMYFUNCTION("GOOGLETRANSLATE(English!F1479,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1479" s="1" t="str">
        <f ca="1">IFERROR(__xludf.DUMMYFUNCTION("GOOGLETRANSLATE(English!G1479, ""en"", ""bg"")"),"разговор")</f>
        <v>разговор</v>
      </c>
      <c r="H1479" s="1" t="str">
        <f ca="1">IFERROR(__xludf.DUMMYFUNCTION("GOOGLETRANSLATE(English!H1479, ""en"", ""bg"")"),"образователна_помощ")</f>
        <v>образователна_помощ</v>
      </c>
    </row>
    <row r="1480" spans="1:8" ht="13.2" x14ac:dyDescent="0.25">
      <c r="A1480" s="1" t="str">
        <f ca="1">IFERROR(__xludf.DUMMYFUNCTION("GOOGLETRANSLATE(English!A1480, ""en"", ""bg"")"),"conv_19671")</f>
        <v>conv_19671</v>
      </c>
      <c r="B1480" s="1" t="str">
        <f ca="1">IFERROR(__xludf.DUMMYFUNCTION("GOOGLETRANSLATE(English!B1480, ""en"", ""bg"")"),"химия")</f>
        <v>химия</v>
      </c>
      <c r="C1480" s="1" t="str">
        <f ca="1">IFERROR(__xludf.DUMMYFUNCTION("GOOGLETRANSLATE(English!C1480, ""en"", ""bg"")"),"елементарен")</f>
        <v>елементарен</v>
      </c>
      <c r="D1480" s="1" t="str">
        <f ca="1">IFERROR(__xludf.DUMMYFUNCTION("GOOGLETRANSLATE(English!D1480, ""en"", ""bg"")"),"смесване на материали")</f>
        <v>смесване на материали</v>
      </c>
      <c r="E1480" s="1" t="str">
        <f ca="1">IFERROR(__xludf.DUMMYFUNCTION("GOOGLETRANSLATE(English!E1480, ""en"", ""bg"")"),"Можете ли да ми помогнете? Какво се случва, когато смесите масло и вода?")</f>
        <v>Можете ли да ми помогнете? Какво се случва, когато смесите масло и вода?</v>
      </c>
      <c r="F1480" s="1" t="str">
        <f ca="1">IFERROR(__xludf.DUMMYFUNCTION("GOOGLETRANSLATE(English!F1480,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1480" s="1" t="str">
        <f ca="1">IFERROR(__xludf.DUMMYFUNCTION("GOOGLETRANSLATE(English!G1480, ""en"", ""bg"")"),"разговор")</f>
        <v>разговор</v>
      </c>
      <c r="H1480" s="1" t="str">
        <f ca="1">IFERROR(__xludf.DUMMYFUNCTION("GOOGLETRANSLATE(English!H1480, ""en"", ""bg"")"),"образователна_помощ")</f>
        <v>образователна_помощ</v>
      </c>
    </row>
    <row r="1481" spans="1:8" ht="13.2" x14ac:dyDescent="0.25">
      <c r="A1481" s="1" t="str">
        <f ca="1">IFERROR(__xludf.DUMMYFUNCTION("GOOGLETRANSLATE(English!A1481, ""en"", ""bg"")"),"hw_03612")</f>
        <v>hw_03612</v>
      </c>
      <c r="B1481" s="1" t="str">
        <f ca="1">IFERROR(__xludf.DUMMYFUNCTION("GOOGLETRANSLATE(English!B1481, ""en"", ""bg"")"),"химия")</f>
        <v>химия</v>
      </c>
      <c r="C1481" s="1" t="str">
        <f ca="1">IFERROR(__xludf.DUMMYFUNCTION("GOOGLETRANSLATE(English!C1481, ""en"", ""bg"")"),"елементарен")</f>
        <v>елементарен</v>
      </c>
      <c r="D1481" s="1" t="str">
        <f ca="1">IFERROR(__xludf.DUMMYFUNCTION("GOOGLETRANSLATE(English!D1481, ""en"", ""bg"")"),"смесване на материали")</f>
        <v>смесване на материали</v>
      </c>
      <c r="E1481" s="1" t="str">
        <f ca="1">IFERROR(__xludf.DUMMYFUNCTION("GOOGLETRANSLATE(English!E1481, ""en"", ""bg"")"),"Не разбирам тази концепция за смесване на материали. Моля, обяснете!")</f>
        <v>Не разбирам тази концепция за смесване на материали. Моля, обяснете!</v>
      </c>
      <c r="F1481" s="1" t="str">
        <f ca="1">IFERROR(__xludf.DUMMYFUNCTION("GOOGLETRANSLATE(English!F1481,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1481" s="1" t="str">
        <f ca="1">IFERROR(__xludf.DUMMYFUNCTION("GOOGLETRANSLATE(English!G1481, ""en"", ""bg"")"),"помощ_за_домашно_изпълнение")</f>
        <v>помощ_за_домашно_изпълнение</v>
      </c>
      <c r="H1481" s="1" t="str">
        <f ca="1">IFERROR(__xludf.DUMMYFUNCTION("GOOGLETRANSLATE(English!H1481, ""en"", ""bg"")"),"помощ_за_домашно_задаване")</f>
        <v>помощ_за_домашно_задаване</v>
      </c>
    </row>
    <row r="1482" spans="1:8" ht="13.2" x14ac:dyDescent="0.25">
      <c r="A1482" s="1" t="str">
        <f ca="1">IFERROR(__xludf.DUMMYFUNCTION("GOOGLETRANSLATE(English!A1482, ""en"", ""bg"")"),"hw_07409")</f>
        <v>hw_07409</v>
      </c>
      <c r="B1482" s="1" t="str">
        <f ca="1">IFERROR(__xludf.DUMMYFUNCTION("GOOGLETRANSLATE(English!B1482, ""en"", ""bg"")"),"физика")</f>
        <v>физика</v>
      </c>
      <c r="C1482" s="1" t="str">
        <f ca="1">IFERROR(__xludf.DUMMYFUNCTION("GOOGLETRANSLATE(English!C1482, ""en"", ""bg"")"),"елементарен")</f>
        <v>елементарен</v>
      </c>
      <c r="D1482" s="1" t="str">
        <f ca="1">IFERROR(__xludf.DUMMYFUNCTION("GOOGLETRANSLATE(English!D1482, ""en"", ""bg"")"),"бутане и дърпане")</f>
        <v>бутане и дърпане</v>
      </c>
      <c r="E1482" s="1" t="str">
        <f ca="1">IFERROR(__xludf.DUMMYFUNCTION("GOOGLETRANSLATE(English!E1482, ""en"", ""bg"")"),"Домашното ми по физика е за бутане и дърпане. Объркващо е!")</f>
        <v>Домашното ми по физика е за бутане и дърпане. Объркващо е!</v>
      </c>
      <c r="F1482" s="1" t="str">
        <f ca="1">IFERROR(__xludf.DUMMYFUNCTION("GOOGLETRANSLATE(English!F1482,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1482" s="1" t="str">
        <f ca="1">IFERROR(__xludf.DUMMYFUNCTION("GOOGLETRANSLATE(English!G1482, ""en"", ""bg"")"),"помощ_за_домашно_изпълнение")</f>
        <v>помощ_за_домашно_изпълнение</v>
      </c>
      <c r="H1482" s="1" t="str">
        <f ca="1">IFERROR(__xludf.DUMMYFUNCTION("GOOGLETRANSLATE(English!H1482, ""en"", ""bg"")"),"помощ_за_домашно_задаване")</f>
        <v>помощ_за_домашно_задаване</v>
      </c>
    </row>
    <row r="1483" spans="1:8" ht="13.2" x14ac:dyDescent="0.25">
      <c r="A1483" s="1" t="str">
        <f ca="1">IFERROR(__xludf.DUMMYFUNCTION("GOOGLETRANSLATE(English!A1483, ""en"", ""bg"")"),"hw_08803")</f>
        <v>hw_08803</v>
      </c>
      <c r="B1483" s="1" t="str">
        <f ca="1">IFERROR(__xludf.DUMMYFUNCTION("GOOGLETRANSLATE(English!B1483, ""en"", ""bg"")"),"химия")</f>
        <v>химия</v>
      </c>
      <c r="C1483" s="1" t="str">
        <f ca="1">IFERROR(__xludf.DUMMYFUNCTION("GOOGLETRANSLATE(English!C1483, ""en"", ""bg"")"),"елементарен")</f>
        <v>елементарен</v>
      </c>
      <c r="D1483" s="1" t="str">
        <f ca="1">IFERROR(__xludf.DUMMYFUNCTION("GOOGLETRANSLATE(English!D1483, ""en"", ""bg"")"),"безопасност")</f>
        <v>безопасност</v>
      </c>
      <c r="E1483" s="1" t="str">
        <f ca="1">IFERROR(__xludf.DUMMYFUNCTION("GOOGLETRANSLATE(English!E1483,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1483" s="1" t="str">
        <f ca="1">IFERROR(__xludf.DUMMYFUNCTION("GOOGLETRANSLATE(English!F1483,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1483" s="1" t="str">
        <f ca="1">IFERROR(__xludf.DUMMYFUNCTION("GOOGLETRANSLATE(English!G1483, ""en"", ""bg"")"),"помощ_за_домашно_изпълнение")</f>
        <v>помощ_за_домашно_изпълнение</v>
      </c>
      <c r="H1483" s="1" t="str">
        <f ca="1">IFERROR(__xludf.DUMMYFUNCTION("GOOGLETRANSLATE(English!H1483, ""en"", ""bg"")"),"помощ_за_домашно_задаване")</f>
        <v>помощ_за_домашно_задаване</v>
      </c>
    </row>
    <row r="1484" spans="1:8" ht="13.2" x14ac:dyDescent="0.25">
      <c r="A1484" s="1" t="str">
        <f ca="1">IFERROR(__xludf.DUMMYFUNCTION("GOOGLETRANSLATE(English!A1484, ""en"", ""bg"")"),"qa_10148")</f>
        <v>qa_10148</v>
      </c>
      <c r="B1484" s="1" t="str">
        <f ca="1">IFERROR(__xludf.DUMMYFUNCTION("GOOGLETRANSLATE(English!B1484, ""en"", ""bg"")"),"химия")</f>
        <v>химия</v>
      </c>
      <c r="C1484" s="1" t="str">
        <f ca="1">IFERROR(__xludf.DUMMYFUNCTION("GOOGLETRANSLATE(English!C1484, ""en"", ""bg"")"),"високо")</f>
        <v>високо</v>
      </c>
      <c r="D1484" s="1" t="str">
        <f ca="1">IFERROR(__xludf.DUMMYFUNCTION("GOOGLETRANSLATE(English!D1484, ""en"", ""bg"")"),"електрохимия")</f>
        <v>електрохимия</v>
      </c>
      <c r="E1484" s="1" t="str">
        <f ca="1">IFERROR(__xludf.DUMMYFUNCTION("GOOGLETRANSLATE(English!E1484, ""en"", ""bg"")"),"Можете ли да ми помогнете да разбера електрохимията?")</f>
        <v>Можете ли да ми помогнете да разбера електрохимията?</v>
      </c>
      <c r="F1484" s="1" t="str">
        <f ca="1">IFERROR(__xludf.DUMMYFUNCTION("GOOGLETRANSLATE(English!F1484,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1484" s="1" t="str">
        <f ca="1">IFERROR(__xludf.DUMMYFUNCTION("GOOGLETRANSLATE(English!G1484, ""en"", ""bg"")"),"direct_qa")</f>
        <v>direct_qa</v>
      </c>
      <c r="H1484" s="1" t="str">
        <f ca="1">IFERROR(__xludf.DUMMYFUNCTION("GOOGLETRANSLATE(English!H1484, ""en"", ""bg"")"),"заявка_за_знание")</f>
        <v>заявка_за_знание</v>
      </c>
    </row>
    <row r="1485" spans="1:8" ht="13.2" x14ac:dyDescent="0.25">
      <c r="A1485" s="1" t="str">
        <f ca="1">IFERROR(__xludf.DUMMYFUNCTION("GOOGLETRANSLATE(English!A1485, ""en"", ""bg"")"),"hw_05149")</f>
        <v>hw_05149</v>
      </c>
      <c r="B1485" s="1" t="str">
        <f ca="1">IFERROR(__xludf.DUMMYFUNCTION("GOOGLETRANSLATE(English!B1485, ""en"", ""bg"")"),"физика")</f>
        <v>физика</v>
      </c>
      <c r="C1485" s="1" t="str">
        <f ca="1">IFERROR(__xludf.DUMMYFUNCTION("GOOGLETRANSLATE(English!C1485, ""en"", ""bg"")"),"средата")</f>
        <v>средата</v>
      </c>
      <c r="D1485" s="1" t="str">
        <f ca="1">IFERROR(__xludf.DUMMYFUNCTION("GOOGLETRANSLATE(English!D1485, ""en"", ""bg"")"),"сили и движение")</f>
        <v>сили и движение</v>
      </c>
      <c r="E1485" s="1" t="str">
        <f ca="1">IFERROR(__xludf.DUMMYFUNCTION("GOOGLETRANSLATE(English!E1485,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1485" s="1" t="str">
        <f ca="1">IFERROR(__xludf.DUMMYFUNCTION("GOOGLETRANSLATE(English!F1485,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1485" s="1" t="str">
        <f ca="1">IFERROR(__xludf.DUMMYFUNCTION("GOOGLETRANSLATE(English!G1485, ""en"", ""bg"")"),"помощ_за_домашно_изпълнение")</f>
        <v>помощ_за_домашно_изпълнение</v>
      </c>
      <c r="H1485" s="1" t="str">
        <f ca="1">IFERROR(__xludf.DUMMYFUNCTION("GOOGLETRANSLATE(English!H1485, ""en"", ""bg"")"),"помощ_за_домашно_задаване")</f>
        <v>помощ_за_домашно_задаване</v>
      </c>
    </row>
    <row r="1486" spans="1:8" ht="13.2" x14ac:dyDescent="0.25">
      <c r="A1486" s="1" t="str">
        <f ca="1">IFERROR(__xludf.DUMMYFUNCTION("GOOGLETRANSLATE(English!A1486, ""en"", ""bg"")"),"conv_10658")</f>
        <v>conv_10658</v>
      </c>
      <c r="B1486" s="1" t="str">
        <f ca="1">IFERROR(__xludf.DUMMYFUNCTION("GOOGLETRANSLATE(English!B1486, ""en"", ""bg"")"),"физика")</f>
        <v>физика</v>
      </c>
      <c r="C1486" s="1" t="str">
        <f ca="1">IFERROR(__xludf.DUMMYFUNCTION("GOOGLETRANSLATE(English!C1486, ""en"", ""bg"")"),"елементарен")</f>
        <v>елементарен</v>
      </c>
      <c r="D1486" s="1" t="str">
        <f ca="1">IFERROR(__xludf.DUMMYFUNCTION("GOOGLETRANSLATE(English!D1486, ""en"", ""bg"")"),"светлина и сянка")</f>
        <v>светлина и сянка</v>
      </c>
      <c r="E1486" s="1" t="str">
        <f ca="1">IFERROR(__xludf.DUMMYFUNCTION("GOOGLETRANSLATE(English!E1486, ""en"", ""bg"")"),"Имам нужда от помощ с домашното. Какво се случва, когато светлината попадне в огледало?")</f>
        <v>Имам нужда от помощ с домашното. Какво се случва, когато светлината попадне в огледало?</v>
      </c>
      <c r="F1486" s="1" t="str">
        <f ca="1">IFERROR(__xludf.DUMMYFUNCTION("GOOGLETRANSLATE(English!F1486,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1486" s="1" t="str">
        <f ca="1">IFERROR(__xludf.DUMMYFUNCTION("GOOGLETRANSLATE(English!G1486, ""en"", ""bg"")"),"разговор")</f>
        <v>разговор</v>
      </c>
      <c r="H1486" s="1" t="str">
        <f ca="1">IFERROR(__xludf.DUMMYFUNCTION("GOOGLETRANSLATE(English!H1486, ""en"", ""bg"")"),"образователна_помощ")</f>
        <v>образователна_помощ</v>
      </c>
    </row>
    <row r="1487" spans="1:8" ht="13.2" x14ac:dyDescent="0.25">
      <c r="A1487" s="1" t="str">
        <f ca="1">IFERROR(__xludf.DUMMYFUNCTION("GOOGLETRANSLATE(English!A1487, ""en"", ""bg"")"),"conv_06046")</f>
        <v>conv_06046</v>
      </c>
      <c r="B1487" s="1" t="str">
        <f ca="1">IFERROR(__xludf.DUMMYFUNCTION("GOOGLETRANSLATE(English!B1487, ""en"", ""bg"")"),"биология")</f>
        <v>биология</v>
      </c>
      <c r="C1487" s="1" t="str">
        <f ca="1">IFERROR(__xludf.DUMMYFUNCTION("GOOGLETRANSLATE(English!C1487, ""en"", ""bg"")"),"елементарен")</f>
        <v>елементарен</v>
      </c>
      <c r="D1487" s="1" t="str">
        <f ca="1">IFERROR(__xludf.DUMMYFUNCTION("GOOGLETRANSLATE(English!D1487, ""en"", ""bg"")"),"животни")</f>
        <v>животни</v>
      </c>
      <c r="E1487" s="1" t="str">
        <f ca="1">IFERROR(__xludf.DUMMYFUNCTION("GOOGLETRANSLATE(English!E1487, ""en"", ""bg"")"),"Имам нужда от помощ с домашното. Как кучетата се грижат за бебетата си?")</f>
        <v>Имам нужда от помощ с домашното. Как кучетата се грижат за бебетата си?</v>
      </c>
      <c r="F1487" s="1" t="str">
        <f ca="1">IFERROR(__xludf.DUMMYFUNCTION("GOOGLETRANSLATE(English!F1487,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1487" s="1" t="str">
        <f ca="1">IFERROR(__xludf.DUMMYFUNCTION("GOOGLETRANSLATE(English!G1487, ""en"", ""bg"")"),"разговор")</f>
        <v>разговор</v>
      </c>
      <c r="H1487" s="1" t="str">
        <f ca="1">IFERROR(__xludf.DUMMYFUNCTION("GOOGLETRANSLATE(English!H1487, ""en"", ""bg"")"),"образователна_помощ")</f>
        <v>образователна_помощ</v>
      </c>
    </row>
    <row r="1488" spans="1:8" ht="13.2" x14ac:dyDescent="0.25">
      <c r="A1488" s="1" t="str">
        <f ca="1">IFERROR(__xludf.DUMMYFUNCTION("GOOGLETRANSLATE(English!A1488, ""en"", ""bg"")"),"qa_11161")</f>
        <v>qa_11161</v>
      </c>
      <c r="B1488" s="1" t="str">
        <f ca="1">IFERROR(__xludf.DUMMYFUNCTION("GOOGLETRANSLATE(English!B1488, ""en"", ""bg"")"),"биология")</f>
        <v>биология</v>
      </c>
      <c r="C1488" s="1" t="str">
        <f ca="1">IFERROR(__xludf.DUMMYFUNCTION("GOOGLETRANSLATE(English!C1488, ""en"", ""bg"")"),"високо")</f>
        <v>високо</v>
      </c>
      <c r="D1488" s="1" t="str">
        <f ca="1">IFERROR(__xludf.DUMMYFUNCTION("GOOGLETRANSLATE(English!D1488, ""en"", ""bg"")"),"Структура на ДНК")</f>
        <v>Структура на ДНК</v>
      </c>
      <c r="E1488" s="1" t="str">
        <f ca="1">IFERROR(__xludf.DUMMYFUNCTION("GOOGLETRANSLATE(English!E1488, ""en"", ""bg"")"),"Какво е важно да знаем за структурата на ДНК?")</f>
        <v>Какво е важно да знаем за структурата на ДНК?</v>
      </c>
      <c r="F1488" s="1" t="str">
        <f ca="1">IFERROR(__xludf.DUMMYFUNCTION("GOOGLETRANSLATE(English!F1488,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1488" s="1" t="str">
        <f ca="1">IFERROR(__xludf.DUMMYFUNCTION("GOOGLETRANSLATE(English!G1488, ""en"", ""bg"")"),"direct_qa")</f>
        <v>direct_qa</v>
      </c>
      <c r="H1488" s="1" t="str">
        <f ca="1">IFERROR(__xludf.DUMMYFUNCTION("GOOGLETRANSLATE(English!H1488, ""en"", ""bg"")"),"заявка_за_знание")</f>
        <v>заявка_за_знание</v>
      </c>
    </row>
    <row r="1489" spans="1:8" ht="13.2" x14ac:dyDescent="0.25">
      <c r="A1489" s="1" t="str">
        <f ca="1">IFERROR(__xludf.DUMMYFUNCTION("GOOGLETRANSLATE(English!A1489, ""en"", ""bg"")"),"hw_01923")</f>
        <v>hw_01923</v>
      </c>
      <c r="B1489" s="1" t="str">
        <f ca="1">IFERROR(__xludf.DUMMYFUNCTION("GOOGLETRANSLATE(English!B1489, ""en"", ""bg"")"),"физика")</f>
        <v>физика</v>
      </c>
      <c r="C1489" s="1" t="str">
        <f ca="1">IFERROR(__xludf.DUMMYFUNCTION("GOOGLETRANSLATE(English!C1489, ""en"", ""bg"")"),"високо")</f>
        <v>високо</v>
      </c>
      <c r="D1489" s="1" t="str">
        <f ca="1">IFERROR(__xludf.DUMMYFUNCTION("GOOGLETRANSLATE(English!D1489, ""en"", ""bg"")"),"радиоактивност")</f>
        <v>радиоактивност</v>
      </c>
      <c r="E1489" s="1" t="str">
        <f ca="1">IFERROR(__xludf.DUMMYFUNCTION("GOOGLETRANSLATE(English!E1489, ""en"", ""bg"")"),"Трябва да разбера радиоактивността за изпита си.")</f>
        <v>Трябва да разбера радиоактивността за изпита си.</v>
      </c>
      <c r="F1489" s="1" t="str">
        <f ca="1">IFERROR(__xludf.DUMMYFUNCTION("GOOGLETRANSLATE(English!F1489,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489" s="1" t="str">
        <f ca="1">IFERROR(__xludf.DUMMYFUNCTION("GOOGLETRANSLATE(English!G1489, ""en"", ""bg"")"),"помощ_за_домашно_изпълнение")</f>
        <v>помощ_за_домашно_изпълнение</v>
      </c>
      <c r="H1489" s="1" t="str">
        <f ca="1">IFERROR(__xludf.DUMMYFUNCTION("GOOGLETRANSLATE(English!H1489, ""en"", ""bg"")"),"помощ_за_домашно_задаване")</f>
        <v>помощ_за_домашно_задаване</v>
      </c>
    </row>
    <row r="1490" spans="1:8" ht="13.2" x14ac:dyDescent="0.25">
      <c r="A1490" s="1" t="str">
        <f ca="1">IFERROR(__xludf.DUMMYFUNCTION("GOOGLETRANSLATE(English!A1490, ""en"", ""bg"")"),"hw_13102")</f>
        <v>hw_13102</v>
      </c>
      <c r="B1490" s="1" t="str">
        <f ca="1">IFERROR(__xludf.DUMMYFUNCTION("GOOGLETRANSLATE(English!B1490, ""en"", ""bg"")"),"физика")</f>
        <v>физика</v>
      </c>
      <c r="C1490" s="1" t="str">
        <f ca="1">IFERROR(__xludf.DUMMYFUNCTION("GOOGLETRANSLATE(English!C1490, ""en"", ""bg"")"),"елементарен")</f>
        <v>елементарен</v>
      </c>
      <c r="D1490" s="1" t="str">
        <f ca="1">IFERROR(__xludf.DUMMYFUNCTION("GOOGLETRANSLATE(English!D1490, ""en"", ""bg"")"),"магнити")</f>
        <v>магнити</v>
      </c>
      <c r="E1490" s="1" t="str">
        <f ca="1">IFERROR(__xludf.DUMMYFUNCTION("GOOGLETRANSLATE(English!E1490, ""en"", ""bg"")"),"Домашното ми по физика е за магнити. Объркващо е!")</f>
        <v>Домашното ми по физика е за магнити. Объркващо е!</v>
      </c>
      <c r="F1490" s="1" t="str">
        <f ca="1">IFERROR(__xludf.DUMMYFUNCTION("GOOGLETRANSLATE(English!F1490,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490" s="1" t="str">
        <f ca="1">IFERROR(__xludf.DUMMYFUNCTION("GOOGLETRANSLATE(English!G1490, ""en"", ""bg"")"),"помощ_за_домашно_изпълнение")</f>
        <v>помощ_за_домашно_изпълнение</v>
      </c>
      <c r="H1490" s="1" t="str">
        <f ca="1">IFERROR(__xludf.DUMMYFUNCTION("GOOGLETRANSLATE(English!H1490, ""en"", ""bg"")"),"помощ_за_домашно_задаване")</f>
        <v>помощ_за_домашно_задаване</v>
      </c>
    </row>
    <row r="1491" spans="1:8" ht="13.2" x14ac:dyDescent="0.25">
      <c r="A1491" s="1" t="str">
        <f ca="1">IFERROR(__xludf.DUMMYFUNCTION("GOOGLETRANSLATE(English!A1491, ""en"", ""bg"")"),"hw_00335")</f>
        <v>hw_00335</v>
      </c>
      <c r="B1491" s="1" t="str">
        <f ca="1">IFERROR(__xludf.DUMMYFUNCTION("GOOGLETRANSLATE(English!B1491, ""en"", ""bg"")"),"биология")</f>
        <v>биология</v>
      </c>
      <c r="C1491" s="1" t="str">
        <f ca="1">IFERROR(__xludf.DUMMYFUNCTION("GOOGLETRANSLATE(English!C1491, ""en"", ""bg"")"),"средата")</f>
        <v>средата</v>
      </c>
      <c r="D1491" s="1" t="str">
        <f ca="1">IFERROR(__xludf.DUMMYFUNCTION("GOOGLETRANSLATE(English!D1491, ""en"", ""bg"")"),"основи на генетиката")</f>
        <v>основи на генетиката</v>
      </c>
      <c r="E1491" s="1" t="str">
        <f ca="1">IFERROR(__xludf.DUMMYFUNCTION("GOOGLETRANSLATE(English!E1491, ""en"", ""bg"")"),"Домашното ми пита за основите на генетиката. Не го разбирам.")</f>
        <v>Домашното ми пита за основите на генетиката. Не го разбирам.</v>
      </c>
      <c r="F1491" s="1" t="str">
        <f ca="1">IFERROR(__xludf.DUMMYFUNCTION("GOOGLETRANSLATE(English!F1491,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491" s="1" t="str">
        <f ca="1">IFERROR(__xludf.DUMMYFUNCTION("GOOGLETRANSLATE(English!G1491, ""en"", ""bg"")"),"помощ_за_домашно_изпълнение")</f>
        <v>помощ_за_домашно_изпълнение</v>
      </c>
      <c r="H1491" s="1" t="str">
        <f ca="1">IFERROR(__xludf.DUMMYFUNCTION("GOOGLETRANSLATE(English!H1491, ""en"", ""bg"")"),"помощ_за_домашно_задаване")</f>
        <v>помощ_за_домашно_задаване</v>
      </c>
    </row>
    <row r="1492" spans="1:8" ht="13.2" x14ac:dyDescent="0.25">
      <c r="A1492" s="1" t="str">
        <f ca="1">IFERROR(__xludf.DUMMYFUNCTION("GOOGLETRANSLATE(English!A1492, ""en"", ""bg"")"),"conv_18751")</f>
        <v>conv_18751</v>
      </c>
      <c r="B1492" s="1" t="str">
        <f ca="1">IFERROR(__xludf.DUMMYFUNCTION("GOOGLETRANSLATE(English!B1492, ""en"", ""bg"")"),"химия")</f>
        <v>химия</v>
      </c>
      <c r="C1492" s="1" t="str">
        <f ca="1">IFERROR(__xludf.DUMMYFUNCTION("GOOGLETRANSLATE(English!C1492, ""en"", ""bg"")"),"елементарен")</f>
        <v>елементарен</v>
      </c>
      <c r="D1492" s="1" t="str">
        <f ca="1">IFERROR(__xludf.DUMMYFUNCTION("GOOGLETRANSLATE(English!D1492, ""en"", ""bg"")"),"разтваряне")</f>
        <v>разтваряне</v>
      </c>
      <c r="E1492" s="1" t="str">
        <f ca="1">IFERROR(__xludf.DUMMYFUNCTION("GOOGLETRANSLATE(English!E1492, ""en"", ""bg"")"),"Имам научен въпрос. Можете ли да ми помогнете да разбера разтварянето?")</f>
        <v>Имам научен въпрос. Можете ли да ми помогнете да разбера разтварянето?</v>
      </c>
      <c r="F1492" s="1" t="str">
        <f ca="1">IFERROR(__xludf.DUMMYFUNCTION("GOOGLETRANSLATE(English!F1492,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1492" s="1" t="str">
        <f ca="1">IFERROR(__xludf.DUMMYFUNCTION("GOOGLETRANSLATE(English!G1492, ""en"", ""bg"")"),"разговор")</f>
        <v>разговор</v>
      </c>
      <c r="H1492" s="1" t="str">
        <f ca="1">IFERROR(__xludf.DUMMYFUNCTION("GOOGLETRANSLATE(English!H1492, ""en"", ""bg"")"),"образователна_помощ")</f>
        <v>образователна_помощ</v>
      </c>
    </row>
    <row r="1493" spans="1:8" ht="13.2" x14ac:dyDescent="0.25">
      <c r="A1493" s="1" t="str">
        <f ca="1">IFERROR(__xludf.DUMMYFUNCTION("GOOGLETRANSLATE(English!A1493, ""en"", ""bg"")"),"qa_00157")</f>
        <v>qa_00157</v>
      </c>
      <c r="B1493" s="1" t="str">
        <f ca="1">IFERROR(__xludf.DUMMYFUNCTION("GOOGLETRANSLATE(English!B1493, ""en"", ""bg"")"),"химия")</f>
        <v>химия</v>
      </c>
      <c r="C1493" s="1" t="str">
        <f ca="1">IFERROR(__xludf.DUMMYFUNCTION("GOOGLETRANSLATE(English!C1493, ""en"", ""bg"")"),"елементарен")</f>
        <v>елементарен</v>
      </c>
      <c r="D1493" s="1" t="str">
        <f ca="1">IFERROR(__xludf.DUMMYFUNCTION("GOOGLETRANSLATE(English!D1493, ""en"", ""bg"")"),"ежедневни химикали")</f>
        <v>ежедневни химикали</v>
      </c>
      <c r="E1493" s="1" t="str">
        <f ca="1">IFERROR(__xludf.DUMMYFUNCTION("GOOGLETRANSLATE(English!E1493, ""en"", ""bg"")"),"Как действат ежедневните химикали в химията?")</f>
        <v>Как действат ежедневните химикали в химията?</v>
      </c>
      <c r="F1493" s="1" t="str">
        <f ca="1">IFERROR(__xludf.DUMMYFUNCTION("GOOGLETRANSLATE(English!F1493,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1493" s="1" t="str">
        <f ca="1">IFERROR(__xludf.DUMMYFUNCTION("GOOGLETRANSLATE(English!G1493, ""en"", ""bg"")"),"direct_qa")</f>
        <v>direct_qa</v>
      </c>
      <c r="H1493" s="1" t="str">
        <f ca="1">IFERROR(__xludf.DUMMYFUNCTION("GOOGLETRANSLATE(English!H1493, ""en"", ""bg"")"),"заявка_за_знание")</f>
        <v>заявка_за_знание</v>
      </c>
    </row>
    <row r="1494" spans="1:8" ht="13.2" x14ac:dyDescent="0.25">
      <c r="A1494" s="1" t="str">
        <f ca="1">IFERROR(__xludf.DUMMYFUNCTION("GOOGLETRANSLATE(English!A1494, ""en"", ""bg"")"),"hw_04718")</f>
        <v>hw_04718</v>
      </c>
      <c r="B1494" s="1" t="str">
        <f ca="1">IFERROR(__xludf.DUMMYFUNCTION("GOOGLETRANSLATE(English!B1494, ""en"", ""bg"")"),"биология")</f>
        <v>биология</v>
      </c>
      <c r="C1494" s="1" t="str">
        <f ca="1">IFERROR(__xludf.DUMMYFUNCTION("GOOGLETRANSLATE(English!C1494, ""en"", ""bg"")"),"средата")</f>
        <v>средата</v>
      </c>
      <c r="D1494" s="1" t="str">
        <f ca="1">IFERROR(__xludf.DUMMYFUNCTION("GOOGLETRANSLATE(English!D1494, ""en"", ""bg"")"),"основи на генетиката")</f>
        <v>основи на генетиката</v>
      </c>
      <c r="E1494" s="1" t="str">
        <f ca="1">IFERROR(__xludf.DUMMYFUNCTION("GOOGLETRANSLATE(English!E1494, ""en"", ""bg"")"),"Утре имам тест по основи на генетиката. Помогни ми да уча!")</f>
        <v>Утре имам тест по основи на генетиката. Помогни ми да уча!</v>
      </c>
      <c r="F1494" s="1" t="str">
        <f ca="1">IFERROR(__xludf.DUMMYFUNCTION("GOOGLETRANSLATE(English!F1494,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494" s="1" t="str">
        <f ca="1">IFERROR(__xludf.DUMMYFUNCTION("GOOGLETRANSLATE(English!G1494, ""en"", ""bg"")"),"помощ_за_домашно_изпълнение")</f>
        <v>помощ_за_домашно_изпълнение</v>
      </c>
      <c r="H1494" s="1" t="str">
        <f ca="1">IFERROR(__xludf.DUMMYFUNCTION("GOOGLETRANSLATE(English!H1494, ""en"", ""bg"")"),"помощ_за_домашно_задаване")</f>
        <v>помощ_за_домашно_задаване</v>
      </c>
    </row>
    <row r="1495" spans="1:8" ht="13.2" x14ac:dyDescent="0.25">
      <c r="A1495" s="1" t="str">
        <f ca="1">IFERROR(__xludf.DUMMYFUNCTION("GOOGLETRANSLATE(English!A1495, ""en"", ""bg"")"),"hw_14684")</f>
        <v>hw_14684</v>
      </c>
      <c r="B1495" s="1" t="str">
        <f ca="1">IFERROR(__xludf.DUMMYFUNCTION("GOOGLETRANSLATE(English!B1495, ""en"", ""bg"")"),"биология")</f>
        <v>биология</v>
      </c>
      <c r="C1495" s="1" t="str">
        <f ca="1">IFERROR(__xludf.DUMMYFUNCTION("GOOGLETRANSLATE(English!C1495, ""en"", ""bg"")"),"високо")</f>
        <v>високо</v>
      </c>
      <c r="D1495" s="1" t="str">
        <f ca="1">IFERROR(__xludf.DUMMYFUNCTION("GOOGLETRANSLATE(English!D1495, ""en"", ""bg"")"),"синтез на протеини")</f>
        <v>синтез на протеини</v>
      </c>
      <c r="E1495" s="1" t="str">
        <f ca="1">IFERROR(__xludf.DUMMYFUNCTION("GOOGLETRANSLATE(English!E1495, ""en"", ""bg"")"),"Трябва да напиша доклад за синтеза на протеини. Можете ли да ми помогнете да започна?")</f>
        <v>Трябва да напиша доклад за синтеза на протеини. Можете ли да ми помогнете да започна?</v>
      </c>
      <c r="F1495" s="1" t="str">
        <f ca="1">IFERROR(__xludf.DUMMYFUNCTION("GOOGLETRANSLATE(English!F1495,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1495" s="1" t="str">
        <f ca="1">IFERROR(__xludf.DUMMYFUNCTION("GOOGLETRANSLATE(English!G1495, ""en"", ""bg"")"),"помощ_за_домашно_изпълнение")</f>
        <v>помощ_за_домашно_изпълнение</v>
      </c>
      <c r="H1495" s="1" t="str">
        <f ca="1">IFERROR(__xludf.DUMMYFUNCTION("GOOGLETRANSLATE(English!H1495, ""en"", ""bg"")"),"помощ_за_домашно_задаване")</f>
        <v>помощ_за_домашно_задаване</v>
      </c>
    </row>
    <row r="1496" spans="1:8" ht="13.2" x14ac:dyDescent="0.25">
      <c r="A1496" s="1" t="str">
        <f ca="1">IFERROR(__xludf.DUMMYFUNCTION("GOOGLETRANSLATE(English!A1496, ""en"", ""bg"")"),"qa_06500")</f>
        <v>qa_06500</v>
      </c>
      <c r="B1496" s="1" t="str">
        <f ca="1">IFERROR(__xludf.DUMMYFUNCTION("GOOGLETRANSLATE(English!B1496, ""en"", ""bg"")"),"биология")</f>
        <v>биология</v>
      </c>
      <c r="C1496" s="1" t="str">
        <f ca="1">IFERROR(__xludf.DUMMYFUNCTION("GOOGLETRANSLATE(English!C1496, ""en"", ""bg"")"),"елементарен")</f>
        <v>елементарен</v>
      </c>
      <c r="D1496" s="1" t="str">
        <f ca="1">IFERROR(__xludf.DUMMYFUNCTION("GOOGLETRANSLATE(English!D1496, ""en"", ""bg"")"),"животни")</f>
        <v>животни</v>
      </c>
      <c r="E1496" s="1" t="str">
        <f ca="1">IFERROR(__xludf.DUMMYFUNCTION("GOOGLETRANSLATE(English!E1496, ""en"", ""bg"")"),"Какво отличава бозайниците от птиците?")</f>
        <v>Какво отличава бозайниците от птиците?</v>
      </c>
      <c r="F1496" s="1" t="str">
        <f ca="1">IFERROR(__xludf.DUMMYFUNCTION("GOOGLETRANSLATE(English!F1496,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1496" s="1" t="str">
        <f ca="1">IFERROR(__xludf.DUMMYFUNCTION("GOOGLETRANSLATE(English!G1496, ""en"", ""bg"")"),"direct_qa")</f>
        <v>direct_qa</v>
      </c>
      <c r="H1496" s="1" t="str">
        <f ca="1">IFERROR(__xludf.DUMMYFUNCTION("GOOGLETRANSLATE(English!H1496, ""en"", ""bg"")"),"заявка_за_знание")</f>
        <v>заявка_за_знание</v>
      </c>
    </row>
    <row r="1497" spans="1:8" ht="13.2" x14ac:dyDescent="0.25">
      <c r="A1497" s="1" t="str">
        <f ca="1">IFERROR(__xludf.DUMMYFUNCTION("GOOGLETRANSLATE(English!A1497, ""en"", ""bg"")"),"conv_14200")</f>
        <v>conv_14200</v>
      </c>
      <c r="B1497" s="1" t="str">
        <f ca="1">IFERROR(__xludf.DUMMYFUNCTION("GOOGLETRANSLATE(English!B1497, ""en"", ""bg"")"),"физика")</f>
        <v>физика</v>
      </c>
      <c r="C1497" s="1" t="str">
        <f ca="1">IFERROR(__xludf.DUMMYFUNCTION("GOOGLETRANSLATE(English!C1497, ""en"", ""bg"")"),"високо")</f>
        <v>високо</v>
      </c>
      <c r="D1497" s="1" t="str">
        <f ca="1">IFERROR(__xludf.DUMMYFUNCTION("GOOGLETRANSLATE(English!D1497, ""en"", ""bg"")"),"радиоактивност")</f>
        <v>радиоактивност</v>
      </c>
      <c r="E1497" s="1" t="str">
        <f ca="1">IFERROR(__xludf.DUMMYFUNCTION("GOOGLETRANSLATE(English!E1497, ""en"", ""bg"")"),"Можете ли да ми помогнете? Можете ли да ми обясните радиоактивността?")</f>
        <v>Можете ли да ми помогнете? Можете ли да ми обясните радиоактивността?</v>
      </c>
      <c r="F1497" s="1" t="str">
        <f ca="1">IFERROR(__xludf.DUMMYFUNCTION("GOOGLETRANSLATE(English!F1497,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1497" s="1" t="str">
        <f ca="1">IFERROR(__xludf.DUMMYFUNCTION("GOOGLETRANSLATE(English!G1497, ""en"", ""bg"")"),"разговор")</f>
        <v>разговор</v>
      </c>
      <c r="H1497" s="1" t="str">
        <f ca="1">IFERROR(__xludf.DUMMYFUNCTION("GOOGLETRANSLATE(English!H1497, ""en"", ""bg"")"),"образователна_помощ")</f>
        <v>образователна_помощ</v>
      </c>
    </row>
    <row r="1498" spans="1:8" ht="13.2" x14ac:dyDescent="0.25">
      <c r="A1498" s="1" t="str">
        <f ca="1">IFERROR(__xludf.DUMMYFUNCTION("GOOGLETRANSLATE(English!A1498, ""en"", ""bg"")"),"qa_06971")</f>
        <v>qa_06971</v>
      </c>
      <c r="B1498" s="1" t="str">
        <f ca="1">IFERROR(__xludf.DUMMYFUNCTION("GOOGLETRANSLATE(English!B1498, ""en"", ""bg"")"),"химия")</f>
        <v>химия</v>
      </c>
      <c r="C1498" s="1" t="str">
        <f ca="1">IFERROR(__xludf.DUMMYFUNCTION("GOOGLETRANSLATE(English!C1498, ""en"", ""bg"")"),"елементарен")</f>
        <v>елементарен</v>
      </c>
      <c r="D1498" s="1" t="str">
        <f ca="1">IFERROR(__xludf.DUMMYFUNCTION("GOOGLETRANSLATE(English!D1498, ""en"", ""bg"")"),"смесване на материали")</f>
        <v>смесване на материали</v>
      </c>
      <c r="E1498" s="1" t="str">
        <f ca="1">IFERROR(__xludf.DUMMYFUNCTION("GOOGLETRANSLATE(English!E1498, ""en"", ""bg"")"),"Какво е решение?")</f>
        <v>Какво е решение?</v>
      </c>
      <c r="F1498" s="1" t="str">
        <f ca="1">IFERROR(__xludf.DUMMYFUNCTION("GOOGLETRANSLATE(English!F1498,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1498" s="1" t="str">
        <f ca="1">IFERROR(__xludf.DUMMYFUNCTION("GOOGLETRANSLATE(English!G1498, ""en"", ""bg"")"),"direct_qa")</f>
        <v>direct_qa</v>
      </c>
      <c r="H1498" s="1" t="str">
        <f ca="1">IFERROR(__xludf.DUMMYFUNCTION("GOOGLETRANSLATE(English!H1498, ""en"", ""bg"")"),"заявка_за_знание")</f>
        <v>заявка_за_знание</v>
      </c>
    </row>
    <row r="1499" spans="1:8" ht="13.2" x14ac:dyDescent="0.25">
      <c r="A1499" s="1" t="str">
        <f ca="1">IFERROR(__xludf.DUMMYFUNCTION("GOOGLETRANSLATE(English!A1499, ""en"", ""bg"")"),"hw_11021")</f>
        <v>hw_11021</v>
      </c>
      <c r="B1499" s="1" t="str">
        <f ca="1">IFERROR(__xludf.DUMMYFUNCTION("GOOGLETRANSLATE(English!B1499, ""en"", ""bg"")"),"биология")</f>
        <v>биология</v>
      </c>
      <c r="C1499" s="1" t="str">
        <f ca="1">IFERROR(__xludf.DUMMYFUNCTION("GOOGLETRANSLATE(English!C1499, ""en"", ""bg"")"),"високо")</f>
        <v>високо</v>
      </c>
      <c r="D1499" s="1" t="str">
        <f ca="1">IFERROR(__xludf.DUMMYFUNCTION("GOOGLETRANSLATE(English!D1499, ""en"", ""bg"")"),"синтез на протеини")</f>
        <v>синтез на протеини</v>
      </c>
      <c r="E1499" s="1" t="str">
        <f ca="1">IFERROR(__xludf.DUMMYFUNCTION("GOOGLETRANSLATE(English!E1499,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1499" s="1" t="str">
        <f ca="1">IFERROR(__xludf.DUMMYFUNCTION("GOOGLETRANSLATE(English!F1499,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1499" s="1" t="str">
        <f ca="1">IFERROR(__xludf.DUMMYFUNCTION("GOOGLETRANSLATE(English!G1499, ""en"", ""bg"")"),"помощ_за_домашно_изпълнение")</f>
        <v>помощ_за_домашно_изпълнение</v>
      </c>
      <c r="H1499" s="1" t="str">
        <f ca="1">IFERROR(__xludf.DUMMYFUNCTION("GOOGLETRANSLATE(English!H1499, ""en"", ""bg"")"),"помощ_за_домашно_задаване")</f>
        <v>помощ_за_домашно_задаване</v>
      </c>
    </row>
    <row r="1500" spans="1:8" ht="13.2" x14ac:dyDescent="0.25">
      <c r="A1500" s="1" t="str">
        <f ca="1">IFERROR(__xludf.DUMMYFUNCTION("GOOGLETRANSLATE(English!A1500, ""en"", ""bg"")"),"conv_14680")</f>
        <v>conv_14680</v>
      </c>
      <c r="B1500" s="1" t="str">
        <f ca="1">IFERROR(__xludf.DUMMYFUNCTION("GOOGLETRANSLATE(English!B1500, ""en"", ""bg"")"),"биология")</f>
        <v>биология</v>
      </c>
      <c r="C1500" s="1" t="str">
        <f ca="1">IFERROR(__xludf.DUMMYFUNCTION("GOOGLETRANSLATE(English!C1500, ""en"", ""bg"")"),"средата")</f>
        <v>средата</v>
      </c>
      <c r="D1500" s="1" t="str">
        <f ca="1">IFERROR(__xludf.DUMMYFUNCTION("GOOGLETRANSLATE(English!D1500, ""en"", ""bg"")"),"екосистеми")</f>
        <v>екосистеми</v>
      </c>
      <c r="E1500" s="1" t="str">
        <f ca="1">IFERROR(__xludf.DUMMYFUNCTION("GOOGLETRANSLATE(English!E1500, ""en"", ""bg"")"),"Имам нужда от помощ с домашното. Защо екосистемите са важни в биологията?")</f>
        <v>Имам нужда от помощ с домашното. Защо екосистемите са важни в биологията?</v>
      </c>
      <c r="F1500" s="1" t="str">
        <f ca="1">IFERROR(__xludf.DUMMYFUNCTION("GOOGLETRANSLATE(English!F1500,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1500" s="1" t="str">
        <f ca="1">IFERROR(__xludf.DUMMYFUNCTION("GOOGLETRANSLATE(English!G1500, ""en"", ""bg"")"),"разговор")</f>
        <v>разговор</v>
      </c>
      <c r="H1500" s="1" t="str">
        <f ca="1">IFERROR(__xludf.DUMMYFUNCTION("GOOGLETRANSLATE(English!H1500, ""en"", ""bg"")"),"образователна_помощ")</f>
        <v>образователна_помощ</v>
      </c>
    </row>
    <row r="1501" spans="1:8" ht="13.2" x14ac:dyDescent="0.25">
      <c r="A1501" s="1" t="str">
        <f ca="1">IFERROR(__xludf.DUMMYFUNCTION("GOOGLETRANSLATE(English!A1501, ""en"", ""bg"")"),"hw_04563")</f>
        <v>hw_04563</v>
      </c>
      <c r="B1501" s="1" t="str">
        <f ca="1">IFERROR(__xludf.DUMMYFUNCTION("GOOGLETRANSLATE(English!B1501, ""en"", ""bg"")"),"химия")</f>
        <v>химия</v>
      </c>
      <c r="C1501" s="1" t="str">
        <f ca="1">IFERROR(__xludf.DUMMYFUNCTION("GOOGLETRANSLATE(English!C1501, ""en"", ""bg"")"),"елементарен")</f>
        <v>елементарен</v>
      </c>
      <c r="D1501" s="1" t="str">
        <f ca="1">IFERROR(__xludf.DUMMYFUNCTION("GOOGLETRANSLATE(English!D1501, ""en"", ""bg"")"),"твърди вещества, течности, газове")</f>
        <v>твърди вещества, течности, газове</v>
      </c>
      <c r="E1501" s="1" t="str">
        <f ca="1">IFERROR(__xludf.DUMMYFUNCTION("GOOGLETRANSLATE(English!E1501,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1501" s="1" t="str">
        <f ca="1">IFERROR(__xludf.DUMMYFUNCTION("GOOGLETRANSLATE(English!F1501,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1501" s="1" t="str">
        <f ca="1">IFERROR(__xludf.DUMMYFUNCTION("GOOGLETRANSLATE(English!G1501, ""en"", ""bg"")"),"помощ_за_домашно_изпълнение")</f>
        <v>помощ_за_домашно_изпълнение</v>
      </c>
      <c r="H1501" s="1" t="str">
        <f ca="1">IFERROR(__xludf.DUMMYFUNCTION("GOOGLETRANSLATE(English!H1501, ""en"", ""bg"")"),"помощ_за_домашно_задаване")</f>
        <v>помощ_за_домашно_задаване</v>
      </c>
    </row>
    <row r="1502" spans="1:8" ht="13.2" x14ac:dyDescent="0.25">
      <c r="A1502" s="1" t="str">
        <f ca="1">IFERROR(__xludf.DUMMYFUNCTION("GOOGLETRANSLATE(English!A1502, ""en"", ""bg"")"),"qa_10236")</f>
        <v>qa_10236</v>
      </c>
      <c r="B1502" s="1" t="str">
        <f ca="1">IFERROR(__xludf.DUMMYFUNCTION("GOOGLETRANSLATE(English!B1502, ""en"", ""bg"")"),"химия")</f>
        <v>химия</v>
      </c>
      <c r="C1502" s="1" t="str">
        <f ca="1">IFERROR(__xludf.DUMMYFUNCTION("GOOGLETRANSLATE(English!C1502, ""en"", ""bg"")"),"високо")</f>
        <v>високо</v>
      </c>
      <c r="D1502" s="1" t="str">
        <f ca="1">IFERROR(__xludf.DUMMYFUNCTION("GOOGLETRANSLATE(English!D1502, ""en"", ""bg"")"),"равновесие")</f>
        <v>равновесие</v>
      </c>
      <c r="E1502" s="1" t="str">
        <f ca="1">IFERROR(__xludf.DUMMYFUNCTION("GOOGLETRANSLATE(English!E1502, ""en"", ""bg"")"),"Какво е равновесието изобщо?")</f>
        <v>Какво е равновесието изобщо?</v>
      </c>
      <c r="F1502" s="1" t="str">
        <f ca="1">IFERROR(__xludf.DUMMYFUNCTION("GOOGLETRANSLATE(English!F1502,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1502" s="1" t="str">
        <f ca="1">IFERROR(__xludf.DUMMYFUNCTION("GOOGLETRANSLATE(English!G1502, ""en"", ""bg"")"),"direct_qa")</f>
        <v>direct_qa</v>
      </c>
      <c r="H1502" s="1" t="str">
        <f ca="1">IFERROR(__xludf.DUMMYFUNCTION("GOOGLETRANSLATE(English!H1502, ""en"", ""bg"")"),"заявка_за_знание")</f>
        <v>заявка_за_знание</v>
      </c>
    </row>
    <row r="1503" spans="1:8" ht="13.2" x14ac:dyDescent="0.25">
      <c r="A1503" s="1" t="str">
        <f ca="1">IFERROR(__xludf.DUMMYFUNCTION("GOOGLETRANSLATE(English!A1503, ""en"", ""bg"")"),"conv_12778")</f>
        <v>conv_12778</v>
      </c>
      <c r="B1503" s="1" t="str">
        <f ca="1">IFERROR(__xludf.DUMMYFUNCTION("GOOGLETRANSLATE(English!B1503, ""en"", ""bg"")"),"биология")</f>
        <v>биология</v>
      </c>
      <c r="C1503" s="1" t="str">
        <f ca="1">IFERROR(__xludf.DUMMYFUNCTION("GOOGLETRANSLATE(English!C1503, ""en"", ""bg"")"),"средата")</f>
        <v>средата</v>
      </c>
      <c r="D1503" s="1" t="str">
        <f ca="1">IFERROR(__xludf.DUMMYFUNCTION("GOOGLETRANSLATE(English!D1503, ""en"", ""bg"")"),"класификация")</f>
        <v>класификация</v>
      </c>
      <c r="E1503" s="1" t="str">
        <f ca="1">IFERROR(__xludf.DUMMYFUNCTION("GOOGLETRANSLATE(English!E1503, ""en"", ""bg"")"),"Можете ли да ми обясните това? Можете ли да ми кажете за класификацията?")</f>
        <v>Можете ли да ми обясните това? Можете ли да ми кажете за класификацията?</v>
      </c>
      <c r="F1503" s="1" t="str">
        <f ca="1">IFERROR(__xludf.DUMMYFUNCTION("GOOGLETRANSLATE(English!F1503,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1503" s="1" t="str">
        <f ca="1">IFERROR(__xludf.DUMMYFUNCTION("GOOGLETRANSLATE(English!G1503, ""en"", ""bg"")"),"разговор")</f>
        <v>разговор</v>
      </c>
      <c r="H1503" s="1" t="str">
        <f ca="1">IFERROR(__xludf.DUMMYFUNCTION("GOOGLETRANSLATE(English!H1503, ""en"", ""bg"")"),"образователна_помощ")</f>
        <v>образователна_помощ</v>
      </c>
    </row>
    <row r="1504" spans="1:8" ht="13.2" x14ac:dyDescent="0.25">
      <c r="A1504" s="1" t="str">
        <f ca="1">IFERROR(__xludf.DUMMYFUNCTION("GOOGLETRANSLATE(English!A1504, ""en"", ""bg"")"),"qa_11700")</f>
        <v>qa_11700</v>
      </c>
      <c r="B1504" s="1" t="str">
        <f ca="1">IFERROR(__xludf.DUMMYFUNCTION("GOOGLETRANSLATE(English!B1504, ""en"", ""bg"")"),"физика")</f>
        <v>физика</v>
      </c>
      <c r="C1504" s="1" t="str">
        <f ca="1">IFERROR(__xludf.DUMMYFUNCTION("GOOGLETRANSLATE(English!C1504, ""en"", ""bg"")"),"високо")</f>
        <v>високо</v>
      </c>
      <c r="D1504" s="1" t="str">
        <f ca="1">IFERROR(__xludf.DUMMYFUNCTION("GOOGLETRANSLATE(English!D1504, ""en"", ""bg"")"),"механика")</f>
        <v>механика</v>
      </c>
      <c r="E1504" s="1" t="str">
        <f ca="1">IFERROR(__xludf.DUMMYFUNCTION("GOOGLETRANSLATE(English!E1504, ""en"", ""bg"")"),"Защо механиката е важна?")</f>
        <v>Защо механиката е важна?</v>
      </c>
      <c r="F1504" s="1" t="str">
        <f ca="1">IFERROR(__xludf.DUMMYFUNCTION("GOOGLETRANSLATE(English!F1504,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1504" s="1" t="str">
        <f ca="1">IFERROR(__xludf.DUMMYFUNCTION("GOOGLETRANSLATE(English!G1504, ""en"", ""bg"")"),"direct_qa")</f>
        <v>direct_qa</v>
      </c>
      <c r="H1504" s="1" t="str">
        <f ca="1">IFERROR(__xludf.DUMMYFUNCTION("GOOGLETRANSLATE(English!H1504, ""en"", ""bg"")"),"заявка_за_знание")</f>
        <v>заявка_за_знание</v>
      </c>
    </row>
    <row r="1505" spans="1:8" ht="13.2" x14ac:dyDescent="0.25">
      <c r="A1505" s="1" t="str">
        <f ca="1">IFERROR(__xludf.DUMMYFUNCTION("GOOGLETRANSLATE(English!A1505, ""en"", ""bg"")"),"hw_12987")</f>
        <v>hw_12987</v>
      </c>
      <c r="B1505" s="1" t="str">
        <f ca="1">IFERROR(__xludf.DUMMYFUNCTION("GOOGLETRANSLATE(English!B1505, ""en"", ""bg"")"),"биология")</f>
        <v>биология</v>
      </c>
      <c r="C1505" s="1" t="str">
        <f ca="1">IFERROR(__xludf.DUMMYFUNCTION("GOOGLETRANSLATE(English!C1505, ""en"", ""bg"")"),"средата")</f>
        <v>средата</v>
      </c>
      <c r="D1505" s="1" t="str">
        <f ca="1">IFERROR(__xludf.DUMMYFUNCTION("GOOGLETRANSLATE(English!D1505, ""en"", ""bg"")"),"дишане")</f>
        <v>дишане</v>
      </c>
      <c r="E1505" s="1" t="str">
        <f ca="1">IFERROR(__xludf.DUMMYFUNCTION("GOOGLETRANSLATE(English!E1505, ""en"", ""bg"")"),"Трябва да напиша доклад за дишането. Можете ли да ми помогнете да започна?")</f>
        <v>Трябва да напиша доклад за дишането. Можете ли да ми помогнете да започна?</v>
      </c>
      <c r="F1505" s="1" t="str">
        <f ca="1">IFERROR(__xludf.DUMMYFUNCTION("GOOGLETRANSLATE(English!F1505,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1505" s="1" t="str">
        <f ca="1">IFERROR(__xludf.DUMMYFUNCTION("GOOGLETRANSLATE(English!G1505, ""en"", ""bg"")"),"помощ_за_домашно_изпълнение")</f>
        <v>помощ_за_домашно_изпълнение</v>
      </c>
      <c r="H1505" s="1" t="str">
        <f ca="1">IFERROR(__xludf.DUMMYFUNCTION("GOOGLETRANSLATE(English!H1505, ""en"", ""bg"")"),"помощ_за_домашно_задаване")</f>
        <v>помощ_за_домашно_задаване</v>
      </c>
    </row>
    <row r="1506" spans="1:8" ht="13.2" x14ac:dyDescent="0.25">
      <c r="A1506" s="1" t="str">
        <f ca="1">IFERROR(__xludf.DUMMYFUNCTION("GOOGLETRANSLATE(English!A1506, ""en"", ""bg"")"),"hw_05116")</f>
        <v>hw_05116</v>
      </c>
      <c r="B1506" s="1" t="str">
        <f ca="1">IFERROR(__xludf.DUMMYFUNCTION("GOOGLETRANSLATE(English!B1506, ""en"", ""bg"")"),"химия")</f>
        <v>химия</v>
      </c>
      <c r="C1506" s="1" t="str">
        <f ca="1">IFERROR(__xludf.DUMMYFUNCTION("GOOGLETRANSLATE(English!C1506, ""en"", ""bg"")"),"високо")</f>
        <v>високо</v>
      </c>
      <c r="D1506" s="1" t="str">
        <f ca="1">IFERROR(__xludf.DUMMYFUNCTION("GOOGLETRANSLATE(English!D1506, ""en"", ""bg"")"),"скорости на реакция")</f>
        <v>скорости на реакция</v>
      </c>
      <c r="E1506" s="1" t="str">
        <f ca="1">IFERROR(__xludf.DUMMYFUNCTION("GOOGLETRANSLATE(English!E1506, ""en"", ""bg"")"),"Докладът ми по химия е за скоростите на реакциите. Помогнете ми да разбера.")</f>
        <v>Докладът ми по химия е за скоростите на реакциите. Помогнете ми да разбера.</v>
      </c>
      <c r="F1506" s="1" t="str">
        <f ca="1">IFERROR(__xludf.DUMMYFUNCTION("GOOGLETRANSLATE(English!F1506,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1506" s="1" t="str">
        <f ca="1">IFERROR(__xludf.DUMMYFUNCTION("GOOGLETRANSLATE(English!G1506, ""en"", ""bg"")"),"помощ_за_домашно_изпълнение")</f>
        <v>помощ_за_домашно_изпълнение</v>
      </c>
      <c r="H1506" s="1" t="str">
        <f ca="1">IFERROR(__xludf.DUMMYFUNCTION("GOOGLETRANSLATE(English!H1506, ""en"", ""bg"")"),"помощ_за_домашно_задаване")</f>
        <v>помощ_за_домашно_задаване</v>
      </c>
    </row>
    <row r="1507" spans="1:8" ht="13.2" x14ac:dyDescent="0.25">
      <c r="A1507" s="1" t="str">
        <f ca="1">IFERROR(__xludf.DUMMYFUNCTION("GOOGLETRANSLATE(English!A1507, ""en"", ""bg"")"),"conv_17690")</f>
        <v>conv_17690</v>
      </c>
      <c r="B1507" s="1" t="str">
        <f ca="1">IFERROR(__xludf.DUMMYFUNCTION("GOOGLETRANSLATE(English!B1507, ""en"", ""bg"")"),"физика")</f>
        <v>физика</v>
      </c>
      <c r="C1507" s="1" t="str">
        <f ca="1">IFERROR(__xludf.DUMMYFUNCTION("GOOGLETRANSLATE(English!C1507, ""en"", ""bg"")"),"високо")</f>
        <v>високо</v>
      </c>
      <c r="D1507" s="1" t="str">
        <f ca="1">IFERROR(__xludf.DUMMYFUNCTION("GOOGLETRANSLATE(English!D1507, ""en"", ""bg"")"),"механика")</f>
        <v>механика</v>
      </c>
      <c r="E1507" s="1" t="str">
        <f ca="1">IFERROR(__xludf.DUMMYFUNCTION("GOOGLETRANSLATE(English!E1507, ""en"", ""bg"")"),"Имам нужда от помощ с домашното. Можете ли да ми обясните механиката?")</f>
        <v>Имам нужда от помощ с домашното. Можете ли да ми обясните механиката?</v>
      </c>
      <c r="F1507" s="1" t="str">
        <f ca="1">IFERROR(__xludf.DUMMYFUNCTION("GOOGLETRANSLATE(English!F1507,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1507" s="1" t="str">
        <f ca="1">IFERROR(__xludf.DUMMYFUNCTION("GOOGLETRANSLATE(English!G1507, ""en"", ""bg"")"),"разговор")</f>
        <v>разговор</v>
      </c>
      <c r="H1507" s="1" t="str">
        <f ca="1">IFERROR(__xludf.DUMMYFUNCTION("GOOGLETRANSLATE(English!H1507, ""en"", ""bg"")"),"образователна_помощ")</f>
        <v>образователна_помощ</v>
      </c>
    </row>
    <row r="1508" spans="1:8" ht="13.2" x14ac:dyDescent="0.25">
      <c r="A1508" s="1" t="str">
        <f ca="1">IFERROR(__xludf.DUMMYFUNCTION("GOOGLETRANSLATE(English!A1508, ""en"", ""bg"")"),"qa_00920")</f>
        <v>qa_00920</v>
      </c>
      <c r="B1508" s="1" t="str">
        <f ca="1">IFERROR(__xludf.DUMMYFUNCTION("GOOGLETRANSLATE(English!B1508, ""en"", ""bg"")"),"химия")</f>
        <v>химия</v>
      </c>
      <c r="C1508" s="1" t="str">
        <f ca="1">IFERROR(__xludf.DUMMYFUNCTION("GOOGLETRANSLATE(English!C1508, ""en"", ""bg"")"),"средата")</f>
        <v>средата</v>
      </c>
      <c r="D1508" s="1" t="str">
        <f ca="1">IFERROR(__xludf.DUMMYFUNCTION("GOOGLETRANSLATE(English!D1508, ""en"", ""bg"")"),"атоми и молекули")</f>
        <v>атоми и молекули</v>
      </c>
      <c r="E1508" s="1" t="str">
        <f ca="1">IFERROR(__xludf.DUMMYFUNCTION("GOOGLETRANSLATE(English!E1508, ""en"", ""bg"")"),"Коя е най-малката част от един елемент?")</f>
        <v>Коя е най-малката част от един елемент?</v>
      </c>
      <c r="F1508" s="1" t="str">
        <f ca="1">IFERROR(__xludf.DUMMYFUNCTION("GOOGLETRANSLATE(English!F1508,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1508" s="1" t="str">
        <f ca="1">IFERROR(__xludf.DUMMYFUNCTION("GOOGLETRANSLATE(English!G1508, ""en"", ""bg"")"),"direct_qa")</f>
        <v>direct_qa</v>
      </c>
      <c r="H1508" s="1" t="str">
        <f ca="1">IFERROR(__xludf.DUMMYFUNCTION("GOOGLETRANSLATE(English!H1508, ""en"", ""bg"")"),"заявка_за_знание")</f>
        <v>заявка_за_знание</v>
      </c>
    </row>
    <row r="1509" spans="1:8" ht="13.2" x14ac:dyDescent="0.25">
      <c r="A1509" s="1" t="str">
        <f ca="1">IFERROR(__xludf.DUMMYFUNCTION("GOOGLETRANSLATE(English!A1509, ""en"", ""bg"")"),"conv_02174")</f>
        <v>conv_02174</v>
      </c>
      <c r="B1509" s="1" t="str">
        <f ca="1">IFERROR(__xludf.DUMMYFUNCTION("GOOGLETRANSLATE(English!B1509, ""en"", ""bg"")"),"физика")</f>
        <v>физика</v>
      </c>
      <c r="C1509" s="1" t="str">
        <f ca="1">IFERROR(__xludf.DUMMYFUNCTION("GOOGLETRANSLATE(English!C1509, ""en"", ""bg"")"),"високо")</f>
        <v>високо</v>
      </c>
      <c r="D1509" s="1" t="str">
        <f ca="1">IFERROR(__xludf.DUMMYFUNCTION("GOOGLETRANSLATE(English!D1509, ""en"", ""bg"")"),"термодинамика")</f>
        <v>термодинамика</v>
      </c>
      <c r="E1509" s="1" t="str">
        <f ca="1">IFERROR(__xludf.DUMMYFUNCTION("GOOGLETRANSLATE(English!E1509, ""en"", ""bg"")"),"Здравей, преподавателю! Защо термодинамиката е важна?")</f>
        <v>Здравей, преподавателю! Защо термодинамиката е важна?</v>
      </c>
      <c r="F1509" s="1" t="str">
        <f ca="1">IFERROR(__xludf.DUMMYFUNCTION("GOOGLETRANSLATE(English!F1509,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1509" s="1" t="str">
        <f ca="1">IFERROR(__xludf.DUMMYFUNCTION("GOOGLETRANSLATE(English!G1509, ""en"", ""bg"")"),"разговор")</f>
        <v>разговор</v>
      </c>
      <c r="H1509" s="1" t="str">
        <f ca="1">IFERROR(__xludf.DUMMYFUNCTION("GOOGLETRANSLATE(English!H1509, ""en"", ""bg"")"),"образователна_помощ")</f>
        <v>образователна_помощ</v>
      </c>
    </row>
    <row r="1510" spans="1:8" ht="13.2" x14ac:dyDescent="0.25">
      <c r="A1510" s="1" t="str">
        <f ca="1">IFERROR(__xludf.DUMMYFUNCTION("GOOGLETRANSLATE(English!A1510, ""en"", ""bg"")"),"conv_16932")</f>
        <v>conv_16932</v>
      </c>
      <c r="B1510" s="1" t="str">
        <f ca="1">IFERROR(__xludf.DUMMYFUNCTION("GOOGLETRANSLATE(English!B1510, ""en"", ""bg"")"),"химия")</f>
        <v>химия</v>
      </c>
      <c r="C1510" s="1" t="str">
        <f ca="1">IFERROR(__xludf.DUMMYFUNCTION("GOOGLETRANSLATE(English!C1510, ""en"", ""bg"")"),"елементарен")</f>
        <v>елементарен</v>
      </c>
      <c r="D1510" s="1" t="str">
        <f ca="1">IFERROR(__xludf.DUMMYFUNCTION("GOOGLETRANSLATE(English!D1510, ""en"", ""bg"")"),"смесване на материали")</f>
        <v>смесване на материали</v>
      </c>
      <c r="E1510" s="1" t="str">
        <f ca="1">IFERROR(__xludf.DUMMYFUNCTION("GOOGLETRANSLATE(English!E1510, ""en"", ""bg"")"),"Не разбирам тази тема. Защо някои неща се разтварят, а други не?")</f>
        <v>Не разбирам тази тема. Защо някои неща се разтварят, а други не?</v>
      </c>
      <c r="F1510" s="1" t="str">
        <f ca="1">IFERROR(__xludf.DUMMYFUNCTION("GOOGLETRANSLATE(English!F1510,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1510" s="1" t="str">
        <f ca="1">IFERROR(__xludf.DUMMYFUNCTION("GOOGLETRANSLATE(English!G1510, ""en"", ""bg"")"),"разговор")</f>
        <v>разговор</v>
      </c>
      <c r="H1510" s="1" t="str">
        <f ca="1">IFERROR(__xludf.DUMMYFUNCTION("GOOGLETRANSLATE(English!H1510, ""en"", ""bg"")"),"образователна_помощ")</f>
        <v>образователна_помощ</v>
      </c>
    </row>
    <row r="1511" spans="1:8" ht="13.2" x14ac:dyDescent="0.25">
      <c r="A1511" s="1" t="str">
        <f ca="1">IFERROR(__xludf.DUMMYFUNCTION("GOOGLETRANSLATE(English!A1511, ""en"", ""bg"")"),"hw_14963")</f>
        <v>hw_14963</v>
      </c>
      <c r="B1511" s="1" t="str">
        <f ca="1">IFERROR(__xludf.DUMMYFUNCTION("GOOGLETRANSLATE(English!B1511, ""en"", ""bg"")"),"химия")</f>
        <v>химия</v>
      </c>
      <c r="C1511" s="1" t="str">
        <f ca="1">IFERROR(__xludf.DUMMYFUNCTION("GOOGLETRANSLATE(English!C1511, ""en"", ""bg"")"),"средата")</f>
        <v>средата</v>
      </c>
      <c r="D1511" s="1" t="str">
        <f ca="1">IFERROR(__xludf.DUMMYFUNCTION("GOOGLETRANSLATE(English!D1511, ""en"", ""bg"")"),"киселини и основи")</f>
        <v>киселини и основи</v>
      </c>
      <c r="E1511" s="1" t="str">
        <f ca="1">IFERROR(__xludf.DUMMYFUNCTION("GOOGLETRANSLATE(English!E1511, ""en"", ""bg"")"),"Не разбирам тази концепция за киселини и основи. Моля, обяснете!")</f>
        <v>Не разбирам тази концепция за киселини и основи. Моля, обяснете!</v>
      </c>
      <c r="F1511" s="1" t="str">
        <f ca="1">IFERROR(__xludf.DUMMYFUNCTION("GOOGLETRANSLATE(English!F1511,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1511" s="1" t="str">
        <f ca="1">IFERROR(__xludf.DUMMYFUNCTION("GOOGLETRANSLATE(English!G1511, ""en"", ""bg"")"),"помощ_за_домашно_изпълнение")</f>
        <v>помощ_за_домашно_изпълнение</v>
      </c>
      <c r="H1511" s="1" t="str">
        <f ca="1">IFERROR(__xludf.DUMMYFUNCTION("GOOGLETRANSLATE(English!H1511, ""en"", ""bg"")"),"помощ_за_домашно_задаване")</f>
        <v>помощ_за_домашно_задаване</v>
      </c>
    </row>
    <row r="1512" spans="1:8" ht="13.2" x14ac:dyDescent="0.25">
      <c r="A1512" s="1" t="str">
        <f ca="1">IFERROR(__xludf.DUMMYFUNCTION("GOOGLETRANSLATE(English!A1512, ""en"", ""bg"")"),"qa_00540")</f>
        <v>qa_00540</v>
      </c>
      <c r="B1512" s="1" t="str">
        <f ca="1">IFERROR(__xludf.DUMMYFUNCTION("GOOGLETRANSLATE(English!B1512, ""en"", ""bg"")"),"биология")</f>
        <v>биология</v>
      </c>
      <c r="C1512" s="1" t="str">
        <f ca="1">IFERROR(__xludf.DUMMYFUNCTION("GOOGLETRANSLATE(English!C1512, ""en"", ""bg"")"),"елементарен")</f>
        <v>елементарен</v>
      </c>
      <c r="D1512" s="1" t="str">
        <f ca="1">IFERROR(__xludf.DUMMYFUNCTION("GOOGLETRANSLATE(English!D1512, ""en"", ""bg"")"),"сетива")</f>
        <v>сетива</v>
      </c>
      <c r="E1512" s="1" t="str">
        <f ca="1">IFERROR(__xludf.DUMMYFUNCTION("GOOGLETRANSLATE(English!E1512, ""en"", ""bg"")"),"Как работят сетивата?")</f>
        <v>Как работят сетивата?</v>
      </c>
      <c r="F1512" s="1" t="str">
        <f ca="1">IFERROR(__xludf.DUMMYFUNCTION("GOOGLETRANSLATE(English!F1512,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1512" s="1" t="str">
        <f ca="1">IFERROR(__xludf.DUMMYFUNCTION("GOOGLETRANSLATE(English!G1512, ""en"", ""bg"")"),"direct_qa")</f>
        <v>direct_qa</v>
      </c>
      <c r="H1512" s="1" t="str">
        <f ca="1">IFERROR(__xludf.DUMMYFUNCTION("GOOGLETRANSLATE(English!H1512, ""en"", ""bg"")"),"заявка_за_знание")</f>
        <v>заявка_за_знание</v>
      </c>
    </row>
    <row r="1513" spans="1:8" ht="13.2" x14ac:dyDescent="0.25">
      <c r="A1513" s="1" t="str">
        <f ca="1">IFERROR(__xludf.DUMMYFUNCTION("GOOGLETRANSLATE(English!A1513, ""en"", ""bg"")"),"qa_07461")</f>
        <v>qa_07461</v>
      </c>
      <c r="B1513" s="1" t="str">
        <f ca="1">IFERROR(__xludf.DUMMYFUNCTION("GOOGLETRANSLATE(English!B1513, ""en"", ""bg"")"),"химия")</f>
        <v>химия</v>
      </c>
      <c r="C1513" s="1" t="str">
        <f ca="1">IFERROR(__xludf.DUMMYFUNCTION("GOOGLETRANSLATE(English!C1513, ""en"", ""bg"")"),"средата")</f>
        <v>средата</v>
      </c>
      <c r="D1513" s="1" t="str">
        <f ca="1">IFERROR(__xludf.DUMMYFUNCTION("GOOGLETRANSLATE(English!D1513, ""en"", ""bg"")"),"химични реакции")</f>
        <v>химични реакции</v>
      </c>
      <c r="E1513" s="1" t="str">
        <f ca="1">IFERROR(__xludf.DUMMYFUNCTION("GOOGLETRANSLATE(English!E1513, ""en"", ""bg"")"),"Какво представляват реагентите и продуктите?")</f>
        <v>Какво представляват реагентите и продуктите?</v>
      </c>
      <c r="F1513" s="1" t="str">
        <f ca="1">IFERROR(__xludf.DUMMYFUNCTION("GOOGLETRANSLATE(English!F1513,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1513" s="1" t="str">
        <f ca="1">IFERROR(__xludf.DUMMYFUNCTION("GOOGLETRANSLATE(English!G1513, ""en"", ""bg"")"),"direct_qa")</f>
        <v>direct_qa</v>
      </c>
      <c r="H1513" s="1" t="str">
        <f ca="1">IFERROR(__xludf.DUMMYFUNCTION("GOOGLETRANSLATE(English!H1513, ""en"", ""bg"")"),"заявка_за_знание")</f>
        <v>заявка_за_знание</v>
      </c>
    </row>
    <row r="1514" spans="1:8" ht="13.2" x14ac:dyDescent="0.25">
      <c r="A1514" s="1" t="str">
        <f ca="1">IFERROR(__xludf.DUMMYFUNCTION("GOOGLETRANSLATE(English!A1514, ""en"", ""bg"")"),"conv_12931")</f>
        <v>conv_12931</v>
      </c>
      <c r="B1514" s="1" t="str">
        <f ca="1">IFERROR(__xludf.DUMMYFUNCTION("GOOGLETRANSLATE(English!B1514, ""en"", ""bg"")"),"биология")</f>
        <v>биология</v>
      </c>
      <c r="C1514" s="1" t="str">
        <f ca="1">IFERROR(__xludf.DUMMYFUNCTION("GOOGLETRANSLATE(English!C1514, ""en"", ""bg"")"),"високо")</f>
        <v>високо</v>
      </c>
      <c r="D1514" s="1" t="str">
        <f ca="1">IFERROR(__xludf.DUMMYFUNCTION("GOOGLETRANSLATE(English!D1514, ""en"", ""bg"")"),"клетъчно дишане")</f>
        <v>клетъчно дишане</v>
      </c>
      <c r="E1514" s="1" t="str">
        <f ca="1">IFERROR(__xludf.DUMMYFUNCTION("GOOGLETRANSLATE(English!E1514, ""en"", ""bg"")"),"Помогнете ми да уча за теста си. Как работи клетъчното дишане?")</f>
        <v>Помогнете ми да уча за теста си. Как работи клетъчното дишане?</v>
      </c>
      <c r="F1514" s="1" t="str">
        <f ca="1">IFERROR(__xludf.DUMMYFUNCTION("GOOGLETRANSLATE(English!F1514,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1514" s="1" t="str">
        <f ca="1">IFERROR(__xludf.DUMMYFUNCTION("GOOGLETRANSLATE(English!G1514, ""en"", ""bg"")"),"разговор")</f>
        <v>разговор</v>
      </c>
      <c r="H1514" s="1" t="str">
        <f ca="1">IFERROR(__xludf.DUMMYFUNCTION("GOOGLETRANSLATE(English!H1514, ""en"", ""bg"")"),"образователна_помощ")</f>
        <v>образователна_помощ</v>
      </c>
    </row>
    <row r="1515" spans="1:8" ht="13.2" x14ac:dyDescent="0.25">
      <c r="A1515" s="1" t="str">
        <f ca="1">IFERROR(__xludf.DUMMYFUNCTION("GOOGLETRANSLATE(English!A1515, ""en"", ""bg"")"),"qa_08560")</f>
        <v>qa_08560</v>
      </c>
      <c r="B1515" s="1" t="str">
        <f ca="1">IFERROR(__xludf.DUMMYFUNCTION("GOOGLETRANSLATE(English!B1515, ""en"", ""bg"")"),"физика")</f>
        <v>физика</v>
      </c>
      <c r="C1515" s="1" t="str">
        <f ca="1">IFERROR(__xludf.DUMMYFUNCTION("GOOGLETRANSLATE(English!C1515, ""en"", ""bg"")"),"средата")</f>
        <v>средата</v>
      </c>
      <c r="D1515" s="1" t="str">
        <f ca="1">IFERROR(__xludf.DUMMYFUNCTION("GOOGLETRANSLATE(English!D1515, ""en"", ""bg"")"),"прости схеми")</f>
        <v>прости схеми</v>
      </c>
      <c r="E1515" s="1" t="str">
        <f ca="1">IFERROR(__xludf.DUMMYFUNCTION("GOOGLETRANSLATE(English!E1515, ""en"", ""bg"")"),"Как работят прости електрически вериги във физиката?")</f>
        <v>Как работят прости електрически вериги във физиката?</v>
      </c>
      <c r="F1515" s="1" t="str">
        <f ca="1">IFERROR(__xludf.DUMMYFUNCTION("GOOGLETRANSLATE(English!F1515,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1515" s="1" t="str">
        <f ca="1">IFERROR(__xludf.DUMMYFUNCTION("GOOGLETRANSLATE(English!G1515, ""en"", ""bg"")"),"direct_qa")</f>
        <v>direct_qa</v>
      </c>
      <c r="H1515" s="1" t="str">
        <f ca="1">IFERROR(__xludf.DUMMYFUNCTION("GOOGLETRANSLATE(English!H1515, ""en"", ""bg"")"),"заявка_за_знание")</f>
        <v>заявка_за_знание</v>
      </c>
    </row>
    <row r="1516" spans="1:8" ht="13.2" x14ac:dyDescent="0.25">
      <c r="A1516" s="1" t="str">
        <f ca="1">IFERROR(__xludf.DUMMYFUNCTION("GOOGLETRANSLATE(English!A1516, ""en"", ""bg"")"),"qa_11175")</f>
        <v>qa_11175</v>
      </c>
      <c r="B1516" s="1" t="str">
        <f ca="1">IFERROR(__xludf.DUMMYFUNCTION("GOOGLETRANSLATE(English!B1516, ""en"", ""bg"")"),"химия")</f>
        <v>химия</v>
      </c>
      <c r="C1516" s="1" t="str">
        <f ca="1">IFERROR(__xludf.DUMMYFUNCTION("GOOGLETRANSLATE(English!C1516, ""en"", ""bg"")"),"средата")</f>
        <v>средата</v>
      </c>
      <c r="D1516" s="1" t="str">
        <f ca="1">IFERROR(__xludf.DUMMYFUNCTION("GOOGLETRANSLATE(English!D1516, ""en"", ""bg"")"),"съединения срещу елементи")</f>
        <v>съединения срещу елементи</v>
      </c>
      <c r="E1516" s="1" t="str">
        <f ca="1">IFERROR(__xludf.DUMMYFUNCTION("GOOGLETRANSLATE(English!E1516, ""en"", ""bg"")"),"Можете ли да ми помогнете да разбера по-добре съединенията спрямо елементите?")</f>
        <v>Можете ли да ми помогнете да разбера по-добре съединенията спрямо елементите?</v>
      </c>
      <c r="F1516" s="1" t="str">
        <f ca="1">IFERROR(__xludf.DUMMYFUNCTION("GOOGLETRANSLATE(English!F1516,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1516" s="1" t="str">
        <f ca="1">IFERROR(__xludf.DUMMYFUNCTION("GOOGLETRANSLATE(English!G1516, ""en"", ""bg"")"),"direct_qa")</f>
        <v>direct_qa</v>
      </c>
      <c r="H1516" s="1" t="str">
        <f ca="1">IFERROR(__xludf.DUMMYFUNCTION("GOOGLETRANSLATE(English!H1516, ""en"", ""bg"")"),"заявка_за_знание")</f>
        <v>заявка_за_знание</v>
      </c>
    </row>
    <row r="1517" spans="1:8" ht="13.2" x14ac:dyDescent="0.25">
      <c r="A1517" s="1" t="str">
        <f ca="1">IFERROR(__xludf.DUMMYFUNCTION("GOOGLETRANSLATE(English!A1517, ""en"", ""bg"")"),"conv_05259")</f>
        <v>conv_05259</v>
      </c>
      <c r="B1517" s="1" t="str">
        <f ca="1">IFERROR(__xludf.DUMMYFUNCTION("GOOGLETRANSLATE(English!B1517, ""en"", ""bg"")"),"биология")</f>
        <v>биология</v>
      </c>
      <c r="C1517" s="1" t="str">
        <f ca="1">IFERROR(__xludf.DUMMYFUNCTION("GOOGLETRANSLATE(English!C1517, ""en"", ""bg"")"),"средата")</f>
        <v>средата</v>
      </c>
      <c r="D1517" s="1" t="str">
        <f ca="1">IFERROR(__xludf.DUMMYFUNCTION("GOOGLETRANSLATE(English!D1517, ""en"", ""bg"")"),"класификация")</f>
        <v>класификация</v>
      </c>
      <c r="E1517" s="1" t="str">
        <f ca="1">IFERROR(__xludf.DUMMYFUNCTION("GOOGLETRANSLATE(English!E1517, ""en"", ""bg"")"),"Можете ли да ми обясните това? Как работи класификацията?")</f>
        <v>Можете ли да ми обясните това? Как работи класификацията?</v>
      </c>
      <c r="F1517" s="1" t="str">
        <f ca="1">IFERROR(__xludf.DUMMYFUNCTION("GOOGLETRANSLATE(English!F1517,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1517" s="1" t="str">
        <f ca="1">IFERROR(__xludf.DUMMYFUNCTION("GOOGLETRANSLATE(English!G1517, ""en"", ""bg"")"),"разговор")</f>
        <v>разговор</v>
      </c>
      <c r="H1517" s="1" t="str">
        <f ca="1">IFERROR(__xludf.DUMMYFUNCTION("GOOGLETRANSLATE(English!H1517, ""en"", ""bg"")"),"образователна_помощ")</f>
        <v>образователна_помощ</v>
      </c>
    </row>
    <row r="1518" spans="1:8" ht="13.2" x14ac:dyDescent="0.25">
      <c r="A1518" s="1" t="str">
        <f ca="1">IFERROR(__xludf.DUMMYFUNCTION("GOOGLETRANSLATE(English!A1518, ""en"", ""bg"")"),"hw_07856")</f>
        <v>hw_07856</v>
      </c>
      <c r="B1518" s="1" t="str">
        <f ca="1">IFERROR(__xludf.DUMMYFUNCTION("GOOGLETRANSLATE(English!B1518, ""en"", ""bg"")"),"физика")</f>
        <v>физика</v>
      </c>
      <c r="C1518" s="1" t="str">
        <f ca="1">IFERROR(__xludf.DUMMYFUNCTION("GOOGLETRANSLATE(English!C1518, ""en"", ""bg"")"),"средата")</f>
        <v>средата</v>
      </c>
      <c r="D1518" s="1" t="str">
        <f ca="1">IFERROR(__xludf.DUMMYFUNCTION("GOOGLETRANSLATE(English!D1518, ""en"", ""bg"")"),"основи на електричеството")</f>
        <v>основи на електричеството</v>
      </c>
      <c r="E1518" s="1" t="str">
        <f ca="1">IFERROR(__xludf.DUMMYFUNCTION("GOOGLETRANSLATE(English!E1518, ""en"", ""bg"")"),"Заседнал съм с този проблем с основите на електричеството. Можете ли да помогнете?")</f>
        <v>Заседнал съм с този проблем с основите на електричеството. Можете ли да помогнете?</v>
      </c>
      <c r="F1518" s="1" t="str">
        <f ca="1">IFERROR(__xludf.DUMMYFUNCTION("GOOGLETRANSLATE(English!F1518,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1518" s="1" t="str">
        <f ca="1">IFERROR(__xludf.DUMMYFUNCTION("GOOGLETRANSLATE(English!G1518, ""en"", ""bg"")"),"помощ_за_домашно_изпълнение")</f>
        <v>помощ_за_домашно_изпълнение</v>
      </c>
      <c r="H1518" s="1" t="str">
        <f ca="1">IFERROR(__xludf.DUMMYFUNCTION("GOOGLETRANSLATE(English!H1518, ""en"", ""bg"")"),"помощ_за_домашно_задаване")</f>
        <v>помощ_за_домашно_задаване</v>
      </c>
    </row>
    <row r="1519" spans="1:8" ht="13.2" x14ac:dyDescent="0.25">
      <c r="A1519" s="1" t="str">
        <f ca="1">IFERROR(__xludf.DUMMYFUNCTION("GOOGLETRANSLATE(English!A1519, ""en"", ""bg"")"),"hw_10426")</f>
        <v>hw_10426</v>
      </c>
      <c r="B1519" s="1" t="str">
        <f ca="1">IFERROR(__xludf.DUMMYFUNCTION("GOOGLETRANSLATE(English!B1519, ""en"", ""bg"")"),"биология")</f>
        <v>биология</v>
      </c>
      <c r="C1519" s="1" t="str">
        <f ca="1">IFERROR(__xludf.DUMMYFUNCTION("GOOGLETRANSLATE(English!C1519, ""en"", ""bg"")"),"средата")</f>
        <v>средата</v>
      </c>
      <c r="D1519" s="1" t="str">
        <f ca="1">IFERROR(__xludf.DUMMYFUNCTION("GOOGLETRANSLATE(English!D1519, ""en"", ""bg"")"),"размножаване")</f>
        <v>размножаване</v>
      </c>
      <c r="E1519" s="1" t="str">
        <f ca="1">IFERROR(__xludf.DUMMYFUNCTION("GOOGLETRANSLATE(English!E1519, ""en"", ""bg"")"),"Утре имам тест по репродукция. Помогни ми да уча!")</f>
        <v>Утре имам тест по репродукция. Помогни ми да уча!</v>
      </c>
      <c r="F1519" s="1" t="str">
        <f ca="1">IFERROR(__xludf.DUMMYFUNCTION("GOOGLETRANSLATE(English!F1519,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1519" s="1" t="str">
        <f ca="1">IFERROR(__xludf.DUMMYFUNCTION("GOOGLETRANSLATE(English!G1519, ""en"", ""bg"")"),"помощ_за_домашно_изпълнение")</f>
        <v>помощ_за_домашно_изпълнение</v>
      </c>
      <c r="H1519" s="1" t="str">
        <f ca="1">IFERROR(__xludf.DUMMYFUNCTION("GOOGLETRANSLATE(English!H1519, ""en"", ""bg"")"),"помощ_за_домашно_задаване")</f>
        <v>помощ_за_домашно_задаване</v>
      </c>
    </row>
    <row r="1520" spans="1:8" ht="13.2" x14ac:dyDescent="0.25">
      <c r="A1520" s="1" t="str">
        <f ca="1">IFERROR(__xludf.DUMMYFUNCTION("GOOGLETRANSLATE(English!A1520, ""en"", ""bg"")"),"conv_13711")</f>
        <v>conv_13711</v>
      </c>
      <c r="B1520" s="1" t="str">
        <f ca="1">IFERROR(__xludf.DUMMYFUNCTION("GOOGLETRANSLATE(English!B1520, ""en"", ""bg"")"),"биология")</f>
        <v>биология</v>
      </c>
      <c r="C1520" s="1" t="str">
        <f ca="1">IFERROR(__xludf.DUMMYFUNCTION("GOOGLETRANSLATE(English!C1520, ""en"", ""bg"")"),"елементарен")</f>
        <v>елементарен</v>
      </c>
      <c r="D1520" s="1" t="str">
        <f ca="1">IFERROR(__xludf.DUMMYFUNCTION("GOOGLETRANSLATE(English!D1520, ""en"", ""bg"")"),"растения")</f>
        <v>растения</v>
      </c>
      <c r="E1520" s="1" t="str">
        <f ca="1">IFERROR(__xludf.DUMMYFUNCTION("GOOGLETRANSLATE(English!E1520, ""en"", ""bg"")"),"Можете ли да ми обясните това? Кои са частите на цветето?")</f>
        <v>Можете ли да ми обясните това? Кои са частите на цветето?</v>
      </c>
      <c r="F1520" s="1" t="str">
        <f ca="1">IFERROR(__xludf.DUMMYFUNCTION("GOOGLETRANSLATE(English!F1520, ""en"", ""bg"")"),"Цветето има венчелистчета, тичинки (мъжки части), плодник (женска част) и чашелистчета, които защитават цветната пъпка.")</f>
        <v>Цветето има венчелистчета, тичинки (мъжки части), плодник (женска част) и чашелистчета, които защитават цветната пъпка.</v>
      </c>
      <c r="G1520" s="1" t="str">
        <f ca="1">IFERROR(__xludf.DUMMYFUNCTION("GOOGLETRANSLATE(English!G1520, ""en"", ""bg"")"),"разговор")</f>
        <v>разговор</v>
      </c>
      <c r="H1520" s="1" t="str">
        <f ca="1">IFERROR(__xludf.DUMMYFUNCTION("GOOGLETRANSLATE(English!H1520, ""en"", ""bg"")"),"образователна_помощ")</f>
        <v>образователна_помощ</v>
      </c>
    </row>
    <row r="1521" spans="1:8" ht="13.2" x14ac:dyDescent="0.25">
      <c r="A1521" s="1" t="str">
        <f ca="1">IFERROR(__xludf.DUMMYFUNCTION("GOOGLETRANSLATE(English!A1521, ""en"", ""bg"")"),"qa_04581")</f>
        <v>qa_04581</v>
      </c>
      <c r="B1521" s="1" t="str">
        <f ca="1">IFERROR(__xludf.DUMMYFUNCTION("GOOGLETRANSLATE(English!B1521, ""en"", ""bg"")"),"биология")</f>
        <v>биология</v>
      </c>
      <c r="C1521" s="1" t="str">
        <f ca="1">IFERROR(__xludf.DUMMYFUNCTION("GOOGLETRANSLATE(English!C1521, ""en"", ""bg"")"),"елементарен")</f>
        <v>елементарен</v>
      </c>
      <c r="D1521" s="1" t="str">
        <f ca="1">IFERROR(__xludf.DUMMYFUNCTION("GOOGLETRANSLATE(English!D1521, ""en"", ""bg"")"),"жизнени цикли")</f>
        <v>жизнени цикли</v>
      </c>
      <c r="E1521" s="1" t="str">
        <f ca="1">IFERROR(__xludf.DUMMYFUNCTION("GOOGLETRANSLATE(English!E1521, ""en"", ""bg"")"),"Какво е важно да знаем за жизнените цикли?")</f>
        <v>Какво е важно да знаем за жизнените цикли?</v>
      </c>
      <c r="F1521" s="1" t="str">
        <f ca="1">IFERROR(__xludf.DUMMYFUNCTION("GOOGLETRANSLATE(English!F1521,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1521" s="1" t="str">
        <f ca="1">IFERROR(__xludf.DUMMYFUNCTION("GOOGLETRANSLATE(English!G1521, ""en"", ""bg"")"),"direct_qa")</f>
        <v>direct_qa</v>
      </c>
      <c r="H1521" s="1" t="str">
        <f ca="1">IFERROR(__xludf.DUMMYFUNCTION("GOOGLETRANSLATE(English!H1521, ""en"", ""bg"")"),"заявка_за_знание")</f>
        <v>заявка_за_знание</v>
      </c>
    </row>
    <row r="1522" spans="1:8" ht="13.2" x14ac:dyDescent="0.25">
      <c r="A1522" s="1" t="str">
        <f ca="1">IFERROR(__xludf.DUMMYFUNCTION("GOOGLETRANSLATE(English!A1522, ""en"", ""bg"")"),"conv_12684")</f>
        <v>conv_12684</v>
      </c>
      <c r="B1522" s="1" t="str">
        <f ca="1">IFERROR(__xludf.DUMMYFUNCTION("GOOGLETRANSLATE(English!B1522, ""en"", ""bg"")"),"химия")</f>
        <v>химия</v>
      </c>
      <c r="C1522" s="1" t="str">
        <f ca="1">IFERROR(__xludf.DUMMYFUNCTION("GOOGLETRANSLATE(English!C1522, ""en"", ""bg"")"),"високо")</f>
        <v>високо</v>
      </c>
      <c r="D1522" s="1" t="str">
        <f ca="1">IFERROR(__xludf.DUMMYFUNCTION("GOOGLETRANSLATE(English!D1522, ""en"", ""bg"")"),"химическо свързване")</f>
        <v>химическо свързване</v>
      </c>
      <c r="E1522" s="1" t="str">
        <f ca="1">IFERROR(__xludf.DUMMYFUNCTION("GOOGLETRANSLATE(English!E1522, ""en"", ""bg"")"),"Можете ли да ми помогнете? Как работи химическата връзка в химията?")</f>
        <v>Можете ли да ми помогнете? Как работи химическата връзка в химията?</v>
      </c>
      <c r="F1522" s="1" t="str">
        <f ca="1">IFERROR(__xludf.DUMMYFUNCTION("GOOGLETRANSLATE(English!F1522,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1522" s="1" t="str">
        <f ca="1">IFERROR(__xludf.DUMMYFUNCTION("GOOGLETRANSLATE(English!G1522, ""en"", ""bg"")"),"разговор")</f>
        <v>разговор</v>
      </c>
      <c r="H1522" s="1" t="str">
        <f ca="1">IFERROR(__xludf.DUMMYFUNCTION("GOOGLETRANSLATE(English!H1522, ""en"", ""bg"")"),"образователна_помощ")</f>
        <v>образователна_помощ</v>
      </c>
    </row>
    <row r="1523" spans="1:8" ht="13.2" x14ac:dyDescent="0.25">
      <c r="A1523" s="1" t="str">
        <f ca="1">IFERROR(__xludf.DUMMYFUNCTION("GOOGLETRANSLATE(English!A1523, ""en"", ""bg"")"),"conv_04192")</f>
        <v>conv_04192</v>
      </c>
      <c r="B1523" s="1" t="str">
        <f ca="1">IFERROR(__xludf.DUMMYFUNCTION("GOOGLETRANSLATE(English!B1523, ""en"", ""bg"")"),"биология")</f>
        <v>биология</v>
      </c>
      <c r="C1523" s="1" t="str">
        <f ca="1">IFERROR(__xludf.DUMMYFUNCTION("GOOGLETRANSLATE(English!C1523, ""en"", ""bg"")"),"средата")</f>
        <v>средата</v>
      </c>
      <c r="D1523" s="1" t="str">
        <f ca="1">IFERROR(__xludf.DUMMYFUNCTION("GOOGLETRANSLATE(English!D1523, ""en"", ""bg"")"),"размножаване")</f>
        <v>размножаване</v>
      </c>
      <c r="E1523" s="1" t="str">
        <f ca="1">IFERROR(__xludf.DUMMYFUNCTION("GOOGLETRANSLATE(English!E1523, ""en"", ""bg"")"),"Имам научен въпрос. Можете ли да ми разкажете за размножаването?")</f>
        <v>Имам научен въпрос. Можете ли да ми разкажете за размножаването?</v>
      </c>
      <c r="F1523" s="1" t="str">
        <f ca="1">IFERROR(__xludf.DUMMYFUNCTION("GOOGLETRANSLATE(English!F1523,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1523" s="1" t="str">
        <f ca="1">IFERROR(__xludf.DUMMYFUNCTION("GOOGLETRANSLATE(English!G1523, ""en"", ""bg"")"),"разговор")</f>
        <v>разговор</v>
      </c>
      <c r="H1523" s="1" t="str">
        <f ca="1">IFERROR(__xludf.DUMMYFUNCTION("GOOGLETRANSLATE(English!H1523, ""en"", ""bg"")"),"образователна_помощ")</f>
        <v>образователна_помощ</v>
      </c>
    </row>
    <row r="1524" spans="1:8" ht="13.2" x14ac:dyDescent="0.25">
      <c r="A1524" s="1" t="str">
        <f ca="1">IFERROR(__xludf.DUMMYFUNCTION("GOOGLETRANSLATE(English!A1524, ""en"", ""bg"")"),"qa_07723")</f>
        <v>qa_07723</v>
      </c>
      <c r="B1524" s="1" t="str">
        <f ca="1">IFERROR(__xludf.DUMMYFUNCTION("GOOGLETRANSLATE(English!B1524, ""en"", ""bg"")"),"химия")</f>
        <v>химия</v>
      </c>
      <c r="C1524" s="1" t="str">
        <f ca="1">IFERROR(__xludf.DUMMYFUNCTION("GOOGLETRANSLATE(English!C1524, ""en"", ""bg"")"),"елементарен")</f>
        <v>елементарен</v>
      </c>
      <c r="D1524" s="1" t="str">
        <f ca="1">IFERROR(__xludf.DUMMYFUNCTION("GOOGLETRANSLATE(English!D1524, ""en"", ""bg"")"),"ежедневни химикали")</f>
        <v>ежедневни химикали</v>
      </c>
      <c r="E1524" s="1" t="str">
        <f ca="1">IFERROR(__xludf.DUMMYFUNCTION("GOOGLETRANSLATE(English!E1524, ""en"", ""bg"")"),"Защо е важно да се изучават ежедневните химикали?")</f>
        <v>Защо е важно да се изучават ежедневните химикали?</v>
      </c>
      <c r="F1524" s="1" t="str">
        <f ca="1">IFERROR(__xludf.DUMMYFUNCTION("GOOGLETRANSLATE(English!F1524,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1524" s="1" t="str">
        <f ca="1">IFERROR(__xludf.DUMMYFUNCTION("GOOGLETRANSLATE(English!G1524, ""en"", ""bg"")"),"direct_qa")</f>
        <v>direct_qa</v>
      </c>
      <c r="H1524" s="1" t="str">
        <f ca="1">IFERROR(__xludf.DUMMYFUNCTION("GOOGLETRANSLATE(English!H1524, ""en"", ""bg"")"),"заявка_за_знание")</f>
        <v>заявка_за_знание</v>
      </c>
    </row>
    <row r="1525" spans="1:8" ht="13.2" x14ac:dyDescent="0.25">
      <c r="A1525" s="1" t="str">
        <f ca="1">IFERROR(__xludf.DUMMYFUNCTION("GOOGLETRANSLATE(English!A1525, ""en"", ""bg"")"),"qa_03712")</f>
        <v>qa_03712</v>
      </c>
      <c r="B1525" s="1" t="str">
        <f ca="1">IFERROR(__xludf.DUMMYFUNCTION("GOOGLETRANSLATE(English!B1525, ""en"", ""bg"")"),"химия")</f>
        <v>химия</v>
      </c>
      <c r="C1525" s="1" t="str">
        <f ca="1">IFERROR(__xludf.DUMMYFUNCTION("GOOGLETRANSLATE(English!C1525, ""en"", ""bg"")"),"високо")</f>
        <v>високо</v>
      </c>
      <c r="D1525" s="1" t="str">
        <f ca="1">IFERROR(__xludf.DUMMYFUNCTION("GOOGLETRANSLATE(English!D1525, ""en"", ""bg"")"),"равновесие")</f>
        <v>равновесие</v>
      </c>
      <c r="E1525" s="1" t="str">
        <f ca="1">IFERROR(__xludf.DUMMYFUNCTION("GOOGLETRANSLATE(English!E1525, ""en"", ""bg"")"),"Какво е равновесието изобщо?")</f>
        <v>Какво е равновесието изобщо?</v>
      </c>
      <c r="F1525" s="1" t="str">
        <f ca="1">IFERROR(__xludf.DUMMYFUNCTION("GOOGLETRANSLATE(English!F1525,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1525" s="1" t="str">
        <f ca="1">IFERROR(__xludf.DUMMYFUNCTION("GOOGLETRANSLATE(English!G1525, ""en"", ""bg"")"),"direct_qa")</f>
        <v>direct_qa</v>
      </c>
      <c r="H1525" s="1" t="str">
        <f ca="1">IFERROR(__xludf.DUMMYFUNCTION("GOOGLETRANSLATE(English!H1525, ""en"", ""bg"")"),"заявка_за_знание")</f>
        <v>заявка_за_знание</v>
      </c>
    </row>
    <row r="1526" spans="1:8" ht="13.2" x14ac:dyDescent="0.25">
      <c r="A1526" s="1" t="str">
        <f ca="1">IFERROR(__xludf.DUMMYFUNCTION("GOOGLETRANSLATE(English!A1526, ""en"", ""bg"")"),"conv_09409")</f>
        <v>conv_09409</v>
      </c>
      <c r="B1526" s="1" t="str">
        <f ca="1">IFERROR(__xludf.DUMMYFUNCTION("GOOGLETRANSLATE(English!B1526, ""en"", ""bg"")"),"химия")</f>
        <v>химия</v>
      </c>
      <c r="C1526" s="1" t="str">
        <f ca="1">IFERROR(__xludf.DUMMYFUNCTION("GOOGLETRANSLATE(English!C1526, ""en"", ""bg"")"),"средата")</f>
        <v>средата</v>
      </c>
      <c r="D1526" s="1" t="str">
        <f ca="1">IFERROR(__xludf.DUMMYFUNCTION("GOOGLETRANSLATE(English!D1526, ""en"", ""bg"")"),"съединения срещу елементи")</f>
        <v>съединения срещу елементи</v>
      </c>
      <c r="E1526" s="1" t="str">
        <f ca="1">IFERROR(__xludf.DUMMYFUNCTION("GOOGLETRANSLATE(English!E1526, ""en"", ""bg"")"),"Можете ли да ми помогнете? Можете ли да ми помогнете да разбера какво представляват съединенията спрямо елементите?")</f>
        <v>Можете ли да ми помогнете? Можете ли да ми помогнете да разбера какво представляват съединенията спрямо елементите?</v>
      </c>
      <c r="F1526" s="1" t="str">
        <f ca="1">IFERROR(__xludf.DUMMYFUNCTION("GOOGLETRANSLATE(English!F1526,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1526" s="1" t="str">
        <f ca="1">IFERROR(__xludf.DUMMYFUNCTION("GOOGLETRANSLATE(English!G1526, ""en"", ""bg"")"),"разговор")</f>
        <v>разговор</v>
      </c>
      <c r="H1526" s="1" t="str">
        <f ca="1">IFERROR(__xludf.DUMMYFUNCTION("GOOGLETRANSLATE(English!H1526, ""en"", ""bg"")"),"образователна_помощ")</f>
        <v>образователна_помощ</v>
      </c>
    </row>
    <row r="1527" spans="1:8" ht="13.2" x14ac:dyDescent="0.25">
      <c r="A1527" s="1" t="str">
        <f ca="1">IFERROR(__xludf.DUMMYFUNCTION("GOOGLETRANSLATE(English!A1527, ""en"", ""bg"")"),"qa_13802")</f>
        <v>qa_13802</v>
      </c>
      <c r="B1527" s="1" t="str">
        <f ca="1">IFERROR(__xludf.DUMMYFUNCTION("GOOGLETRANSLATE(English!B1527, ""en"", ""bg"")"),"химия")</f>
        <v>химия</v>
      </c>
      <c r="C1527" s="1" t="str">
        <f ca="1">IFERROR(__xludf.DUMMYFUNCTION("GOOGLETRANSLATE(English!C1527, ""en"", ""bg"")"),"елементарен")</f>
        <v>елементарен</v>
      </c>
      <c r="D1527" s="1" t="str">
        <f ca="1">IFERROR(__xludf.DUMMYFUNCTION("GOOGLETRANSLATE(English!D1527, ""en"", ""bg"")"),"безопасност")</f>
        <v>безопасност</v>
      </c>
      <c r="E1527" s="1" t="str">
        <f ca="1">IFERROR(__xludf.DUMMYFUNCTION("GOOGLETRANSLATE(English!E1527, ""en"", ""bg"")"),"Какво е безопасността?")</f>
        <v>Какво е безопасността?</v>
      </c>
      <c r="F1527" s="1" t="str">
        <f ca="1">IFERROR(__xludf.DUMMYFUNCTION("GOOGLETRANSLATE(English!F1527,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1527" s="1" t="str">
        <f ca="1">IFERROR(__xludf.DUMMYFUNCTION("GOOGLETRANSLATE(English!G1527, ""en"", ""bg"")"),"direct_qa")</f>
        <v>direct_qa</v>
      </c>
      <c r="H1527" s="1" t="str">
        <f ca="1">IFERROR(__xludf.DUMMYFUNCTION("GOOGLETRANSLATE(English!H1527, ""en"", ""bg"")"),"заявка_за_знание")</f>
        <v>заявка_за_знание</v>
      </c>
    </row>
    <row r="1528" spans="1:8" ht="13.2" x14ac:dyDescent="0.25">
      <c r="A1528" s="1" t="str">
        <f ca="1">IFERROR(__xludf.DUMMYFUNCTION("GOOGLETRANSLATE(English!A1528, ""en"", ""bg"")"),"hw_02510")</f>
        <v>hw_02510</v>
      </c>
      <c r="B1528" s="1" t="str">
        <f ca="1">IFERROR(__xludf.DUMMYFUNCTION("GOOGLETRANSLATE(English!B1528, ""en"", ""bg"")"),"химия")</f>
        <v>химия</v>
      </c>
      <c r="C1528" s="1" t="str">
        <f ca="1">IFERROR(__xludf.DUMMYFUNCTION("GOOGLETRANSLATE(English!C1528, ""en"", ""bg"")"),"високо")</f>
        <v>високо</v>
      </c>
      <c r="D1528" s="1" t="str">
        <f ca="1">IFERROR(__xludf.DUMMYFUNCTION("GOOGLETRANSLATE(English!D1528, ""en"", ""bg"")"),"електрохимия")</f>
        <v>електрохимия</v>
      </c>
      <c r="E1528" s="1" t="str">
        <f ca="1">IFERROR(__xludf.DUMMYFUNCTION("GOOGLETRANSLATE(English!E1528, ""en"", ""bg"")"),"Имам затруднения с електрохимията в домашното си.")</f>
        <v>Имам затруднения с електрохимията в домашното си.</v>
      </c>
      <c r="F1528" s="1" t="str">
        <f ca="1">IFERROR(__xludf.DUMMYFUNCTION("GOOGLETRANSLATE(English!F1528,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1528" s="1" t="str">
        <f ca="1">IFERROR(__xludf.DUMMYFUNCTION("GOOGLETRANSLATE(English!G1528, ""en"", ""bg"")"),"помощ_за_домашно_изпълнение")</f>
        <v>помощ_за_домашно_изпълнение</v>
      </c>
      <c r="H1528" s="1" t="str">
        <f ca="1">IFERROR(__xludf.DUMMYFUNCTION("GOOGLETRANSLATE(English!H1528, ""en"", ""bg"")"),"помощ_за_домашно_задаване")</f>
        <v>помощ_за_домашно_задаване</v>
      </c>
    </row>
    <row r="1529" spans="1:8" ht="13.2" x14ac:dyDescent="0.25">
      <c r="A1529" s="1" t="str">
        <f ca="1">IFERROR(__xludf.DUMMYFUNCTION("GOOGLETRANSLATE(English!A1529, ""en"", ""bg"")"),"qa_03115")</f>
        <v>qa_03115</v>
      </c>
      <c r="B1529" s="1" t="str">
        <f ca="1">IFERROR(__xludf.DUMMYFUNCTION("GOOGLETRANSLATE(English!B1529, ""en"", ""bg"")"),"биология")</f>
        <v>биология</v>
      </c>
      <c r="C1529" s="1" t="str">
        <f ca="1">IFERROR(__xludf.DUMMYFUNCTION("GOOGLETRANSLATE(English!C1529, ""en"", ""bg"")"),"елементарен")</f>
        <v>елементарен</v>
      </c>
      <c r="D1529" s="1" t="str">
        <f ca="1">IFERROR(__xludf.DUMMYFUNCTION("GOOGLETRANSLATE(English!D1529, ""en"", ""bg"")"),"сетива")</f>
        <v>сетива</v>
      </c>
      <c r="E1529" s="1" t="str">
        <f ca="1">IFERROR(__xludf.DUMMYFUNCTION("GOOGLETRANSLATE(English!E1529, ""en"", ""bg"")"),"Можете ли да ми разкажете за сетивата?")</f>
        <v>Можете ли да ми разкажете за сетивата?</v>
      </c>
      <c r="F1529" s="1" t="str">
        <f ca="1">IFERROR(__xludf.DUMMYFUNCTION("GOOGLETRANSLATE(English!F1529,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1529" s="1" t="str">
        <f ca="1">IFERROR(__xludf.DUMMYFUNCTION("GOOGLETRANSLATE(English!G1529, ""en"", ""bg"")"),"direct_qa")</f>
        <v>direct_qa</v>
      </c>
      <c r="H1529" s="1" t="str">
        <f ca="1">IFERROR(__xludf.DUMMYFUNCTION("GOOGLETRANSLATE(English!H1529, ""en"", ""bg"")"),"заявка_за_знание")</f>
        <v>заявка_за_знание</v>
      </c>
    </row>
    <row r="1530" spans="1:8" ht="13.2" x14ac:dyDescent="0.25">
      <c r="A1530" s="1" t="str">
        <f ca="1">IFERROR(__xludf.DUMMYFUNCTION("GOOGLETRANSLATE(English!A1530, ""en"", ""bg"")"),"qa_06705")</f>
        <v>qa_06705</v>
      </c>
      <c r="B1530" s="1" t="str">
        <f ca="1">IFERROR(__xludf.DUMMYFUNCTION("GOOGLETRANSLATE(English!B1530, ""en"", ""bg"")"),"биология")</f>
        <v>биология</v>
      </c>
      <c r="C1530" s="1" t="str">
        <f ca="1">IFERROR(__xludf.DUMMYFUNCTION("GOOGLETRANSLATE(English!C1530, ""en"", ""bg"")"),"високо")</f>
        <v>високо</v>
      </c>
      <c r="D1530" s="1" t="str">
        <f ca="1">IFERROR(__xludf.DUMMYFUNCTION("GOOGLETRANSLATE(English!D1530, ""en"", ""bg"")"),"Структура на ДНК")</f>
        <v>Структура на ДНК</v>
      </c>
      <c r="E1530" s="1" t="str">
        <f ca="1">IFERROR(__xludf.DUMMYFUNCTION("GOOGLETRANSLATE(English!E1530, ""en"", ""bg"")"),"Защо структурата на ДНК е важна в биологията?")</f>
        <v>Защо структурата на ДНК е важна в биологията?</v>
      </c>
      <c r="F1530" s="1" t="str">
        <f ca="1">IFERROR(__xludf.DUMMYFUNCTION("GOOGLETRANSLATE(English!F1530,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1530" s="1" t="str">
        <f ca="1">IFERROR(__xludf.DUMMYFUNCTION("GOOGLETRANSLATE(English!G1530, ""en"", ""bg"")"),"direct_qa")</f>
        <v>direct_qa</v>
      </c>
      <c r="H1530" s="1" t="str">
        <f ca="1">IFERROR(__xludf.DUMMYFUNCTION("GOOGLETRANSLATE(English!H1530, ""en"", ""bg"")"),"заявка_за_знание")</f>
        <v>заявка_за_знание</v>
      </c>
    </row>
    <row r="1531" spans="1:8" ht="13.2" x14ac:dyDescent="0.25">
      <c r="A1531" s="1" t="str">
        <f ca="1">IFERROR(__xludf.DUMMYFUNCTION("GOOGLETRANSLATE(English!A1531, ""en"", ""bg"")"),"qa_09570")</f>
        <v>qa_09570</v>
      </c>
      <c r="B1531" s="1" t="str">
        <f ca="1">IFERROR(__xludf.DUMMYFUNCTION("GOOGLETRANSLATE(English!B1531, ""en"", ""bg"")"),"физика")</f>
        <v>физика</v>
      </c>
      <c r="C1531" s="1" t="str">
        <f ca="1">IFERROR(__xludf.DUMMYFUNCTION("GOOGLETRANSLATE(English!C1531, ""en"", ""bg"")"),"високо")</f>
        <v>високо</v>
      </c>
      <c r="D1531" s="1" t="str">
        <f ca="1">IFERROR(__xludf.DUMMYFUNCTION("GOOGLETRANSLATE(English!D1531, ""en"", ""bg"")"),"оптика")</f>
        <v>оптика</v>
      </c>
      <c r="E1531" s="1" t="str">
        <f ca="1">IFERROR(__xludf.DUMMYFUNCTION("GOOGLETRANSLATE(English!E1531, ""en"", ""bg"")"),"Можете ли да ми обясните оптиката?")</f>
        <v>Можете ли да ми обясните оптиката?</v>
      </c>
      <c r="F1531" s="1" t="str">
        <f ca="1">IFERROR(__xludf.DUMMYFUNCTION("GOOGLETRANSLATE(English!F1531,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1531" s="1" t="str">
        <f ca="1">IFERROR(__xludf.DUMMYFUNCTION("GOOGLETRANSLATE(English!G1531, ""en"", ""bg"")"),"direct_qa")</f>
        <v>direct_qa</v>
      </c>
      <c r="H1531" s="1" t="str">
        <f ca="1">IFERROR(__xludf.DUMMYFUNCTION("GOOGLETRANSLATE(English!H1531, ""en"", ""bg"")"),"заявка_за_знание")</f>
        <v>заявка_за_знание</v>
      </c>
    </row>
    <row r="1532" spans="1:8" ht="13.2" x14ac:dyDescent="0.25">
      <c r="A1532" s="1" t="str">
        <f ca="1">IFERROR(__xludf.DUMMYFUNCTION("GOOGLETRANSLATE(English!A1532, ""en"", ""bg"")"),"qa_08870")</f>
        <v>qa_08870</v>
      </c>
      <c r="B1532" s="1" t="str">
        <f ca="1">IFERROR(__xludf.DUMMYFUNCTION("GOOGLETRANSLATE(English!B1532, ""en"", ""bg"")"),"химия")</f>
        <v>химия</v>
      </c>
      <c r="C1532" s="1" t="str">
        <f ca="1">IFERROR(__xludf.DUMMYFUNCTION("GOOGLETRANSLATE(English!C1532, ""en"", ""bg"")"),"средата")</f>
        <v>средата</v>
      </c>
      <c r="D1532" s="1" t="str">
        <f ca="1">IFERROR(__xludf.DUMMYFUNCTION("GOOGLETRANSLATE(English!D1532, ""en"", ""bg"")"),"киселини и основи")</f>
        <v>киселини и основи</v>
      </c>
      <c r="E1532" s="1" t="str">
        <f ca="1">IFERROR(__xludf.DUMMYFUNCTION("GOOGLETRANSLATE(English!E1532, ""en"", ""bg"")"),"Как действат киселините и основите в химията?")</f>
        <v>Как действат киселините и основите в химията?</v>
      </c>
      <c r="F1532" s="1" t="str">
        <f ca="1">IFERROR(__xludf.DUMMYFUNCTION("GOOGLETRANSLATE(English!F1532,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532" s="1" t="str">
        <f ca="1">IFERROR(__xludf.DUMMYFUNCTION("GOOGLETRANSLATE(English!G1532, ""en"", ""bg"")"),"direct_qa")</f>
        <v>direct_qa</v>
      </c>
      <c r="H1532" s="1" t="str">
        <f ca="1">IFERROR(__xludf.DUMMYFUNCTION("GOOGLETRANSLATE(English!H1532, ""en"", ""bg"")"),"заявка_за_знание")</f>
        <v>заявка_за_знание</v>
      </c>
    </row>
    <row r="1533" spans="1:8" ht="13.2" x14ac:dyDescent="0.25">
      <c r="A1533" s="1" t="str">
        <f ca="1">IFERROR(__xludf.DUMMYFUNCTION("GOOGLETRANSLATE(English!A1533, ""en"", ""bg"")"),"hw_04536")</f>
        <v>hw_04536</v>
      </c>
      <c r="B1533" s="1" t="str">
        <f ca="1">IFERROR(__xludf.DUMMYFUNCTION("GOOGLETRANSLATE(English!B1533, ""en"", ""bg"")"),"физика")</f>
        <v>физика</v>
      </c>
      <c r="C1533" s="1" t="str">
        <f ca="1">IFERROR(__xludf.DUMMYFUNCTION("GOOGLETRANSLATE(English!C1533, ""en"", ""bg"")"),"високо")</f>
        <v>високо</v>
      </c>
      <c r="D1533" s="1" t="str">
        <f ca="1">IFERROR(__xludf.DUMMYFUNCTION("GOOGLETRANSLATE(English!D1533, ""en"", ""bg"")"),"електромагнетизъм")</f>
        <v>електромагнетизъм</v>
      </c>
      <c r="E1533" s="1" t="str">
        <f ca="1">IFERROR(__xludf.DUMMYFUNCTION("GOOGLETRANSLATE(English!E1533, ""en"", ""bg"")"),"Трябва да разбирам електромагнетизма за изпита си.")</f>
        <v>Трябва да разбирам електромагнетизма за изпита си.</v>
      </c>
      <c r="F1533" s="1" t="str">
        <f ca="1">IFERROR(__xludf.DUMMYFUNCTION("GOOGLETRANSLATE(English!F1533,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1533" s="1" t="str">
        <f ca="1">IFERROR(__xludf.DUMMYFUNCTION("GOOGLETRANSLATE(English!G1533, ""en"", ""bg"")"),"помощ_за_домашно_изпълнение")</f>
        <v>помощ_за_домашно_изпълнение</v>
      </c>
      <c r="H1533" s="1" t="str">
        <f ca="1">IFERROR(__xludf.DUMMYFUNCTION("GOOGLETRANSLATE(English!H1533, ""en"", ""bg"")"),"помощ_за_домашно_задаване")</f>
        <v>помощ_за_домашно_задаване</v>
      </c>
    </row>
    <row r="1534" spans="1:8" ht="13.2" x14ac:dyDescent="0.25">
      <c r="A1534" s="1" t="str">
        <f ca="1">IFERROR(__xludf.DUMMYFUNCTION("GOOGLETRANSLATE(English!A1534, ""en"", ""bg"")"),"hw_00252")</f>
        <v>hw_00252</v>
      </c>
      <c r="B1534" s="1" t="str">
        <f ca="1">IFERROR(__xludf.DUMMYFUNCTION("GOOGLETRANSLATE(English!B1534, ""en"", ""bg"")"),"биология")</f>
        <v>биология</v>
      </c>
      <c r="C1534" s="1" t="str">
        <f ca="1">IFERROR(__xludf.DUMMYFUNCTION("GOOGLETRANSLATE(English!C1534, ""en"", ""bg"")"),"елементарен")</f>
        <v>елементарен</v>
      </c>
      <c r="D1534" s="1" t="str">
        <f ca="1">IFERROR(__xludf.DUMMYFUNCTION("GOOGLETRANSLATE(English!D1534, ""en"", ""bg"")"),"жизнени цикли")</f>
        <v>жизнени цикли</v>
      </c>
      <c r="E1534" s="1" t="str">
        <f ca="1">IFERROR(__xludf.DUMMYFUNCTION("GOOGLETRANSLATE(English!E1534, ""en"", ""bg"")"),"Трябва да напиша доклад за жизнените цикли. Можете ли да ми помогнете да започна?")</f>
        <v>Трябва да напиша доклад за жизнените цикли. Можете ли да ми помогнете да започна?</v>
      </c>
      <c r="F1534" s="1" t="str">
        <f ca="1">IFERROR(__xludf.DUMMYFUNCTION("GOOGLETRANSLATE(English!F1534,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1534" s="1" t="str">
        <f ca="1">IFERROR(__xludf.DUMMYFUNCTION("GOOGLETRANSLATE(English!G1534, ""en"", ""bg"")"),"помощ_за_домашно_изпълнение")</f>
        <v>помощ_за_домашно_изпълнение</v>
      </c>
      <c r="H1534" s="1" t="str">
        <f ca="1">IFERROR(__xludf.DUMMYFUNCTION("GOOGLETRANSLATE(English!H1534, ""en"", ""bg"")"),"помощ_за_домашно_задаване")</f>
        <v>помощ_за_домашно_задаване</v>
      </c>
    </row>
    <row r="1535" spans="1:8" ht="13.2" x14ac:dyDescent="0.25">
      <c r="A1535" s="1" t="str">
        <f ca="1">IFERROR(__xludf.DUMMYFUNCTION("GOOGLETRANSLATE(English!A1535, ""en"", ""bg"")"),"conv_04966")</f>
        <v>conv_04966</v>
      </c>
      <c r="B1535" s="1" t="str">
        <f ca="1">IFERROR(__xludf.DUMMYFUNCTION("GOOGLETRANSLATE(English!B1535, ""en"", ""bg"")"),"биология")</f>
        <v>биология</v>
      </c>
      <c r="C1535" s="1" t="str">
        <f ca="1">IFERROR(__xludf.DUMMYFUNCTION("GOOGLETRANSLATE(English!C1535, ""en"", ""bg"")"),"средата")</f>
        <v>средата</v>
      </c>
      <c r="D1535" s="1" t="str">
        <f ca="1">IFERROR(__xludf.DUMMYFUNCTION("GOOGLETRANSLATE(English!D1535, ""en"", ""bg"")"),"фотосинтеза")</f>
        <v>фотосинтеза</v>
      </c>
      <c r="E1535" s="1" t="str">
        <f ca="1">IFERROR(__xludf.DUMMYFUNCTION("GOOGLETRANSLATE(English!E1535, ""en"", ""bg"")"),"Не разбирам тази тема. Можете ли да ми разкажете за фотосинтезата?")</f>
        <v>Не разбирам тази тема. Можете ли да ми разкажете за фотосинтезата?</v>
      </c>
      <c r="F1535" s="1" t="str">
        <f ca="1">IFERROR(__xludf.DUMMYFUNCTION("GOOGLETRANSLATE(English!F1535,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1535" s="1" t="str">
        <f ca="1">IFERROR(__xludf.DUMMYFUNCTION("GOOGLETRANSLATE(English!G1535, ""en"", ""bg"")"),"разговор")</f>
        <v>разговор</v>
      </c>
      <c r="H1535" s="1" t="str">
        <f ca="1">IFERROR(__xludf.DUMMYFUNCTION("GOOGLETRANSLATE(English!H1535, ""en"", ""bg"")"),"образователна_помощ")</f>
        <v>образователна_помощ</v>
      </c>
    </row>
    <row r="1536" spans="1:8" ht="13.2" x14ac:dyDescent="0.25">
      <c r="A1536" s="1" t="str">
        <f ca="1">IFERROR(__xludf.DUMMYFUNCTION("GOOGLETRANSLATE(English!A1536, ""en"", ""bg"")"),"hw_04493")</f>
        <v>hw_04493</v>
      </c>
      <c r="B1536" s="1" t="str">
        <f ca="1">IFERROR(__xludf.DUMMYFUNCTION("GOOGLETRANSLATE(English!B1536, ""en"", ""bg"")"),"физика")</f>
        <v>физика</v>
      </c>
      <c r="C1536" s="1" t="str">
        <f ca="1">IFERROR(__xludf.DUMMYFUNCTION("GOOGLETRANSLATE(English!C1536, ""en"", ""bg"")"),"средата")</f>
        <v>средата</v>
      </c>
      <c r="D1536" s="1" t="str">
        <f ca="1">IFERROR(__xludf.DUMMYFUNCTION("GOOGLETRANSLATE(English!D1536, ""en"", ""bg"")"),"прости схеми")</f>
        <v>прости схеми</v>
      </c>
      <c r="E1536" s="1" t="str">
        <f ca="1">IFERROR(__xludf.DUMMYFUNCTION("GOOGLETRANSLATE(English!E1536,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1536" s="1" t="str">
        <f ca="1">IFERROR(__xludf.DUMMYFUNCTION("GOOGLETRANSLATE(English!F1536,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536" s="1" t="str">
        <f ca="1">IFERROR(__xludf.DUMMYFUNCTION("GOOGLETRANSLATE(English!G1536, ""en"", ""bg"")"),"помощ_за_домашно_изпълнение")</f>
        <v>помощ_за_домашно_изпълнение</v>
      </c>
      <c r="H1536" s="1" t="str">
        <f ca="1">IFERROR(__xludf.DUMMYFUNCTION("GOOGLETRANSLATE(English!H1536, ""en"", ""bg"")"),"помощ_за_домашно_задаване")</f>
        <v>помощ_за_домашно_задаване</v>
      </c>
    </row>
    <row r="1537" spans="1:8" ht="13.2" x14ac:dyDescent="0.25">
      <c r="A1537" s="1" t="str">
        <f ca="1">IFERROR(__xludf.DUMMYFUNCTION("GOOGLETRANSLATE(English!A1537, ""en"", ""bg"")"),"conv_05420")</f>
        <v>conv_05420</v>
      </c>
      <c r="B1537" s="1" t="str">
        <f ca="1">IFERROR(__xludf.DUMMYFUNCTION("GOOGLETRANSLATE(English!B1537, ""en"", ""bg"")"),"биология")</f>
        <v>биология</v>
      </c>
      <c r="C1537" s="1" t="str">
        <f ca="1">IFERROR(__xludf.DUMMYFUNCTION("GOOGLETRANSLATE(English!C1537, ""en"", ""bg"")"),"елементарен")</f>
        <v>елементарен</v>
      </c>
      <c r="D1537" s="1" t="str">
        <f ca="1">IFERROR(__xludf.DUMMYFUNCTION("GOOGLETRANSLATE(English!D1537, ""en"", ""bg"")"),"местообитания")</f>
        <v>местообитания</v>
      </c>
      <c r="E1537" s="1" t="str">
        <f ca="1">IFERROR(__xludf.DUMMYFUNCTION("GOOGLETRANSLATE(English!E1537, ""en"", ""bg"")"),"Не разбирам тази тема. Защо местообитанията са важни в биологията?")</f>
        <v>Не разбирам тази тема. Защо местообитанията са важни в биологията?</v>
      </c>
      <c r="F1537" s="1" t="str">
        <f ca="1">IFERROR(__xludf.DUMMYFUNCTION("GOOGLETRANSLATE(English!F1537,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1537" s="1" t="str">
        <f ca="1">IFERROR(__xludf.DUMMYFUNCTION("GOOGLETRANSLATE(English!G1537, ""en"", ""bg"")"),"разговор")</f>
        <v>разговор</v>
      </c>
      <c r="H1537" s="1" t="str">
        <f ca="1">IFERROR(__xludf.DUMMYFUNCTION("GOOGLETRANSLATE(English!H1537, ""en"", ""bg"")"),"образователна_помощ")</f>
        <v>образователна_помощ</v>
      </c>
    </row>
    <row r="1538" spans="1:8" ht="13.2" x14ac:dyDescent="0.25">
      <c r="A1538" s="1" t="str">
        <f ca="1">IFERROR(__xludf.DUMMYFUNCTION("GOOGLETRANSLATE(English!A1538, ""en"", ""bg"")"),"conv_06917")</f>
        <v>conv_06917</v>
      </c>
      <c r="B1538" s="1" t="str">
        <f ca="1">IFERROR(__xludf.DUMMYFUNCTION("GOOGLETRANSLATE(English!B1538, ""en"", ""bg"")"),"биология")</f>
        <v>биология</v>
      </c>
      <c r="C1538" s="1" t="str">
        <f ca="1">IFERROR(__xludf.DUMMYFUNCTION("GOOGLETRANSLATE(English!C1538, ""en"", ""bg"")"),"елементарен")</f>
        <v>елементарен</v>
      </c>
      <c r="D1538" s="1" t="str">
        <f ca="1">IFERROR(__xludf.DUMMYFUNCTION("GOOGLETRANSLATE(English!D1538, ""en"", ""bg"")"),"хранителни вериги")</f>
        <v>хранителни вериги</v>
      </c>
      <c r="E1538" s="1" t="str">
        <f ca="1">IFERROR(__xludf.DUMMYFUNCTION("GOOGLETRANSLATE(English!E1538, ""en"", ""bg"")"),"Можете ли да ми обясните това? Можете ли да ми разкажете за хранителните вериги?")</f>
        <v>Можете ли да ми обясните това? Можете ли да ми разкажете за хранителните вериги?</v>
      </c>
      <c r="F1538" s="1" t="str">
        <f ca="1">IFERROR(__xludf.DUMMYFUNCTION("GOOGLETRANSLATE(English!F1538,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1538" s="1" t="str">
        <f ca="1">IFERROR(__xludf.DUMMYFUNCTION("GOOGLETRANSLATE(English!G1538, ""en"", ""bg"")"),"разговор")</f>
        <v>разговор</v>
      </c>
      <c r="H1538" s="1" t="str">
        <f ca="1">IFERROR(__xludf.DUMMYFUNCTION("GOOGLETRANSLATE(English!H1538, ""en"", ""bg"")"),"образователна_помощ")</f>
        <v>образователна_помощ</v>
      </c>
    </row>
    <row r="1539" spans="1:8" ht="13.2" x14ac:dyDescent="0.25">
      <c r="A1539" s="1" t="str">
        <f ca="1">IFERROR(__xludf.DUMMYFUNCTION("GOOGLETRANSLATE(English!A1539, ""en"", ""bg"")"),"hw_10970")</f>
        <v>hw_10970</v>
      </c>
      <c r="B1539" s="1" t="str">
        <f ca="1">IFERROR(__xludf.DUMMYFUNCTION("GOOGLETRANSLATE(English!B1539, ""en"", ""bg"")"),"биология")</f>
        <v>биология</v>
      </c>
      <c r="C1539" s="1" t="str">
        <f ca="1">IFERROR(__xludf.DUMMYFUNCTION("GOOGLETRANSLATE(English!C1539, ""en"", ""bg"")"),"високо")</f>
        <v>високо</v>
      </c>
      <c r="D1539" s="1" t="str">
        <f ca="1">IFERROR(__xludf.DUMMYFUNCTION("GOOGLETRANSLATE(English!D1539, ""en"", ""bg"")"),"митоза и мейоза")</f>
        <v>митоза и мейоза</v>
      </c>
      <c r="E1539" s="1" t="str">
        <f ca="1">IFERROR(__xludf.DUMMYFUNCTION("GOOGLETRANSLATE(English!E1539, ""en"", ""bg"")"),"Можете ли да обясните митозата и мейозата за моя научен проект?")</f>
        <v>Можете ли да обясните митозата и мейозата за моя научен проект?</v>
      </c>
      <c r="F1539" s="1" t="str">
        <f ca="1">IFERROR(__xludf.DUMMYFUNCTION("GOOGLETRANSLATE(English!F1539,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539" s="1" t="str">
        <f ca="1">IFERROR(__xludf.DUMMYFUNCTION("GOOGLETRANSLATE(English!G1539, ""en"", ""bg"")"),"помощ_за_домашно_изпълнение")</f>
        <v>помощ_за_домашно_изпълнение</v>
      </c>
      <c r="H1539" s="1" t="str">
        <f ca="1">IFERROR(__xludf.DUMMYFUNCTION("GOOGLETRANSLATE(English!H1539, ""en"", ""bg"")"),"помощ_за_домашно_задаване")</f>
        <v>помощ_за_домашно_задаване</v>
      </c>
    </row>
    <row r="1540" spans="1:8" ht="13.2" x14ac:dyDescent="0.25">
      <c r="A1540" s="1" t="str">
        <f ca="1">IFERROR(__xludf.DUMMYFUNCTION("GOOGLETRANSLATE(English!A1540, ""en"", ""bg"")"),"conv_19304")</f>
        <v>conv_19304</v>
      </c>
      <c r="B1540" s="1" t="str">
        <f ca="1">IFERROR(__xludf.DUMMYFUNCTION("GOOGLETRANSLATE(English!B1540, ""en"", ""bg"")"),"биология")</f>
        <v>биология</v>
      </c>
      <c r="C1540" s="1" t="str">
        <f ca="1">IFERROR(__xludf.DUMMYFUNCTION("GOOGLETRANSLATE(English!C1540, ""en"", ""bg"")"),"средата")</f>
        <v>средата</v>
      </c>
      <c r="D1540" s="1" t="str">
        <f ca="1">IFERROR(__xludf.DUMMYFUNCTION("GOOGLETRANSLATE(English!D1540, ""en"", ""bg"")"),"основи на еволюцията")</f>
        <v>основи на еволюцията</v>
      </c>
      <c r="E1540" s="1" t="str">
        <f ca="1">IFERROR(__xludf.DUMMYFUNCTION("GOOGLETRANSLATE(English!E1540, ""en"", ""bg"")"),"Помогнете ми да уча за теста си. Как работят основите на еволюцията?")</f>
        <v>Помогнете ми да уча за теста си. Как работят основите на еволюцията?</v>
      </c>
      <c r="F1540" s="1" t="str">
        <f ca="1">IFERROR(__xludf.DUMMYFUNCTION("GOOGLETRANSLATE(English!F1540,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1540" s="1" t="str">
        <f ca="1">IFERROR(__xludf.DUMMYFUNCTION("GOOGLETRANSLATE(English!G1540, ""en"", ""bg"")"),"разговор")</f>
        <v>разговор</v>
      </c>
      <c r="H1540" s="1" t="str">
        <f ca="1">IFERROR(__xludf.DUMMYFUNCTION("GOOGLETRANSLATE(English!H1540, ""en"", ""bg"")"),"образователна_помощ")</f>
        <v>образователна_помощ</v>
      </c>
    </row>
    <row r="1541" spans="1:8" ht="13.2" x14ac:dyDescent="0.25">
      <c r="A1541" s="1" t="str">
        <f ca="1">IFERROR(__xludf.DUMMYFUNCTION("GOOGLETRANSLATE(English!A1541, ""en"", ""bg"")"),"qa_08436")</f>
        <v>qa_08436</v>
      </c>
      <c r="B1541" s="1" t="str">
        <f ca="1">IFERROR(__xludf.DUMMYFUNCTION("GOOGLETRANSLATE(English!B1541, ""en"", ""bg"")"),"химия")</f>
        <v>химия</v>
      </c>
      <c r="C1541" s="1" t="str">
        <f ca="1">IFERROR(__xludf.DUMMYFUNCTION("GOOGLETRANSLATE(English!C1541, ""en"", ""bg"")"),"средата")</f>
        <v>средата</v>
      </c>
      <c r="D1541" s="1" t="str">
        <f ca="1">IFERROR(__xludf.DUMMYFUNCTION("GOOGLETRANSLATE(English!D1541, ""en"", ""bg"")"),"химични промени")</f>
        <v>химични промени</v>
      </c>
      <c r="E1541" s="1" t="str">
        <f ca="1">IFERROR(__xludf.DUMMYFUNCTION("GOOGLETRANSLATE(English!E1541, ""en"", ""bg"")"),"Можете ли да ми помогнете да разбера химичните промени?")</f>
        <v>Можете ли да ми помогнете да разбера химичните промени?</v>
      </c>
      <c r="F1541" s="1" t="str">
        <f ca="1">IFERROR(__xludf.DUMMYFUNCTION("GOOGLETRANSLATE(English!F1541,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1541" s="1" t="str">
        <f ca="1">IFERROR(__xludf.DUMMYFUNCTION("GOOGLETRANSLATE(English!G1541, ""en"", ""bg"")"),"direct_qa")</f>
        <v>direct_qa</v>
      </c>
      <c r="H1541" s="1" t="str">
        <f ca="1">IFERROR(__xludf.DUMMYFUNCTION("GOOGLETRANSLATE(English!H1541, ""en"", ""bg"")"),"заявка_за_знание")</f>
        <v>заявка_за_знание</v>
      </c>
    </row>
    <row r="1542" spans="1:8" ht="13.2" x14ac:dyDescent="0.25">
      <c r="A1542" s="1" t="str">
        <f ca="1">IFERROR(__xludf.DUMMYFUNCTION("GOOGLETRANSLATE(English!A1542, ""en"", ""bg"")"),"conv_05885")</f>
        <v>conv_05885</v>
      </c>
      <c r="B1542" s="1" t="str">
        <f ca="1">IFERROR(__xludf.DUMMYFUNCTION("GOOGLETRANSLATE(English!B1542, ""en"", ""bg"")"),"биология")</f>
        <v>биология</v>
      </c>
      <c r="C1542" s="1" t="str">
        <f ca="1">IFERROR(__xludf.DUMMYFUNCTION("GOOGLETRANSLATE(English!C1542, ""en"", ""bg"")"),"средата")</f>
        <v>средата</v>
      </c>
      <c r="D1542" s="1" t="str">
        <f ca="1">IFERROR(__xludf.DUMMYFUNCTION("GOOGLETRANSLATE(English!D1542, ""en"", ""bg"")"),"основи на еволюцията")</f>
        <v>основи на еволюцията</v>
      </c>
      <c r="E1542" s="1" t="str">
        <f ca="1">IFERROR(__xludf.DUMMYFUNCTION("GOOGLETRANSLATE(English!E1542, ""en"", ""bg"")"),"Здравей, преподавателю! Можеш ли да ми разкажеш за основите на еволюцията?")</f>
        <v>Здравей, преподавателю! Можеш ли да ми разкажеш за основите на еволюцията?</v>
      </c>
      <c r="F1542" s="1" t="str">
        <f ca="1">IFERROR(__xludf.DUMMYFUNCTION("GOOGLETRANSLATE(English!F1542,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1542" s="1" t="str">
        <f ca="1">IFERROR(__xludf.DUMMYFUNCTION("GOOGLETRANSLATE(English!G1542, ""en"", ""bg"")"),"разговор")</f>
        <v>разговор</v>
      </c>
      <c r="H1542" s="1" t="str">
        <f ca="1">IFERROR(__xludf.DUMMYFUNCTION("GOOGLETRANSLATE(English!H1542, ""en"", ""bg"")"),"образователна_помощ")</f>
        <v>образователна_помощ</v>
      </c>
    </row>
    <row r="1543" spans="1:8" ht="13.2" x14ac:dyDescent="0.25">
      <c r="A1543" s="1" t="str">
        <f ca="1">IFERROR(__xludf.DUMMYFUNCTION("GOOGLETRANSLATE(English!A1543, ""en"", ""bg"")"),"conv_03681")</f>
        <v>conv_03681</v>
      </c>
      <c r="B1543" s="1" t="str">
        <f ca="1">IFERROR(__xludf.DUMMYFUNCTION("GOOGLETRANSLATE(English!B1543, ""en"", ""bg"")"),"физика")</f>
        <v>физика</v>
      </c>
      <c r="C1543" s="1" t="str">
        <f ca="1">IFERROR(__xludf.DUMMYFUNCTION("GOOGLETRANSLATE(English!C1543, ""en"", ""bg"")"),"елементарен")</f>
        <v>елементарен</v>
      </c>
      <c r="D1543" s="1" t="str">
        <f ca="1">IFERROR(__xludf.DUMMYFUNCTION("GOOGLETRANSLATE(English!D1543, ""en"", ""bg"")"),"бутане и дърпане")</f>
        <v>бутане и дърпане</v>
      </c>
      <c r="E1543" s="1" t="str">
        <f ca="1">IFERROR(__xludf.DUMMYFUNCTION("GOOGLETRANSLATE(English!E1543, ""en"", ""bg"")"),"Помогнете ми да уча за теста си. Как работят бутането и дърпането във физиката?")</f>
        <v>Помогнете ми да уча за теста си. Как работят бутането и дърпането във физиката?</v>
      </c>
      <c r="F1543" s="1" t="str">
        <f ca="1">IFERROR(__xludf.DUMMYFUNCTION("GOOGLETRANSLATE(English!F1543,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1543" s="1" t="str">
        <f ca="1">IFERROR(__xludf.DUMMYFUNCTION("GOOGLETRANSLATE(English!G1543, ""en"", ""bg"")"),"разговор")</f>
        <v>разговор</v>
      </c>
      <c r="H1543" s="1" t="str">
        <f ca="1">IFERROR(__xludf.DUMMYFUNCTION("GOOGLETRANSLATE(English!H1543, ""en"", ""bg"")"),"образователна_помощ")</f>
        <v>образователна_помощ</v>
      </c>
    </row>
    <row r="1544" spans="1:8" ht="13.2" x14ac:dyDescent="0.25">
      <c r="A1544" s="1" t="str">
        <f ca="1">IFERROR(__xludf.DUMMYFUNCTION("GOOGLETRANSLATE(English!A1544, ""en"", ""bg"")"),"conv_02421")</f>
        <v>conv_02421</v>
      </c>
      <c r="B1544" s="1" t="str">
        <f ca="1">IFERROR(__xludf.DUMMYFUNCTION("GOOGLETRANSLATE(English!B1544, ""en"", ""bg"")"),"биология")</f>
        <v>биология</v>
      </c>
      <c r="C1544" s="1" t="str">
        <f ca="1">IFERROR(__xludf.DUMMYFUNCTION("GOOGLETRANSLATE(English!C1544, ""en"", ""bg"")"),"средата")</f>
        <v>средата</v>
      </c>
      <c r="D1544" s="1" t="str">
        <f ca="1">IFERROR(__xludf.DUMMYFUNCTION("GOOGLETRANSLATE(English!D1544, ""en"", ""bg"")"),"основи на еволюцията")</f>
        <v>основи на еволюцията</v>
      </c>
      <c r="E1544" s="1" t="str">
        <f ca="1">IFERROR(__xludf.DUMMYFUNCTION("GOOGLETRANSLATE(English!E1544, ""en"", ""bg"")"),"Не разбирам тази тема. Как работят основите на еволюцията?")</f>
        <v>Не разбирам тази тема. Как работят основите на еволюцията?</v>
      </c>
      <c r="F1544" s="1" t="str">
        <f ca="1">IFERROR(__xludf.DUMMYFUNCTION("GOOGLETRANSLATE(English!F1544,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1544" s="1" t="str">
        <f ca="1">IFERROR(__xludf.DUMMYFUNCTION("GOOGLETRANSLATE(English!G1544, ""en"", ""bg"")"),"разговор")</f>
        <v>разговор</v>
      </c>
      <c r="H1544" s="1" t="str">
        <f ca="1">IFERROR(__xludf.DUMMYFUNCTION("GOOGLETRANSLATE(English!H1544, ""en"", ""bg"")"),"образователна_помощ")</f>
        <v>образователна_помощ</v>
      </c>
    </row>
    <row r="1545" spans="1:8" ht="13.2" x14ac:dyDescent="0.25">
      <c r="A1545" s="1" t="str">
        <f ca="1">IFERROR(__xludf.DUMMYFUNCTION("GOOGLETRANSLATE(English!A1545, ""en"", ""bg"")"),"qa_08608")</f>
        <v>qa_08608</v>
      </c>
      <c r="B1545" s="1" t="str">
        <f ca="1">IFERROR(__xludf.DUMMYFUNCTION("GOOGLETRANSLATE(English!B1545, ""en"", ""bg"")"),"физика")</f>
        <v>физика</v>
      </c>
      <c r="C1545" s="1" t="str">
        <f ca="1">IFERROR(__xludf.DUMMYFUNCTION("GOOGLETRANSLATE(English!C1545, ""en"", ""bg"")"),"средата")</f>
        <v>средата</v>
      </c>
      <c r="D1545" s="1" t="str">
        <f ca="1">IFERROR(__xludf.DUMMYFUNCTION("GOOGLETRANSLATE(English!D1545, ""en"", ""bg"")"),"плътност")</f>
        <v>плътност</v>
      </c>
      <c r="E1545" s="1" t="str">
        <f ca="1">IFERROR(__xludf.DUMMYFUNCTION("GOOGLETRANSLATE(English!E1545, ""en"", ""bg"")"),"Какво трябва да знам за плътността?")</f>
        <v>Какво трябва да знам за плътността?</v>
      </c>
      <c r="F1545" s="1" t="str">
        <f ca="1">IFERROR(__xludf.DUMMYFUNCTION("GOOGLETRANSLATE(English!F1545,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1545" s="1" t="str">
        <f ca="1">IFERROR(__xludf.DUMMYFUNCTION("GOOGLETRANSLATE(English!G1545, ""en"", ""bg"")"),"direct_qa")</f>
        <v>direct_qa</v>
      </c>
      <c r="H1545" s="1" t="str">
        <f ca="1">IFERROR(__xludf.DUMMYFUNCTION("GOOGLETRANSLATE(English!H1545, ""en"", ""bg"")"),"заявка_за_знание")</f>
        <v>заявка_за_знание</v>
      </c>
    </row>
    <row r="1546" spans="1:8" ht="13.2" x14ac:dyDescent="0.25">
      <c r="A1546" s="1" t="str">
        <f ca="1">IFERROR(__xludf.DUMMYFUNCTION("GOOGLETRANSLATE(English!A1546, ""en"", ""bg"")"),"qa_11730")</f>
        <v>qa_11730</v>
      </c>
      <c r="B1546" s="1" t="str">
        <f ca="1">IFERROR(__xludf.DUMMYFUNCTION("GOOGLETRANSLATE(English!B1546, ""en"", ""bg"")"),"физика")</f>
        <v>физика</v>
      </c>
      <c r="C1546" s="1" t="str">
        <f ca="1">IFERROR(__xludf.DUMMYFUNCTION("GOOGLETRANSLATE(English!C1546, ""en"", ""bg"")"),"високо")</f>
        <v>високо</v>
      </c>
      <c r="D1546" s="1" t="str">
        <f ca="1">IFERROR(__xludf.DUMMYFUNCTION("GOOGLETRANSLATE(English!D1546, ""en"", ""bg"")"),"електромагнетизъм")</f>
        <v>електромагнетизъм</v>
      </c>
      <c r="E1546" s="1" t="str">
        <f ca="1">IFERROR(__xludf.DUMMYFUNCTION("GOOGLETRANSLATE(English!E1546, ""en"", ""bg"")"),"Можете ли да ми обясните електромагнетизма?")</f>
        <v>Можете ли да ми обясните електромагнетизма?</v>
      </c>
      <c r="F1546" s="1" t="str">
        <f ca="1">IFERROR(__xludf.DUMMYFUNCTION("GOOGLETRANSLATE(English!F1546,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1546" s="1" t="str">
        <f ca="1">IFERROR(__xludf.DUMMYFUNCTION("GOOGLETRANSLATE(English!G1546, ""en"", ""bg"")"),"direct_qa")</f>
        <v>direct_qa</v>
      </c>
      <c r="H1546" s="1" t="str">
        <f ca="1">IFERROR(__xludf.DUMMYFUNCTION("GOOGLETRANSLATE(English!H1546, ""en"", ""bg"")"),"заявка_за_знание")</f>
        <v>заявка_за_знание</v>
      </c>
    </row>
    <row r="1547" spans="1:8" ht="13.2" x14ac:dyDescent="0.25">
      <c r="A1547" s="1" t="str">
        <f ca="1">IFERROR(__xludf.DUMMYFUNCTION("GOOGLETRANSLATE(English!A1547, ""en"", ""bg"")"),"hw_08971")</f>
        <v>hw_08971</v>
      </c>
      <c r="B1547" s="1" t="str">
        <f ca="1">IFERROR(__xludf.DUMMYFUNCTION("GOOGLETRANSLATE(English!B1547, ""en"", ""bg"")"),"биология")</f>
        <v>биология</v>
      </c>
      <c r="C1547" s="1" t="str">
        <f ca="1">IFERROR(__xludf.DUMMYFUNCTION("GOOGLETRANSLATE(English!C1547, ""en"", ""bg"")"),"средата")</f>
        <v>средата</v>
      </c>
      <c r="D1547" s="1" t="str">
        <f ca="1">IFERROR(__xludf.DUMMYFUNCTION("GOOGLETRANSLATE(English!D1547, ""en"", ""bg"")"),"основи на еволюцията")</f>
        <v>основи на еволюцията</v>
      </c>
      <c r="E1547" s="1" t="str">
        <f ca="1">IFERROR(__xludf.DUMMYFUNCTION("GOOGLETRANSLATE(English!E1547, ""en"", ""bg"")"),"Домашното ми пита за основите на еволюцията. Не го разбирам.")</f>
        <v>Домашното ми пита за основите на еволюцията. Не го разбирам.</v>
      </c>
      <c r="F1547" s="1" t="str">
        <f ca="1">IFERROR(__xludf.DUMMYFUNCTION("GOOGLETRANSLATE(English!F1547,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1547" s="1" t="str">
        <f ca="1">IFERROR(__xludf.DUMMYFUNCTION("GOOGLETRANSLATE(English!G1547, ""en"", ""bg"")"),"помощ_за_домашно_изпълнение")</f>
        <v>помощ_за_домашно_изпълнение</v>
      </c>
      <c r="H1547" s="1" t="str">
        <f ca="1">IFERROR(__xludf.DUMMYFUNCTION("GOOGLETRANSLATE(English!H1547, ""en"", ""bg"")"),"помощ_за_домашно_задаване")</f>
        <v>помощ_за_домашно_задаване</v>
      </c>
    </row>
    <row r="1548" spans="1:8" ht="13.2" x14ac:dyDescent="0.25">
      <c r="A1548" s="1" t="str">
        <f ca="1">IFERROR(__xludf.DUMMYFUNCTION("GOOGLETRANSLATE(English!A1548, ""en"", ""bg"")"),"qa_06075")</f>
        <v>qa_06075</v>
      </c>
      <c r="B1548" s="1" t="str">
        <f ca="1">IFERROR(__xludf.DUMMYFUNCTION("GOOGLETRANSLATE(English!B1548, ""en"", ""bg"")"),"физика")</f>
        <v>физика</v>
      </c>
      <c r="C1548" s="1" t="str">
        <f ca="1">IFERROR(__xludf.DUMMYFUNCTION("GOOGLETRANSLATE(English!C1548, ""en"", ""bg"")"),"елементарен")</f>
        <v>елементарен</v>
      </c>
      <c r="D1548" s="1" t="str">
        <f ca="1">IFERROR(__xludf.DUMMYFUNCTION("GOOGLETRANSLATE(English!D1548, ""en"", ""bg"")"),"плаващ и потъващ")</f>
        <v>плаващ и потъващ</v>
      </c>
      <c r="E1548" s="1" t="str">
        <f ca="1">IFERROR(__xludf.DUMMYFUNCTION("GOOGLETRANSLATE(English!E1548, ""en"", ""bg"")"),"Защо е важно да се носиш и да потъваш?")</f>
        <v>Защо е важно да се носиш и да потъваш?</v>
      </c>
      <c r="F1548" s="1" t="str">
        <f ca="1">IFERROR(__xludf.DUMMYFUNCTION("GOOGLETRANSLATE(English!F1548,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1548" s="1" t="str">
        <f ca="1">IFERROR(__xludf.DUMMYFUNCTION("GOOGLETRANSLATE(English!G1548, ""en"", ""bg"")"),"direct_qa")</f>
        <v>direct_qa</v>
      </c>
      <c r="H1548" s="1" t="str">
        <f ca="1">IFERROR(__xludf.DUMMYFUNCTION("GOOGLETRANSLATE(English!H1548, ""en"", ""bg"")"),"заявка_за_знание")</f>
        <v>заявка_за_знание</v>
      </c>
    </row>
    <row r="1549" spans="1:8" ht="13.2" x14ac:dyDescent="0.25">
      <c r="A1549" s="1" t="str">
        <f ca="1">IFERROR(__xludf.DUMMYFUNCTION("GOOGLETRANSLATE(English!A1549, ""en"", ""bg"")"),"hw_13311")</f>
        <v>hw_13311</v>
      </c>
      <c r="B1549" s="1" t="str">
        <f ca="1">IFERROR(__xludf.DUMMYFUNCTION("GOOGLETRANSLATE(English!B1549, ""en"", ""bg"")"),"физика")</f>
        <v>физика</v>
      </c>
      <c r="C1549" s="1" t="str">
        <f ca="1">IFERROR(__xludf.DUMMYFUNCTION("GOOGLETRANSLATE(English!C1549, ""en"", ""bg"")"),"средата")</f>
        <v>средата</v>
      </c>
      <c r="D1549" s="1" t="str">
        <f ca="1">IFERROR(__xludf.DUMMYFUNCTION("GOOGLETRANSLATE(English!D1549, ""en"", ""bg"")"),"видове енергия")</f>
        <v>видове енергия</v>
      </c>
      <c r="E1549" s="1" t="str">
        <f ca="1">IFERROR(__xludf.DUMMYFUNCTION("GOOGLETRANSLATE(English!E1549, ""en"", ""bg"")"),"Трябва да разбера видовете енергия за изпита си.")</f>
        <v>Трябва да разбера видовете енергия за изпита си.</v>
      </c>
      <c r="F1549" s="1" t="str">
        <f ca="1">IFERROR(__xludf.DUMMYFUNCTION("GOOGLETRANSLATE(English!F1549,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549" s="1" t="str">
        <f ca="1">IFERROR(__xludf.DUMMYFUNCTION("GOOGLETRANSLATE(English!G1549, ""en"", ""bg"")"),"помощ_за_домашно_изпълнение")</f>
        <v>помощ_за_домашно_изпълнение</v>
      </c>
      <c r="H1549" s="1" t="str">
        <f ca="1">IFERROR(__xludf.DUMMYFUNCTION("GOOGLETRANSLATE(English!H1549, ""en"", ""bg"")"),"помощ_за_домашно_задаване")</f>
        <v>помощ_за_домашно_задаване</v>
      </c>
    </row>
    <row r="1550" spans="1:8" ht="13.2" x14ac:dyDescent="0.25">
      <c r="A1550" s="1" t="str">
        <f ca="1">IFERROR(__xludf.DUMMYFUNCTION("GOOGLETRANSLATE(English!A1550, ""en"", ""bg"")"),"conv_13356")</f>
        <v>conv_13356</v>
      </c>
      <c r="B1550" s="1" t="str">
        <f ca="1">IFERROR(__xludf.DUMMYFUNCTION("GOOGLETRANSLATE(English!B1550, ""en"", ""bg"")"),"химия")</f>
        <v>химия</v>
      </c>
      <c r="C1550" s="1" t="str">
        <f ca="1">IFERROR(__xludf.DUMMYFUNCTION("GOOGLETRANSLATE(English!C1550, ""en"", ""bg"")"),"елементарен")</f>
        <v>елементарен</v>
      </c>
      <c r="D1550" s="1" t="str">
        <f ca="1">IFERROR(__xludf.DUMMYFUNCTION("GOOGLETRANSLATE(English!D1550, ""en"", ""bg"")"),"промени в материалите")</f>
        <v>промени в материалите</v>
      </c>
      <c r="E1550" s="1" t="str">
        <f ca="1">IFERROR(__xludf.DUMMYFUNCTION("GOOGLETRANSLATE(English!E1550, ""en"", ""bg"")"),"Можете ли да ми обясните това? Какво представляват промените в материалите?")</f>
        <v>Можете ли да ми обясните това? Какво представляват промените в материалите?</v>
      </c>
      <c r="F1550" s="1" t="str">
        <f ca="1">IFERROR(__xludf.DUMMYFUNCTION("GOOGLETRANSLATE(English!F1550,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1550" s="1" t="str">
        <f ca="1">IFERROR(__xludf.DUMMYFUNCTION("GOOGLETRANSLATE(English!G1550, ""en"", ""bg"")"),"разговор")</f>
        <v>разговор</v>
      </c>
      <c r="H1550" s="1" t="str">
        <f ca="1">IFERROR(__xludf.DUMMYFUNCTION("GOOGLETRANSLATE(English!H1550, ""en"", ""bg"")"),"образователна_помощ")</f>
        <v>образователна_помощ</v>
      </c>
    </row>
    <row r="1551" spans="1:8" ht="13.2" x14ac:dyDescent="0.25">
      <c r="A1551" s="1" t="str">
        <f ca="1">IFERROR(__xludf.DUMMYFUNCTION("GOOGLETRANSLATE(English!A1551, ""en"", ""bg"")"),"hw_07125")</f>
        <v>hw_07125</v>
      </c>
      <c r="B1551" s="1" t="str">
        <f ca="1">IFERROR(__xludf.DUMMYFUNCTION("GOOGLETRANSLATE(English!B1551, ""en"", ""bg"")"),"биология")</f>
        <v>биология</v>
      </c>
      <c r="C1551" s="1" t="str">
        <f ca="1">IFERROR(__xludf.DUMMYFUNCTION("GOOGLETRANSLATE(English!C1551, ""en"", ""bg"")"),"средата")</f>
        <v>средата</v>
      </c>
      <c r="D1551" s="1" t="str">
        <f ca="1">IFERROR(__xludf.DUMMYFUNCTION("GOOGLETRANSLATE(English!D1551, ""en"", ""bg"")"),"фотосинтеза")</f>
        <v>фотосинтеза</v>
      </c>
      <c r="E1551" s="1" t="str">
        <f ca="1">IFERROR(__xludf.DUMMYFUNCTION("GOOGLETRANSLATE(English!E1551, ""en"", ""bg"")"),"Утре имам тест по фотосинтеза. Помогни ми да уча!")</f>
        <v>Утре имам тест по фотосинтеза. Помогни ми да уча!</v>
      </c>
      <c r="F1551" s="1" t="str">
        <f ca="1">IFERROR(__xludf.DUMMYFUNCTION("GOOGLETRANSLATE(English!F1551,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551" s="1" t="str">
        <f ca="1">IFERROR(__xludf.DUMMYFUNCTION("GOOGLETRANSLATE(English!G1551, ""en"", ""bg"")"),"помощ_за_домашно_изпълнение")</f>
        <v>помощ_за_домашно_изпълнение</v>
      </c>
      <c r="H1551" s="1" t="str">
        <f ca="1">IFERROR(__xludf.DUMMYFUNCTION("GOOGLETRANSLATE(English!H1551, ""en"", ""bg"")"),"помощ_за_домашно_задаване")</f>
        <v>помощ_за_домашно_задаване</v>
      </c>
    </row>
    <row r="1552" spans="1:8" ht="13.2" x14ac:dyDescent="0.25">
      <c r="A1552" s="1" t="str">
        <f ca="1">IFERROR(__xludf.DUMMYFUNCTION("GOOGLETRANSLATE(English!A1552, ""en"", ""bg"")"),"conv_08148")</f>
        <v>conv_08148</v>
      </c>
      <c r="B1552" s="1" t="str">
        <f ca="1">IFERROR(__xludf.DUMMYFUNCTION("GOOGLETRANSLATE(English!B1552, ""en"", ""bg"")"),"химия")</f>
        <v>химия</v>
      </c>
      <c r="C1552" s="1" t="str">
        <f ca="1">IFERROR(__xludf.DUMMYFUNCTION("GOOGLETRANSLATE(English!C1552, ""en"", ""bg"")"),"средата")</f>
        <v>средата</v>
      </c>
      <c r="D1552" s="1" t="str">
        <f ca="1">IFERROR(__xludf.DUMMYFUNCTION("GOOGLETRANSLATE(English!D1552, ""en"", ""bg"")"),"киселини и основи")</f>
        <v>киселини и основи</v>
      </c>
      <c r="E1552" s="1" t="str">
        <f ca="1">IFERROR(__xludf.DUMMYFUNCTION("GOOGLETRANSLATE(English!E1552, ""en"", ""bg"")"),"Имам нужда от помощ с домашното. Как действат киселините и основите в химията?")</f>
        <v>Имам нужда от помощ с домашното. Как действат киселините и основите в химията?</v>
      </c>
      <c r="F1552" s="1" t="str">
        <f ca="1">IFERROR(__xludf.DUMMYFUNCTION("GOOGLETRANSLATE(English!F1552,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552" s="1" t="str">
        <f ca="1">IFERROR(__xludf.DUMMYFUNCTION("GOOGLETRANSLATE(English!G1552, ""en"", ""bg"")"),"разговор")</f>
        <v>разговор</v>
      </c>
      <c r="H1552" s="1" t="str">
        <f ca="1">IFERROR(__xludf.DUMMYFUNCTION("GOOGLETRANSLATE(English!H1552, ""en"", ""bg"")"),"образователна_помощ")</f>
        <v>образователна_помощ</v>
      </c>
    </row>
    <row r="1553" spans="1:8" ht="13.2" x14ac:dyDescent="0.25">
      <c r="A1553" s="1" t="str">
        <f ca="1">IFERROR(__xludf.DUMMYFUNCTION("GOOGLETRANSLATE(English!A1553, ""en"", ""bg"")"),"conv_04687")</f>
        <v>conv_04687</v>
      </c>
      <c r="B1553" s="1" t="str">
        <f ca="1">IFERROR(__xludf.DUMMYFUNCTION("GOOGLETRANSLATE(English!B1553, ""en"", ""bg"")"),"физика")</f>
        <v>физика</v>
      </c>
      <c r="C1553" s="1" t="str">
        <f ca="1">IFERROR(__xludf.DUMMYFUNCTION("GOOGLETRANSLATE(English!C1553, ""en"", ""bg"")"),"средата")</f>
        <v>средата</v>
      </c>
      <c r="D1553" s="1" t="str">
        <f ca="1">IFERROR(__xludf.DUMMYFUNCTION("GOOGLETRANSLATE(English!D1553, ""en"", ""bg"")"),"сили и движение")</f>
        <v>сили и движение</v>
      </c>
      <c r="E1553" s="1" t="str">
        <f ca="1">IFERROR(__xludf.DUMMYFUNCTION("GOOGLETRANSLATE(English!E1553, ""en"", ""bg"")"),"Имам научен въпрос. Как триенето влияе на движението?")</f>
        <v>Имам научен въпрос. Как триенето влияе на движението?</v>
      </c>
      <c r="F1553" s="1" t="str">
        <f ca="1">IFERROR(__xludf.DUMMYFUNCTION("GOOGLETRANSLATE(English!F1553,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1553" s="1" t="str">
        <f ca="1">IFERROR(__xludf.DUMMYFUNCTION("GOOGLETRANSLATE(English!G1553, ""en"", ""bg"")"),"разговор")</f>
        <v>разговор</v>
      </c>
      <c r="H1553" s="1" t="str">
        <f ca="1">IFERROR(__xludf.DUMMYFUNCTION("GOOGLETRANSLATE(English!H1553, ""en"", ""bg"")"),"образователна_помощ")</f>
        <v>образователна_помощ</v>
      </c>
    </row>
    <row r="1554" spans="1:8" ht="13.2" x14ac:dyDescent="0.25">
      <c r="A1554" s="1" t="str">
        <f ca="1">IFERROR(__xludf.DUMMYFUNCTION("GOOGLETRANSLATE(English!A1554, ""en"", ""bg"")"),"qa_05266")</f>
        <v>qa_05266</v>
      </c>
      <c r="B1554" s="1" t="str">
        <f ca="1">IFERROR(__xludf.DUMMYFUNCTION("GOOGLETRANSLATE(English!B1554, ""en"", ""bg"")"),"физика")</f>
        <v>физика</v>
      </c>
      <c r="C1554" s="1" t="str">
        <f ca="1">IFERROR(__xludf.DUMMYFUNCTION("GOOGLETRANSLATE(English!C1554, ""en"", ""bg"")"),"средата")</f>
        <v>средата</v>
      </c>
      <c r="D1554" s="1" t="str">
        <f ca="1">IFERROR(__xludf.DUMMYFUNCTION("GOOGLETRANSLATE(English!D1554, ""en"", ""bg"")"),"прости схеми")</f>
        <v>прости схеми</v>
      </c>
      <c r="E1554" s="1" t="str">
        <f ca="1">IFERROR(__xludf.DUMMYFUNCTION("GOOGLETRANSLATE(English!E1554, ""en"", ""bg"")"),"Какво трябва да знам за прости електрически вериги?")</f>
        <v>Какво трябва да знам за прости електрически вериги?</v>
      </c>
      <c r="F1554" s="1" t="str">
        <f ca="1">IFERROR(__xludf.DUMMYFUNCTION("GOOGLETRANSLATE(English!F1554,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1554" s="1" t="str">
        <f ca="1">IFERROR(__xludf.DUMMYFUNCTION("GOOGLETRANSLATE(English!G1554, ""en"", ""bg"")"),"direct_qa")</f>
        <v>direct_qa</v>
      </c>
      <c r="H1554" s="1" t="str">
        <f ca="1">IFERROR(__xludf.DUMMYFUNCTION("GOOGLETRANSLATE(English!H1554, ""en"", ""bg"")"),"заявка_за_знание")</f>
        <v>заявка_за_знание</v>
      </c>
    </row>
    <row r="1555" spans="1:8" ht="13.2" x14ac:dyDescent="0.25">
      <c r="A1555" s="1" t="str">
        <f ca="1">IFERROR(__xludf.DUMMYFUNCTION("GOOGLETRANSLATE(English!A1555, ""en"", ""bg"")"),"conv_19385")</f>
        <v>conv_19385</v>
      </c>
      <c r="B1555" s="1" t="str">
        <f ca="1">IFERROR(__xludf.DUMMYFUNCTION("GOOGLETRANSLATE(English!B1555, ""en"", ""bg"")"),"химия")</f>
        <v>химия</v>
      </c>
      <c r="C1555" s="1" t="str">
        <f ca="1">IFERROR(__xludf.DUMMYFUNCTION("GOOGLETRANSLATE(English!C1555, ""en"", ""bg"")"),"средата")</f>
        <v>средата</v>
      </c>
      <c r="D1555" s="1" t="str">
        <f ca="1">IFERROR(__xludf.DUMMYFUNCTION("GOOGLETRANSLATE(English!D1555, ""en"", ""bg"")"),"атоми и молекули")</f>
        <v>атоми и молекули</v>
      </c>
      <c r="E1555" s="1" t="str">
        <f ca="1">IFERROR(__xludf.DUMMYFUNCTION("GOOGLETRANSLATE(English!E1555, ""en"", ""bg"")"),"Помогнете ми да уча за теста. От какви части се състои атомът?")</f>
        <v>Помогнете ми да уча за теста. От какви части се състои атомът?</v>
      </c>
      <c r="F1555" s="1" t="str">
        <f ca="1">IFERROR(__xludf.DUMMYFUNCTION("GOOGLETRANSLATE(English!F1555,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1555" s="1" t="str">
        <f ca="1">IFERROR(__xludf.DUMMYFUNCTION("GOOGLETRANSLATE(English!G1555, ""en"", ""bg"")"),"разговор")</f>
        <v>разговор</v>
      </c>
      <c r="H1555" s="1" t="str">
        <f ca="1">IFERROR(__xludf.DUMMYFUNCTION("GOOGLETRANSLATE(English!H1555, ""en"", ""bg"")"),"образователна_помощ")</f>
        <v>образователна_помощ</v>
      </c>
    </row>
    <row r="1556" spans="1:8" ht="13.2" x14ac:dyDescent="0.25">
      <c r="A1556" s="1" t="str">
        <f ca="1">IFERROR(__xludf.DUMMYFUNCTION("GOOGLETRANSLATE(English!A1556, ""en"", ""bg"")"),"hw_06838")</f>
        <v>hw_06838</v>
      </c>
      <c r="B1556" s="1" t="str">
        <f ca="1">IFERROR(__xludf.DUMMYFUNCTION("GOOGLETRANSLATE(English!B1556, ""en"", ""bg"")"),"физика")</f>
        <v>физика</v>
      </c>
      <c r="C1556" s="1" t="str">
        <f ca="1">IFERROR(__xludf.DUMMYFUNCTION("GOOGLETRANSLATE(English!C1556, ""en"", ""bg"")"),"високо")</f>
        <v>високо</v>
      </c>
      <c r="D1556" s="1" t="str">
        <f ca="1">IFERROR(__xludf.DUMMYFUNCTION("GOOGLETRANSLATE(English!D1556, ""en"", ""bg"")"),"електромагнетизъм")</f>
        <v>електромагнетизъм</v>
      </c>
      <c r="E1556" s="1" t="str">
        <f ca="1">IFERROR(__xludf.DUMMYFUNCTION("GOOGLETRANSLATE(English!E1556, ""en"", ""bg"")"),"Заседнал съм с този проблем с електромагнетизма. Можете ли да помогнете?")</f>
        <v>Заседнал съм с този проблем с електромагнетизма. Можете ли да помогнете?</v>
      </c>
      <c r="F1556" s="1" t="str">
        <f ca="1">IFERROR(__xludf.DUMMYFUNCTION("GOOGLETRANSLATE(English!F1556,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1556" s="1" t="str">
        <f ca="1">IFERROR(__xludf.DUMMYFUNCTION("GOOGLETRANSLATE(English!G1556, ""en"", ""bg"")"),"помощ_за_домашно_изпълнение")</f>
        <v>помощ_за_домашно_изпълнение</v>
      </c>
      <c r="H1556" s="1" t="str">
        <f ca="1">IFERROR(__xludf.DUMMYFUNCTION("GOOGLETRANSLATE(English!H1556, ""en"", ""bg"")"),"помощ_за_домашно_задаване")</f>
        <v>помощ_за_домашно_задаване</v>
      </c>
    </row>
    <row r="1557" spans="1:8" ht="13.2" x14ac:dyDescent="0.25">
      <c r="A1557" s="1" t="str">
        <f ca="1">IFERROR(__xludf.DUMMYFUNCTION("GOOGLETRANSLATE(English!A1557, ""en"", ""bg"")"),"conv_12140")</f>
        <v>conv_12140</v>
      </c>
      <c r="B1557" s="1" t="str">
        <f ca="1">IFERROR(__xludf.DUMMYFUNCTION("GOOGLETRANSLATE(English!B1557, ""en"", ""bg"")"),"физика")</f>
        <v>физика</v>
      </c>
      <c r="C1557" s="1" t="str">
        <f ca="1">IFERROR(__xludf.DUMMYFUNCTION("GOOGLETRANSLATE(English!C1557, ""en"", ""bg"")"),"средата")</f>
        <v>средата</v>
      </c>
      <c r="D1557" s="1" t="str">
        <f ca="1">IFERROR(__xludf.DUMMYFUNCTION("GOOGLETRANSLATE(English!D1557, ""en"", ""bg"")"),"сили и движение")</f>
        <v>сили и движение</v>
      </c>
      <c r="E1557" s="1" t="str">
        <f ca="1">IFERROR(__xludf.DUMMYFUNCTION("GOOGLETRANSLATE(English!E1557, ""en"", ""bg"")"),"Имам научен въпрос. Какво е ускорение?")</f>
        <v>Имам научен въпрос. Какво е ускорение?</v>
      </c>
      <c r="F1557" s="1" t="str">
        <f ca="1">IFERROR(__xludf.DUMMYFUNCTION("GOOGLETRANSLATE(English!F1557,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1557" s="1" t="str">
        <f ca="1">IFERROR(__xludf.DUMMYFUNCTION("GOOGLETRANSLATE(English!G1557, ""en"", ""bg"")"),"разговор")</f>
        <v>разговор</v>
      </c>
      <c r="H1557" s="1" t="str">
        <f ca="1">IFERROR(__xludf.DUMMYFUNCTION("GOOGLETRANSLATE(English!H1557, ""en"", ""bg"")"),"образователна_помощ")</f>
        <v>образователна_помощ</v>
      </c>
    </row>
    <row r="1558" spans="1:8" ht="13.2" x14ac:dyDescent="0.25">
      <c r="A1558" s="1" t="str">
        <f ca="1">IFERROR(__xludf.DUMMYFUNCTION("GOOGLETRANSLATE(English!A1558, ""en"", ""bg"")"),"hw_06438")</f>
        <v>hw_06438</v>
      </c>
      <c r="B1558" s="1" t="str">
        <f ca="1">IFERROR(__xludf.DUMMYFUNCTION("GOOGLETRANSLATE(English!B1558, ""en"", ""bg"")"),"физика")</f>
        <v>физика</v>
      </c>
      <c r="C1558" s="1" t="str">
        <f ca="1">IFERROR(__xludf.DUMMYFUNCTION("GOOGLETRANSLATE(English!C1558, ""en"", ""bg"")"),"средата")</f>
        <v>средата</v>
      </c>
      <c r="D1558" s="1" t="str">
        <f ca="1">IFERROR(__xludf.DUMMYFUNCTION("GOOGLETRANSLATE(English!D1558, ""en"", ""bg"")"),"сили и движение")</f>
        <v>сили и движение</v>
      </c>
      <c r="E1558" s="1" t="str">
        <f ca="1">IFERROR(__xludf.DUMMYFUNCTION("GOOGLETRANSLATE(English!E1558, ""en"", ""bg"")"),"Можете ли да решите тази задача за сили и движение с мен?")</f>
        <v>Можете ли да решите тази задача за сили и движение с мен?</v>
      </c>
      <c r="F1558" s="1" t="str">
        <f ca="1">IFERROR(__xludf.DUMMYFUNCTION("GOOGLETRANSLATE(English!F1558,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1558" s="1" t="str">
        <f ca="1">IFERROR(__xludf.DUMMYFUNCTION("GOOGLETRANSLATE(English!G1558, ""en"", ""bg"")"),"помощ_за_домашно_изпълнение")</f>
        <v>помощ_за_домашно_изпълнение</v>
      </c>
      <c r="H1558" s="1" t="str">
        <f ca="1">IFERROR(__xludf.DUMMYFUNCTION("GOOGLETRANSLATE(English!H1558, ""en"", ""bg"")"),"помощ_за_домашно_задаване")</f>
        <v>помощ_за_домашно_задаване</v>
      </c>
    </row>
    <row r="1559" spans="1:8" ht="13.2" x14ac:dyDescent="0.25">
      <c r="A1559" s="1" t="str">
        <f ca="1">IFERROR(__xludf.DUMMYFUNCTION("GOOGLETRANSLATE(English!A1559, ""en"", ""bg"")"),"hw_00730")</f>
        <v>hw_00730</v>
      </c>
      <c r="B1559" s="1" t="str">
        <f ca="1">IFERROR(__xludf.DUMMYFUNCTION("GOOGLETRANSLATE(English!B1559, ""en"", ""bg"")"),"химия")</f>
        <v>химия</v>
      </c>
      <c r="C1559" s="1" t="str">
        <f ca="1">IFERROR(__xludf.DUMMYFUNCTION("GOOGLETRANSLATE(English!C1559, ""en"", ""bg"")"),"средата")</f>
        <v>средата</v>
      </c>
      <c r="D1559" s="1" t="str">
        <f ca="1">IFERROR(__xludf.DUMMYFUNCTION("GOOGLETRANSLATE(English!D1559, ""en"", ""bg"")"),"атоми и молекули")</f>
        <v>атоми и молекули</v>
      </c>
      <c r="E1559" s="1" t="str">
        <f ca="1">IFERROR(__xludf.DUMMYFUNCTION("GOOGLETRANSLATE(English!E1559, ""en"", ""bg"")"),"Затруднявам се с атомите и молекулите в домашното си.")</f>
        <v>Затруднявам се с атомите и молекулите в домашното си.</v>
      </c>
      <c r="F1559" s="1" t="str">
        <f ca="1">IFERROR(__xludf.DUMMYFUNCTION("GOOGLETRANSLATE(English!F1559,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1559" s="1" t="str">
        <f ca="1">IFERROR(__xludf.DUMMYFUNCTION("GOOGLETRANSLATE(English!G1559, ""en"", ""bg"")"),"помощ_за_домашно_изпълнение")</f>
        <v>помощ_за_домашно_изпълнение</v>
      </c>
      <c r="H1559" s="1" t="str">
        <f ca="1">IFERROR(__xludf.DUMMYFUNCTION("GOOGLETRANSLATE(English!H1559, ""en"", ""bg"")"),"помощ_за_домашно_задаване")</f>
        <v>помощ_за_домашно_задаване</v>
      </c>
    </row>
    <row r="1560" spans="1:8" ht="13.2" x14ac:dyDescent="0.25">
      <c r="A1560" s="1" t="str">
        <f ca="1">IFERROR(__xludf.DUMMYFUNCTION("GOOGLETRANSLATE(English!A1560, ""en"", ""bg"")"),"conv_17502")</f>
        <v>conv_17502</v>
      </c>
      <c r="B1560" s="1" t="str">
        <f ca="1">IFERROR(__xludf.DUMMYFUNCTION("GOOGLETRANSLATE(English!B1560, ""en"", ""bg"")"),"химия")</f>
        <v>химия</v>
      </c>
      <c r="C1560" s="1" t="str">
        <f ca="1">IFERROR(__xludf.DUMMYFUNCTION("GOOGLETRANSLATE(English!C1560, ""en"", ""bg"")"),"елементарен")</f>
        <v>елементарен</v>
      </c>
      <c r="D1560" s="1" t="str">
        <f ca="1">IFERROR(__xludf.DUMMYFUNCTION("GOOGLETRANSLATE(English!D1560, ""en"", ""bg"")"),"ежедневни химикали")</f>
        <v>ежедневни химикали</v>
      </c>
      <c r="E1560" s="1" t="str">
        <f ca="1">IFERROR(__xludf.DUMMYFUNCTION("GOOGLETRANSLATE(English!E1560, ""en"", ""bg"")"),"Имам научен въпрос. Как действат ежедневните химикали в химията?")</f>
        <v>Имам научен въпрос. Как действат ежедневните химикали в химията?</v>
      </c>
      <c r="F1560" s="1" t="str">
        <f ca="1">IFERROR(__xludf.DUMMYFUNCTION("GOOGLETRANSLATE(English!F1560,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1560" s="1" t="str">
        <f ca="1">IFERROR(__xludf.DUMMYFUNCTION("GOOGLETRANSLATE(English!G1560, ""en"", ""bg"")"),"разговор")</f>
        <v>разговор</v>
      </c>
      <c r="H1560" s="1" t="str">
        <f ca="1">IFERROR(__xludf.DUMMYFUNCTION("GOOGLETRANSLATE(English!H1560, ""en"", ""bg"")"),"образователна_помощ")</f>
        <v>образователна_помощ</v>
      </c>
    </row>
    <row r="1561" spans="1:8" ht="13.2" x14ac:dyDescent="0.25">
      <c r="A1561" s="1" t="str">
        <f ca="1">IFERROR(__xludf.DUMMYFUNCTION("GOOGLETRANSLATE(English!A1561, ""en"", ""bg"")"),"hw_06939")</f>
        <v>hw_06939</v>
      </c>
      <c r="B1561" s="1" t="str">
        <f ca="1">IFERROR(__xludf.DUMMYFUNCTION("GOOGLETRANSLATE(English!B1561, ""en"", ""bg"")"),"химия")</f>
        <v>химия</v>
      </c>
      <c r="C1561" s="1" t="str">
        <f ca="1">IFERROR(__xludf.DUMMYFUNCTION("GOOGLETRANSLATE(English!C1561, ""en"", ""bg"")"),"средата")</f>
        <v>средата</v>
      </c>
      <c r="D1561" s="1" t="str">
        <f ca="1">IFERROR(__xludf.DUMMYFUNCTION("GOOGLETRANSLATE(English!D1561, ""en"", ""bg"")"),"киселини и основи")</f>
        <v>киселини и основи</v>
      </c>
      <c r="E1561" s="1" t="str">
        <f ca="1">IFERROR(__xludf.DUMMYFUNCTION("GOOGLETRANSLATE(English!E1561,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1561" s="1" t="str">
        <f ca="1">IFERROR(__xludf.DUMMYFUNCTION("GOOGLETRANSLATE(English!F1561,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1561" s="1" t="str">
        <f ca="1">IFERROR(__xludf.DUMMYFUNCTION("GOOGLETRANSLATE(English!G1561, ""en"", ""bg"")"),"помощ_за_домашно_изпълнение")</f>
        <v>помощ_за_домашно_изпълнение</v>
      </c>
      <c r="H1561" s="1" t="str">
        <f ca="1">IFERROR(__xludf.DUMMYFUNCTION("GOOGLETRANSLATE(English!H1561, ""en"", ""bg"")"),"помощ_за_домашно_задаване")</f>
        <v>помощ_за_домашно_задаване</v>
      </c>
    </row>
    <row r="1562" spans="1:8" ht="13.2" x14ac:dyDescent="0.25">
      <c r="A1562" s="1" t="str">
        <f ca="1">IFERROR(__xludf.DUMMYFUNCTION("GOOGLETRANSLATE(English!A1562, ""en"", ""bg"")"),"hw_00057")</f>
        <v>hw_00057</v>
      </c>
      <c r="B1562" s="1" t="str">
        <f ca="1">IFERROR(__xludf.DUMMYFUNCTION("GOOGLETRANSLATE(English!B1562, ""en"", ""bg"")"),"химия")</f>
        <v>химия</v>
      </c>
      <c r="C1562" s="1" t="str">
        <f ca="1">IFERROR(__xludf.DUMMYFUNCTION("GOOGLETRANSLATE(English!C1562, ""en"", ""bg"")"),"средата")</f>
        <v>средата</v>
      </c>
      <c r="D1562" s="1" t="str">
        <f ca="1">IFERROR(__xludf.DUMMYFUNCTION("GOOGLETRANSLATE(English!D1562, ""en"", ""bg"")"),"химични промени")</f>
        <v>химични промени</v>
      </c>
      <c r="E1562" s="1" t="str">
        <f ca="1">IFERROR(__xludf.DUMMYFUNCTION("GOOGLETRANSLATE(English!E1562,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1562" s="1" t="str">
        <f ca="1">IFERROR(__xludf.DUMMYFUNCTION("GOOGLETRANSLATE(English!F1562,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1562" s="1" t="str">
        <f ca="1">IFERROR(__xludf.DUMMYFUNCTION("GOOGLETRANSLATE(English!G1562, ""en"", ""bg"")"),"помощ_за_домашно_изпълнение")</f>
        <v>помощ_за_домашно_изпълнение</v>
      </c>
      <c r="H1562" s="1" t="str">
        <f ca="1">IFERROR(__xludf.DUMMYFUNCTION("GOOGLETRANSLATE(English!H1562, ""en"", ""bg"")"),"помощ_за_домашно_задаване")</f>
        <v>помощ_за_домашно_задаване</v>
      </c>
    </row>
    <row r="1563" spans="1:8" ht="13.2" x14ac:dyDescent="0.25">
      <c r="A1563" s="1" t="str">
        <f ca="1">IFERROR(__xludf.DUMMYFUNCTION("GOOGLETRANSLATE(English!A1563, ""en"", ""bg"")"),"conv_00515")</f>
        <v>conv_00515</v>
      </c>
      <c r="B1563" s="1" t="str">
        <f ca="1">IFERROR(__xludf.DUMMYFUNCTION("GOOGLETRANSLATE(English!B1563, ""en"", ""bg"")"),"химия")</f>
        <v>химия</v>
      </c>
      <c r="C1563" s="1" t="str">
        <f ca="1">IFERROR(__xludf.DUMMYFUNCTION("GOOGLETRANSLATE(English!C1563, ""en"", ""bg"")"),"средата")</f>
        <v>средата</v>
      </c>
      <c r="D1563" s="1" t="str">
        <f ca="1">IFERROR(__xludf.DUMMYFUNCTION("GOOGLETRANSLATE(English!D1563, ""en"", ""bg"")"),"химични реакции")</f>
        <v>химични реакции</v>
      </c>
      <c r="E1563" s="1" t="str">
        <f ca="1">IFERROR(__xludf.DUMMYFUNCTION("GOOGLETRANSLATE(English!E1563, ""en"", ""bg"")"),"Здравей, преподавателю! Как разбираш дали е протекла химическа реакция?")</f>
        <v>Здравей, преподавателю! Как разбираш дали е протекла химическа реакция?</v>
      </c>
      <c r="F1563" s="1" t="str">
        <f ca="1">IFERROR(__xludf.DUMMYFUNCTION("GOOGLETRANSLATE(English!F1563,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563" s="1" t="str">
        <f ca="1">IFERROR(__xludf.DUMMYFUNCTION("GOOGLETRANSLATE(English!G1563, ""en"", ""bg"")"),"разговор")</f>
        <v>разговор</v>
      </c>
      <c r="H1563" s="1" t="str">
        <f ca="1">IFERROR(__xludf.DUMMYFUNCTION("GOOGLETRANSLATE(English!H1563, ""en"", ""bg"")"),"образователна_помощ")</f>
        <v>образователна_помощ</v>
      </c>
    </row>
    <row r="1564" spans="1:8" ht="13.2" x14ac:dyDescent="0.25">
      <c r="A1564" s="1" t="str">
        <f ca="1">IFERROR(__xludf.DUMMYFUNCTION("GOOGLETRANSLATE(English!A1564, ""en"", ""bg"")"),"conv_03682")</f>
        <v>conv_03682</v>
      </c>
      <c r="B1564" s="1" t="str">
        <f ca="1">IFERROR(__xludf.DUMMYFUNCTION("GOOGLETRANSLATE(English!B1564, ""en"", ""bg"")"),"химия")</f>
        <v>химия</v>
      </c>
      <c r="C1564" s="1" t="str">
        <f ca="1">IFERROR(__xludf.DUMMYFUNCTION("GOOGLETRANSLATE(English!C1564, ""en"", ""bg"")"),"високо")</f>
        <v>високо</v>
      </c>
      <c r="D1564" s="1" t="str">
        <f ca="1">IFERROR(__xludf.DUMMYFUNCTION("GOOGLETRANSLATE(English!D1564, ""en"", ""bg"")"),"скорости на реакция")</f>
        <v>скорости на реакция</v>
      </c>
      <c r="E1564" s="1" t="str">
        <f ca="1">IFERROR(__xludf.DUMMYFUNCTION("GOOGLETRANSLATE(English!E1564, ""en"", ""bg"")"),"Можете ли да ми помогнете? Можете ли да ми помогнете да разбера скоростта на реакциите?")</f>
        <v>Можете ли да ми помогнете? Можете ли да ми помогнете да разбера скоростта на реакциите?</v>
      </c>
      <c r="F1564" s="1" t="str">
        <f ca="1">IFERROR(__xludf.DUMMYFUNCTION("GOOGLETRANSLATE(English!F1564,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1564" s="1" t="str">
        <f ca="1">IFERROR(__xludf.DUMMYFUNCTION("GOOGLETRANSLATE(English!G1564, ""en"", ""bg"")"),"разговор")</f>
        <v>разговор</v>
      </c>
      <c r="H1564" s="1" t="str">
        <f ca="1">IFERROR(__xludf.DUMMYFUNCTION("GOOGLETRANSLATE(English!H1564, ""en"", ""bg"")"),"образователна_помощ")</f>
        <v>образователна_помощ</v>
      </c>
    </row>
    <row r="1565" spans="1:8" ht="13.2" x14ac:dyDescent="0.25">
      <c r="A1565" s="1" t="str">
        <f ca="1">IFERROR(__xludf.DUMMYFUNCTION("GOOGLETRANSLATE(English!A1565, ""en"", ""bg"")"),"hw_08057")</f>
        <v>hw_08057</v>
      </c>
      <c r="B1565" s="1" t="str">
        <f ca="1">IFERROR(__xludf.DUMMYFUNCTION("GOOGLETRANSLATE(English!B1565, ""en"", ""bg"")"),"химия")</f>
        <v>химия</v>
      </c>
      <c r="C1565" s="1" t="str">
        <f ca="1">IFERROR(__xludf.DUMMYFUNCTION("GOOGLETRANSLATE(English!C1565, ""en"", ""bg"")"),"елементарен")</f>
        <v>елементарен</v>
      </c>
      <c r="D1565" s="1" t="str">
        <f ca="1">IFERROR(__xludf.DUMMYFUNCTION("GOOGLETRANSLATE(English!D1565, ""en"", ""bg"")"),"твърди вещества, течности, газове")</f>
        <v>твърди вещества, течности, газове</v>
      </c>
      <c r="E1565" s="1" t="str">
        <f ca="1">IFERROR(__xludf.DUMMYFUNCTION("GOOGLETRANSLATE(English!E1565, ""en"", ""bg"")"),"Моят доклад по химия е за твърди вещества, течности, газове. Помогнете ми да разбера.")</f>
        <v>Моят доклад по химия е за твърди вещества, течности, газове. Помогнете ми да разбера.</v>
      </c>
      <c r="F1565" s="1" t="str">
        <f ca="1">IFERROR(__xludf.DUMMYFUNCTION("GOOGLETRANSLATE(English!F1565,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1565" s="1" t="str">
        <f ca="1">IFERROR(__xludf.DUMMYFUNCTION("GOOGLETRANSLATE(English!G1565, ""en"", ""bg"")"),"помощ_за_домашно_изпълнение")</f>
        <v>помощ_за_домашно_изпълнение</v>
      </c>
      <c r="H1565" s="1" t="str">
        <f ca="1">IFERROR(__xludf.DUMMYFUNCTION("GOOGLETRANSLATE(English!H1565, ""en"", ""bg"")"),"помощ_за_домашно_задаване")</f>
        <v>помощ_за_домашно_задаване</v>
      </c>
    </row>
    <row r="1566" spans="1:8" ht="13.2" x14ac:dyDescent="0.25">
      <c r="A1566" s="1" t="str">
        <f ca="1">IFERROR(__xludf.DUMMYFUNCTION("GOOGLETRANSLATE(English!A1566, ""en"", ""bg"")"),"hw_05216")</f>
        <v>hw_05216</v>
      </c>
      <c r="B1566" s="1" t="str">
        <f ca="1">IFERROR(__xludf.DUMMYFUNCTION("GOOGLETRANSLATE(English!B1566, ""en"", ""bg"")"),"физика")</f>
        <v>физика</v>
      </c>
      <c r="C1566" s="1" t="str">
        <f ca="1">IFERROR(__xludf.DUMMYFUNCTION("GOOGLETRANSLATE(English!C1566, ""en"", ""bg"")"),"средата")</f>
        <v>средата</v>
      </c>
      <c r="D1566" s="1" t="str">
        <f ca="1">IFERROR(__xludf.DUMMYFUNCTION("GOOGLETRANSLATE(English!D1566, ""en"", ""bg"")"),"видове енергия")</f>
        <v>видове енергия</v>
      </c>
      <c r="E1566" s="1" t="str">
        <f ca="1">IFERROR(__xludf.DUMMYFUNCTION("GOOGLETRANSLATE(English!E1566, ""en"", ""bg"")"),"Домашното ми по физика е за видовете енергия. Объркващо е!")</f>
        <v>Домашното ми по физика е за видовете енергия. Объркващо е!</v>
      </c>
      <c r="F1566" s="1" t="str">
        <f ca="1">IFERROR(__xludf.DUMMYFUNCTION("GOOGLETRANSLATE(English!F1566,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566" s="1" t="str">
        <f ca="1">IFERROR(__xludf.DUMMYFUNCTION("GOOGLETRANSLATE(English!G1566, ""en"", ""bg"")"),"помощ_за_домашно_изпълнение")</f>
        <v>помощ_за_домашно_изпълнение</v>
      </c>
      <c r="H1566" s="1" t="str">
        <f ca="1">IFERROR(__xludf.DUMMYFUNCTION("GOOGLETRANSLATE(English!H1566, ""en"", ""bg"")"),"помощ_за_домашно_задаване")</f>
        <v>помощ_за_домашно_задаване</v>
      </c>
    </row>
    <row r="1567" spans="1:8" ht="13.2" x14ac:dyDescent="0.25">
      <c r="A1567" s="1" t="str">
        <f ca="1">IFERROR(__xludf.DUMMYFUNCTION("GOOGLETRANSLATE(English!A1567, ""en"", ""bg"")"),"conv_07273")</f>
        <v>conv_07273</v>
      </c>
      <c r="B1567" s="1" t="str">
        <f ca="1">IFERROR(__xludf.DUMMYFUNCTION("GOOGLETRANSLATE(English!B1567, ""en"", ""bg"")"),"химия")</f>
        <v>химия</v>
      </c>
      <c r="C1567" s="1" t="str">
        <f ca="1">IFERROR(__xludf.DUMMYFUNCTION("GOOGLETRANSLATE(English!C1567, ""en"", ""bg"")"),"средата")</f>
        <v>средата</v>
      </c>
      <c r="D1567" s="1" t="str">
        <f ca="1">IFERROR(__xludf.DUMMYFUNCTION("GOOGLETRANSLATE(English!D1567, ""en"", ""bg"")"),"химични реакции")</f>
        <v>химични реакции</v>
      </c>
      <c r="E1567" s="1" t="str">
        <f ca="1">IFERROR(__xludf.DUMMYFUNCTION("GOOGLETRANSLATE(English!E1567, ""en"", ""bg"")"),"Здравей, преподавателю! Могат ли химичните реакции да бъдат обратими?")</f>
        <v>Здравей, преподавателю! Могат ли химичните реакции да бъдат обратими?</v>
      </c>
      <c r="F1567" s="1" t="str">
        <f ca="1">IFERROR(__xludf.DUMMYFUNCTION("GOOGLETRANSLATE(English!F1567,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567" s="1" t="str">
        <f ca="1">IFERROR(__xludf.DUMMYFUNCTION("GOOGLETRANSLATE(English!G1567, ""en"", ""bg"")"),"разговор")</f>
        <v>разговор</v>
      </c>
      <c r="H1567" s="1" t="str">
        <f ca="1">IFERROR(__xludf.DUMMYFUNCTION("GOOGLETRANSLATE(English!H1567, ""en"", ""bg"")"),"образователна_помощ")</f>
        <v>образователна_помощ</v>
      </c>
    </row>
    <row r="1568" spans="1:8" ht="13.2" x14ac:dyDescent="0.25">
      <c r="A1568" s="1" t="str">
        <f ca="1">IFERROR(__xludf.DUMMYFUNCTION("GOOGLETRANSLATE(English!A1568, ""en"", ""bg"")"),"hw_11844")</f>
        <v>hw_11844</v>
      </c>
      <c r="B1568" s="1" t="str">
        <f ca="1">IFERROR(__xludf.DUMMYFUNCTION("GOOGLETRANSLATE(English!B1568, ""en"", ""bg"")"),"биология")</f>
        <v>биология</v>
      </c>
      <c r="C1568" s="1" t="str">
        <f ca="1">IFERROR(__xludf.DUMMYFUNCTION("GOOGLETRANSLATE(English!C1568, ""en"", ""bg"")"),"високо")</f>
        <v>високо</v>
      </c>
      <c r="D1568" s="1" t="str">
        <f ca="1">IFERROR(__xludf.DUMMYFUNCTION("GOOGLETRANSLATE(English!D1568, ""en"", ""bg"")"),"митоза и мейоза")</f>
        <v>митоза и мейоза</v>
      </c>
      <c r="E1568" s="1" t="str">
        <f ca="1">IFERROR(__xludf.DUMMYFUNCTION("GOOGLETRANSLATE(English!E1568, ""en"", ""bg"")"),"Можете ли да обясните митозата и мейозата за моя научен проект?")</f>
        <v>Можете ли да обясните митозата и мейозата за моя научен проект?</v>
      </c>
      <c r="F1568" s="1" t="str">
        <f ca="1">IFERROR(__xludf.DUMMYFUNCTION("GOOGLETRANSLATE(English!F1568,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568" s="1" t="str">
        <f ca="1">IFERROR(__xludf.DUMMYFUNCTION("GOOGLETRANSLATE(English!G1568, ""en"", ""bg"")"),"помощ_за_домашно_изпълнение")</f>
        <v>помощ_за_домашно_изпълнение</v>
      </c>
      <c r="H1568" s="1" t="str">
        <f ca="1">IFERROR(__xludf.DUMMYFUNCTION("GOOGLETRANSLATE(English!H1568, ""en"", ""bg"")"),"помощ_за_домашно_задаване")</f>
        <v>помощ_за_домашно_задаване</v>
      </c>
    </row>
    <row r="1569" spans="1:8" ht="13.2" x14ac:dyDescent="0.25">
      <c r="A1569" s="1" t="str">
        <f ca="1">IFERROR(__xludf.DUMMYFUNCTION("GOOGLETRANSLATE(English!A1569, ""en"", ""bg"")"),"qa_07625")</f>
        <v>qa_07625</v>
      </c>
      <c r="B1569" s="1" t="str">
        <f ca="1">IFERROR(__xludf.DUMMYFUNCTION("GOOGLETRANSLATE(English!B1569, ""en"", ""bg"")"),"биология")</f>
        <v>биология</v>
      </c>
      <c r="C1569" s="1" t="str">
        <f ca="1">IFERROR(__xludf.DUMMYFUNCTION("GOOGLETRANSLATE(English!C1569, ""en"", ""bg"")"),"високо")</f>
        <v>високо</v>
      </c>
      <c r="D1569" s="1" t="str">
        <f ca="1">IFERROR(__xludf.DUMMYFUNCTION("GOOGLETRANSLATE(English!D1569, ""en"", ""bg"")"),"митоза и мейоза")</f>
        <v>митоза и мейоза</v>
      </c>
      <c r="E1569" s="1" t="str">
        <f ca="1">IFERROR(__xludf.DUMMYFUNCTION("GOOGLETRANSLATE(English!E1569, ""en"", ""bg"")"),"Защо митозата и мейозата са важни в биологията?")</f>
        <v>Защо митозата и мейозата са важни в биологията?</v>
      </c>
      <c r="F1569" s="1" t="str">
        <f ca="1">IFERROR(__xludf.DUMMYFUNCTION("GOOGLETRANSLATE(English!F1569,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1569" s="1" t="str">
        <f ca="1">IFERROR(__xludf.DUMMYFUNCTION("GOOGLETRANSLATE(English!G1569, ""en"", ""bg"")"),"direct_qa")</f>
        <v>direct_qa</v>
      </c>
      <c r="H1569" s="1" t="str">
        <f ca="1">IFERROR(__xludf.DUMMYFUNCTION("GOOGLETRANSLATE(English!H1569, ""en"", ""bg"")"),"заявка_за_знание")</f>
        <v>заявка_за_знание</v>
      </c>
    </row>
    <row r="1570" spans="1:8" ht="13.2" x14ac:dyDescent="0.25">
      <c r="A1570" s="1" t="str">
        <f ca="1">IFERROR(__xludf.DUMMYFUNCTION("GOOGLETRANSLATE(English!A1570, ""en"", ""bg"")"),"conv_14980")</f>
        <v>conv_14980</v>
      </c>
      <c r="B1570" s="1" t="str">
        <f ca="1">IFERROR(__xludf.DUMMYFUNCTION("GOOGLETRANSLATE(English!B1570, ""en"", ""bg"")"),"физика")</f>
        <v>физика</v>
      </c>
      <c r="C1570" s="1" t="str">
        <f ca="1">IFERROR(__xludf.DUMMYFUNCTION("GOOGLETRANSLATE(English!C1570, ""en"", ""bg"")"),"високо")</f>
        <v>високо</v>
      </c>
      <c r="D1570" s="1" t="str">
        <f ca="1">IFERROR(__xludf.DUMMYFUNCTION("GOOGLETRANSLATE(English!D1570, ""en"", ""bg"")"),"радиоактивност")</f>
        <v>радиоактивност</v>
      </c>
      <c r="E1570" s="1" t="str">
        <f ca="1">IFERROR(__xludf.DUMMYFUNCTION("GOOGLETRANSLATE(English!E1570, ""en"", ""bg"")"),"Не разбирам тази тема. Защо радиоактивността е важна?")</f>
        <v>Не разбирам тази тема. Защо радиоактивността е важна?</v>
      </c>
      <c r="F1570" s="1" t="str">
        <f ca="1">IFERROR(__xludf.DUMMYFUNCTION("GOOGLETRANSLATE(English!F1570,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1570" s="1" t="str">
        <f ca="1">IFERROR(__xludf.DUMMYFUNCTION("GOOGLETRANSLATE(English!G1570, ""en"", ""bg"")"),"разговор")</f>
        <v>разговор</v>
      </c>
      <c r="H1570" s="1" t="str">
        <f ca="1">IFERROR(__xludf.DUMMYFUNCTION("GOOGLETRANSLATE(English!H1570, ""en"", ""bg"")"),"образователна_помощ")</f>
        <v>образователна_помощ</v>
      </c>
    </row>
    <row r="1571" spans="1:8" ht="13.2" x14ac:dyDescent="0.25">
      <c r="A1571" s="1" t="str">
        <f ca="1">IFERROR(__xludf.DUMMYFUNCTION("GOOGLETRANSLATE(English!A1571, ""en"", ""bg"")"),"qa_03820")</f>
        <v>qa_03820</v>
      </c>
      <c r="B1571" s="1" t="str">
        <f ca="1">IFERROR(__xludf.DUMMYFUNCTION("GOOGLETRANSLATE(English!B1571, ""en"", ""bg"")"),"физика")</f>
        <v>физика</v>
      </c>
      <c r="C1571" s="1" t="str">
        <f ca="1">IFERROR(__xludf.DUMMYFUNCTION("GOOGLETRANSLATE(English!C1571, ""en"", ""bg"")"),"елементарен")</f>
        <v>елементарен</v>
      </c>
      <c r="D1571" s="1" t="str">
        <f ca="1">IFERROR(__xludf.DUMMYFUNCTION("GOOGLETRANSLATE(English!D1571, ""en"", ""bg"")"),"магнити")</f>
        <v>магнити</v>
      </c>
      <c r="E1571" s="1" t="str">
        <f ca="1">IFERROR(__xludf.DUMMYFUNCTION("GOOGLETRANSLATE(English!E1571, ""en"", ""bg"")"),"Как работят магнитите?")</f>
        <v>Как работят магнитите?</v>
      </c>
      <c r="F1571" s="1" t="str">
        <f ca="1">IFERROR(__xludf.DUMMYFUNCTION("GOOGLETRANSLATE(English!F1571,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1571" s="1" t="str">
        <f ca="1">IFERROR(__xludf.DUMMYFUNCTION("GOOGLETRANSLATE(English!G1571, ""en"", ""bg"")"),"direct_qa")</f>
        <v>direct_qa</v>
      </c>
      <c r="H1571" s="1" t="str">
        <f ca="1">IFERROR(__xludf.DUMMYFUNCTION("GOOGLETRANSLATE(English!H1571, ""en"", ""bg"")"),"заявка_за_знание")</f>
        <v>заявка_за_знание</v>
      </c>
    </row>
    <row r="1572" spans="1:8" ht="13.2" x14ac:dyDescent="0.25">
      <c r="A1572" s="1" t="str">
        <f ca="1">IFERROR(__xludf.DUMMYFUNCTION("GOOGLETRANSLATE(English!A1572, ""en"", ""bg"")"),"conv_16358")</f>
        <v>conv_16358</v>
      </c>
      <c r="B1572" s="1" t="str">
        <f ca="1">IFERROR(__xludf.DUMMYFUNCTION("GOOGLETRANSLATE(English!B1572, ""en"", ""bg"")"),"биология")</f>
        <v>биология</v>
      </c>
      <c r="C1572" s="1" t="str">
        <f ca="1">IFERROR(__xludf.DUMMYFUNCTION("GOOGLETRANSLATE(English!C1572, ""en"", ""bg"")"),"елементарен")</f>
        <v>елементарен</v>
      </c>
      <c r="D1572" s="1" t="str">
        <f ca="1">IFERROR(__xludf.DUMMYFUNCTION("GOOGLETRANSLATE(English!D1572, ""en"", ""bg"")"),"жизнени цикли")</f>
        <v>жизнени цикли</v>
      </c>
      <c r="E1572" s="1" t="str">
        <f ca="1">IFERROR(__xludf.DUMMYFUNCTION("GOOGLETRANSLATE(English!E1572, ""en"", ""bg"")"),"Помогнете ми да уча за теста. Можете ли да ми разкажете за жизнените цикли?")</f>
        <v>Помогнете ми да уча за теста. Можете ли да ми разкажете за жизнените цикли?</v>
      </c>
      <c r="F1572" s="1" t="str">
        <f ca="1">IFERROR(__xludf.DUMMYFUNCTION("GOOGLETRANSLATE(English!F1572,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1572" s="1" t="str">
        <f ca="1">IFERROR(__xludf.DUMMYFUNCTION("GOOGLETRANSLATE(English!G1572, ""en"", ""bg"")"),"разговор")</f>
        <v>разговор</v>
      </c>
      <c r="H1572" s="1" t="str">
        <f ca="1">IFERROR(__xludf.DUMMYFUNCTION("GOOGLETRANSLATE(English!H1572, ""en"", ""bg"")"),"образователна_помощ")</f>
        <v>образователна_помощ</v>
      </c>
    </row>
    <row r="1573" spans="1:8" ht="13.2" x14ac:dyDescent="0.25">
      <c r="A1573" s="1" t="str">
        <f ca="1">IFERROR(__xludf.DUMMYFUNCTION("GOOGLETRANSLATE(English!A1573, ""en"", ""bg"")"),"conv_08002")</f>
        <v>conv_08002</v>
      </c>
      <c r="B1573" s="1" t="str">
        <f ca="1">IFERROR(__xludf.DUMMYFUNCTION("GOOGLETRANSLATE(English!B1573, ""en"", ""bg"")"),"биология")</f>
        <v>биология</v>
      </c>
      <c r="C1573" s="1" t="str">
        <f ca="1">IFERROR(__xludf.DUMMYFUNCTION("GOOGLETRANSLATE(English!C1573, ""en"", ""bg"")"),"високо")</f>
        <v>високо</v>
      </c>
      <c r="D1573" s="1" t="str">
        <f ca="1">IFERROR(__xludf.DUMMYFUNCTION("GOOGLETRANSLATE(English!D1573, ""en"", ""bg"")"),"модели на наследяване")</f>
        <v>модели на наследяване</v>
      </c>
      <c r="E1573" s="1" t="str">
        <f ca="1">IFERROR(__xludf.DUMMYFUNCTION("GOOGLETRANSLATE(English!E1573, ""en"", ""bg"")"),"Можете ли да ми помогнете? Как работят моделите на наследяване?")</f>
        <v>Можете ли да ми помогнете? Как работят моделите на наследяване?</v>
      </c>
      <c r="F1573" s="1" t="str">
        <f ca="1">IFERROR(__xludf.DUMMYFUNCTION("GOOGLETRANSLATE(English!F1573,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1573" s="1" t="str">
        <f ca="1">IFERROR(__xludf.DUMMYFUNCTION("GOOGLETRANSLATE(English!G1573, ""en"", ""bg"")"),"разговор")</f>
        <v>разговор</v>
      </c>
      <c r="H1573" s="1" t="str">
        <f ca="1">IFERROR(__xludf.DUMMYFUNCTION("GOOGLETRANSLATE(English!H1573, ""en"", ""bg"")"),"образователна_помощ")</f>
        <v>образователна_помощ</v>
      </c>
    </row>
    <row r="1574" spans="1:8" ht="13.2" x14ac:dyDescent="0.25">
      <c r="A1574" s="1" t="str">
        <f ca="1">IFERROR(__xludf.DUMMYFUNCTION("GOOGLETRANSLATE(English!A1574, ""en"", ""bg"")"),"qa_00544")</f>
        <v>qa_00544</v>
      </c>
      <c r="B1574" s="1" t="str">
        <f ca="1">IFERROR(__xludf.DUMMYFUNCTION("GOOGLETRANSLATE(English!B1574, ""en"", ""bg"")"),"химия")</f>
        <v>химия</v>
      </c>
      <c r="C1574" s="1" t="str">
        <f ca="1">IFERROR(__xludf.DUMMYFUNCTION("GOOGLETRANSLATE(English!C1574, ""en"", ""bg"")"),"високо")</f>
        <v>високо</v>
      </c>
      <c r="D1574" s="1" t="str">
        <f ca="1">IFERROR(__xludf.DUMMYFUNCTION("GOOGLETRANSLATE(English!D1574, ""en"", ""bg"")"),"електрохимия")</f>
        <v>електрохимия</v>
      </c>
      <c r="E1574" s="1" t="str">
        <f ca="1">IFERROR(__xludf.DUMMYFUNCTION("GOOGLETRANSLATE(English!E1574, ""en"", ""bg"")"),"Как работи електрохимията в химията?")</f>
        <v>Как работи електрохимията в химията?</v>
      </c>
      <c r="F1574" s="1" t="str">
        <f ca="1">IFERROR(__xludf.DUMMYFUNCTION("GOOGLETRANSLATE(English!F1574,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1574" s="1" t="str">
        <f ca="1">IFERROR(__xludf.DUMMYFUNCTION("GOOGLETRANSLATE(English!G1574, ""en"", ""bg"")"),"direct_qa")</f>
        <v>direct_qa</v>
      </c>
      <c r="H1574" s="1" t="str">
        <f ca="1">IFERROR(__xludf.DUMMYFUNCTION("GOOGLETRANSLATE(English!H1574, ""en"", ""bg"")"),"заявка_за_знание")</f>
        <v>заявка_за_знание</v>
      </c>
    </row>
    <row r="1575" spans="1:8" ht="13.2" x14ac:dyDescent="0.25">
      <c r="A1575" s="1" t="str">
        <f ca="1">IFERROR(__xludf.DUMMYFUNCTION("GOOGLETRANSLATE(English!A1575, ""en"", ""bg"")"),"hw_13784")</f>
        <v>hw_13784</v>
      </c>
      <c r="B1575" s="1" t="str">
        <f ca="1">IFERROR(__xludf.DUMMYFUNCTION("GOOGLETRANSLATE(English!B1575, ""en"", ""bg"")"),"химия")</f>
        <v>химия</v>
      </c>
      <c r="C1575" s="1" t="str">
        <f ca="1">IFERROR(__xludf.DUMMYFUNCTION("GOOGLETRANSLATE(English!C1575, ""en"", ""bg"")"),"високо")</f>
        <v>високо</v>
      </c>
      <c r="D1575" s="1" t="str">
        <f ca="1">IFERROR(__xludf.DUMMYFUNCTION("GOOGLETRANSLATE(English!D1575, ""en"", ""bg"")"),"скорости на реакция")</f>
        <v>скорости на реакция</v>
      </c>
      <c r="E1575" s="1" t="str">
        <f ca="1">IFERROR(__xludf.DUMMYFUNCTION("GOOGLETRANSLATE(English!E1575, ""en"", ""bg"")"),"Не разбирам тази концепция за скоростта на реакцията. Моля, обяснете!")</f>
        <v>Не разбирам тази концепция за скоростта на реакцията. Моля, обяснете!</v>
      </c>
      <c r="F1575" s="1" t="str">
        <f ca="1">IFERROR(__xludf.DUMMYFUNCTION("GOOGLETRANSLATE(English!F1575,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1575" s="1" t="str">
        <f ca="1">IFERROR(__xludf.DUMMYFUNCTION("GOOGLETRANSLATE(English!G1575, ""en"", ""bg"")"),"помощ_за_домашно_изпълнение")</f>
        <v>помощ_за_домашно_изпълнение</v>
      </c>
      <c r="H1575" s="1" t="str">
        <f ca="1">IFERROR(__xludf.DUMMYFUNCTION("GOOGLETRANSLATE(English!H1575, ""en"", ""bg"")"),"помощ_за_домашно_задаване")</f>
        <v>помощ_за_домашно_задаване</v>
      </c>
    </row>
    <row r="1576" spans="1:8" ht="13.2" x14ac:dyDescent="0.25">
      <c r="A1576" s="1" t="str">
        <f ca="1">IFERROR(__xludf.DUMMYFUNCTION("GOOGLETRANSLATE(English!A1576, ""en"", ""bg"")"),"hw_05207")</f>
        <v>hw_05207</v>
      </c>
      <c r="B1576" s="1" t="str">
        <f ca="1">IFERROR(__xludf.DUMMYFUNCTION("GOOGLETRANSLATE(English!B1576, ""en"", ""bg"")"),"физика")</f>
        <v>физика</v>
      </c>
      <c r="C1576" s="1" t="str">
        <f ca="1">IFERROR(__xludf.DUMMYFUNCTION("GOOGLETRANSLATE(English!C1576, ""en"", ""bg"")"),"средата")</f>
        <v>средата</v>
      </c>
      <c r="D1576" s="1" t="str">
        <f ca="1">IFERROR(__xludf.DUMMYFUNCTION("GOOGLETRANSLATE(English!D1576, ""en"", ""bg"")"),"сили и движение")</f>
        <v>сили и движение</v>
      </c>
      <c r="E1576" s="1" t="str">
        <f ca="1">IFERROR(__xludf.DUMMYFUNCTION("GOOGLETRANSLATE(English!E1576, ""en"", ""bg"")"),"Трябва да разбера силите и движението за изпита си.")</f>
        <v>Трябва да разбера силите и движението за изпита си.</v>
      </c>
      <c r="F1576" s="1" t="str">
        <f ca="1">IFERROR(__xludf.DUMMYFUNCTION("GOOGLETRANSLATE(English!F1576,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1576" s="1" t="str">
        <f ca="1">IFERROR(__xludf.DUMMYFUNCTION("GOOGLETRANSLATE(English!G1576, ""en"", ""bg"")"),"помощ_за_домашно_изпълнение")</f>
        <v>помощ_за_домашно_изпълнение</v>
      </c>
      <c r="H1576" s="1" t="str">
        <f ca="1">IFERROR(__xludf.DUMMYFUNCTION("GOOGLETRANSLATE(English!H1576, ""en"", ""bg"")"),"помощ_за_домашно_задаване")</f>
        <v>помощ_за_домашно_задаване</v>
      </c>
    </row>
    <row r="1577" spans="1:8" ht="13.2" x14ac:dyDescent="0.25">
      <c r="A1577" s="1" t="str">
        <f ca="1">IFERROR(__xludf.DUMMYFUNCTION("GOOGLETRANSLATE(English!A1577, ""en"", ""bg"")"),"qa_01313")</f>
        <v>qa_01313</v>
      </c>
      <c r="B1577" s="1" t="str">
        <f ca="1">IFERROR(__xludf.DUMMYFUNCTION("GOOGLETRANSLATE(English!B1577, ""en"", ""bg"")"),"физика")</f>
        <v>физика</v>
      </c>
      <c r="C1577" s="1" t="str">
        <f ca="1">IFERROR(__xludf.DUMMYFUNCTION("GOOGLETRANSLATE(English!C1577, ""en"", ""bg"")"),"елементарен")</f>
        <v>елементарен</v>
      </c>
      <c r="D1577" s="1" t="str">
        <f ca="1">IFERROR(__xludf.DUMMYFUNCTION("GOOGLETRANSLATE(English!D1577, ""en"", ""bg"")"),"светлина и сянка")</f>
        <v>светлина и сянка</v>
      </c>
      <c r="E1577" s="1" t="str">
        <f ca="1">IFERROR(__xludf.DUMMYFUNCTION("GOOGLETRANSLATE(English!E1577, ""en"", ""bg"")"),"Какво е светлина?")</f>
        <v>Какво е светлина?</v>
      </c>
      <c r="F1577" s="1" t="str">
        <f ca="1">IFERROR(__xludf.DUMMYFUNCTION("GOOGLETRANSLATE(English!F1577,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1577" s="1" t="str">
        <f ca="1">IFERROR(__xludf.DUMMYFUNCTION("GOOGLETRANSLATE(English!G1577, ""en"", ""bg"")"),"direct_qa")</f>
        <v>direct_qa</v>
      </c>
      <c r="H1577" s="1" t="str">
        <f ca="1">IFERROR(__xludf.DUMMYFUNCTION("GOOGLETRANSLATE(English!H1577, ""en"", ""bg"")"),"заявка_за_знание")</f>
        <v>заявка_за_знание</v>
      </c>
    </row>
    <row r="1578" spans="1:8" ht="13.2" x14ac:dyDescent="0.25">
      <c r="A1578" s="1" t="str">
        <f ca="1">IFERROR(__xludf.DUMMYFUNCTION("GOOGLETRANSLATE(English!A1578, ""en"", ""bg"")"),"conv_04943")</f>
        <v>conv_04943</v>
      </c>
      <c r="B1578" s="1" t="str">
        <f ca="1">IFERROR(__xludf.DUMMYFUNCTION("GOOGLETRANSLATE(English!B1578, ""en"", ""bg"")"),"биология")</f>
        <v>биология</v>
      </c>
      <c r="C1578" s="1" t="str">
        <f ca="1">IFERROR(__xludf.DUMMYFUNCTION("GOOGLETRANSLATE(English!C1578, ""en"", ""bg"")"),"високо")</f>
        <v>високо</v>
      </c>
      <c r="D1578" s="1" t="str">
        <f ca="1">IFERROR(__xludf.DUMMYFUNCTION("GOOGLETRANSLATE(English!D1578, ""en"", ""bg"")"),"модели на наследяване")</f>
        <v>модели на наследяване</v>
      </c>
      <c r="E1578" s="1" t="str">
        <f ca="1">IFERROR(__xludf.DUMMYFUNCTION("GOOGLETRANSLATE(English!E1578, ""en"", ""bg"")"),"Здравей, преподавателю! Как работят моделите на наследяване?")</f>
        <v>Здравей, преподавателю! Как работят моделите на наследяване?</v>
      </c>
      <c r="F1578" s="1" t="str">
        <f ca="1">IFERROR(__xludf.DUMMYFUNCTION("GOOGLETRANSLATE(English!F1578,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1578" s="1" t="str">
        <f ca="1">IFERROR(__xludf.DUMMYFUNCTION("GOOGLETRANSLATE(English!G1578, ""en"", ""bg"")"),"разговор")</f>
        <v>разговор</v>
      </c>
      <c r="H1578" s="1" t="str">
        <f ca="1">IFERROR(__xludf.DUMMYFUNCTION("GOOGLETRANSLATE(English!H1578, ""en"", ""bg"")"),"образователна_помощ")</f>
        <v>образователна_помощ</v>
      </c>
    </row>
    <row r="1579" spans="1:8" ht="13.2" x14ac:dyDescent="0.25">
      <c r="A1579" s="1" t="str">
        <f ca="1">IFERROR(__xludf.DUMMYFUNCTION("GOOGLETRANSLATE(English!A1579, ""en"", ""bg"")"),"hw_06941")</f>
        <v>hw_06941</v>
      </c>
      <c r="B1579" s="1" t="str">
        <f ca="1">IFERROR(__xludf.DUMMYFUNCTION("GOOGLETRANSLATE(English!B1579, ""en"", ""bg"")"),"биология")</f>
        <v>биология</v>
      </c>
      <c r="C1579" s="1" t="str">
        <f ca="1">IFERROR(__xludf.DUMMYFUNCTION("GOOGLETRANSLATE(English!C1579, ""en"", ""bg"")"),"елементарен")</f>
        <v>елементарен</v>
      </c>
      <c r="D1579" s="1" t="str">
        <f ca="1">IFERROR(__xludf.DUMMYFUNCTION("GOOGLETRANSLATE(English!D1579, ""en"", ""bg"")"),"хранителни вериги")</f>
        <v>хранителни вериги</v>
      </c>
      <c r="E1579" s="1" t="str">
        <f ca="1">IFERROR(__xludf.DUMMYFUNCTION("GOOGLETRANSLATE(English!E1579, ""en"", ""bg"")"),"Трябва да напиша доклад за хранителните вериги. Можете ли да ми помогнете да започна?")</f>
        <v>Трябва да напиша доклад за хранителните вериги. Можете ли да ми помогнете да започна?</v>
      </c>
      <c r="F1579" s="1" t="str">
        <f ca="1">IFERROR(__xludf.DUMMYFUNCTION("GOOGLETRANSLATE(English!F1579,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1579" s="1" t="str">
        <f ca="1">IFERROR(__xludf.DUMMYFUNCTION("GOOGLETRANSLATE(English!G1579, ""en"", ""bg"")"),"помощ_за_домашно_изпълнение")</f>
        <v>помощ_за_домашно_изпълнение</v>
      </c>
      <c r="H1579" s="1" t="str">
        <f ca="1">IFERROR(__xludf.DUMMYFUNCTION("GOOGLETRANSLATE(English!H1579, ""en"", ""bg"")"),"помощ_за_домашно_задаване")</f>
        <v>помощ_за_домашно_задаване</v>
      </c>
    </row>
    <row r="1580" spans="1:8" ht="13.2" x14ac:dyDescent="0.25">
      <c r="A1580" s="1" t="str">
        <f ca="1">IFERROR(__xludf.DUMMYFUNCTION("GOOGLETRANSLATE(English!A1580, ""en"", ""bg"")"),"qa_08251")</f>
        <v>qa_08251</v>
      </c>
      <c r="B1580" s="1" t="str">
        <f ca="1">IFERROR(__xludf.DUMMYFUNCTION("GOOGLETRANSLATE(English!B1580, ""en"", ""bg"")"),"физика")</f>
        <v>физика</v>
      </c>
      <c r="C1580" s="1" t="str">
        <f ca="1">IFERROR(__xludf.DUMMYFUNCTION("GOOGLETRANSLATE(English!C1580, ""en"", ""bg"")"),"средата")</f>
        <v>средата</v>
      </c>
      <c r="D1580" s="1" t="str">
        <f ca="1">IFERROR(__xludf.DUMMYFUNCTION("GOOGLETRANSLATE(English!D1580, ""en"", ""bg"")"),"видове енергия")</f>
        <v>видове енергия</v>
      </c>
      <c r="E1580" s="1" t="str">
        <f ca="1">IFERROR(__xludf.DUMMYFUNCTION("GOOGLETRANSLATE(English!E1580, ""en"", ""bg"")"),"Как се променя енергията от един вид в друг?")</f>
        <v>Как се променя енергията от един вид в друг?</v>
      </c>
      <c r="F1580" s="1" t="str">
        <f ca="1">IFERROR(__xludf.DUMMYFUNCTION("GOOGLETRANSLATE(English!F1580,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1580" s="1" t="str">
        <f ca="1">IFERROR(__xludf.DUMMYFUNCTION("GOOGLETRANSLATE(English!G1580, ""en"", ""bg"")"),"direct_qa")</f>
        <v>direct_qa</v>
      </c>
      <c r="H1580" s="1" t="str">
        <f ca="1">IFERROR(__xludf.DUMMYFUNCTION("GOOGLETRANSLATE(English!H1580, ""en"", ""bg"")"),"заявка_за_знание")</f>
        <v>заявка_за_знание</v>
      </c>
    </row>
    <row r="1581" spans="1:8" ht="13.2" x14ac:dyDescent="0.25">
      <c r="A1581" s="1" t="str">
        <f ca="1">IFERROR(__xludf.DUMMYFUNCTION("GOOGLETRANSLATE(English!A1581, ""en"", ""bg"")"),"conv_03958")</f>
        <v>conv_03958</v>
      </c>
      <c r="B1581" s="1" t="str">
        <f ca="1">IFERROR(__xludf.DUMMYFUNCTION("GOOGLETRANSLATE(English!B1581, ""en"", ""bg"")"),"биология")</f>
        <v>биология</v>
      </c>
      <c r="C1581" s="1" t="str">
        <f ca="1">IFERROR(__xludf.DUMMYFUNCTION("GOOGLETRANSLATE(English!C1581, ""en"", ""bg"")"),"средата")</f>
        <v>средата</v>
      </c>
      <c r="D1581" s="1" t="str">
        <f ca="1">IFERROR(__xludf.DUMMYFUNCTION("GOOGLETRANSLATE(English!D1581, ""en"", ""bg"")"),"клетки")</f>
        <v>клетки</v>
      </c>
      <c r="E1581" s="1" t="str">
        <f ca="1">IFERROR(__xludf.DUMMYFUNCTION("GOOGLETRANSLATE(English!E1581, ""en"", ""bg"")"),"Имам нужда от помощ с домашното. Защо клетките са толкова малки?")</f>
        <v>Имам нужда от помощ с домашното. Защо клетките са толкова малки?</v>
      </c>
      <c r="F1581" s="1" t="str">
        <f ca="1">IFERROR(__xludf.DUMMYFUNCTION("GOOGLETRANSLATE(English!F1581,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1581" s="1" t="str">
        <f ca="1">IFERROR(__xludf.DUMMYFUNCTION("GOOGLETRANSLATE(English!G1581, ""en"", ""bg"")"),"разговор")</f>
        <v>разговор</v>
      </c>
      <c r="H1581" s="1" t="str">
        <f ca="1">IFERROR(__xludf.DUMMYFUNCTION("GOOGLETRANSLATE(English!H1581, ""en"", ""bg"")"),"образователна_помощ")</f>
        <v>образователна_помощ</v>
      </c>
    </row>
    <row r="1582" spans="1:8" ht="13.2" x14ac:dyDescent="0.25">
      <c r="A1582" s="1" t="str">
        <f ca="1">IFERROR(__xludf.DUMMYFUNCTION("GOOGLETRANSLATE(English!A1582, ""en"", ""bg"")"),"conv_05452")</f>
        <v>conv_05452</v>
      </c>
      <c r="B1582" s="1" t="str">
        <f ca="1">IFERROR(__xludf.DUMMYFUNCTION("GOOGLETRANSLATE(English!B1582, ""en"", ""bg"")"),"биология")</f>
        <v>биология</v>
      </c>
      <c r="C1582" s="1" t="str">
        <f ca="1">IFERROR(__xludf.DUMMYFUNCTION("GOOGLETRANSLATE(English!C1582, ""en"", ""bg"")"),"средата")</f>
        <v>средата</v>
      </c>
      <c r="D1582" s="1" t="str">
        <f ca="1">IFERROR(__xludf.DUMMYFUNCTION("GOOGLETRANSLATE(English!D1582, ""en"", ""bg"")"),"основи на генетиката")</f>
        <v>основи на генетиката</v>
      </c>
      <c r="E1582" s="1" t="str">
        <f ca="1">IFERROR(__xludf.DUMMYFUNCTION("GOOGLETRANSLATE(English!E1582, ""en"", ""bg"")"),"Помогнете ми да уча за теста си. Какво е важно да знаем за основите на генетиката?")</f>
        <v>Помогнете ми да уча за теста си. Какво е важно да знаем за основите на генетиката?</v>
      </c>
      <c r="F1582" s="1" t="str">
        <f ca="1">IFERROR(__xludf.DUMMYFUNCTION("GOOGLETRANSLATE(English!F1582,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1582" s="1" t="str">
        <f ca="1">IFERROR(__xludf.DUMMYFUNCTION("GOOGLETRANSLATE(English!G1582, ""en"", ""bg"")"),"разговор")</f>
        <v>разговор</v>
      </c>
      <c r="H1582" s="1" t="str">
        <f ca="1">IFERROR(__xludf.DUMMYFUNCTION("GOOGLETRANSLATE(English!H1582, ""en"", ""bg"")"),"образователна_помощ")</f>
        <v>образователна_помощ</v>
      </c>
    </row>
    <row r="1583" spans="1:8" ht="13.2" x14ac:dyDescent="0.25">
      <c r="A1583" s="1" t="str">
        <f ca="1">IFERROR(__xludf.DUMMYFUNCTION("GOOGLETRANSLATE(English!A1583, ""en"", ""bg"")"),"qa_02223")</f>
        <v>qa_02223</v>
      </c>
      <c r="B1583" s="1" t="str">
        <f ca="1">IFERROR(__xludf.DUMMYFUNCTION("GOOGLETRANSLATE(English!B1583, ""en"", ""bg"")"),"химия")</f>
        <v>химия</v>
      </c>
      <c r="C1583" s="1" t="str">
        <f ca="1">IFERROR(__xludf.DUMMYFUNCTION("GOOGLETRANSLATE(English!C1583, ""en"", ""bg"")"),"елементарен")</f>
        <v>елементарен</v>
      </c>
      <c r="D1583" s="1" t="str">
        <f ca="1">IFERROR(__xludf.DUMMYFUNCTION("GOOGLETRANSLATE(English!D1583, ""en"", ""bg"")"),"разтваряне")</f>
        <v>разтваряне</v>
      </c>
      <c r="E1583" s="1" t="str">
        <f ca="1">IFERROR(__xludf.DUMMYFUNCTION("GOOGLETRANSLATE(English!E1583, ""en"", ""bg"")"),"Можете ли да ми помогнете да разбера разтварянето?")</f>
        <v>Можете ли да ми помогнете да разбера разтварянето?</v>
      </c>
      <c r="F1583" s="1" t="str">
        <f ca="1">IFERROR(__xludf.DUMMYFUNCTION("GOOGLETRANSLATE(English!F1583,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1583" s="1" t="str">
        <f ca="1">IFERROR(__xludf.DUMMYFUNCTION("GOOGLETRANSLATE(English!G1583, ""en"", ""bg"")"),"direct_qa")</f>
        <v>direct_qa</v>
      </c>
      <c r="H1583" s="1" t="str">
        <f ca="1">IFERROR(__xludf.DUMMYFUNCTION("GOOGLETRANSLATE(English!H1583, ""en"", ""bg"")"),"заявка_за_знание")</f>
        <v>заявка_за_знание</v>
      </c>
    </row>
    <row r="1584" spans="1:8" ht="13.2" x14ac:dyDescent="0.25">
      <c r="A1584" s="1" t="str">
        <f ca="1">IFERROR(__xludf.DUMMYFUNCTION("GOOGLETRANSLATE(English!A1584, ""en"", ""bg"")"),"qa_12167")</f>
        <v>qa_12167</v>
      </c>
      <c r="B1584" s="1" t="str">
        <f ca="1">IFERROR(__xludf.DUMMYFUNCTION("GOOGLETRANSLATE(English!B1584, ""en"", ""bg"")"),"физика")</f>
        <v>физика</v>
      </c>
      <c r="C1584" s="1" t="str">
        <f ca="1">IFERROR(__xludf.DUMMYFUNCTION("GOOGLETRANSLATE(English!C1584, ""en"", ""bg"")"),"високо")</f>
        <v>високо</v>
      </c>
      <c r="D1584" s="1" t="str">
        <f ca="1">IFERROR(__xludf.DUMMYFUNCTION("GOOGLETRANSLATE(English!D1584, ""en"", ""bg"")"),"радиоактивност")</f>
        <v>радиоактивност</v>
      </c>
      <c r="E1584" s="1" t="str">
        <f ca="1">IFERROR(__xludf.DUMMYFUNCTION("GOOGLETRANSLATE(English!E1584, ""en"", ""bg"")"),"Можете ли да ми обясните какво е радиоактивност?")</f>
        <v>Можете ли да ми обясните какво е радиоактивност?</v>
      </c>
      <c r="F1584" s="1" t="str">
        <f ca="1">IFERROR(__xludf.DUMMYFUNCTION("GOOGLETRANSLATE(English!F1584,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1584" s="1" t="str">
        <f ca="1">IFERROR(__xludf.DUMMYFUNCTION("GOOGLETRANSLATE(English!G1584, ""en"", ""bg"")"),"direct_qa")</f>
        <v>direct_qa</v>
      </c>
      <c r="H1584" s="1" t="str">
        <f ca="1">IFERROR(__xludf.DUMMYFUNCTION("GOOGLETRANSLATE(English!H1584, ""en"", ""bg"")"),"заявка_за_знание")</f>
        <v>заявка_за_знание</v>
      </c>
    </row>
    <row r="1585" spans="1:8" ht="13.2" x14ac:dyDescent="0.25">
      <c r="A1585" s="1" t="str">
        <f ca="1">IFERROR(__xludf.DUMMYFUNCTION("GOOGLETRANSLATE(English!A1585, ""en"", ""bg"")"),"qa_00464")</f>
        <v>qa_00464</v>
      </c>
      <c r="B1585" s="1" t="str">
        <f ca="1">IFERROR(__xludf.DUMMYFUNCTION("GOOGLETRANSLATE(English!B1585, ""en"", ""bg"")"),"химия")</f>
        <v>химия</v>
      </c>
      <c r="C1585" s="1" t="str">
        <f ca="1">IFERROR(__xludf.DUMMYFUNCTION("GOOGLETRANSLATE(English!C1585, ""en"", ""bg"")"),"средата")</f>
        <v>средата</v>
      </c>
      <c r="D1585" s="1" t="str">
        <f ca="1">IFERROR(__xludf.DUMMYFUNCTION("GOOGLETRANSLATE(English!D1585, ""en"", ""bg"")"),"основи на периодичната таблица")</f>
        <v>основи на периодичната таблица</v>
      </c>
      <c r="E1585" s="1" t="str">
        <f ca="1">IFERROR(__xludf.DUMMYFUNCTION("GOOGLETRANSLATE(English!E1585,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1585" s="1" t="str">
        <f ca="1">IFERROR(__xludf.DUMMYFUNCTION("GOOGLETRANSLATE(English!F1585,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1585" s="1" t="str">
        <f ca="1">IFERROR(__xludf.DUMMYFUNCTION("GOOGLETRANSLATE(English!G1585, ""en"", ""bg"")"),"direct_qa")</f>
        <v>direct_qa</v>
      </c>
      <c r="H1585" s="1" t="str">
        <f ca="1">IFERROR(__xludf.DUMMYFUNCTION("GOOGLETRANSLATE(English!H1585, ""en"", ""bg"")"),"заявка_за_знание")</f>
        <v>заявка_за_знание</v>
      </c>
    </row>
    <row r="1586" spans="1:8" ht="13.2" x14ac:dyDescent="0.25">
      <c r="A1586" s="1" t="str">
        <f ca="1">IFERROR(__xludf.DUMMYFUNCTION("GOOGLETRANSLATE(English!A1586, ""en"", ""bg"")"),"conv_18405")</f>
        <v>conv_18405</v>
      </c>
      <c r="B1586" s="1" t="str">
        <f ca="1">IFERROR(__xludf.DUMMYFUNCTION("GOOGLETRANSLATE(English!B1586, ""en"", ""bg"")"),"биология")</f>
        <v>биология</v>
      </c>
      <c r="C1586" s="1" t="str">
        <f ca="1">IFERROR(__xludf.DUMMYFUNCTION("GOOGLETRANSLATE(English!C1586, ""en"", ""bg"")"),"високо")</f>
        <v>високо</v>
      </c>
      <c r="D1586" s="1" t="str">
        <f ca="1">IFERROR(__xludf.DUMMYFUNCTION("GOOGLETRANSLATE(English!D1586, ""en"", ""bg"")"),"модели на наследяване")</f>
        <v>модели на наследяване</v>
      </c>
      <c r="E1586" s="1" t="str">
        <f ca="1">IFERROR(__xludf.DUMMYFUNCTION("GOOGLETRANSLATE(English!E1586, ""en"", ""bg"")"),"Можете ли да ми обясните това? Защо моделите на наследяване са важни в биологията?")</f>
        <v>Можете ли да ми обясните това? Защо моделите на наследяване са важни в биологията?</v>
      </c>
      <c r="F1586" s="1" t="str">
        <f ca="1">IFERROR(__xludf.DUMMYFUNCTION("GOOGLETRANSLATE(English!F1586,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1586" s="1" t="str">
        <f ca="1">IFERROR(__xludf.DUMMYFUNCTION("GOOGLETRANSLATE(English!G1586, ""en"", ""bg"")"),"разговор")</f>
        <v>разговор</v>
      </c>
      <c r="H1586" s="1" t="str">
        <f ca="1">IFERROR(__xludf.DUMMYFUNCTION("GOOGLETRANSLATE(English!H1586, ""en"", ""bg"")"),"образователна_помощ")</f>
        <v>образователна_помощ</v>
      </c>
    </row>
    <row r="1587" spans="1:8" ht="13.2" x14ac:dyDescent="0.25">
      <c r="A1587" s="1" t="str">
        <f ca="1">IFERROR(__xludf.DUMMYFUNCTION("GOOGLETRANSLATE(English!A1587, ""en"", ""bg"")"),"hw_02940")</f>
        <v>hw_02940</v>
      </c>
      <c r="B1587" s="1" t="str">
        <f ca="1">IFERROR(__xludf.DUMMYFUNCTION("GOOGLETRANSLATE(English!B1587, ""en"", ""bg"")"),"физика")</f>
        <v>физика</v>
      </c>
      <c r="C1587" s="1" t="str">
        <f ca="1">IFERROR(__xludf.DUMMYFUNCTION("GOOGLETRANSLATE(English!C1587, ""en"", ""bg"")"),"елементарен")</f>
        <v>елементарен</v>
      </c>
      <c r="D1587" s="1" t="str">
        <f ca="1">IFERROR(__xludf.DUMMYFUNCTION("GOOGLETRANSLATE(English!D1587, ""en"", ""bg"")"),"плаващ и потъващ")</f>
        <v>плаващ и потъващ</v>
      </c>
      <c r="E1587" s="1" t="str">
        <f ca="1">IFERROR(__xludf.DUMMYFUNCTION("GOOGLETRANSLATE(English!E1587,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1587" s="1" t="str">
        <f ca="1">IFERROR(__xludf.DUMMYFUNCTION("GOOGLETRANSLATE(English!F1587,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1587" s="1" t="str">
        <f ca="1">IFERROR(__xludf.DUMMYFUNCTION("GOOGLETRANSLATE(English!G1587, ""en"", ""bg"")"),"помощ_за_домашно_изпълнение")</f>
        <v>помощ_за_домашно_изпълнение</v>
      </c>
      <c r="H1587" s="1" t="str">
        <f ca="1">IFERROR(__xludf.DUMMYFUNCTION("GOOGLETRANSLATE(English!H1587, ""en"", ""bg"")"),"помощ_за_домашно_задаване")</f>
        <v>помощ_за_домашно_задаване</v>
      </c>
    </row>
    <row r="1588" spans="1:8" ht="13.2" x14ac:dyDescent="0.25">
      <c r="A1588" s="1" t="str">
        <f ca="1">IFERROR(__xludf.DUMMYFUNCTION("GOOGLETRANSLATE(English!A1588, ""en"", ""bg"")"),"conv_17048")</f>
        <v>conv_17048</v>
      </c>
      <c r="B1588" s="1" t="str">
        <f ca="1">IFERROR(__xludf.DUMMYFUNCTION("GOOGLETRANSLATE(English!B1588, ""en"", ""bg"")"),"физика")</f>
        <v>физика</v>
      </c>
      <c r="C1588" s="1" t="str">
        <f ca="1">IFERROR(__xludf.DUMMYFUNCTION("GOOGLETRANSLATE(English!C1588, ""en"", ""bg"")"),"елементарен")</f>
        <v>елементарен</v>
      </c>
      <c r="D1588" s="1" t="str">
        <f ca="1">IFERROR(__xludf.DUMMYFUNCTION("GOOGLETRANSLATE(English!D1588, ""en"", ""bg"")"),"звук")</f>
        <v>звук</v>
      </c>
      <c r="E1588" s="1" t="str">
        <f ca="1">IFERROR(__xludf.DUMMYFUNCTION("GOOGLETRANSLATE(English!E1588, ""en"", ""bg"")"),"Имам научен въпрос. Какво трябва да знам за звука?")</f>
        <v>Имам научен въпрос. Какво трябва да знам за звука?</v>
      </c>
      <c r="F1588" s="1" t="str">
        <f ca="1">IFERROR(__xludf.DUMMYFUNCTION("GOOGLETRANSLATE(English!F1588,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1588" s="1" t="str">
        <f ca="1">IFERROR(__xludf.DUMMYFUNCTION("GOOGLETRANSLATE(English!G1588, ""en"", ""bg"")"),"разговор")</f>
        <v>разговор</v>
      </c>
      <c r="H1588" s="1" t="str">
        <f ca="1">IFERROR(__xludf.DUMMYFUNCTION("GOOGLETRANSLATE(English!H1588, ""en"", ""bg"")"),"образователна_помощ")</f>
        <v>образователна_помощ</v>
      </c>
    </row>
    <row r="1589" spans="1:8" ht="13.2" x14ac:dyDescent="0.25">
      <c r="A1589" s="1" t="str">
        <f ca="1">IFERROR(__xludf.DUMMYFUNCTION("GOOGLETRANSLATE(English!A1589, ""en"", ""bg"")"),"hw_10776")</f>
        <v>hw_10776</v>
      </c>
      <c r="B1589" s="1" t="str">
        <f ca="1">IFERROR(__xludf.DUMMYFUNCTION("GOOGLETRANSLATE(English!B1589, ""en"", ""bg"")"),"биология")</f>
        <v>биология</v>
      </c>
      <c r="C1589" s="1" t="str">
        <f ca="1">IFERROR(__xludf.DUMMYFUNCTION("GOOGLETRANSLATE(English!C1589, ""en"", ""bg"")"),"елементарен")</f>
        <v>елементарен</v>
      </c>
      <c r="D1589" s="1" t="str">
        <f ca="1">IFERROR(__xludf.DUMMYFUNCTION("GOOGLETRANSLATE(English!D1589, ""en"", ""bg"")"),"жизнени цикли")</f>
        <v>жизнени цикли</v>
      </c>
      <c r="E1589" s="1" t="str">
        <f ca="1">IFERROR(__xludf.DUMMYFUNCTION("GOOGLETRANSLATE(English!E1589, ""en"", ""bg"")"),"Домашното ми пита за жизнените цикли. Не го разбирам.")</f>
        <v>Домашното ми пита за жизнените цикли. Не го разбирам.</v>
      </c>
      <c r="F1589" s="1" t="str">
        <f ca="1">IFERROR(__xludf.DUMMYFUNCTION("GOOGLETRANSLATE(English!F1589,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1589" s="1" t="str">
        <f ca="1">IFERROR(__xludf.DUMMYFUNCTION("GOOGLETRANSLATE(English!G1589, ""en"", ""bg"")"),"помощ_за_домашно_изпълнение")</f>
        <v>помощ_за_домашно_изпълнение</v>
      </c>
      <c r="H1589" s="1" t="str">
        <f ca="1">IFERROR(__xludf.DUMMYFUNCTION("GOOGLETRANSLATE(English!H1589, ""en"", ""bg"")"),"помощ_за_домашно_задаване")</f>
        <v>помощ_за_домашно_задаване</v>
      </c>
    </row>
    <row r="1590" spans="1:8" ht="13.2" x14ac:dyDescent="0.25">
      <c r="A1590" s="1" t="str">
        <f ca="1">IFERROR(__xludf.DUMMYFUNCTION("GOOGLETRANSLATE(English!A1590, ""en"", ""bg"")"),"qa_05736")</f>
        <v>qa_05736</v>
      </c>
      <c r="B1590" s="1" t="str">
        <f ca="1">IFERROR(__xludf.DUMMYFUNCTION("GOOGLETRANSLATE(English!B1590, ""en"", ""bg"")"),"физика")</f>
        <v>физика</v>
      </c>
      <c r="C1590" s="1" t="str">
        <f ca="1">IFERROR(__xludf.DUMMYFUNCTION("GOOGLETRANSLATE(English!C1590, ""en"", ""bg"")"),"високо")</f>
        <v>високо</v>
      </c>
      <c r="D1590" s="1" t="str">
        <f ca="1">IFERROR(__xludf.DUMMYFUNCTION("GOOGLETRANSLATE(English!D1590, ""en"", ""bg"")"),"термодинамика")</f>
        <v>термодинамика</v>
      </c>
      <c r="E1590" s="1" t="str">
        <f ca="1">IFERROR(__xludf.DUMMYFUNCTION("GOOGLETRANSLATE(English!E1590, ""en"", ""bg"")"),"Можете ли да ми обясните термодинамиката?")</f>
        <v>Можете ли да ми обясните термодинамиката?</v>
      </c>
      <c r="F1590" s="1" t="str">
        <f ca="1">IFERROR(__xludf.DUMMYFUNCTION("GOOGLETRANSLATE(English!F1590,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1590" s="1" t="str">
        <f ca="1">IFERROR(__xludf.DUMMYFUNCTION("GOOGLETRANSLATE(English!G1590, ""en"", ""bg"")"),"direct_qa")</f>
        <v>direct_qa</v>
      </c>
      <c r="H1590" s="1" t="str">
        <f ca="1">IFERROR(__xludf.DUMMYFUNCTION("GOOGLETRANSLATE(English!H1590, ""en"", ""bg"")"),"заявка_за_знание")</f>
        <v>заявка_за_знание</v>
      </c>
    </row>
    <row r="1591" spans="1:8" ht="13.2" x14ac:dyDescent="0.25">
      <c r="A1591" s="1" t="str">
        <f ca="1">IFERROR(__xludf.DUMMYFUNCTION("GOOGLETRANSLATE(English!A1591, ""en"", ""bg"")"),"qa_01320")</f>
        <v>qa_01320</v>
      </c>
      <c r="B1591" s="1" t="str">
        <f ca="1">IFERROR(__xludf.DUMMYFUNCTION("GOOGLETRANSLATE(English!B1591, ""en"", ""bg"")"),"физика")</f>
        <v>физика</v>
      </c>
      <c r="C1591" s="1" t="str">
        <f ca="1">IFERROR(__xludf.DUMMYFUNCTION("GOOGLETRANSLATE(English!C1591, ""en"", ""bg"")"),"средата")</f>
        <v>средата</v>
      </c>
      <c r="D1591" s="1" t="str">
        <f ca="1">IFERROR(__xludf.DUMMYFUNCTION("GOOGLETRANSLATE(English!D1591, ""en"", ""bg"")"),"плътност")</f>
        <v>плътност</v>
      </c>
      <c r="E1591" s="1" t="str">
        <f ca="1">IFERROR(__xludf.DUMMYFUNCTION("GOOGLETRANSLATE(English!E1591, ""en"", ""bg"")"),"Как работи плътността във физиката?")</f>
        <v>Как работи плътността във физиката?</v>
      </c>
      <c r="F1591" s="1" t="str">
        <f ca="1">IFERROR(__xludf.DUMMYFUNCTION("GOOGLETRANSLATE(English!F1591,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1591" s="1" t="str">
        <f ca="1">IFERROR(__xludf.DUMMYFUNCTION("GOOGLETRANSLATE(English!G1591, ""en"", ""bg"")"),"direct_qa")</f>
        <v>direct_qa</v>
      </c>
      <c r="H1591" s="1" t="str">
        <f ca="1">IFERROR(__xludf.DUMMYFUNCTION("GOOGLETRANSLATE(English!H1591, ""en"", ""bg"")"),"заявка_за_знание")</f>
        <v>заявка_за_знание</v>
      </c>
    </row>
    <row r="1592" spans="1:8" ht="13.2" x14ac:dyDescent="0.25">
      <c r="A1592" s="1" t="str">
        <f ca="1">IFERROR(__xludf.DUMMYFUNCTION("GOOGLETRANSLATE(English!A1592, ""en"", ""bg"")"),"conv_00178")</f>
        <v>conv_00178</v>
      </c>
      <c r="B1592" s="1" t="str">
        <f ca="1">IFERROR(__xludf.DUMMYFUNCTION("GOOGLETRANSLATE(English!B1592, ""en"", ""bg"")"),"химия")</f>
        <v>химия</v>
      </c>
      <c r="C1592" s="1" t="str">
        <f ca="1">IFERROR(__xludf.DUMMYFUNCTION("GOOGLETRANSLATE(English!C1592, ""en"", ""bg"")"),"средата")</f>
        <v>средата</v>
      </c>
      <c r="D1592" s="1" t="str">
        <f ca="1">IFERROR(__xludf.DUMMYFUNCTION("GOOGLETRANSLATE(English!D1592, ""en"", ""bg"")"),"химични реакции")</f>
        <v>химични реакции</v>
      </c>
      <c r="E1592" s="1" t="str">
        <f ca="1">IFERROR(__xludf.DUMMYFUNCTION("GOOGLETRANSLATE(English!E1592, ""en"", ""bg"")"),"Имам научен въпрос. Могат ли химичните реакции да бъдат обратими?")</f>
        <v>Имам научен въпрос. Могат ли химичните реакции да бъдат обратими?</v>
      </c>
      <c r="F1592" s="1" t="str">
        <f ca="1">IFERROR(__xludf.DUMMYFUNCTION("GOOGLETRANSLATE(English!F1592,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592" s="1" t="str">
        <f ca="1">IFERROR(__xludf.DUMMYFUNCTION("GOOGLETRANSLATE(English!G1592, ""en"", ""bg"")"),"разговор")</f>
        <v>разговор</v>
      </c>
      <c r="H1592" s="1" t="str">
        <f ca="1">IFERROR(__xludf.DUMMYFUNCTION("GOOGLETRANSLATE(English!H1592, ""en"", ""bg"")"),"образователна_помощ")</f>
        <v>образователна_помощ</v>
      </c>
    </row>
    <row r="1593" spans="1:8" ht="13.2" x14ac:dyDescent="0.25">
      <c r="A1593" s="1" t="str">
        <f ca="1">IFERROR(__xludf.DUMMYFUNCTION("GOOGLETRANSLATE(English!A1593, ""en"", ""bg"")"),"hw_05497")</f>
        <v>hw_05497</v>
      </c>
      <c r="B1593" s="1" t="str">
        <f ca="1">IFERROR(__xludf.DUMMYFUNCTION("GOOGLETRANSLATE(English!B1593, ""en"", ""bg"")"),"химия")</f>
        <v>химия</v>
      </c>
      <c r="C1593" s="1" t="str">
        <f ca="1">IFERROR(__xludf.DUMMYFUNCTION("GOOGLETRANSLATE(English!C1593, ""en"", ""bg"")"),"високо")</f>
        <v>високо</v>
      </c>
      <c r="D1593" s="1" t="str">
        <f ca="1">IFERROR(__xludf.DUMMYFUNCTION("GOOGLETRANSLATE(English!D1593, ""en"", ""bg"")"),"равновесие")</f>
        <v>равновесие</v>
      </c>
      <c r="E1593" s="1" t="str">
        <f ca="1">IFERROR(__xludf.DUMMYFUNCTION("GOOGLETRANSLATE(English!E1593, ""en"", ""bg"")"),"Можете ли да ми помогнете с изчисленията за равновесие?")</f>
        <v>Можете ли да ми помогнете с изчисленията за равновесие?</v>
      </c>
      <c r="F1593" s="1" t="str">
        <f ca="1">IFERROR(__xludf.DUMMYFUNCTION("GOOGLETRANSLATE(English!F1593,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593" s="1" t="str">
        <f ca="1">IFERROR(__xludf.DUMMYFUNCTION("GOOGLETRANSLATE(English!G1593, ""en"", ""bg"")"),"помощ_за_домашно_изпълнение")</f>
        <v>помощ_за_домашно_изпълнение</v>
      </c>
      <c r="H1593" s="1" t="str">
        <f ca="1">IFERROR(__xludf.DUMMYFUNCTION("GOOGLETRANSLATE(English!H1593, ""en"", ""bg"")"),"помощ_за_домашно_задаване")</f>
        <v>помощ_за_домашно_задаване</v>
      </c>
    </row>
    <row r="1594" spans="1:8" ht="13.2" x14ac:dyDescent="0.25">
      <c r="A1594" s="1" t="str">
        <f ca="1">IFERROR(__xludf.DUMMYFUNCTION("GOOGLETRANSLATE(English!A1594, ""en"", ""bg"")"),"hw_08851")</f>
        <v>hw_08851</v>
      </c>
      <c r="B1594" s="1" t="str">
        <f ca="1">IFERROR(__xludf.DUMMYFUNCTION("GOOGLETRANSLATE(English!B1594, ""en"", ""bg"")"),"химия")</f>
        <v>химия</v>
      </c>
      <c r="C1594" s="1" t="str">
        <f ca="1">IFERROR(__xludf.DUMMYFUNCTION("GOOGLETRANSLATE(English!C1594, ""en"", ""bg"")"),"средата")</f>
        <v>средата</v>
      </c>
      <c r="D1594" s="1" t="str">
        <f ca="1">IFERROR(__xludf.DUMMYFUNCTION("GOOGLETRANSLATE(English!D1594, ""en"", ""bg"")"),"химични промени")</f>
        <v>химични промени</v>
      </c>
      <c r="E1594" s="1" t="str">
        <f ca="1">IFERROR(__xludf.DUMMYFUNCTION("GOOGLETRANSLATE(English!E1594,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1594" s="1" t="str">
        <f ca="1">IFERROR(__xludf.DUMMYFUNCTION("GOOGLETRANSLATE(English!F1594,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1594" s="1" t="str">
        <f ca="1">IFERROR(__xludf.DUMMYFUNCTION("GOOGLETRANSLATE(English!G1594, ""en"", ""bg"")"),"помощ_за_домашно_изпълнение")</f>
        <v>помощ_за_домашно_изпълнение</v>
      </c>
      <c r="H1594" s="1" t="str">
        <f ca="1">IFERROR(__xludf.DUMMYFUNCTION("GOOGLETRANSLATE(English!H1594, ""en"", ""bg"")"),"помощ_за_домашно_задаване")</f>
        <v>помощ_за_домашно_задаване</v>
      </c>
    </row>
    <row r="1595" spans="1:8" ht="13.2" x14ac:dyDescent="0.25">
      <c r="A1595" s="1" t="str">
        <f ca="1">IFERROR(__xludf.DUMMYFUNCTION("GOOGLETRANSLATE(English!A1595, ""en"", ""bg"")"),"conv_07377")</f>
        <v>conv_07377</v>
      </c>
      <c r="B1595" s="1" t="str">
        <f ca="1">IFERROR(__xludf.DUMMYFUNCTION("GOOGLETRANSLATE(English!B1595, ""en"", ""bg"")"),"биология")</f>
        <v>биология</v>
      </c>
      <c r="C1595" s="1" t="str">
        <f ca="1">IFERROR(__xludf.DUMMYFUNCTION("GOOGLETRANSLATE(English!C1595, ""en"", ""bg"")"),"средата")</f>
        <v>средата</v>
      </c>
      <c r="D1595" s="1" t="str">
        <f ca="1">IFERROR(__xludf.DUMMYFUNCTION("GOOGLETRANSLATE(English!D1595, ""en"", ""bg"")"),"основи на генетиката")</f>
        <v>основи на генетиката</v>
      </c>
      <c r="E1595" s="1" t="str">
        <f ca="1">IFERROR(__xludf.DUMMYFUNCTION("GOOGLETRANSLATE(English!E1595, ""en"", ""bg"")"),"Имам нужда от помощ с домашното. Можете ли да ми разкажете за основите на генетиката?")</f>
        <v>Имам нужда от помощ с домашното. Можете ли да ми разкажете за основите на генетиката?</v>
      </c>
      <c r="F1595" s="1" t="str">
        <f ca="1">IFERROR(__xludf.DUMMYFUNCTION("GOOGLETRANSLATE(English!F1595,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1595" s="1" t="str">
        <f ca="1">IFERROR(__xludf.DUMMYFUNCTION("GOOGLETRANSLATE(English!G1595, ""en"", ""bg"")"),"разговор")</f>
        <v>разговор</v>
      </c>
      <c r="H1595" s="1" t="str">
        <f ca="1">IFERROR(__xludf.DUMMYFUNCTION("GOOGLETRANSLATE(English!H1595, ""en"", ""bg"")"),"образователна_помощ")</f>
        <v>образователна_помощ</v>
      </c>
    </row>
    <row r="1596" spans="1:8" ht="13.2" x14ac:dyDescent="0.25">
      <c r="A1596" s="1" t="str">
        <f ca="1">IFERROR(__xludf.DUMMYFUNCTION("GOOGLETRANSLATE(English!A1596, ""en"", ""bg"")"),"conv_04956")</f>
        <v>conv_04956</v>
      </c>
      <c r="B1596" s="1" t="str">
        <f ca="1">IFERROR(__xludf.DUMMYFUNCTION("GOOGLETRANSLATE(English!B1596, ""en"", ""bg"")"),"химия")</f>
        <v>химия</v>
      </c>
      <c r="C1596" s="1" t="str">
        <f ca="1">IFERROR(__xludf.DUMMYFUNCTION("GOOGLETRANSLATE(English!C1596, ""en"", ""bg"")"),"средата")</f>
        <v>средата</v>
      </c>
      <c r="D1596" s="1" t="str">
        <f ca="1">IFERROR(__xludf.DUMMYFUNCTION("GOOGLETRANSLATE(English!D1596, ""en"", ""bg"")"),"атоми и молекули")</f>
        <v>атоми и молекули</v>
      </c>
      <c r="E1596" s="1" t="str">
        <f ca="1">IFERROR(__xludf.DUMMYFUNCTION("GOOGLETRANSLATE(English!E1596, ""en"", ""bg"")"),"Помогнете ми да уча за теста. От какви части се състои атомът?")</f>
        <v>Помогнете ми да уча за теста. От какви части се състои атомът?</v>
      </c>
      <c r="F1596" s="1" t="str">
        <f ca="1">IFERROR(__xludf.DUMMYFUNCTION("GOOGLETRANSLATE(English!F1596,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1596" s="1" t="str">
        <f ca="1">IFERROR(__xludf.DUMMYFUNCTION("GOOGLETRANSLATE(English!G1596, ""en"", ""bg"")"),"разговор")</f>
        <v>разговор</v>
      </c>
      <c r="H1596" s="1" t="str">
        <f ca="1">IFERROR(__xludf.DUMMYFUNCTION("GOOGLETRANSLATE(English!H1596, ""en"", ""bg"")"),"образователна_помощ")</f>
        <v>образователна_помощ</v>
      </c>
    </row>
    <row r="1597" spans="1:8" ht="13.2" x14ac:dyDescent="0.25">
      <c r="A1597" s="1" t="str">
        <f ca="1">IFERROR(__xludf.DUMMYFUNCTION("GOOGLETRANSLATE(English!A1597, ""en"", ""bg"")"),"hw_11525")</f>
        <v>hw_11525</v>
      </c>
      <c r="B1597" s="1" t="str">
        <f ca="1">IFERROR(__xludf.DUMMYFUNCTION("GOOGLETRANSLATE(English!B1597, ""en"", ""bg"")"),"физика")</f>
        <v>физика</v>
      </c>
      <c r="C1597" s="1" t="str">
        <f ca="1">IFERROR(__xludf.DUMMYFUNCTION("GOOGLETRANSLATE(English!C1597, ""en"", ""bg"")"),"елементарен")</f>
        <v>елементарен</v>
      </c>
      <c r="D1597" s="1" t="str">
        <f ca="1">IFERROR(__xludf.DUMMYFUNCTION("GOOGLETRANSLATE(English!D1597, ""en"", ""bg"")"),"плаващ и потъващ")</f>
        <v>плаващ и потъващ</v>
      </c>
      <c r="E1597" s="1" t="str">
        <f ca="1">IFERROR(__xludf.DUMMYFUNCTION("GOOGLETRANSLATE(English!E1597,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1597" s="1" t="str">
        <f ca="1">IFERROR(__xludf.DUMMYFUNCTION("GOOGLETRANSLATE(English!F1597,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1597" s="1" t="str">
        <f ca="1">IFERROR(__xludf.DUMMYFUNCTION("GOOGLETRANSLATE(English!G1597, ""en"", ""bg"")"),"помощ_за_домашно_изпълнение")</f>
        <v>помощ_за_домашно_изпълнение</v>
      </c>
      <c r="H1597" s="1" t="str">
        <f ca="1">IFERROR(__xludf.DUMMYFUNCTION("GOOGLETRANSLATE(English!H1597, ""en"", ""bg"")"),"помощ_за_домашно_задаване")</f>
        <v>помощ_за_домашно_задаване</v>
      </c>
    </row>
    <row r="1598" spans="1:8" ht="13.2" x14ac:dyDescent="0.25">
      <c r="A1598" s="1" t="str">
        <f ca="1">IFERROR(__xludf.DUMMYFUNCTION("GOOGLETRANSLATE(English!A1598, ""en"", ""bg"")"),"qa_06858")</f>
        <v>qa_06858</v>
      </c>
      <c r="B1598" s="1" t="str">
        <f ca="1">IFERROR(__xludf.DUMMYFUNCTION("GOOGLETRANSLATE(English!B1598, ""en"", ""bg"")"),"биология")</f>
        <v>биология</v>
      </c>
      <c r="C1598" s="1" t="str">
        <f ca="1">IFERROR(__xludf.DUMMYFUNCTION("GOOGLETRANSLATE(English!C1598, ""en"", ""bg"")"),"елементарен")</f>
        <v>елементарен</v>
      </c>
      <c r="D1598" s="1" t="str">
        <f ca="1">IFERROR(__xludf.DUMMYFUNCTION("GOOGLETRANSLATE(English!D1598, ""en"", ""bg"")"),"основни нужди")</f>
        <v>основни нужди</v>
      </c>
      <c r="E1598" s="1" t="str">
        <f ca="1">IFERROR(__xludf.DUMMYFUNCTION("GOOGLETRANSLATE(English!E1598, ""en"", ""bg"")"),"Как функционират основните потребности?")</f>
        <v>Как функционират основните потребности?</v>
      </c>
      <c r="F1598" s="1" t="str">
        <f ca="1">IFERROR(__xludf.DUMMYFUNCTION("GOOGLETRANSLATE(English!F1598,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1598" s="1" t="str">
        <f ca="1">IFERROR(__xludf.DUMMYFUNCTION("GOOGLETRANSLATE(English!G1598, ""en"", ""bg"")"),"direct_qa")</f>
        <v>direct_qa</v>
      </c>
      <c r="H1598" s="1" t="str">
        <f ca="1">IFERROR(__xludf.DUMMYFUNCTION("GOOGLETRANSLATE(English!H1598, ""en"", ""bg"")"),"заявка_за_знание")</f>
        <v>заявка_за_знание</v>
      </c>
    </row>
    <row r="1599" spans="1:8" ht="13.2" x14ac:dyDescent="0.25">
      <c r="A1599" s="1" t="str">
        <f ca="1">IFERROR(__xludf.DUMMYFUNCTION("GOOGLETRANSLATE(English!A1599, ""en"", ""bg"")"),"conv_12494")</f>
        <v>conv_12494</v>
      </c>
      <c r="B1599" s="1" t="str">
        <f ca="1">IFERROR(__xludf.DUMMYFUNCTION("GOOGLETRANSLATE(English!B1599, ""en"", ""bg"")"),"химия")</f>
        <v>химия</v>
      </c>
      <c r="C1599" s="1" t="str">
        <f ca="1">IFERROR(__xludf.DUMMYFUNCTION("GOOGLETRANSLATE(English!C1599, ""en"", ""bg"")"),"високо")</f>
        <v>високо</v>
      </c>
      <c r="D1599" s="1" t="str">
        <f ca="1">IFERROR(__xludf.DUMMYFUNCTION("GOOGLETRANSLATE(English!D1599, ""en"", ""bg"")"),"химическо свързване")</f>
        <v>химическо свързване</v>
      </c>
      <c r="E1599" s="1" t="str">
        <f ca="1">IFERROR(__xludf.DUMMYFUNCTION("GOOGLETRANSLATE(English!E1599, ""en"", ""bg"")"),"Помогнете ми да уча за теста. Можете ли да ми помогнете да разбера химичните връзки?")</f>
        <v>Помогнете ми да уча за теста. Можете ли да ми помогнете да разбера химичните връзки?</v>
      </c>
      <c r="F1599" s="1" t="str">
        <f ca="1">IFERROR(__xludf.DUMMYFUNCTION("GOOGLETRANSLATE(English!F1599,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1599" s="1" t="str">
        <f ca="1">IFERROR(__xludf.DUMMYFUNCTION("GOOGLETRANSLATE(English!G1599, ""en"", ""bg"")"),"разговор")</f>
        <v>разговор</v>
      </c>
      <c r="H1599" s="1" t="str">
        <f ca="1">IFERROR(__xludf.DUMMYFUNCTION("GOOGLETRANSLATE(English!H1599, ""en"", ""bg"")"),"образователна_помощ")</f>
        <v>образователна_помощ</v>
      </c>
    </row>
    <row r="1600" spans="1:8" ht="13.2" x14ac:dyDescent="0.25">
      <c r="A1600" s="1" t="str">
        <f ca="1">IFERROR(__xludf.DUMMYFUNCTION("GOOGLETRANSLATE(English!A1600, ""en"", ""bg"")"),"qa_04611")</f>
        <v>qa_04611</v>
      </c>
      <c r="B1600" s="1" t="str">
        <f ca="1">IFERROR(__xludf.DUMMYFUNCTION("GOOGLETRANSLATE(English!B1600, ""en"", ""bg"")"),"химия")</f>
        <v>химия</v>
      </c>
      <c r="C1600" s="1" t="str">
        <f ca="1">IFERROR(__xludf.DUMMYFUNCTION("GOOGLETRANSLATE(English!C1600, ""en"", ""bg"")"),"високо")</f>
        <v>високо</v>
      </c>
      <c r="D1600" s="1" t="str">
        <f ca="1">IFERROR(__xludf.DUMMYFUNCTION("GOOGLETRANSLATE(English!D1600, ""en"", ""bg"")"),"електрохимия")</f>
        <v>електрохимия</v>
      </c>
      <c r="E1600" s="1" t="str">
        <f ca="1">IFERROR(__xludf.DUMMYFUNCTION("GOOGLETRANSLATE(English!E1600, ""en"", ""bg"")"),"Можете ли да ми помогнете да разбера електрохимията?")</f>
        <v>Можете ли да ми помогнете да разбера електрохимията?</v>
      </c>
      <c r="F1600" s="1" t="str">
        <f ca="1">IFERROR(__xludf.DUMMYFUNCTION("GOOGLETRANSLATE(English!F1600,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1600" s="1" t="str">
        <f ca="1">IFERROR(__xludf.DUMMYFUNCTION("GOOGLETRANSLATE(English!G1600, ""en"", ""bg"")"),"direct_qa")</f>
        <v>direct_qa</v>
      </c>
      <c r="H1600" s="1" t="str">
        <f ca="1">IFERROR(__xludf.DUMMYFUNCTION("GOOGLETRANSLATE(English!H1600, ""en"", ""bg"")"),"заявка_за_знание")</f>
        <v>заявка_за_знание</v>
      </c>
    </row>
    <row r="1601" spans="1:8" ht="13.2" x14ac:dyDescent="0.25">
      <c r="A1601" s="1" t="str">
        <f ca="1">IFERROR(__xludf.DUMMYFUNCTION("GOOGLETRANSLATE(English!A1601, ""en"", ""bg"")"),"conv_06990")</f>
        <v>conv_06990</v>
      </c>
      <c r="B1601" s="1" t="str">
        <f ca="1">IFERROR(__xludf.DUMMYFUNCTION("GOOGLETRANSLATE(English!B1601, ""en"", ""bg"")"),"физика")</f>
        <v>физика</v>
      </c>
      <c r="C1601" s="1" t="str">
        <f ca="1">IFERROR(__xludf.DUMMYFUNCTION("GOOGLETRANSLATE(English!C1601, ""en"", ""bg"")"),"елементарен")</f>
        <v>елементарен</v>
      </c>
      <c r="D1601" s="1" t="str">
        <f ca="1">IFERROR(__xludf.DUMMYFUNCTION("GOOGLETRANSLATE(English!D1601, ""en"", ""bg"")"),"плаващ и потъващ")</f>
        <v>плаващ и потъващ</v>
      </c>
      <c r="E1601" s="1" t="str">
        <f ca="1">IFERROR(__xludf.DUMMYFUNCTION("GOOGLETRANSLATE(English!E1601, ""en"", ""bg"")"),"Имам научен въпрос. Как функционират плаването и потъването във физиката?")</f>
        <v>Имам научен въпрос. Как функционират плаването и потъването във физиката?</v>
      </c>
      <c r="F1601" s="1" t="str">
        <f ca="1">IFERROR(__xludf.DUMMYFUNCTION("GOOGLETRANSLATE(English!F1601,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1601" s="1" t="str">
        <f ca="1">IFERROR(__xludf.DUMMYFUNCTION("GOOGLETRANSLATE(English!G1601, ""en"", ""bg"")"),"разговор")</f>
        <v>разговор</v>
      </c>
      <c r="H1601" s="1" t="str">
        <f ca="1">IFERROR(__xludf.DUMMYFUNCTION("GOOGLETRANSLATE(English!H1601, ""en"", ""bg"")"),"образователна_помощ")</f>
        <v>образователна_помощ</v>
      </c>
    </row>
    <row r="1602" spans="1:8" ht="13.2" x14ac:dyDescent="0.25">
      <c r="A1602" s="1" t="str">
        <f ca="1">IFERROR(__xludf.DUMMYFUNCTION("GOOGLETRANSLATE(English!A1602, ""en"", ""bg"")"),"hw_05365")</f>
        <v>hw_05365</v>
      </c>
      <c r="B1602" s="1" t="str">
        <f ca="1">IFERROR(__xludf.DUMMYFUNCTION("GOOGLETRANSLATE(English!B1602, ""en"", ""bg"")"),"химия")</f>
        <v>химия</v>
      </c>
      <c r="C1602" s="1" t="str">
        <f ca="1">IFERROR(__xludf.DUMMYFUNCTION("GOOGLETRANSLATE(English!C1602, ""en"", ""bg"")"),"средата")</f>
        <v>средата</v>
      </c>
      <c r="D1602" s="1" t="str">
        <f ca="1">IFERROR(__xludf.DUMMYFUNCTION("GOOGLETRANSLATE(English!D1602, ""en"", ""bg"")"),"атоми и молекули")</f>
        <v>атоми и молекули</v>
      </c>
      <c r="E1602" s="1" t="str">
        <f ca="1">IFERROR(__xludf.DUMMYFUNCTION("GOOGLETRANSLATE(English!E1602,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1602" s="1" t="str">
        <f ca="1">IFERROR(__xludf.DUMMYFUNCTION("GOOGLETRANSLATE(English!F1602,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1602" s="1" t="str">
        <f ca="1">IFERROR(__xludf.DUMMYFUNCTION("GOOGLETRANSLATE(English!G1602, ""en"", ""bg"")"),"помощ_за_домашно_изпълнение")</f>
        <v>помощ_за_домашно_изпълнение</v>
      </c>
      <c r="H1602" s="1" t="str">
        <f ca="1">IFERROR(__xludf.DUMMYFUNCTION("GOOGLETRANSLATE(English!H1602, ""en"", ""bg"")"),"помощ_за_домашно_задаване")</f>
        <v>помощ_за_домашно_задаване</v>
      </c>
    </row>
    <row r="1603" spans="1:8" ht="13.2" x14ac:dyDescent="0.25">
      <c r="A1603" s="1" t="str">
        <f ca="1">IFERROR(__xludf.DUMMYFUNCTION("GOOGLETRANSLATE(English!A1603, ""en"", ""bg"")"),"qa_06954")</f>
        <v>qa_06954</v>
      </c>
      <c r="B1603" s="1" t="str">
        <f ca="1">IFERROR(__xludf.DUMMYFUNCTION("GOOGLETRANSLATE(English!B1603, ""en"", ""bg"")"),"химия")</f>
        <v>химия</v>
      </c>
      <c r="C1603" s="1" t="str">
        <f ca="1">IFERROR(__xludf.DUMMYFUNCTION("GOOGLETRANSLATE(English!C1603, ""en"", ""bg"")"),"елементарен")</f>
        <v>елементарен</v>
      </c>
      <c r="D1603" s="1" t="str">
        <f ca="1">IFERROR(__xludf.DUMMYFUNCTION("GOOGLETRANSLATE(English!D1603, ""en"", ""bg"")"),"смесване на материали")</f>
        <v>смесване на материали</v>
      </c>
      <c r="E1603" s="1" t="str">
        <f ca="1">IFERROR(__xludf.DUMMYFUNCTION("GOOGLETRANSLATE(English!E1603, ""en"", ""bg"")"),"Какво се случва, когато смесите масло и вода?")</f>
        <v>Какво се случва, когато смесите масло и вода?</v>
      </c>
      <c r="F1603" s="1" t="str">
        <f ca="1">IFERROR(__xludf.DUMMYFUNCTION("GOOGLETRANSLATE(English!F1603,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1603" s="1" t="str">
        <f ca="1">IFERROR(__xludf.DUMMYFUNCTION("GOOGLETRANSLATE(English!G1603, ""en"", ""bg"")"),"direct_qa")</f>
        <v>direct_qa</v>
      </c>
      <c r="H1603" s="1" t="str">
        <f ca="1">IFERROR(__xludf.DUMMYFUNCTION("GOOGLETRANSLATE(English!H1603, ""en"", ""bg"")"),"заявка_за_знание")</f>
        <v>заявка_за_знание</v>
      </c>
    </row>
    <row r="1604" spans="1:8" ht="13.2" x14ac:dyDescent="0.25">
      <c r="A1604" s="1" t="str">
        <f ca="1">IFERROR(__xludf.DUMMYFUNCTION("GOOGLETRANSLATE(English!A1604, ""en"", ""bg"")"),"qa_11011")</f>
        <v>qa_11011</v>
      </c>
      <c r="B1604" s="1" t="str">
        <f ca="1">IFERROR(__xludf.DUMMYFUNCTION("GOOGLETRANSLATE(English!B1604, ""en"", ""bg"")"),"физика")</f>
        <v>физика</v>
      </c>
      <c r="C1604" s="1" t="str">
        <f ca="1">IFERROR(__xludf.DUMMYFUNCTION("GOOGLETRANSLATE(English!C1604, ""en"", ""bg"")"),"средата")</f>
        <v>средата</v>
      </c>
      <c r="D1604" s="1" t="str">
        <f ca="1">IFERROR(__xludf.DUMMYFUNCTION("GOOGLETRANSLATE(English!D1604, ""en"", ""bg"")"),"видове енергия")</f>
        <v>видове енергия</v>
      </c>
      <c r="E1604" s="1" t="str">
        <f ca="1">IFERROR(__xludf.DUMMYFUNCTION("GOOGLETRANSLATE(English!E1604, ""en"", ""bg"")"),"Какво е кинетична енергия?")</f>
        <v>Какво е кинетична енергия?</v>
      </c>
      <c r="F1604" s="1" t="str">
        <f ca="1">IFERROR(__xludf.DUMMYFUNCTION("GOOGLETRANSLATE(English!F1604,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1604" s="1" t="str">
        <f ca="1">IFERROR(__xludf.DUMMYFUNCTION("GOOGLETRANSLATE(English!G1604, ""en"", ""bg"")"),"direct_qa")</f>
        <v>direct_qa</v>
      </c>
      <c r="H1604" s="1" t="str">
        <f ca="1">IFERROR(__xludf.DUMMYFUNCTION("GOOGLETRANSLATE(English!H1604, ""en"", ""bg"")"),"заявка_за_знание")</f>
        <v>заявка_за_знание</v>
      </c>
    </row>
    <row r="1605" spans="1:8" ht="13.2" x14ac:dyDescent="0.25">
      <c r="A1605" s="1" t="str">
        <f ca="1">IFERROR(__xludf.DUMMYFUNCTION("GOOGLETRANSLATE(English!A1605, ""en"", ""bg"")"),"hw_13500")</f>
        <v>hw_13500</v>
      </c>
      <c r="B1605" s="1" t="str">
        <f ca="1">IFERROR(__xludf.DUMMYFUNCTION("GOOGLETRANSLATE(English!B1605, ""en"", ""bg"")"),"биология")</f>
        <v>биология</v>
      </c>
      <c r="C1605" s="1" t="str">
        <f ca="1">IFERROR(__xludf.DUMMYFUNCTION("GOOGLETRANSLATE(English!C1605, ""en"", ""bg"")"),"елементарен")</f>
        <v>елементарен</v>
      </c>
      <c r="D1605" s="1" t="str">
        <f ca="1">IFERROR(__xludf.DUMMYFUNCTION("GOOGLETRANSLATE(English!D1605, ""en"", ""bg"")"),"хранителни вериги")</f>
        <v>хранителни вериги</v>
      </c>
      <c r="E1605" s="1" t="str">
        <f ca="1">IFERROR(__xludf.DUMMYFUNCTION("GOOGLETRANSLATE(English!E1605,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1605" s="1" t="str">
        <f ca="1">IFERROR(__xludf.DUMMYFUNCTION("GOOGLETRANSLATE(English!F1605,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1605" s="1" t="str">
        <f ca="1">IFERROR(__xludf.DUMMYFUNCTION("GOOGLETRANSLATE(English!G1605, ""en"", ""bg"")"),"помощ_за_домашно_изпълнение")</f>
        <v>помощ_за_домашно_изпълнение</v>
      </c>
      <c r="H1605" s="1" t="str">
        <f ca="1">IFERROR(__xludf.DUMMYFUNCTION("GOOGLETRANSLATE(English!H1605, ""en"", ""bg"")"),"помощ_за_домашно_задаване")</f>
        <v>помощ_за_домашно_задаване</v>
      </c>
    </row>
    <row r="1606" spans="1:8" ht="13.2" x14ac:dyDescent="0.25">
      <c r="A1606" s="1" t="str">
        <f ca="1">IFERROR(__xludf.DUMMYFUNCTION("GOOGLETRANSLATE(English!A1606, ""en"", ""bg"")"),"qa_07871")</f>
        <v>qa_07871</v>
      </c>
      <c r="B1606" s="1" t="str">
        <f ca="1">IFERROR(__xludf.DUMMYFUNCTION("GOOGLETRANSLATE(English!B1606, ""en"", ""bg"")"),"химия")</f>
        <v>химия</v>
      </c>
      <c r="C1606" s="1" t="str">
        <f ca="1">IFERROR(__xludf.DUMMYFUNCTION("GOOGLETRANSLATE(English!C1606, ""en"", ""bg"")"),"средата")</f>
        <v>средата</v>
      </c>
      <c r="D1606" s="1" t="str">
        <f ca="1">IFERROR(__xludf.DUMMYFUNCTION("GOOGLETRANSLATE(English!D1606, ""en"", ""bg"")"),"химични промени")</f>
        <v>химични промени</v>
      </c>
      <c r="E1606" s="1" t="str">
        <f ca="1">IFERROR(__xludf.DUMMYFUNCTION("GOOGLETRANSLATE(English!E1606, ""en"", ""bg"")"),"Можете ли да ми помогнете да разбера химичните промени?")</f>
        <v>Можете ли да ми помогнете да разбера химичните промени?</v>
      </c>
      <c r="F1606" s="1" t="str">
        <f ca="1">IFERROR(__xludf.DUMMYFUNCTION("GOOGLETRANSLATE(English!F1606,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1606" s="1" t="str">
        <f ca="1">IFERROR(__xludf.DUMMYFUNCTION("GOOGLETRANSLATE(English!G1606, ""en"", ""bg"")"),"direct_qa")</f>
        <v>direct_qa</v>
      </c>
      <c r="H1606" s="1" t="str">
        <f ca="1">IFERROR(__xludf.DUMMYFUNCTION("GOOGLETRANSLATE(English!H1606, ""en"", ""bg"")"),"заявка_за_знание")</f>
        <v>заявка_за_знание</v>
      </c>
    </row>
    <row r="1607" spans="1:8" ht="13.2" x14ac:dyDescent="0.25">
      <c r="A1607" s="1" t="str">
        <f ca="1">IFERROR(__xludf.DUMMYFUNCTION("GOOGLETRANSLATE(English!A1607, ""en"", ""bg"")"),"conv_13411")</f>
        <v>conv_13411</v>
      </c>
      <c r="B1607" s="1" t="str">
        <f ca="1">IFERROR(__xludf.DUMMYFUNCTION("GOOGLETRANSLATE(English!B1607, ""en"", ""bg"")"),"биология")</f>
        <v>биология</v>
      </c>
      <c r="C1607" s="1" t="str">
        <f ca="1">IFERROR(__xludf.DUMMYFUNCTION("GOOGLETRANSLATE(English!C1607, ""en"", ""bg"")"),"средата")</f>
        <v>средата</v>
      </c>
      <c r="D1607" s="1" t="str">
        <f ca="1">IFERROR(__xludf.DUMMYFUNCTION("GOOGLETRANSLATE(English!D1607, ""en"", ""bg"")"),"основи на генетиката")</f>
        <v>основи на генетиката</v>
      </c>
      <c r="E1607" s="1" t="str">
        <f ca="1">IFERROR(__xludf.DUMMYFUNCTION("GOOGLETRANSLATE(English!E1607, ""en"", ""bg"")"),"Здравей, преподавателю! Защо основите на генетиката са важни в биологията?")</f>
        <v>Здравей, преподавателю! Защо основите на генетиката са важни в биологията?</v>
      </c>
      <c r="F1607" s="1" t="str">
        <f ca="1">IFERROR(__xludf.DUMMYFUNCTION("GOOGLETRANSLATE(English!F1607,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1607" s="1" t="str">
        <f ca="1">IFERROR(__xludf.DUMMYFUNCTION("GOOGLETRANSLATE(English!G1607, ""en"", ""bg"")"),"разговор")</f>
        <v>разговор</v>
      </c>
      <c r="H1607" s="1" t="str">
        <f ca="1">IFERROR(__xludf.DUMMYFUNCTION("GOOGLETRANSLATE(English!H1607, ""en"", ""bg"")"),"образователна_помощ")</f>
        <v>образователна_помощ</v>
      </c>
    </row>
    <row r="1608" spans="1:8" ht="13.2" x14ac:dyDescent="0.25">
      <c r="A1608" s="1" t="str">
        <f ca="1">IFERROR(__xludf.DUMMYFUNCTION("GOOGLETRANSLATE(English!A1608, ""en"", ""bg"")"),"qa_07915")</f>
        <v>qa_07915</v>
      </c>
      <c r="B1608" s="1" t="str">
        <f ca="1">IFERROR(__xludf.DUMMYFUNCTION("GOOGLETRANSLATE(English!B1608, ""en"", ""bg"")"),"химия")</f>
        <v>химия</v>
      </c>
      <c r="C1608" s="1" t="str">
        <f ca="1">IFERROR(__xludf.DUMMYFUNCTION("GOOGLETRANSLATE(English!C1608, ""en"", ""bg"")"),"високо")</f>
        <v>високо</v>
      </c>
      <c r="D1608" s="1" t="str">
        <f ca="1">IFERROR(__xludf.DUMMYFUNCTION("GOOGLETRANSLATE(English!D1608, ""en"", ""bg"")"),"електрохимия")</f>
        <v>електрохимия</v>
      </c>
      <c r="E1608" s="1" t="str">
        <f ca="1">IFERROR(__xludf.DUMMYFUNCTION("GOOGLETRANSLATE(English!E1608, ""en"", ""bg"")"),"Как работи електрохимията в химията?")</f>
        <v>Как работи електрохимията в химията?</v>
      </c>
      <c r="F1608" s="1" t="str">
        <f ca="1">IFERROR(__xludf.DUMMYFUNCTION("GOOGLETRANSLATE(English!F1608,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1608" s="1" t="str">
        <f ca="1">IFERROR(__xludf.DUMMYFUNCTION("GOOGLETRANSLATE(English!G1608, ""en"", ""bg"")"),"direct_qa")</f>
        <v>direct_qa</v>
      </c>
      <c r="H1608" s="1" t="str">
        <f ca="1">IFERROR(__xludf.DUMMYFUNCTION("GOOGLETRANSLATE(English!H1608, ""en"", ""bg"")"),"заявка_за_знание")</f>
        <v>заявка_за_знание</v>
      </c>
    </row>
    <row r="1609" spans="1:8" ht="13.2" x14ac:dyDescent="0.25">
      <c r="A1609" s="1" t="str">
        <f ca="1">IFERROR(__xludf.DUMMYFUNCTION("GOOGLETRANSLATE(English!A1609, ""en"", ""bg"")"),"conv_10098")</f>
        <v>conv_10098</v>
      </c>
      <c r="B1609" s="1" t="str">
        <f ca="1">IFERROR(__xludf.DUMMYFUNCTION("GOOGLETRANSLATE(English!B1609, ""en"", ""bg"")"),"химия")</f>
        <v>химия</v>
      </c>
      <c r="C1609" s="1" t="str">
        <f ca="1">IFERROR(__xludf.DUMMYFUNCTION("GOOGLETRANSLATE(English!C1609, ""en"", ""bg"")"),"елементарен")</f>
        <v>елементарен</v>
      </c>
      <c r="D1609" s="1" t="str">
        <f ca="1">IFERROR(__xludf.DUMMYFUNCTION("GOOGLETRANSLATE(English!D1609, ""en"", ""bg"")"),"твърди вещества, течности, газове")</f>
        <v>твърди вещества, течности, газове</v>
      </c>
      <c r="E1609" s="1" t="str">
        <f ca="1">IFERROR(__xludf.DUMMYFUNCTION("GOOGLETRANSLATE(English!E1609, ""en"", ""bg"")"),"Помогнете ми да уча за теста. Можете ли да превърнете газ обратно в течност?")</f>
        <v>Помогнете ми да уча за теста. Можете ли да превърнете газ обратно в течност?</v>
      </c>
      <c r="F1609" s="1" t="str">
        <f ca="1">IFERROR(__xludf.DUMMYFUNCTION("GOOGLETRANSLATE(English!F1609, ""en"", ""bg"")"),"Да! Можете да превърнете газ обратно в течност, като го охладите. Този процес се нарича кондензация.")</f>
        <v>Да! Можете да превърнете газ обратно в течност, като го охладите. Този процес се нарича кондензация.</v>
      </c>
      <c r="G1609" s="1" t="str">
        <f ca="1">IFERROR(__xludf.DUMMYFUNCTION("GOOGLETRANSLATE(English!G1609, ""en"", ""bg"")"),"разговор")</f>
        <v>разговор</v>
      </c>
      <c r="H1609" s="1" t="str">
        <f ca="1">IFERROR(__xludf.DUMMYFUNCTION("GOOGLETRANSLATE(English!H1609, ""en"", ""bg"")"),"образователна_помощ")</f>
        <v>образователна_помощ</v>
      </c>
    </row>
    <row r="1610" spans="1:8" ht="13.2" x14ac:dyDescent="0.25">
      <c r="A1610" s="1" t="str">
        <f ca="1">IFERROR(__xludf.DUMMYFUNCTION("GOOGLETRANSLATE(English!A1610, ""en"", ""bg"")"),"hw_00092")</f>
        <v>hw_00092</v>
      </c>
      <c r="B1610" s="1" t="str">
        <f ca="1">IFERROR(__xludf.DUMMYFUNCTION("GOOGLETRANSLATE(English!B1610, ""en"", ""bg"")"),"биология")</f>
        <v>биология</v>
      </c>
      <c r="C1610" s="1" t="str">
        <f ca="1">IFERROR(__xludf.DUMMYFUNCTION("GOOGLETRANSLATE(English!C1610, ""en"", ""bg"")"),"средата")</f>
        <v>средата</v>
      </c>
      <c r="D1610" s="1" t="str">
        <f ca="1">IFERROR(__xludf.DUMMYFUNCTION("GOOGLETRANSLATE(English!D1610, ""en"", ""bg"")"),"основи на генетиката")</f>
        <v>основи на генетиката</v>
      </c>
      <c r="E1610" s="1" t="str">
        <f ca="1">IFERROR(__xludf.DUMMYFUNCTION("GOOGLETRANSLATE(English!E1610, ""en"", ""bg"")"),"Утре имам тест по основи на генетиката. Помогни ми да уча!")</f>
        <v>Утре имам тест по основи на генетиката. Помогни ми да уча!</v>
      </c>
      <c r="F1610" s="1" t="str">
        <f ca="1">IFERROR(__xludf.DUMMYFUNCTION("GOOGLETRANSLATE(English!F1610,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610" s="1" t="str">
        <f ca="1">IFERROR(__xludf.DUMMYFUNCTION("GOOGLETRANSLATE(English!G1610, ""en"", ""bg"")"),"помощ_за_домашно_изпълнение")</f>
        <v>помощ_за_домашно_изпълнение</v>
      </c>
      <c r="H1610" s="1" t="str">
        <f ca="1">IFERROR(__xludf.DUMMYFUNCTION("GOOGLETRANSLATE(English!H1610, ""en"", ""bg"")"),"помощ_за_домашно_задаване")</f>
        <v>помощ_за_домашно_задаване</v>
      </c>
    </row>
    <row r="1611" spans="1:8" ht="13.2" x14ac:dyDescent="0.25">
      <c r="A1611" s="1" t="str">
        <f ca="1">IFERROR(__xludf.DUMMYFUNCTION("GOOGLETRANSLATE(English!A1611, ""en"", ""bg"")"),"qa_07034")</f>
        <v>qa_07034</v>
      </c>
      <c r="B1611" s="1" t="str">
        <f ca="1">IFERROR(__xludf.DUMMYFUNCTION("GOOGLETRANSLATE(English!B1611, ""en"", ""bg"")"),"физика")</f>
        <v>физика</v>
      </c>
      <c r="C1611" s="1" t="str">
        <f ca="1">IFERROR(__xludf.DUMMYFUNCTION("GOOGLETRANSLATE(English!C1611, ""en"", ""bg"")"),"средата")</f>
        <v>средата</v>
      </c>
      <c r="D1611" s="1" t="str">
        <f ca="1">IFERROR(__xludf.DUMMYFUNCTION("GOOGLETRANSLATE(English!D1611, ""en"", ""bg"")"),"състояния на материята")</f>
        <v>състояния на материята</v>
      </c>
      <c r="E1611" s="1" t="str">
        <f ca="1">IFERROR(__xludf.DUMMYFUNCTION("GOOGLETRANSLATE(English!E1611, ""en"", ""bg"")"),"Какво трябва да знам за състоянията на материята?")</f>
        <v>Какво трябва да знам за състоянията на материята?</v>
      </c>
      <c r="F1611" s="1" t="str">
        <f ca="1">IFERROR(__xludf.DUMMYFUNCTION("GOOGLETRANSLATE(English!F1611,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1611" s="1" t="str">
        <f ca="1">IFERROR(__xludf.DUMMYFUNCTION("GOOGLETRANSLATE(English!G1611, ""en"", ""bg"")"),"direct_qa")</f>
        <v>direct_qa</v>
      </c>
      <c r="H1611" s="1" t="str">
        <f ca="1">IFERROR(__xludf.DUMMYFUNCTION("GOOGLETRANSLATE(English!H1611, ""en"", ""bg"")"),"заявка_за_знание")</f>
        <v>заявка_за_знание</v>
      </c>
    </row>
    <row r="1612" spans="1:8" ht="13.2" x14ac:dyDescent="0.25">
      <c r="A1612" s="1" t="str">
        <f ca="1">IFERROR(__xludf.DUMMYFUNCTION("GOOGLETRANSLATE(English!A1612, ""en"", ""bg"")"),"conv_10434")</f>
        <v>conv_10434</v>
      </c>
      <c r="B1612" s="1" t="str">
        <f ca="1">IFERROR(__xludf.DUMMYFUNCTION("GOOGLETRANSLATE(English!B1612, ""en"", ""bg"")"),"химия")</f>
        <v>химия</v>
      </c>
      <c r="C1612" s="1" t="str">
        <f ca="1">IFERROR(__xludf.DUMMYFUNCTION("GOOGLETRANSLATE(English!C1612, ""en"", ""bg"")"),"елементарен")</f>
        <v>елементарен</v>
      </c>
      <c r="D1612" s="1" t="str">
        <f ca="1">IFERROR(__xludf.DUMMYFUNCTION("GOOGLETRANSLATE(English!D1612, ""en"", ""bg"")"),"ежедневни химикали")</f>
        <v>ежедневни химикали</v>
      </c>
      <c r="E1612" s="1" t="str">
        <f ca="1">IFERROR(__xludf.DUMMYFUNCTION("GOOGLETRANSLATE(English!E1612, ""en"", ""bg"")"),"Имам нужда от помощ с домашното. Защо е важно да се изучават ежедневните химикали?")</f>
        <v>Имам нужда от помощ с домашното. Защо е важно да се изучават ежедневните химикали?</v>
      </c>
      <c r="F1612" s="1" t="str">
        <f ca="1">IFERROR(__xludf.DUMMYFUNCTION("GOOGLETRANSLATE(English!F1612,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1612" s="1" t="str">
        <f ca="1">IFERROR(__xludf.DUMMYFUNCTION("GOOGLETRANSLATE(English!G1612, ""en"", ""bg"")"),"разговор")</f>
        <v>разговор</v>
      </c>
      <c r="H1612" s="1" t="str">
        <f ca="1">IFERROR(__xludf.DUMMYFUNCTION("GOOGLETRANSLATE(English!H1612, ""en"", ""bg"")"),"образователна_помощ")</f>
        <v>образователна_помощ</v>
      </c>
    </row>
    <row r="1613" spans="1:8" ht="13.2" x14ac:dyDescent="0.25">
      <c r="A1613" s="1" t="str">
        <f ca="1">IFERROR(__xludf.DUMMYFUNCTION("GOOGLETRANSLATE(English!A1613, ""en"", ""bg"")"),"hw_14366")</f>
        <v>hw_14366</v>
      </c>
      <c r="B1613" s="1" t="str">
        <f ca="1">IFERROR(__xludf.DUMMYFUNCTION("GOOGLETRANSLATE(English!B1613, ""en"", ""bg"")"),"биология")</f>
        <v>биология</v>
      </c>
      <c r="C1613" s="1" t="str">
        <f ca="1">IFERROR(__xludf.DUMMYFUNCTION("GOOGLETRANSLATE(English!C1613, ""en"", ""bg"")"),"средата")</f>
        <v>средата</v>
      </c>
      <c r="D1613" s="1" t="str">
        <f ca="1">IFERROR(__xludf.DUMMYFUNCTION("GOOGLETRANSLATE(English!D1613, ""en"", ""bg"")"),"основи на генетиката")</f>
        <v>основи на генетиката</v>
      </c>
      <c r="E1613" s="1" t="str">
        <f ca="1">IFERROR(__xludf.DUMMYFUNCTION("GOOGLETRANSLATE(English!E1613, ""en"", ""bg"")"),"Домашното ми пита за основите на генетиката. Не го разбирам.")</f>
        <v>Домашното ми пита за основите на генетиката. Не го разбирам.</v>
      </c>
      <c r="F1613" s="1" t="str">
        <f ca="1">IFERROR(__xludf.DUMMYFUNCTION("GOOGLETRANSLATE(English!F1613,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613" s="1" t="str">
        <f ca="1">IFERROR(__xludf.DUMMYFUNCTION("GOOGLETRANSLATE(English!G1613, ""en"", ""bg"")"),"помощ_за_домашно_изпълнение")</f>
        <v>помощ_за_домашно_изпълнение</v>
      </c>
      <c r="H1613" s="1" t="str">
        <f ca="1">IFERROR(__xludf.DUMMYFUNCTION("GOOGLETRANSLATE(English!H1613, ""en"", ""bg"")"),"помощ_за_домашно_задаване")</f>
        <v>помощ_за_домашно_задаване</v>
      </c>
    </row>
    <row r="1614" spans="1:8" ht="13.2" x14ac:dyDescent="0.25">
      <c r="A1614" s="1" t="str">
        <f ca="1">IFERROR(__xludf.DUMMYFUNCTION("GOOGLETRANSLATE(English!A1614, ""en"", ""bg"")"),"qa_09032")</f>
        <v>qa_09032</v>
      </c>
      <c r="B1614" s="1" t="str">
        <f ca="1">IFERROR(__xludf.DUMMYFUNCTION("GOOGLETRANSLATE(English!B1614, ""en"", ""bg"")"),"биология")</f>
        <v>биология</v>
      </c>
      <c r="C1614" s="1" t="str">
        <f ca="1">IFERROR(__xludf.DUMMYFUNCTION("GOOGLETRANSLATE(English!C1614, ""en"", ""bg"")"),"средата")</f>
        <v>средата</v>
      </c>
      <c r="D1614" s="1" t="str">
        <f ca="1">IFERROR(__xludf.DUMMYFUNCTION("GOOGLETRANSLATE(English!D1614, ""en"", ""bg"")"),"фотосинтеза")</f>
        <v>фотосинтеза</v>
      </c>
      <c r="E1614" s="1" t="str">
        <f ca="1">IFERROR(__xludf.DUMMYFUNCTION("GOOGLETRANSLATE(English!E1614, ""en"", ""bg"")"),"Можете ли да ми разкажете за фотосинтезата?")</f>
        <v>Можете ли да ми разкажете за фотосинтезата?</v>
      </c>
      <c r="F1614" s="1" t="str">
        <f ca="1">IFERROR(__xludf.DUMMYFUNCTION("GOOGLETRANSLATE(English!F1614,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1614" s="1" t="str">
        <f ca="1">IFERROR(__xludf.DUMMYFUNCTION("GOOGLETRANSLATE(English!G1614, ""en"", ""bg"")"),"direct_qa")</f>
        <v>direct_qa</v>
      </c>
      <c r="H1614" s="1" t="str">
        <f ca="1">IFERROR(__xludf.DUMMYFUNCTION("GOOGLETRANSLATE(English!H1614, ""en"", ""bg"")"),"заявка_за_знание")</f>
        <v>заявка_за_знание</v>
      </c>
    </row>
    <row r="1615" spans="1:8" ht="13.2" x14ac:dyDescent="0.25">
      <c r="A1615" s="1" t="str">
        <f ca="1">IFERROR(__xludf.DUMMYFUNCTION("GOOGLETRANSLATE(English!A1615, ""en"", ""bg"")"),"hw_10990")</f>
        <v>hw_10990</v>
      </c>
      <c r="B1615" s="1" t="str">
        <f ca="1">IFERROR(__xludf.DUMMYFUNCTION("GOOGLETRANSLATE(English!B1615, ""en"", ""bg"")"),"физика")</f>
        <v>физика</v>
      </c>
      <c r="C1615" s="1" t="str">
        <f ca="1">IFERROR(__xludf.DUMMYFUNCTION("GOOGLETRANSLATE(English!C1615, ""en"", ""bg"")"),"средата")</f>
        <v>средата</v>
      </c>
      <c r="D1615" s="1" t="str">
        <f ca="1">IFERROR(__xludf.DUMMYFUNCTION("GOOGLETRANSLATE(English!D1615, ""en"", ""bg"")"),"видове енергия")</f>
        <v>видове енергия</v>
      </c>
      <c r="E1615" s="1" t="str">
        <f ca="1">IFERROR(__xludf.DUMMYFUNCTION("GOOGLETRANSLATE(English!E1615, ""en"", ""bg"")"),"Трябва да разбера видовете енергия за изпита си.")</f>
        <v>Трябва да разбера видовете енергия за изпита си.</v>
      </c>
      <c r="F1615" s="1" t="str">
        <f ca="1">IFERROR(__xludf.DUMMYFUNCTION("GOOGLETRANSLATE(English!F1615,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615" s="1" t="str">
        <f ca="1">IFERROR(__xludf.DUMMYFUNCTION("GOOGLETRANSLATE(English!G1615, ""en"", ""bg"")"),"помощ_за_домашно_изпълнение")</f>
        <v>помощ_за_домашно_изпълнение</v>
      </c>
      <c r="H1615" s="1" t="str">
        <f ca="1">IFERROR(__xludf.DUMMYFUNCTION("GOOGLETRANSLATE(English!H1615, ""en"", ""bg"")"),"помощ_за_домашно_задаване")</f>
        <v>помощ_за_домашно_задаване</v>
      </c>
    </row>
    <row r="1616" spans="1:8" ht="13.2" x14ac:dyDescent="0.25">
      <c r="A1616" s="1" t="str">
        <f ca="1">IFERROR(__xludf.DUMMYFUNCTION("GOOGLETRANSLATE(English!A1616, ""en"", ""bg"")"),"conv_12710")</f>
        <v>conv_12710</v>
      </c>
      <c r="B1616" s="1" t="str">
        <f ca="1">IFERROR(__xludf.DUMMYFUNCTION("GOOGLETRANSLATE(English!B1616, ""en"", ""bg"")"),"биология")</f>
        <v>биология</v>
      </c>
      <c r="C1616" s="1" t="str">
        <f ca="1">IFERROR(__xludf.DUMMYFUNCTION("GOOGLETRANSLATE(English!C1616, ""en"", ""bg"")"),"високо")</f>
        <v>високо</v>
      </c>
      <c r="D1616" s="1" t="str">
        <f ca="1">IFERROR(__xludf.DUMMYFUNCTION("GOOGLETRANSLATE(English!D1616, ""en"", ""bg"")"),"Структура на ДНК")</f>
        <v>Структура на ДНК</v>
      </c>
      <c r="E1616" s="1" t="str">
        <f ca="1">IFERROR(__xludf.DUMMYFUNCTION("GOOGLETRANSLATE(English!E1616, ""en"", ""bg"")"),"Можете ли да ми обясните това? Как работи структурата на ДНК?")</f>
        <v>Можете ли да ми обясните това? Как работи структурата на ДНК?</v>
      </c>
      <c r="F1616" s="1" t="str">
        <f ca="1">IFERROR(__xludf.DUMMYFUNCTION("GOOGLETRANSLATE(English!F1616,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1616" s="1" t="str">
        <f ca="1">IFERROR(__xludf.DUMMYFUNCTION("GOOGLETRANSLATE(English!G1616, ""en"", ""bg"")"),"разговор")</f>
        <v>разговор</v>
      </c>
      <c r="H1616" s="1" t="str">
        <f ca="1">IFERROR(__xludf.DUMMYFUNCTION("GOOGLETRANSLATE(English!H1616, ""en"", ""bg"")"),"образователна_помощ")</f>
        <v>образователна_помощ</v>
      </c>
    </row>
    <row r="1617" spans="1:8" ht="13.2" x14ac:dyDescent="0.25">
      <c r="A1617" s="1" t="str">
        <f ca="1">IFERROR(__xludf.DUMMYFUNCTION("GOOGLETRANSLATE(English!A1617, ""en"", ""bg"")"),"conv_05100")</f>
        <v>conv_05100</v>
      </c>
      <c r="B1617" s="1" t="str">
        <f ca="1">IFERROR(__xludf.DUMMYFUNCTION("GOOGLETRANSLATE(English!B1617, ""en"", ""bg"")"),"физика")</f>
        <v>физика</v>
      </c>
      <c r="C1617" s="1" t="str">
        <f ca="1">IFERROR(__xludf.DUMMYFUNCTION("GOOGLETRANSLATE(English!C1617, ""en"", ""bg"")"),"средата")</f>
        <v>средата</v>
      </c>
      <c r="D1617" s="1" t="str">
        <f ca="1">IFERROR(__xludf.DUMMYFUNCTION("GOOGLETRANSLATE(English!D1617, ""en"", ""bg"")"),"сили и движение")</f>
        <v>сили и движение</v>
      </c>
      <c r="E1617" s="1" t="str">
        <f ca="1">IFERROR(__xludf.DUMMYFUNCTION("GOOGLETRANSLATE(English!E1617, ""en"", ""bg"")"),"Не разбирам тази тема. Какъв е първият закон на Нютон?")</f>
        <v>Не разбирам тази тема. Какъв е първият закон на Нютон?</v>
      </c>
      <c r="F1617" s="1" t="str">
        <f ca="1">IFERROR(__xludf.DUMMYFUNCTION("GOOGLETRANSLATE(English!F1617,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1617" s="1" t="str">
        <f ca="1">IFERROR(__xludf.DUMMYFUNCTION("GOOGLETRANSLATE(English!G1617, ""en"", ""bg"")"),"разговор")</f>
        <v>разговор</v>
      </c>
      <c r="H1617" s="1" t="str">
        <f ca="1">IFERROR(__xludf.DUMMYFUNCTION("GOOGLETRANSLATE(English!H1617, ""en"", ""bg"")"),"образователна_помощ")</f>
        <v>образователна_помощ</v>
      </c>
    </row>
    <row r="1618" spans="1:8" ht="13.2" x14ac:dyDescent="0.25">
      <c r="A1618" s="1" t="str">
        <f ca="1">IFERROR(__xludf.DUMMYFUNCTION("GOOGLETRANSLATE(English!A1618, ""en"", ""bg"")"),"hw_12374")</f>
        <v>hw_12374</v>
      </c>
      <c r="B1618" s="1" t="str">
        <f ca="1">IFERROR(__xludf.DUMMYFUNCTION("GOOGLETRANSLATE(English!B1618, ""en"", ""bg"")"),"физика")</f>
        <v>физика</v>
      </c>
      <c r="C1618" s="1" t="str">
        <f ca="1">IFERROR(__xludf.DUMMYFUNCTION("GOOGLETRANSLATE(English!C1618, ""en"", ""bg"")"),"високо")</f>
        <v>високо</v>
      </c>
      <c r="D1618" s="1" t="str">
        <f ca="1">IFERROR(__xludf.DUMMYFUNCTION("GOOGLETRANSLATE(English!D1618, ""en"", ""bg"")"),"радиоактивност")</f>
        <v>радиоактивност</v>
      </c>
      <c r="E1618" s="1" t="str">
        <f ca="1">IFERROR(__xludf.DUMMYFUNCTION("GOOGLETRANSLATE(English!E1618, ""en"", ""bg"")"),"Трябва да разбера радиоактивността за изпита си.")</f>
        <v>Трябва да разбера радиоактивността за изпита си.</v>
      </c>
      <c r="F1618" s="1" t="str">
        <f ca="1">IFERROR(__xludf.DUMMYFUNCTION("GOOGLETRANSLATE(English!F1618,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618" s="1" t="str">
        <f ca="1">IFERROR(__xludf.DUMMYFUNCTION("GOOGLETRANSLATE(English!G1618, ""en"", ""bg"")"),"помощ_за_домашно_изпълнение")</f>
        <v>помощ_за_домашно_изпълнение</v>
      </c>
      <c r="H1618" s="1" t="str">
        <f ca="1">IFERROR(__xludf.DUMMYFUNCTION("GOOGLETRANSLATE(English!H1618, ""en"", ""bg"")"),"помощ_за_домашно_задаване")</f>
        <v>помощ_за_домашно_задаване</v>
      </c>
    </row>
    <row r="1619" spans="1:8" ht="13.2" x14ac:dyDescent="0.25">
      <c r="A1619" s="1" t="str">
        <f ca="1">IFERROR(__xludf.DUMMYFUNCTION("GOOGLETRANSLATE(English!A1619, ""en"", ""bg"")"),"conv_04375")</f>
        <v>conv_04375</v>
      </c>
      <c r="B1619" s="1" t="str">
        <f ca="1">IFERROR(__xludf.DUMMYFUNCTION("GOOGLETRANSLATE(English!B1619, ""en"", ""bg"")"),"физика")</f>
        <v>физика</v>
      </c>
      <c r="C1619" s="1" t="str">
        <f ca="1">IFERROR(__xludf.DUMMYFUNCTION("GOOGLETRANSLATE(English!C1619, ""en"", ""bg"")"),"средата")</f>
        <v>средата</v>
      </c>
      <c r="D1619" s="1" t="str">
        <f ca="1">IFERROR(__xludf.DUMMYFUNCTION("GOOGLETRANSLATE(English!D1619, ""en"", ""bg"")"),"плътност")</f>
        <v>плътност</v>
      </c>
      <c r="E1619" s="1" t="str">
        <f ca="1">IFERROR(__xludf.DUMMYFUNCTION("GOOGLETRANSLATE(English!E1619, ""en"", ""bg"")"),"Имам научен въпрос. Можете ли да ми обясните плътността?")</f>
        <v>Имам научен въпрос. Можете ли да ми обясните плътността?</v>
      </c>
      <c r="F1619" s="1" t="str">
        <f ca="1">IFERROR(__xludf.DUMMYFUNCTION("GOOGLETRANSLATE(English!F1619,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1619" s="1" t="str">
        <f ca="1">IFERROR(__xludf.DUMMYFUNCTION("GOOGLETRANSLATE(English!G1619, ""en"", ""bg"")"),"разговор")</f>
        <v>разговор</v>
      </c>
      <c r="H1619" s="1" t="str">
        <f ca="1">IFERROR(__xludf.DUMMYFUNCTION("GOOGLETRANSLATE(English!H1619, ""en"", ""bg"")"),"образователна_помощ")</f>
        <v>образователна_помощ</v>
      </c>
    </row>
    <row r="1620" spans="1:8" ht="13.2" x14ac:dyDescent="0.25">
      <c r="A1620" s="1" t="str">
        <f ca="1">IFERROR(__xludf.DUMMYFUNCTION("GOOGLETRANSLATE(English!A1620, ""en"", ""bg"")"),"qa_02120")</f>
        <v>qa_02120</v>
      </c>
      <c r="B1620" s="1" t="str">
        <f ca="1">IFERROR(__xludf.DUMMYFUNCTION("GOOGLETRANSLATE(English!B1620, ""en"", ""bg"")"),"химия")</f>
        <v>химия</v>
      </c>
      <c r="C1620" s="1" t="str">
        <f ca="1">IFERROR(__xludf.DUMMYFUNCTION("GOOGLETRANSLATE(English!C1620, ""en"", ""bg"")"),"елементарен")</f>
        <v>елементарен</v>
      </c>
      <c r="D1620" s="1" t="str">
        <f ca="1">IFERROR(__xludf.DUMMYFUNCTION("GOOGLETRANSLATE(English!D1620, ""en"", ""bg"")"),"смесване на материали")</f>
        <v>смесване на материали</v>
      </c>
      <c r="E1620" s="1" t="str">
        <f ca="1">IFERROR(__xludf.DUMMYFUNCTION("GOOGLETRANSLATE(English!E1620, ""en"", ""bg"")"),"Защо някои неща се разтварят, а други не?")</f>
        <v>Защо някои неща се разтварят, а други не?</v>
      </c>
      <c r="F1620" s="1" t="str">
        <f ca="1">IFERROR(__xludf.DUMMYFUNCTION("GOOGLETRANSLATE(English!F1620,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1620" s="1" t="str">
        <f ca="1">IFERROR(__xludf.DUMMYFUNCTION("GOOGLETRANSLATE(English!G1620, ""en"", ""bg"")"),"direct_qa")</f>
        <v>direct_qa</v>
      </c>
      <c r="H1620" s="1" t="str">
        <f ca="1">IFERROR(__xludf.DUMMYFUNCTION("GOOGLETRANSLATE(English!H1620, ""en"", ""bg"")"),"заявка_за_знание")</f>
        <v>заявка_за_знание</v>
      </c>
    </row>
    <row r="1621" spans="1:8" ht="13.2" x14ac:dyDescent="0.25">
      <c r="A1621" s="1" t="str">
        <f ca="1">IFERROR(__xludf.DUMMYFUNCTION("GOOGLETRANSLATE(English!A1621, ""en"", ""bg"")"),"qa_04308")</f>
        <v>qa_04308</v>
      </c>
      <c r="B1621" s="1" t="str">
        <f ca="1">IFERROR(__xludf.DUMMYFUNCTION("GOOGLETRANSLATE(English!B1621, ""en"", ""bg"")"),"биология")</f>
        <v>биология</v>
      </c>
      <c r="C1621" s="1" t="str">
        <f ca="1">IFERROR(__xludf.DUMMYFUNCTION("GOOGLETRANSLATE(English!C1621, ""en"", ""bg"")"),"високо")</f>
        <v>високо</v>
      </c>
      <c r="D1621" s="1" t="str">
        <f ca="1">IFERROR(__xludf.DUMMYFUNCTION("GOOGLETRANSLATE(English!D1621, ""en"", ""bg"")"),"синтез на протеини")</f>
        <v>синтез на протеини</v>
      </c>
      <c r="E1621" s="1" t="str">
        <f ca="1">IFERROR(__xludf.DUMMYFUNCTION("GOOGLETRANSLATE(English!E1621, ""en"", ""bg"")"),"Какво е важно да знаем за синтеза на протеини?")</f>
        <v>Какво е важно да знаем за синтеза на протеини?</v>
      </c>
      <c r="F1621" s="1" t="str">
        <f ca="1">IFERROR(__xludf.DUMMYFUNCTION("GOOGLETRANSLATE(English!F1621,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1621" s="1" t="str">
        <f ca="1">IFERROR(__xludf.DUMMYFUNCTION("GOOGLETRANSLATE(English!G1621, ""en"", ""bg"")"),"direct_qa")</f>
        <v>direct_qa</v>
      </c>
      <c r="H1621" s="1" t="str">
        <f ca="1">IFERROR(__xludf.DUMMYFUNCTION("GOOGLETRANSLATE(English!H1621, ""en"", ""bg"")"),"заявка_за_знание")</f>
        <v>заявка_за_знание</v>
      </c>
    </row>
    <row r="1622" spans="1:8" ht="13.2" x14ac:dyDescent="0.25">
      <c r="A1622" s="1" t="str">
        <f ca="1">IFERROR(__xludf.DUMMYFUNCTION("GOOGLETRANSLATE(English!A1622, ""en"", ""bg"")"),"qa_10994")</f>
        <v>qa_10994</v>
      </c>
      <c r="B1622" s="1" t="str">
        <f ca="1">IFERROR(__xludf.DUMMYFUNCTION("GOOGLETRANSLATE(English!B1622, ""en"", ""bg"")"),"физика")</f>
        <v>физика</v>
      </c>
      <c r="C1622" s="1" t="str">
        <f ca="1">IFERROR(__xludf.DUMMYFUNCTION("GOOGLETRANSLATE(English!C1622, ""en"", ""bg"")"),"елементарен")</f>
        <v>елементарен</v>
      </c>
      <c r="D1622" s="1" t="str">
        <f ca="1">IFERROR(__xludf.DUMMYFUNCTION("GOOGLETRANSLATE(English!D1622, ""en"", ""bg"")"),"плаващ и потъващ")</f>
        <v>плаващ и потъващ</v>
      </c>
      <c r="E1622" s="1" t="str">
        <f ca="1">IFERROR(__xludf.DUMMYFUNCTION("GOOGLETRANSLATE(English!E1622, ""en"", ""bg"")"),"Можете ли да ми обясните какво е плаване и потъване?")</f>
        <v>Можете ли да ми обясните какво е плаване и потъване?</v>
      </c>
      <c r="F1622" s="1" t="str">
        <f ca="1">IFERROR(__xludf.DUMMYFUNCTION("GOOGLETRANSLATE(English!F1622,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1622" s="1" t="str">
        <f ca="1">IFERROR(__xludf.DUMMYFUNCTION("GOOGLETRANSLATE(English!G1622, ""en"", ""bg"")"),"direct_qa")</f>
        <v>direct_qa</v>
      </c>
      <c r="H1622" s="1" t="str">
        <f ca="1">IFERROR(__xludf.DUMMYFUNCTION("GOOGLETRANSLATE(English!H1622, ""en"", ""bg"")"),"заявка_за_знание")</f>
        <v>заявка_за_знание</v>
      </c>
    </row>
    <row r="1623" spans="1:8" ht="13.2" x14ac:dyDescent="0.25">
      <c r="A1623" s="1" t="str">
        <f ca="1">IFERROR(__xludf.DUMMYFUNCTION("GOOGLETRANSLATE(English!A1623, ""en"", ""bg"")"),"hw_04908")</f>
        <v>hw_04908</v>
      </c>
      <c r="B1623" s="1" t="str">
        <f ca="1">IFERROR(__xludf.DUMMYFUNCTION("GOOGLETRANSLATE(English!B1623, ""en"", ""bg"")"),"физика")</f>
        <v>физика</v>
      </c>
      <c r="C1623" s="1" t="str">
        <f ca="1">IFERROR(__xludf.DUMMYFUNCTION("GOOGLETRANSLATE(English!C1623, ""en"", ""bg"")"),"средата")</f>
        <v>средата</v>
      </c>
      <c r="D1623" s="1" t="str">
        <f ca="1">IFERROR(__xludf.DUMMYFUNCTION("GOOGLETRANSLATE(English!D1623, ""en"", ""bg"")"),"състояния на материята")</f>
        <v>състояния на материята</v>
      </c>
      <c r="E1623" s="1" t="str">
        <f ca="1">IFERROR(__xludf.DUMMYFUNCTION("GOOGLETRANSLATE(English!E1623, ""en"", ""bg"")"),"Трябва да разбера състоянията на материята за изпита си.")</f>
        <v>Трябва да разбера състоянията на материята за изпита си.</v>
      </c>
      <c r="F1623" s="1" t="str">
        <f ca="1">IFERROR(__xludf.DUMMYFUNCTION("GOOGLETRANSLATE(English!F1623,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1623" s="1" t="str">
        <f ca="1">IFERROR(__xludf.DUMMYFUNCTION("GOOGLETRANSLATE(English!G1623, ""en"", ""bg"")"),"помощ_за_домашно_изпълнение")</f>
        <v>помощ_за_домашно_изпълнение</v>
      </c>
      <c r="H1623" s="1" t="str">
        <f ca="1">IFERROR(__xludf.DUMMYFUNCTION("GOOGLETRANSLATE(English!H1623, ""en"", ""bg"")"),"помощ_за_домашно_задаване")</f>
        <v>помощ_за_домашно_задаване</v>
      </c>
    </row>
    <row r="1624" spans="1:8" ht="13.2" x14ac:dyDescent="0.25">
      <c r="A1624" s="1" t="str">
        <f ca="1">IFERROR(__xludf.DUMMYFUNCTION("GOOGLETRANSLATE(English!A1624, ""en"", ""bg"")"),"hw_05756")</f>
        <v>hw_05756</v>
      </c>
      <c r="B1624" s="1" t="str">
        <f ca="1">IFERROR(__xludf.DUMMYFUNCTION("GOOGLETRANSLATE(English!B1624, ""en"", ""bg"")"),"химия")</f>
        <v>химия</v>
      </c>
      <c r="C1624" s="1" t="str">
        <f ca="1">IFERROR(__xludf.DUMMYFUNCTION("GOOGLETRANSLATE(English!C1624, ""en"", ""bg"")"),"средата")</f>
        <v>средата</v>
      </c>
      <c r="D1624" s="1" t="str">
        <f ca="1">IFERROR(__xludf.DUMMYFUNCTION("GOOGLETRANSLATE(English!D1624, ""en"", ""bg"")"),"атоми и молекули")</f>
        <v>атоми и молекули</v>
      </c>
      <c r="E1624" s="1" t="str">
        <f ca="1">IFERROR(__xludf.DUMMYFUNCTION("GOOGLETRANSLATE(English!E1624,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1624" s="1" t="str">
        <f ca="1">IFERROR(__xludf.DUMMYFUNCTION("GOOGLETRANSLATE(English!F1624,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1624" s="1" t="str">
        <f ca="1">IFERROR(__xludf.DUMMYFUNCTION("GOOGLETRANSLATE(English!G1624, ""en"", ""bg"")"),"помощ_за_домашно_изпълнение")</f>
        <v>помощ_за_домашно_изпълнение</v>
      </c>
      <c r="H1624" s="1" t="str">
        <f ca="1">IFERROR(__xludf.DUMMYFUNCTION("GOOGLETRANSLATE(English!H1624, ""en"", ""bg"")"),"помощ_за_домашно_задаване")</f>
        <v>помощ_за_домашно_задаване</v>
      </c>
    </row>
    <row r="1625" spans="1:8" ht="13.2" x14ac:dyDescent="0.25">
      <c r="A1625" s="1" t="str">
        <f ca="1">IFERROR(__xludf.DUMMYFUNCTION("GOOGLETRANSLATE(English!A1625, ""en"", ""bg"")"),"conv_09160")</f>
        <v>conv_09160</v>
      </c>
      <c r="B1625" s="1" t="str">
        <f ca="1">IFERROR(__xludf.DUMMYFUNCTION("GOOGLETRANSLATE(English!B1625, ""en"", ""bg"")"),"химия")</f>
        <v>химия</v>
      </c>
      <c r="C1625" s="1" t="str">
        <f ca="1">IFERROR(__xludf.DUMMYFUNCTION("GOOGLETRANSLATE(English!C1625, ""en"", ""bg"")"),"средата")</f>
        <v>средата</v>
      </c>
      <c r="D1625" s="1" t="str">
        <f ca="1">IFERROR(__xludf.DUMMYFUNCTION("GOOGLETRANSLATE(English!D1625, ""en"", ""bg"")"),"химични промени")</f>
        <v>химични промени</v>
      </c>
      <c r="E1625" s="1" t="str">
        <f ca="1">IFERROR(__xludf.DUMMYFUNCTION("GOOGLETRANSLATE(English!E1625, ""en"", ""bg"")"),"Помогнете ми да уча за теста. Можете ли да ми помогнете да разбера химичните промени?")</f>
        <v>Помогнете ми да уча за теста. Можете ли да ми помогнете да разбера химичните промени?</v>
      </c>
      <c r="F1625" s="1" t="str">
        <f ca="1">IFERROR(__xludf.DUMMYFUNCTION("GOOGLETRANSLATE(English!F1625,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1625" s="1" t="str">
        <f ca="1">IFERROR(__xludf.DUMMYFUNCTION("GOOGLETRANSLATE(English!G1625, ""en"", ""bg"")"),"разговор")</f>
        <v>разговор</v>
      </c>
      <c r="H1625" s="1" t="str">
        <f ca="1">IFERROR(__xludf.DUMMYFUNCTION("GOOGLETRANSLATE(English!H1625, ""en"", ""bg"")"),"образователна_помощ")</f>
        <v>образователна_помощ</v>
      </c>
    </row>
    <row r="1626" spans="1:8" ht="13.2" x14ac:dyDescent="0.25">
      <c r="A1626" s="1" t="str">
        <f ca="1">IFERROR(__xludf.DUMMYFUNCTION("GOOGLETRANSLATE(English!A1626, ""en"", ""bg"")"),"hw_13494")</f>
        <v>hw_13494</v>
      </c>
      <c r="B1626" s="1" t="str">
        <f ca="1">IFERROR(__xludf.DUMMYFUNCTION("GOOGLETRANSLATE(English!B1626, ""en"", ""bg"")"),"химия")</f>
        <v>химия</v>
      </c>
      <c r="C1626" s="1" t="str">
        <f ca="1">IFERROR(__xludf.DUMMYFUNCTION("GOOGLETRANSLATE(English!C1626, ""en"", ""bg"")"),"високо")</f>
        <v>високо</v>
      </c>
      <c r="D1626" s="1" t="str">
        <f ca="1">IFERROR(__xludf.DUMMYFUNCTION("GOOGLETRANSLATE(English!D1626, ""en"", ""bg"")"),"електрохимия")</f>
        <v>електрохимия</v>
      </c>
      <c r="E1626" s="1" t="str">
        <f ca="1">IFERROR(__xludf.DUMMYFUNCTION("GOOGLETRANSLATE(English!E1626,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1626" s="1" t="str">
        <f ca="1">IFERROR(__xludf.DUMMYFUNCTION("GOOGLETRANSLATE(English!F1626,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1626" s="1" t="str">
        <f ca="1">IFERROR(__xludf.DUMMYFUNCTION("GOOGLETRANSLATE(English!G1626, ""en"", ""bg"")"),"помощ_за_домашно_изпълнение")</f>
        <v>помощ_за_домашно_изпълнение</v>
      </c>
      <c r="H1626" s="1" t="str">
        <f ca="1">IFERROR(__xludf.DUMMYFUNCTION("GOOGLETRANSLATE(English!H1626, ""en"", ""bg"")"),"помощ_за_домашно_задаване")</f>
        <v>помощ_за_домашно_задаване</v>
      </c>
    </row>
    <row r="1627" spans="1:8" ht="13.2" x14ac:dyDescent="0.25">
      <c r="A1627" s="1" t="str">
        <f ca="1">IFERROR(__xludf.DUMMYFUNCTION("GOOGLETRANSLATE(English!A1627, ""en"", ""bg"")"),"hw_02087")</f>
        <v>hw_02087</v>
      </c>
      <c r="B1627" s="1" t="str">
        <f ca="1">IFERROR(__xludf.DUMMYFUNCTION("GOOGLETRANSLATE(English!B1627, ""en"", ""bg"")"),"биология")</f>
        <v>биология</v>
      </c>
      <c r="C1627" s="1" t="str">
        <f ca="1">IFERROR(__xludf.DUMMYFUNCTION("GOOGLETRANSLATE(English!C1627, ""en"", ""bg"")"),"елементарен")</f>
        <v>елементарен</v>
      </c>
      <c r="D1627" s="1" t="str">
        <f ca="1">IFERROR(__xludf.DUMMYFUNCTION("GOOGLETRANSLATE(English!D1627, ""en"", ""bg"")"),"сетива")</f>
        <v>сетива</v>
      </c>
      <c r="E1627" s="1" t="str">
        <f ca="1">IFERROR(__xludf.DUMMYFUNCTION("GOOGLETRANSLATE(English!E1627, ""en"", ""bg"")"),"Трябва да напиша доклад за сетивата. Можете ли да ми помогнете да започна?")</f>
        <v>Трябва да напиша доклад за сетивата. Можете ли да ми помогнете да започна?</v>
      </c>
      <c r="F1627" s="1" t="str">
        <f ca="1">IFERROR(__xludf.DUMMYFUNCTION("GOOGLETRANSLATE(English!F1627,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1627" s="1" t="str">
        <f ca="1">IFERROR(__xludf.DUMMYFUNCTION("GOOGLETRANSLATE(English!G1627, ""en"", ""bg"")"),"помощ_за_домашно_изпълнение")</f>
        <v>помощ_за_домашно_изпълнение</v>
      </c>
      <c r="H1627" s="1" t="str">
        <f ca="1">IFERROR(__xludf.DUMMYFUNCTION("GOOGLETRANSLATE(English!H1627, ""en"", ""bg"")"),"помощ_за_домашно_задаване")</f>
        <v>помощ_за_домашно_задаване</v>
      </c>
    </row>
    <row r="1628" spans="1:8" ht="13.2" x14ac:dyDescent="0.25">
      <c r="A1628" s="1" t="str">
        <f ca="1">IFERROR(__xludf.DUMMYFUNCTION("GOOGLETRANSLATE(English!A1628, ""en"", ""bg"")"),"conv_18221")</f>
        <v>conv_18221</v>
      </c>
      <c r="B1628" s="1" t="str">
        <f ca="1">IFERROR(__xludf.DUMMYFUNCTION("GOOGLETRANSLATE(English!B1628, ""en"", ""bg"")"),"химия")</f>
        <v>химия</v>
      </c>
      <c r="C1628" s="1" t="str">
        <f ca="1">IFERROR(__xludf.DUMMYFUNCTION("GOOGLETRANSLATE(English!C1628, ""en"", ""bg"")"),"елементарен")</f>
        <v>елементарен</v>
      </c>
      <c r="D1628" s="1" t="str">
        <f ca="1">IFERROR(__xludf.DUMMYFUNCTION("GOOGLETRANSLATE(English!D1628, ""en"", ""bg"")"),"смесване на материали")</f>
        <v>смесване на материали</v>
      </c>
      <c r="E1628" s="1" t="str">
        <f ca="1">IFERROR(__xludf.DUMMYFUNCTION("GOOGLETRANSLATE(English!E1628, ""en"", ""bg"")"),"Можете ли да ми помогнете? Защо някои неща се разтварят, а други не?")</f>
        <v>Можете ли да ми помогнете? Защо някои неща се разтварят, а други не?</v>
      </c>
      <c r="F1628" s="1" t="str">
        <f ca="1">IFERROR(__xludf.DUMMYFUNCTION("GOOGLETRANSLATE(English!F1628,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1628" s="1" t="str">
        <f ca="1">IFERROR(__xludf.DUMMYFUNCTION("GOOGLETRANSLATE(English!G1628, ""en"", ""bg"")"),"разговор")</f>
        <v>разговор</v>
      </c>
      <c r="H1628" s="1" t="str">
        <f ca="1">IFERROR(__xludf.DUMMYFUNCTION("GOOGLETRANSLATE(English!H1628, ""en"", ""bg"")"),"образователна_помощ")</f>
        <v>образователна_помощ</v>
      </c>
    </row>
    <row r="1629" spans="1:8" ht="13.2" x14ac:dyDescent="0.25">
      <c r="A1629" s="1" t="str">
        <f ca="1">IFERROR(__xludf.DUMMYFUNCTION("GOOGLETRANSLATE(English!A1629, ""en"", ""bg"")"),"qa_08043")</f>
        <v>qa_08043</v>
      </c>
      <c r="B1629" s="1" t="str">
        <f ca="1">IFERROR(__xludf.DUMMYFUNCTION("GOOGLETRANSLATE(English!B1629, ""en"", ""bg"")"),"биология")</f>
        <v>биология</v>
      </c>
      <c r="C1629" s="1" t="str">
        <f ca="1">IFERROR(__xludf.DUMMYFUNCTION("GOOGLETRANSLATE(English!C1629, ""en"", ""bg"")"),"високо")</f>
        <v>високо</v>
      </c>
      <c r="D1629" s="1" t="str">
        <f ca="1">IFERROR(__xludf.DUMMYFUNCTION("GOOGLETRANSLATE(English!D1629, ""en"", ""bg"")"),"Структура на ДНК")</f>
        <v>Структура на ДНК</v>
      </c>
      <c r="E1629" s="1" t="str">
        <f ca="1">IFERROR(__xludf.DUMMYFUNCTION("GOOGLETRANSLATE(English!E1629, ""en"", ""bg"")"),"Как работи структурата на ДНК?")</f>
        <v>Как работи структурата на ДНК?</v>
      </c>
      <c r="F1629" s="1" t="str">
        <f ca="1">IFERROR(__xludf.DUMMYFUNCTION("GOOGLETRANSLATE(English!F1629,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1629" s="1" t="str">
        <f ca="1">IFERROR(__xludf.DUMMYFUNCTION("GOOGLETRANSLATE(English!G1629, ""en"", ""bg"")"),"direct_qa")</f>
        <v>direct_qa</v>
      </c>
      <c r="H1629" s="1" t="str">
        <f ca="1">IFERROR(__xludf.DUMMYFUNCTION("GOOGLETRANSLATE(English!H1629, ""en"", ""bg"")"),"заявка_за_знание")</f>
        <v>заявка_за_знание</v>
      </c>
    </row>
    <row r="1630" spans="1:8" ht="13.2" x14ac:dyDescent="0.25">
      <c r="A1630" s="1" t="str">
        <f ca="1">IFERROR(__xludf.DUMMYFUNCTION("GOOGLETRANSLATE(English!A1630, ""en"", ""bg"")"),"conv_16568")</f>
        <v>conv_16568</v>
      </c>
      <c r="B1630" s="1" t="str">
        <f ca="1">IFERROR(__xludf.DUMMYFUNCTION("GOOGLETRANSLATE(English!B1630, ""en"", ""bg"")"),"химия")</f>
        <v>химия</v>
      </c>
      <c r="C1630" s="1" t="str">
        <f ca="1">IFERROR(__xludf.DUMMYFUNCTION("GOOGLETRANSLATE(English!C1630, ""en"", ""bg"")"),"средата")</f>
        <v>средата</v>
      </c>
      <c r="D1630" s="1" t="str">
        <f ca="1">IFERROR(__xludf.DUMMYFUNCTION("GOOGLETRANSLATE(English!D1630, ""en"", ""bg"")"),"съединения срещу елементи")</f>
        <v>съединения срещу елементи</v>
      </c>
      <c r="E1630" s="1" t="str">
        <f ca="1">IFERROR(__xludf.DUMMYFUNCTION("GOOGLETRANSLATE(English!E1630, ""en"", ""bg"")"),"Имам нужда от помощ с домашното. Как взаимодействат съединенията и елементите в химията?")</f>
        <v>Имам нужда от помощ с домашното. Как взаимодействат съединенията и елементите в химията?</v>
      </c>
      <c r="F1630" s="1" t="str">
        <f ca="1">IFERROR(__xludf.DUMMYFUNCTION("GOOGLETRANSLATE(English!F1630,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1630" s="1" t="str">
        <f ca="1">IFERROR(__xludf.DUMMYFUNCTION("GOOGLETRANSLATE(English!G1630, ""en"", ""bg"")"),"разговор")</f>
        <v>разговор</v>
      </c>
      <c r="H1630" s="1" t="str">
        <f ca="1">IFERROR(__xludf.DUMMYFUNCTION("GOOGLETRANSLATE(English!H1630, ""en"", ""bg"")"),"образователна_помощ")</f>
        <v>образователна_помощ</v>
      </c>
    </row>
    <row r="1631" spans="1:8" ht="13.2" x14ac:dyDescent="0.25">
      <c r="A1631" s="1" t="str">
        <f ca="1">IFERROR(__xludf.DUMMYFUNCTION("GOOGLETRANSLATE(English!A1631, ""en"", ""bg"")"),"qa_00029")</f>
        <v>qa_00029</v>
      </c>
      <c r="B1631" s="1" t="str">
        <f ca="1">IFERROR(__xludf.DUMMYFUNCTION("GOOGLETRANSLATE(English!B1631, ""en"", ""bg"")"),"физика")</f>
        <v>физика</v>
      </c>
      <c r="C1631" s="1" t="str">
        <f ca="1">IFERROR(__xludf.DUMMYFUNCTION("GOOGLETRANSLATE(English!C1631, ""en"", ""bg"")"),"елементарен")</f>
        <v>елементарен</v>
      </c>
      <c r="D1631" s="1" t="str">
        <f ca="1">IFERROR(__xludf.DUMMYFUNCTION("GOOGLETRANSLATE(English!D1631, ""en"", ""bg"")"),"магнити")</f>
        <v>магнити</v>
      </c>
      <c r="E1631" s="1" t="str">
        <f ca="1">IFERROR(__xludf.DUMMYFUNCTION("GOOGLETRANSLATE(English!E1631, ""en"", ""bg"")"),"Как работят магнитите?")</f>
        <v>Как работят магнитите?</v>
      </c>
      <c r="F1631" s="1" t="str">
        <f ca="1">IFERROR(__xludf.DUMMYFUNCTION("GOOGLETRANSLATE(English!F1631,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1631" s="1" t="str">
        <f ca="1">IFERROR(__xludf.DUMMYFUNCTION("GOOGLETRANSLATE(English!G1631, ""en"", ""bg"")"),"direct_qa")</f>
        <v>direct_qa</v>
      </c>
      <c r="H1631" s="1" t="str">
        <f ca="1">IFERROR(__xludf.DUMMYFUNCTION("GOOGLETRANSLATE(English!H1631, ""en"", ""bg"")"),"заявка_за_знание")</f>
        <v>заявка_за_знание</v>
      </c>
    </row>
    <row r="1632" spans="1:8" ht="13.2" x14ac:dyDescent="0.25">
      <c r="A1632" s="1" t="str">
        <f ca="1">IFERROR(__xludf.DUMMYFUNCTION("GOOGLETRANSLATE(English!A1632, ""en"", ""bg"")"),"conv_17795")</f>
        <v>conv_17795</v>
      </c>
      <c r="B1632" s="1" t="str">
        <f ca="1">IFERROR(__xludf.DUMMYFUNCTION("GOOGLETRANSLATE(English!B1632, ""en"", ""bg"")"),"биология")</f>
        <v>биология</v>
      </c>
      <c r="C1632" s="1" t="str">
        <f ca="1">IFERROR(__xludf.DUMMYFUNCTION("GOOGLETRANSLATE(English!C1632, ""en"", ""bg"")"),"елементарен")</f>
        <v>елементарен</v>
      </c>
      <c r="D1632" s="1" t="str">
        <f ca="1">IFERROR(__xludf.DUMMYFUNCTION("GOOGLETRANSLATE(English!D1632, ""en"", ""bg"")"),"сетива")</f>
        <v>сетива</v>
      </c>
      <c r="E1632" s="1" t="str">
        <f ca="1">IFERROR(__xludf.DUMMYFUNCTION("GOOGLETRANSLATE(English!E1632, ""en"", ""bg"")"),"Можете ли да ми помогнете? Защо сетивата са важни в биологията?")</f>
        <v>Можете ли да ми помогнете? Защо сетивата са важни в биологията?</v>
      </c>
      <c r="F1632" s="1" t="str">
        <f ca="1">IFERROR(__xludf.DUMMYFUNCTION("GOOGLETRANSLATE(English!F1632, ""en"", ""bg"")"),"Сетивата са важни, защото ни помагат да разберем живота и как живите същества оцеляват.")</f>
        <v>Сетивата са важни, защото ни помагат да разберем живота и как живите същества оцеляват.</v>
      </c>
      <c r="G1632" s="1" t="str">
        <f ca="1">IFERROR(__xludf.DUMMYFUNCTION("GOOGLETRANSLATE(English!G1632, ""en"", ""bg"")"),"разговор")</f>
        <v>разговор</v>
      </c>
      <c r="H1632" s="1" t="str">
        <f ca="1">IFERROR(__xludf.DUMMYFUNCTION("GOOGLETRANSLATE(English!H1632, ""en"", ""bg"")"),"образователна_помощ")</f>
        <v>образователна_помощ</v>
      </c>
    </row>
    <row r="1633" spans="1:8" ht="13.2" x14ac:dyDescent="0.25">
      <c r="A1633" s="1" t="str">
        <f ca="1">IFERROR(__xludf.DUMMYFUNCTION("GOOGLETRANSLATE(English!A1633, ""en"", ""bg"")"),"qa_04344")</f>
        <v>qa_04344</v>
      </c>
      <c r="B1633" s="1" t="str">
        <f ca="1">IFERROR(__xludf.DUMMYFUNCTION("GOOGLETRANSLATE(English!B1633, ""en"", ""bg"")"),"физика")</f>
        <v>физика</v>
      </c>
      <c r="C1633" s="1" t="str">
        <f ca="1">IFERROR(__xludf.DUMMYFUNCTION("GOOGLETRANSLATE(English!C1633, ""en"", ""bg"")"),"елементарен")</f>
        <v>елементарен</v>
      </c>
      <c r="D1633" s="1" t="str">
        <f ca="1">IFERROR(__xludf.DUMMYFUNCTION("GOOGLETRANSLATE(English!D1633, ""en"", ""bg"")"),"магнити")</f>
        <v>магнити</v>
      </c>
      <c r="E1633" s="1" t="str">
        <f ca="1">IFERROR(__xludf.DUMMYFUNCTION("GOOGLETRANSLATE(English!E1633, ""en"", ""bg"")"),"Можете ли да направите магнит по-силен?")</f>
        <v>Можете ли да направите магнит по-силен?</v>
      </c>
      <c r="F1633" s="1" t="str">
        <f ca="1">IFERROR(__xludf.DUMMYFUNCTION("GOOGLETRANSLATE(English!F1633,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1633" s="1" t="str">
        <f ca="1">IFERROR(__xludf.DUMMYFUNCTION("GOOGLETRANSLATE(English!G1633, ""en"", ""bg"")"),"direct_qa")</f>
        <v>direct_qa</v>
      </c>
      <c r="H1633" s="1" t="str">
        <f ca="1">IFERROR(__xludf.DUMMYFUNCTION("GOOGLETRANSLATE(English!H1633, ""en"", ""bg"")"),"заявка_за_знание")</f>
        <v>заявка_за_знание</v>
      </c>
    </row>
    <row r="1634" spans="1:8" ht="13.2" x14ac:dyDescent="0.25">
      <c r="A1634" s="1" t="str">
        <f ca="1">IFERROR(__xludf.DUMMYFUNCTION("GOOGLETRANSLATE(English!A1634, ""en"", ""bg"")"),"conv_04127")</f>
        <v>conv_04127</v>
      </c>
      <c r="B1634" s="1" t="str">
        <f ca="1">IFERROR(__xludf.DUMMYFUNCTION("GOOGLETRANSLATE(English!B1634, ""en"", ""bg"")"),"физика")</f>
        <v>физика</v>
      </c>
      <c r="C1634" s="1" t="str">
        <f ca="1">IFERROR(__xludf.DUMMYFUNCTION("GOOGLETRANSLATE(English!C1634, ""en"", ""bg"")"),"елементарен")</f>
        <v>елементарен</v>
      </c>
      <c r="D1634" s="1" t="str">
        <f ca="1">IFERROR(__xludf.DUMMYFUNCTION("GOOGLETRANSLATE(English!D1634, ""en"", ""bg"")"),"горещо и студено")</f>
        <v>горещо и студено</v>
      </c>
      <c r="E1634" s="1" t="str">
        <f ca="1">IFERROR(__xludf.DUMMYFUNCTION("GOOGLETRANSLATE(English!E1634, ""en"", ""bg"")"),"Имам нужда от помощ с домашното. Как работят топлото и студеното във физиката?")</f>
        <v>Имам нужда от помощ с домашното. Как работят топлото и студеното във физиката?</v>
      </c>
      <c r="F1634" s="1" t="str">
        <f ca="1">IFERROR(__xludf.DUMMYFUNCTION("GOOGLETRANSLATE(English!F1634,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634" s="1" t="str">
        <f ca="1">IFERROR(__xludf.DUMMYFUNCTION("GOOGLETRANSLATE(English!G1634, ""en"", ""bg"")"),"разговор")</f>
        <v>разговор</v>
      </c>
      <c r="H1634" s="1" t="str">
        <f ca="1">IFERROR(__xludf.DUMMYFUNCTION("GOOGLETRANSLATE(English!H1634, ""en"", ""bg"")"),"образователна_помощ")</f>
        <v>образователна_помощ</v>
      </c>
    </row>
    <row r="1635" spans="1:8" ht="13.2" x14ac:dyDescent="0.25">
      <c r="A1635" s="1" t="str">
        <f ca="1">IFERROR(__xludf.DUMMYFUNCTION("GOOGLETRANSLATE(English!A1635, ""en"", ""bg"")"),"hw_05461")</f>
        <v>hw_05461</v>
      </c>
      <c r="B1635" s="1" t="str">
        <f ca="1">IFERROR(__xludf.DUMMYFUNCTION("GOOGLETRANSLATE(English!B1635, ""en"", ""bg"")"),"физика")</f>
        <v>физика</v>
      </c>
      <c r="C1635" s="1" t="str">
        <f ca="1">IFERROR(__xludf.DUMMYFUNCTION("GOOGLETRANSLATE(English!C1635, ""en"", ""bg"")"),"високо")</f>
        <v>високо</v>
      </c>
      <c r="D1635" s="1" t="str">
        <f ca="1">IFERROR(__xludf.DUMMYFUNCTION("GOOGLETRANSLATE(English!D1635, ""en"", ""bg"")"),"оптика")</f>
        <v>оптика</v>
      </c>
      <c r="E1635" s="1" t="str">
        <f ca="1">IFERROR(__xludf.DUMMYFUNCTION("GOOGLETRANSLATE(English!E1635, ""en"", ""bg"")"),"Трябва да разбирам оптиката за изпита си.")</f>
        <v>Трябва да разбирам оптиката за изпита си.</v>
      </c>
      <c r="F1635" s="1" t="str">
        <f ca="1">IFERROR(__xludf.DUMMYFUNCTION("GOOGLETRANSLATE(English!F1635,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1635" s="1" t="str">
        <f ca="1">IFERROR(__xludf.DUMMYFUNCTION("GOOGLETRANSLATE(English!G1635, ""en"", ""bg"")"),"помощ_за_домашно_изпълнение")</f>
        <v>помощ_за_домашно_изпълнение</v>
      </c>
      <c r="H1635" s="1" t="str">
        <f ca="1">IFERROR(__xludf.DUMMYFUNCTION("GOOGLETRANSLATE(English!H1635, ""en"", ""bg"")"),"помощ_за_домашно_задаване")</f>
        <v>помощ_за_домашно_задаване</v>
      </c>
    </row>
    <row r="1636" spans="1:8" ht="13.2" x14ac:dyDescent="0.25">
      <c r="A1636" s="1" t="str">
        <f ca="1">IFERROR(__xludf.DUMMYFUNCTION("GOOGLETRANSLATE(English!A1636, ""en"", ""bg"")"),"conv_16821")</f>
        <v>conv_16821</v>
      </c>
      <c r="B1636" s="1" t="str">
        <f ca="1">IFERROR(__xludf.DUMMYFUNCTION("GOOGLETRANSLATE(English!B1636, ""en"", ""bg"")"),"физика")</f>
        <v>физика</v>
      </c>
      <c r="C1636" s="1" t="str">
        <f ca="1">IFERROR(__xludf.DUMMYFUNCTION("GOOGLETRANSLATE(English!C1636, ""en"", ""bg"")"),"високо")</f>
        <v>високо</v>
      </c>
      <c r="D1636" s="1" t="str">
        <f ca="1">IFERROR(__xludf.DUMMYFUNCTION("GOOGLETRANSLATE(English!D1636, ""en"", ""bg"")"),"електромагнетизъм")</f>
        <v>електромагнетизъм</v>
      </c>
      <c r="E1636" s="1" t="str">
        <f ca="1">IFERROR(__xludf.DUMMYFUNCTION("GOOGLETRANSLATE(English!E1636, ""en"", ""bg"")"),"Имам нужда от помощ с домашното. Какво трябва да знам за електромагнетизма?")</f>
        <v>Имам нужда от помощ с домашното. Какво трябва да знам за електромагнетизма?</v>
      </c>
      <c r="F1636" s="1" t="str">
        <f ca="1">IFERROR(__xludf.DUMMYFUNCTION("GOOGLETRANSLATE(English!F1636,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1636" s="1" t="str">
        <f ca="1">IFERROR(__xludf.DUMMYFUNCTION("GOOGLETRANSLATE(English!G1636, ""en"", ""bg"")"),"разговор")</f>
        <v>разговор</v>
      </c>
      <c r="H1636" s="1" t="str">
        <f ca="1">IFERROR(__xludf.DUMMYFUNCTION("GOOGLETRANSLATE(English!H1636, ""en"", ""bg"")"),"образователна_помощ")</f>
        <v>образователна_помощ</v>
      </c>
    </row>
    <row r="1637" spans="1:8" ht="13.2" x14ac:dyDescent="0.25">
      <c r="A1637" s="1" t="str">
        <f ca="1">IFERROR(__xludf.DUMMYFUNCTION("GOOGLETRANSLATE(English!A1637, ""en"", ""bg"")"),"conv_11024")</f>
        <v>conv_11024</v>
      </c>
      <c r="B1637" s="1" t="str">
        <f ca="1">IFERROR(__xludf.DUMMYFUNCTION("GOOGLETRANSLATE(English!B1637, ""en"", ""bg"")"),"химия")</f>
        <v>химия</v>
      </c>
      <c r="C1637" s="1" t="str">
        <f ca="1">IFERROR(__xludf.DUMMYFUNCTION("GOOGLETRANSLATE(English!C1637, ""en"", ""bg"")"),"високо")</f>
        <v>високо</v>
      </c>
      <c r="D1637" s="1" t="str">
        <f ca="1">IFERROR(__xludf.DUMMYFUNCTION("GOOGLETRANSLATE(English!D1637, ""en"", ""bg"")"),"химическо свързване")</f>
        <v>химическо свързване</v>
      </c>
      <c r="E1637" s="1" t="str">
        <f ca="1">IFERROR(__xludf.DUMMYFUNCTION("GOOGLETRANSLATE(English!E1637, ""en"", ""bg"")"),"Можете ли да ми обясните това? Как работи химическата връзка в химията?")</f>
        <v>Можете ли да ми обясните това? Как работи химическата връзка в химията?</v>
      </c>
      <c r="F1637" s="1" t="str">
        <f ca="1">IFERROR(__xludf.DUMMYFUNCTION("GOOGLETRANSLATE(English!F1637,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1637" s="1" t="str">
        <f ca="1">IFERROR(__xludf.DUMMYFUNCTION("GOOGLETRANSLATE(English!G1637, ""en"", ""bg"")"),"разговор")</f>
        <v>разговор</v>
      </c>
      <c r="H1637" s="1" t="str">
        <f ca="1">IFERROR(__xludf.DUMMYFUNCTION("GOOGLETRANSLATE(English!H1637, ""en"", ""bg"")"),"образователна_помощ")</f>
        <v>образователна_помощ</v>
      </c>
    </row>
    <row r="1638" spans="1:8" ht="13.2" x14ac:dyDescent="0.25">
      <c r="A1638" s="1" t="str">
        <f ca="1">IFERROR(__xludf.DUMMYFUNCTION("GOOGLETRANSLATE(English!A1638, ""en"", ""bg"")"),"qa_10657")</f>
        <v>qa_10657</v>
      </c>
      <c r="B1638" s="1" t="str">
        <f ca="1">IFERROR(__xludf.DUMMYFUNCTION("GOOGLETRANSLATE(English!B1638, ""en"", ""bg"")"),"физика")</f>
        <v>физика</v>
      </c>
      <c r="C1638" s="1" t="str">
        <f ca="1">IFERROR(__xludf.DUMMYFUNCTION("GOOGLETRANSLATE(English!C1638, ""en"", ""bg"")"),"средата")</f>
        <v>средата</v>
      </c>
      <c r="D1638" s="1" t="str">
        <f ca="1">IFERROR(__xludf.DUMMYFUNCTION("GOOGLETRANSLATE(English!D1638, ""en"", ""bg"")"),"сили и движение")</f>
        <v>сили и движение</v>
      </c>
      <c r="E1638" s="1" t="str">
        <f ca="1">IFERROR(__xludf.DUMMYFUNCTION("GOOGLETRANSLATE(English!E1638, ""en"", ""bg"")"),"Каква е разликата между скорост и ускорение?")</f>
        <v>Каква е разликата между скорост и ускорение?</v>
      </c>
      <c r="F1638" s="1" t="str">
        <f ca="1">IFERROR(__xludf.DUMMYFUNCTION("GOOGLETRANSLATE(English!F1638,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1638" s="1" t="str">
        <f ca="1">IFERROR(__xludf.DUMMYFUNCTION("GOOGLETRANSLATE(English!G1638, ""en"", ""bg"")"),"direct_qa")</f>
        <v>direct_qa</v>
      </c>
      <c r="H1638" s="1" t="str">
        <f ca="1">IFERROR(__xludf.DUMMYFUNCTION("GOOGLETRANSLATE(English!H1638, ""en"", ""bg"")"),"заявка_за_знание")</f>
        <v>заявка_за_знание</v>
      </c>
    </row>
    <row r="1639" spans="1:8" ht="13.2" x14ac:dyDescent="0.25">
      <c r="A1639" s="1" t="str">
        <f ca="1">IFERROR(__xludf.DUMMYFUNCTION("GOOGLETRANSLATE(English!A1639, ""en"", ""bg"")"),"hw_04891")</f>
        <v>hw_04891</v>
      </c>
      <c r="B1639" s="1" t="str">
        <f ca="1">IFERROR(__xludf.DUMMYFUNCTION("GOOGLETRANSLATE(English!B1639, ""en"", ""bg"")"),"физика")</f>
        <v>физика</v>
      </c>
      <c r="C1639" s="1" t="str">
        <f ca="1">IFERROR(__xludf.DUMMYFUNCTION("GOOGLETRANSLATE(English!C1639, ""en"", ""bg"")"),"средата")</f>
        <v>средата</v>
      </c>
      <c r="D1639" s="1" t="str">
        <f ca="1">IFERROR(__xludf.DUMMYFUNCTION("GOOGLETRANSLATE(English!D1639, ""en"", ""bg"")"),"плътност")</f>
        <v>плътност</v>
      </c>
      <c r="E1639" s="1" t="str">
        <f ca="1">IFERROR(__xludf.DUMMYFUNCTION("GOOGLETRANSLATE(English!E1639, ""en"", ""bg"")"),"Домашното ми по физика е за плътността. Объркващо е!")</f>
        <v>Домашното ми по физика е за плътността. Объркващо е!</v>
      </c>
      <c r="F1639" s="1" t="str">
        <f ca="1">IFERROR(__xludf.DUMMYFUNCTION("GOOGLETRANSLATE(English!F1639,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1639" s="1" t="str">
        <f ca="1">IFERROR(__xludf.DUMMYFUNCTION("GOOGLETRANSLATE(English!G1639, ""en"", ""bg"")"),"помощ_за_домашно_изпълнение")</f>
        <v>помощ_за_домашно_изпълнение</v>
      </c>
      <c r="H1639" s="1" t="str">
        <f ca="1">IFERROR(__xludf.DUMMYFUNCTION("GOOGLETRANSLATE(English!H1639, ""en"", ""bg"")"),"помощ_за_домашно_задаване")</f>
        <v>помощ_за_домашно_задаване</v>
      </c>
    </row>
    <row r="1640" spans="1:8" ht="13.2" x14ac:dyDescent="0.25">
      <c r="A1640" s="1" t="str">
        <f ca="1">IFERROR(__xludf.DUMMYFUNCTION("GOOGLETRANSLATE(English!A1640, ""en"", ""bg"")"),"qa_08965")</f>
        <v>qa_08965</v>
      </c>
      <c r="B1640" s="1" t="str">
        <f ca="1">IFERROR(__xludf.DUMMYFUNCTION("GOOGLETRANSLATE(English!B1640, ""en"", ""bg"")"),"физика")</f>
        <v>физика</v>
      </c>
      <c r="C1640" s="1" t="str">
        <f ca="1">IFERROR(__xludf.DUMMYFUNCTION("GOOGLETRANSLATE(English!C1640, ""en"", ""bg"")"),"елементарен")</f>
        <v>елементарен</v>
      </c>
      <c r="D1640" s="1" t="str">
        <f ca="1">IFERROR(__xludf.DUMMYFUNCTION("GOOGLETRANSLATE(English!D1640, ""en"", ""bg"")"),"прости машини")</f>
        <v>прости машини</v>
      </c>
      <c r="E1640" s="1" t="str">
        <f ca="1">IFERROR(__xludf.DUMMYFUNCTION("GOOGLETRANSLATE(English!E1640, ""en"", ""bg"")"),"Какво трябва да знам за простите машини?")</f>
        <v>Какво трябва да знам за простите машини?</v>
      </c>
      <c r="F1640" s="1" t="str">
        <f ca="1">IFERROR(__xludf.DUMMYFUNCTION("GOOGLETRANSLATE(English!F1640,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1640" s="1" t="str">
        <f ca="1">IFERROR(__xludf.DUMMYFUNCTION("GOOGLETRANSLATE(English!G1640, ""en"", ""bg"")"),"direct_qa")</f>
        <v>direct_qa</v>
      </c>
      <c r="H1640" s="1" t="str">
        <f ca="1">IFERROR(__xludf.DUMMYFUNCTION("GOOGLETRANSLATE(English!H1640, ""en"", ""bg"")"),"заявка_за_знание")</f>
        <v>заявка_за_знание</v>
      </c>
    </row>
    <row r="1641" spans="1:8" ht="13.2" x14ac:dyDescent="0.25">
      <c r="A1641" s="1" t="str">
        <f ca="1">IFERROR(__xludf.DUMMYFUNCTION("GOOGLETRANSLATE(English!A1641, ""en"", ""bg"")"),"hw_00248")</f>
        <v>hw_00248</v>
      </c>
      <c r="B1641" s="1" t="str">
        <f ca="1">IFERROR(__xludf.DUMMYFUNCTION("GOOGLETRANSLATE(English!B1641, ""en"", ""bg"")"),"химия")</f>
        <v>химия</v>
      </c>
      <c r="C1641" s="1" t="str">
        <f ca="1">IFERROR(__xludf.DUMMYFUNCTION("GOOGLETRANSLATE(English!C1641, ""en"", ""bg"")"),"високо")</f>
        <v>високо</v>
      </c>
      <c r="D1641" s="1" t="str">
        <f ca="1">IFERROR(__xludf.DUMMYFUNCTION("GOOGLETRANSLATE(English!D1641, ""en"", ""bg"")"),"стехиометрия")</f>
        <v>стехиометрия</v>
      </c>
      <c r="E1641" s="1" t="str">
        <f ca="1">IFERROR(__xludf.DUMMYFUNCTION("GOOGLETRANSLATE(English!E1641,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1641" s="1" t="str">
        <f ca="1">IFERROR(__xludf.DUMMYFUNCTION("GOOGLETRANSLATE(English!F1641,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641" s="1" t="str">
        <f ca="1">IFERROR(__xludf.DUMMYFUNCTION("GOOGLETRANSLATE(English!G1641, ""en"", ""bg"")"),"помощ_за_домашно_изпълнение")</f>
        <v>помощ_за_домашно_изпълнение</v>
      </c>
      <c r="H1641" s="1" t="str">
        <f ca="1">IFERROR(__xludf.DUMMYFUNCTION("GOOGLETRANSLATE(English!H1641, ""en"", ""bg"")"),"помощ_за_домашно_задаване")</f>
        <v>помощ_за_домашно_задаване</v>
      </c>
    </row>
    <row r="1642" spans="1:8" ht="13.2" x14ac:dyDescent="0.25">
      <c r="A1642" s="1" t="str">
        <f ca="1">IFERROR(__xludf.DUMMYFUNCTION("GOOGLETRANSLATE(English!A1642, ""en"", ""bg"")"),"qa_04071")</f>
        <v>qa_04071</v>
      </c>
      <c r="B1642" s="1" t="str">
        <f ca="1">IFERROR(__xludf.DUMMYFUNCTION("GOOGLETRANSLATE(English!B1642, ""en"", ""bg"")"),"химия")</f>
        <v>химия</v>
      </c>
      <c r="C1642" s="1" t="str">
        <f ca="1">IFERROR(__xludf.DUMMYFUNCTION("GOOGLETRANSLATE(English!C1642, ""en"", ""bg"")"),"високо")</f>
        <v>високо</v>
      </c>
      <c r="D1642" s="1" t="str">
        <f ca="1">IFERROR(__xludf.DUMMYFUNCTION("GOOGLETRANSLATE(English!D1642, ""en"", ""bg"")"),"равновесие")</f>
        <v>равновесие</v>
      </c>
      <c r="E1642" s="1" t="str">
        <f ca="1">IFERROR(__xludf.DUMMYFUNCTION("GOOGLETRANSLATE(English!E1642, ""en"", ""bg"")"),"Как работи равновесието в химията?")</f>
        <v>Как работи равновесието в химията?</v>
      </c>
      <c r="F1642" s="1" t="str">
        <f ca="1">IFERROR(__xludf.DUMMYFUNCTION("GOOGLETRANSLATE(English!F1642,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1642" s="1" t="str">
        <f ca="1">IFERROR(__xludf.DUMMYFUNCTION("GOOGLETRANSLATE(English!G1642, ""en"", ""bg"")"),"direct_qa")</f>
        <v>direct_qa</v>
      </c>
      <c r="H1642" s="1" t="str">
        <f ca="1">IFERROR(__xludf.DUMMYFUNCTION("GOOGLETRANSLATE(English!H1642, ""en"", ""bg"")"),"заявка_за_знание")</f>
        <v>заявка_за_знание</v>
      </c>
    </row>
    <row r="1643" spans="1:8" ht="13.2" x14ac:dyDescent="0.25">
      <c r="A1643" s="1" t="str">
        <f ca="1">IFERROR(__xludf.DUMMYFUNCTION("GOOGLETRANSLATE(English!A1643, ""en"", ""bg"")"),"conv_14046")</f>
        <v>conv_14046</v>
      </c>
      <c r="B1643" s="1" t="str">
        <f ca="1">IFERROR(__xludf.DUMMYFUNCTION("GOOGLETRANSLATE(English!B1643, ""en"", ""bg"")"),"биология")</f>
        <v>биология</v>
      </c>
      <c r="C1643" s="1" t="str">
        <f ca="1">IFERROR(__xludf.DUMMYFUNCTION("GOOGLETRANSLATE(English!C1643, ""en"", ""bg"")"),"елементарен")</f>
        <v>елементарен</v>
      </c>
      <c r="D1643" s="1" t="str">
        <f ca="1">IFERROR(__xludf.DUMMYFUNCTION("GOOGLETRANSLATE(English!D1643, ""en"", ""bg"")"),"човешкото тяло")</f>
        <v>човешкото тяло</v>
      </c>
      <c r="E1643" s="1" t="str">
        <f ca="1">IFERROR(__xludf.DUMMYFUNCTION("GOOGLETRANSLATE(English!E1643, ""en"", ""bg"")"),"Имам нужда от помощ с домашното. Защо човешкото тяло е важно в биологията?")</f>
        <v>Имам нужда от помощ с домашното. Защо човешкото тяло е важно в биологията?</v>
      </c>
      <c r="F1643" s="1" t="str">
        <f ca="1">IFERROR(__xludf.DUMMYFUNCTION("GOOGLETRANSLATE(English!F1643,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1643" s="1" t="str">
        <f ca="1">IFERROR(__xludf.DUMMYFUNCTION("GOOGLETRANSLATE(English!G1643, ""en"", ""bg"")"),"разговор")</f>
        <v>разговор</v>
      </c>
      <c r="H1643" s="1" t="str">
        <f ca="1">IFERROR(__xludf.DUMMYFUNCTION("GOOGLETRANSLATE(English!H1643, ""en"", ""bg"")"),"образователна_помощ")</f>
        <v>образователна_помощ</v>
      </c>
    </row>
    <row r="1644" spans="1:8" ht="13.2" x14ac:dyDescent="0.25">
      <c r="A1644" s="1" t="str">
        <f ca="1">IFERROR(__xludf.DUMMYFUNCTION("GOOGLETRANSLATE(English!A1644, ""en"", ""bg"")"),"conv_06288")</f>
        <v>conv_06288</v>
      </c>
      <c r="B1644" s="1" t="str">
        <f ca="1">IFERROR(__xludf.DUMMYFUNCTION("GOOGLETRANSLATE(English!B1644, ""en"", ""bg"")"),"химия")</f>
        <v>химия</v>
      </c>
      <c r="C1644" s="1" t="str">
        <f ca="1">IFERROR(__xludf.DUMMYFUNCTION("GOOGLETRANSLATE(English!C1644, ""en"", ""bg"")"),"елементарен")</f>
        <v>елементарен</v>
      </c>
      <c r="D1644" s="1" t="str">
        <f ca="1">IFERROR(__xludf.DUMMYFUNCTION("GOOGLETRANSLATE(English!D1644, ""en"", ""bg"")"),"разтваряне")</f>
        <v>разтваряне</v>
      </c>
      <c r="E1644" s="1" t="str">
        <f ca="1">IFERROR(__xludf.DUMMYFUNCTION("GOOGLETRANSLATE(English!E1644, ""en"", ""bg"")"),"Здравей, преподавателю! Можеш ли да ми помогнеш да разбера разтварянето?")</f>
        <v>Здравей, преподавателю! Можеш ли да ми помогнеш да разбера разтварянето?</v>
      </c>
      <c r="F1644" s="1" t="str">
        <f ca="1">IFERROR(__xludf.DUMMYFUNCTION("GOOGLETRANSLATE(English!F1644,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1644" s="1" t="str">
        <f ca="1">IFERROR(__xludf.DUMMYFUNCTION("GOOGLETRANSLATE(English!G1644, ""en"", ""bg"")"),"разговор")</f>
        <v>разговор</v>
      </c>
      <c r="H1644" s="1" t="str">
        <f ca="1">IFERROR(__xludf.DUMMYFUNCTION("GOOGLETRANSLATE(English!H1644, ""en"", ""bg"")"),"образователна_помощ")</f>
        <v>образователна_помощ</v>
      </c>
    </row>
    <row r="1645" spans="1:8" ht="13.2" x14ac:dyDescent="0.25">
      <c r="A1645" s="1" t="str">
        <f ca="1">IFERROR(__xludf.DUMMYFUNCTION("GOOGLETRANSLATE(English!A1645, ""en"", ""bg"")"),"conv_07313")</f>
        <v>conv_07313</v>
      </c>
      <c r="B1645" s="1" t="str">
        <f ca="1">IFERROR(__xludf.DUMMYFUNCTION("GOOGLETRANSLATE(English!B1645, ""en"", ""bg"")"),"физика")</f>
        <v>физика</v>
      </c>
      <c r="C1645" s="1" t="str">
        <f ca="1">IFERROR(__xludf.DUMMYFUNCTION("GOOGLETRANSLATE(English!C1645, ""en"", ""bg"")"),"елементарен")</f>
        <v>елементарен</v>
      </c>
      <c r="D1645" s="1" t="str">
        <f ca="1">IFERROR(__xludf.DUMMYFUNCTION("GOOGLETRANSLATE(English!D1645, ""en"", ""bg"")"),"горещо и студено")</f>
        <v>горещо и студено</v>
      </c>
      <c r="E1645" s="1" t="str">
        <f ca="1">IFERROR(__xludf.DUMMYFUNCTION("GOOGLETRANSLATE(English!E1645, ""en"", ""bg"")"),"Здравей, преподавателю! Можеш ли да ми обясниш какво е топло и студено?")</f>
        <v>Здравей, преподавателю! Можеш ли да ми обясниш какво е топло и студено?</v>
      </c>
      <c r="F1645" s="1" t="str">
        <f ca="1">IFERROR(__xludf.DUMMYFUNCTION("GOOGLETRANSLATE(English!F1645,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1645" s="1" t="str">
        <f ca="1">IFERROR(__xludf.DUMMYFUNCTION("GOOGLETRANSLATE(English!G1645, ""en"", ""bg"")"),"разговор")</f>
        <v>разговор</v>
      </c>
      <c r="H1645" s="1" t="str">
        <f ca="1">IFERROR(__xludf.DUMMYFUNCTION("GOOGLETRANSLATE(English!H1645, ""en"", ""bg"")"),"образователна_помощ")</f>
        <v>образователна_помощ</v>
      </c>
    </row>
    <row r="1646" spans="1:8" ht="13.2" x14ac:dyDescent="0.25">
      <c r="A1646" s="1" t="str">
        <f ca="1">IFERROR(__xludf.DUMMYFUNCTION("GOOGLETRANSLATE(English!A1646, ""en"", ""bg"")"),"qa_10218")</f>
        <v>qa_10218</v>
      </c>
      <c r="B1646" s="1" t="str">
        <f ca="1">IFERROR(__xludf.DUMMYFUNCTION("GOOGLETRANSLATE(English!B1646, ""en"", ""bg"")"),"химия")</f>
        <v>химия</v>
      </c>
      <c r="C1646" s="1" t="str">
        <f ca="1">IFERROR(__xludf.DUMMYFUNCTION("GOOGLETRANSLATE(English!C1646, ""en"", ""bg"")"),"елементарен")</f>
        <v>елементарен</v>
      </c>
      <c r="D1646" s="1" t="str">
        <f ca="1">IFERROR(__xludf.DUMMYFUNCTION("GOOGLETRANSLATE(English!D1646, ""en"", ""bg"")"),"смесване на материали")</f>
        <v>смесване на материали</v>
      </c>
      <c r="E1646" s="1" t="str">
        <f ca="1">IFERROR(__xludf.DUMMYFUNCTION("GOOGLETRANSLATE(English!E1646, ""en"", ""bg"")"),"Какво се случва, когато смесите масло и вода?")</f>
        <v>Какво се случва, когато смесите масло и вода?</v>
      </c>
      <c r="F1646" s="1" t="str">
        <f ca="1">IFERROR(__xludf.DUMMYFUNCTION("GOOGLETRANSLATE(English!F1646,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1646" s="1" t="str">
        <f ca="1">IFERROR(__xludf.DUMMYFUNCTION("GOOGLETRANSLATE(English!G1646, ""en"", ""bg"")"),"direct_qa")</f>
        <v>direct_qa</v>
      </c>
      <c r="H1646" s="1" t="str">
        <f ca="1">IFERROR(__xludf.DUMMYFUNCTION("GOOGLETRANSLATE(English!H1646, ""en"", ""bg"")"),"заявка_за_знание")</f>
        <v>заявка_за_знание</v>
      </c>
    </row>
    <row r="1647" spans="1:8" ht="13.2" x14ac:dyDescent="0.25">
      <c r="A1647" s="1" t="str">
        <f ca="1">IFERROR(__xludf.DUMMYFUNCTION("GOOGLETRANSLATE(English!A1647, ""en"", ""bg"")"),"qa_10723")</f>
        <v>qa_10723</v>
      </c>
      <c r="B1647" s="1" t="str">
        <f ca="1">IFERROR(__xludf.DUMMYFUNCTION("GOOGLETRANSLATE(English!B1647, ""en"", ""bg"")"),"химия")</f>
        <v>химия</v>
      </c>
      <c r="C1647" s="1" t="str">
        <f ca="1">IFERROR(__xludf.DUMMYFUNCTION("GOOGLETRANSLATE(English!C1647, ""en"", ""bg"")"),"средата")</f>
        <v>средата</v>
      </c>
      <c r="D1647" s="1" t="str">
        <f ca="1">IFERROR(__xludf.DUMMYFUNCTION("GOOGLETRANSLATE(English!D1647, ""en"", ""bg"")"),"киселини и основи")</f>
        <v>киселини и основи</v>
      </c>
      <c r="E1647" s="1" t="str">
        <f ca="1">IFERROR(__xludf.DUMMYFUNCTION("GOOGLETRANSLATE(English!E1647, ""en"", ""bg"")"),"Как действат киселините и основите в химията?")</f>
        <v>Как действат киселините и основите в химията?</v>
      </c>
      <c r="F1647" s="1" t="str">
        <f ca="1">IFERROR(__xludf.DUMMYFUNCTION("GOOGLETRANSLATE(English!F1647,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647" s="1" t="str">
        <f ca="1">IFERROR(__xludf.DUMMYFUNCTION("GOOGLETRANSLATE(English!G1647, ""en"", ""bg"")"),"direct_qa")</f>
        <v>direct_qa</v>
      </c>
      <c r="H1647" s="1" t="str">
        <f ca="1">IFERROR(__xludf.DUMMYFUNCTION("GOOGLETRANSLATE(English!H1647, ""en"", ""bg"")"),"заявка_за_знание")</f>
        <v>заявка_за_знание</v>
      </c>
    </row>
    <row r="1648" spans="1:8" ht="13.2" x14ac:dyDescent="0.25">
      <c r="A1648" s="1" t="str">
        <f ca="1">IFERROR(__xludf.DUMMYFUNCTION("GOOGLETRANSLATE(English!A1648, ""en"", ""bg"")"),"hw_02775")</f>
        <v>hw_02775</v>
      </c>
      <c r="B1648" s="1" t="str">
        <f ca="1">IFERROR(__xludf.DUMMYFUNCTION("GOOGLETRANSLATE(English!B1648, ""en"", ""bg"")"),"биология")</f>
        <v>биология</v>
      </c>
      <c r="C1648" s="1" t="str">
        <f ca="1">IFERROR(__xludf.DUMMYFUNCTION("GOOGLETRANSLATE(English!C1648, ""en"", ""bg"")"),"средата")</f>
        <v>средата</v>
      </c>
      <c r="D1648" s="1" t="str">
        <f ca="1">IFERROR(__xludf.DUMMYFUNCTION("GOOGLETRANSLATE(English!D1648, ""en"", ""bg"")"),"размножаване")</f>
        <v>размножаване</v>
      </c>
      <c r="E1648" s="1" t="str">
        <f ca="1">IFERROR(__xludf.DUMMYFUNCTION("GOOGLETRANSLATE(English!E1648, ""en"", ""bg"")"),"Домашното ми пита за размножаването. Не го разбирам.")</f>
        <v>Домашното ми пита за размножаването. Не го разбирам.</v>
      </c>
      <c r="F1648" s="1" t="str">
        <f ca="1">IFERROR(__xludf.DUMMYFUNCTION("GOOGLETRANSLATE(English!F1648,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1648" s="1" t="str">
        <f ca="1">IFERROR(__xludf.DUMMYFUNCTION("GOOGLETRANSLATE(English!G1648, ""en"", ""bg"")"),"помощ_за_домашно_изпълнение")</f>
        <v>помощ_за_домашно_изпълнение</v>
      </c>
      <c r="H1648" s="1" t="str">
        <f ca="1">IFERROR(__xludf.DUMMYFUNCTION("GOOGLETRANSLATE(English!H1648, ""en"", ""bg"")"),"помощ_за_домашно_задаване")</f>
        <v>помощ_за_домашно_задаване</v>
      </c>
    </row>
    <row r="1649" spans="1:8" ht="13.2" x14ac:dyDescent="0.25">
      <c r="A1649" s="1" t="str">
        <f ca="1">IFERROR(__xludf.DUMMYFUNCTION("GOOGLETRANSLATE(English!A1649, ""en"", ""bg"")"),"conv_04145")</f>
        <v>conv_04145</v>
      </c>
      <c r="B1649" s="1" t="str">
        <f ca="1">IFERROR(__xludf.DUMMYFUNCTION("GOOGLETRANSLATE(English!B1649, ""en"", ""bg"")"),"биология")</f>
        <v>биология</v>
      </c>
      <c r="C1649" s="1" t="str">
        <f ca="1">IFERROR(__xludf.DUMMYFUNCTION("GOOGLETRANSLATE(English!C1649, ""en"", ""bg"")"),"елементарен")</f>
        <v>елементарен</v>
      </c>
      <c r="D1649" s="1" t="str">
        <f ca="1">IFERROR(__xludf.DUMMYFUNCTION("GOOGLETRANSLATE(English!D1649, ""en"", ""bg"")"),"жизнени цикли")</f>
        <v>жизнени цикли</v>
      </c>
      <c r="E1649" s="1" t="str">
        <f ca="1">IFERROR(__xludf.DUMMYFUNCTION("GOOGLETRANSLATE(English!E1649, ""en"", ""bg"")"),"Имам научен въпрос. Какво е важно да знаем за жизнените цикли?")</f>
        <v>Имам научен въпрос. Какво е важно да знаем за жизнените цикли?</v>
      </c>
      <c r="F1649" s="1" t="str">
        <f ca="1">IFERROR(__xludf.DUMMYFUNCTION("GOOGLETRANSLATE(English!F1649,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1649" s="1" t="str">
        <f ca="1">IFERROR(__xludf.DUMMYFUNCTION("GOOGLETRANSLATE(English!G1649, ""en"", ""bg"")"),"разговор")</f>
        <v>разговор</v>
      </c>
      <c r="H1649" s="1" t="str">
        <f ca="1">IFERROR(__xludf.DUMMYFUNCTION("GOOGLETRANSLATE(English!H1649, ""en"", ""bg"")"),"образователна_помощ")</f>
        <v>образователна_помощ</v>
      </c>
    </row>
    <row r="1650" spans="1:8" ht="13.2" x14ac:dyDescent="0.25">
      <c r="A1650" s="1" t="str">
        <f ca="1">IFERROR(__xludf.DUMMYFUNCTION("GOOGLETRANSLATE(English!A1650, ""en"", ""bg"")"),"conv_03522")</f>
        <v>conv_03522</v>
      </c>
      <c r="B1650" s="1" t="str">
        <f ca="1">IFERROR(__xludf.DUMMYFUNCTION("GOOGLETRANSLATE(English!B1650, ""en"", ""bg"")"),"химия")</f>
        <v>химия</v>
      </c>
      <c r="C1650" s="1" t="str">
        <f ca="1">IFERROR(__xludf.DUMMYFUNCTION("GOOGLETRANSLATE(English!C1650, ""en"", ""bg"")"),"високо")</f>
        <v>високо</v>
      </c>
      <c r="D1650" s="1" t="str">
        <f ca="1">IFERROR(__xludf.DUMMYFUNCTION("GOOGLETRANSLATE(English!D1650, ""en"", ""bg"")"),"електрохимия")</f>
        <v>електрохимия</v>
      </c>
      <c r="E1650" s="1" t="str">
        <f ca="1">IFERROR(__xludf.DUMMYFUNCTION("GOOGLETRANSLATE(English!E1650, ""en"", ""bg"")"),"Не разбирам тази тема. Как работи електрохимията в химията?")</f>
        <v>Не разбирам тази тема. Как работи електрохимията в химията?</v>
      </c>
      <c r="F1650" s="1" t="str">
        <f ca="1">IFERROR(__xludf.DUMMYFUNCTION("GOOGLETRANSLATE(English!F1650,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1650" s="1" t="str">
        <f ca="1">IFERROR(__xludf.DUMMYFUNCTION("GOOGLETRANSLATE(English!G1650, ""en"", ""bg"")"),"разговор")</f>
        <v>разговор</v>
      </c>
      <c r="H1650" s="1" t="str">
        <f ca="1">IFERROR(__xludf.DUMMYFUNCTION("GOOGLETRANSLATE(English!H1650, ""en"", ""bg"")"),"образователна_помощ")</f>
        <v>образователна_помощ</v>
      </c>
    </row>
    <row r="1651" spans="1:8" ht="13.2" x14ac:dyDescent="0.25">
      <c r="A1651" s="1" t="str">
        <f ca="1">IFERROR(__xludf.DUMMYFUNCTION("GOOGLETRANSLATE(English!A1651, ""en"", ""bg"")"),"qa_10185")</f>
        <v>qa_10185</v>
      </c>
      <c r="B1651" s="1" t="str">
        <f ca="1">IFERROR(__xludf.DUMMYFUNCTION("GOOGLETRANSLATE(English!B1651, ""en"", ""bg"")"),"биология")</f>
        <v>биология</v>
      </c>
      <c r="C1651" s="1" t="str">
        <f ca="1">IFERROR(__xludf.DUMMYFUNCTION("GOOGLETRANSLATE(English!C1651, ""en"", ""bg"")"),"високо")</f>
        <v>високо</v>
      </c>
      <c r="D1651" s="1" t="str">
        <f ca="1">IFERROR(__xludf.DUMMYFUNCTION("GOOGLETRANSLATE(English!D1651, ""en"", ""bg"")"),"молекулярна биология")</f>
        <v>молекулярна биология</v>
      </c>
      <c r="E1651" s="1" t="str">
        <f ca="1">IFERROR(__xludf.DUMMYFUNCTION("GOOGLETRANSLATE(English!E1651, ""en"", ""bg"")"),"Можете ли да ми разкажете за молекулярната биология?")</f>
        <v>Можете ли да ми разкажете за молекулярната биология?</v>
      </c>
      <c r="F1651" s="1" t="str">
        <f ca="1">IFERROR(__xludf.DUMMYFUNCTION("GOOGLETRANSLATE(English!F1651,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1651" s="1" t="str">
        <f ca="1">IFERROR(__xludf.DUMMYFUNCTION("GOOGLETRANSLATE(English!G1651, ""en"", ""bg"")"),"direct_qa")</f>
        <v>direct_qa</v>
      </c>
      <c r="H1651" s="1" t="str">
        <f ca="1">IFERROR(__xludf.DUMMYFUNCTION("GOOGLETRANSLATE(English!H1651, ""en"", ""bg"")"),"заявка_за_знание")</f>
        <v>заявка_за_знание</v>
      </c>
    </row>
    <row r="1652" spans="1:8" ht="13.2" x14ac:dyDescent="0.25">
      <c r="A1652" s="1" t="str">
        <f ca="1">IFERROR(__xludf.DUMMYFUNCTION("GOOGLETRANSLATE(English!A1652, ""en"", ""bg"")"),"qa_05019")</f>
        <v>qa_05019</v>
      </c>
      <c r="B1652" s="1" t="str">
        <f ca="1">IFERROR(__xludf.DUMMYFUNCTION("GOOGLETRANSLATE(English!B1652, ""en"", ""bg"")"),"физика")</f>
        <v>физика</v>
      </c>
      <c r="C1652" s="1" t="str">
        <f ca="1">IFERROR(__xludf.DUMMYFUNCTION("GOOGLETRANSLATE(English!C1652, ""en"", ""bg"")"),"високо")</f>
        <v>високо</v>
      </c>
      <c r="D1652" s="1" t="str">
        <f ca="1">IFERROR(__xludf.DUMMYFUNCTION("GOOGLETRANSLATE(English!D1652, ""en"", ""bg"")"),"електромагнетизъм")</f>
        <v>електромагнетизъм</v>
      </c>
      <c r="E1652" s="1" t="str">
        <f ca="1">IFERROR(__xludf.DUMMYFUNCTION("GOOGLETRANSLATE(English!E1652, ""en"", ""bg"")"),"Как работи електромагнетизмът във физиката?")</f>
        <v>Как работи електромагнетизмът във физиката?</v>
      </c>
      <c r="F1652" s="1" t="str">
        <f ca="1">IFERROR(__xludf.DUMMYFUNCTION("GOOGLETRANSLATE(English!F1652,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1652" s="1" t="str">
        <f ca="1">IFERROR(__xludf.DUMMYFUNCTION("GOOGLETRANSLATE(English!G1652, ""en"", ""bg"")"),"direct_qa")</f>
        <v>direct_qa</v>
      </c>
      <c r="H1652" s="1" t="str">
        <f ca="1">IFERROR(__xludf.DUMMYFUNCTION("GOOGLETRANSLATE(English!H1652, ""en"", ""bg"")"),"заявка_за_знание")</f>
        <v>заявка_за_знание</v>
      </c>
    </row>
    <row r="1653" spans="1:8" ht="13.2" x14ac:dyDescent="0.25">
      <c r="A1653" s="1" t="str">
        <f ca="1">IFERROR(__xludf.DUMMYFUNCTION("GOOGLETRANSLATE(English!A1653, ""en"", ""bg"")"),"conv_04810")</f>
        <v>conv_04810</v>
      </c>
      <c r="B1653" s="1" t="str">
        <f ca="1">IFERROR(__xludf.DUMMYFUNCTION("GOOGLETRANSLATE(English!B1653, ""en"", ""bg"")"),"химия")</f>
        <v>химия</v>
      </c>
      <c r="C1653" s="1" t="str">
        <f ca="1">IFERROR(__xludf.DUMMYFUNCTION("GOOGLETRANSLATE(English!C1653, ""en"", ""bg"")"),"високо")</f>
        <v>високо</v>
      </c>
      <c r="D1653" s="1" t="str">
        <f ca="1">IFERROR(__xludf.DUMMYFUNCTION("GOOGLETRANSLATE(English!D1653, ""en"", ""bg"")"),"електрохимия")</f>
        <v>електрохимия</v>
      </c>
      <c r="E1653" s="1" t="str">
        <f ca="1">IFERROR(__xludf.DUMMYFUNCTION("GOOGLETRANSLATE(English!E1653, ""en"", ""bg"")"),"Можете ли да ми помогнете? Как работи електрохимията в химията?")</f>
        <v>Можете ли да ми помогнете? Как работи електрохимията в химията?</v>
      </c>
      <c r="F1653" s="1" t="str">
        <f ca="1">IFERROR(__xludf.DUMMYFUNCTION("GOOGLETRANSLATE(English!F1653,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1653" s="1" t="str">
        <f ca="1">IFERROR(__xludf.DUMMYFUNCTION("GOOGLETRANSLATE(English!G1653, ""en"", ""bg"")"),"разговор")</f>
        <v>разговор</v>
      </c>
      <c r="H1653" s="1" t="str">
        <f ca="1">IFERROR(__xludf.DUMMYFUNCTION("GOOGLETRANSLATE(English!H1653, ""en"", ""bg"")"),"образователна_помощ")</f>
        <v>образователна_помощ</v>
      </c>
    </row>
    <row r="1654" spans="1:8" ht="13.2" x14ac:dyDescent="0.25">
      <c r="A1654" s="1" t="str">
        <f ca="1">IFERROR(__xludf.DUMMYFUNCTION("GOOGLETRANSLATE(English!A1654, ""en"", ""bg"")"),"hw_10762")</f>
        <v>hw_10762</v>
      </c>
      <c r="B1654" s="1" t="str">
        <f ca="1">IFERROR(__xludf.DUMMYFUNCTION("GOOGLETRANSLATE(English!B1654, ""en"", ""bg"")"),"физика")</f>
        <v>физика</v>
      </c>
      <c r="C1654" s="1" t="str">
        <f ca="1">IFERROR(__xludf.DUMMYFUNCTION("GOOGLETRANSLATE(English!C1654, ""en"", ""bg"")"),"високо")</f>
        <v>високо</v>
      </c>
      <c r="D1654" s="1" t="str">
        <f ca="1">IFERROR(__xludf.DUMMYFUNCTION("GOOGLETRANSLATE(English!D1654, ""en"", ""bg"")"),"механика")</f>
        <v>механика</v>
      </c>
      <c r="E1654" s="1" t="str">
        <f ca="1">IFERROR(__xludf.DUMMYFUNCTION("GOOGLETRANSLATE(English!E1654, ""en"", ""bg"")"),"Домашното ми по физика е за механика. Объркващо е!")</f>
        <v>Домашното ми по физика е за механика. Объркващо е!</v>
      </c>
      <c r="F1654" s="1" t="str">
        <f ca="1">IFERROR(__xludf.DUMMYFUNCTION("GOOGLETRANSLATE(English!F1654,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1654" s="1" t="str">
        <f ca="1">IFERROR(__xludf.DUMMYFUNCTION("GOOGLETRANSLATE(English!G1654, ""en"", ""bg"")"),"помощ_за_домашно_изпълнение")</f>
        <v>помощ_за_домашно_изпълнение</v>
      </c>
      <c r="H1654" s="1" t="str">
        <f ca="1">IFERROR(__xludf.DUMMYFUNCTION("GOOGLETRANSLATE(English!H1654, ""en"", ""bg"")"),"помощ_за_домашно_задаване")</f>
        <v>помощ_за_домашно_задаване</v>
      </c>
    </row>
    <row r="1655" spans="1:8" ht="13.2" x14ac:dyDescent="0.25">
      <c r="A1655" s="1" t="str">
        <f ca="1">IFERROR(__xludf.DUMMYFUNCTION("GOOGLETRANSLATE(English!A1655, ""en"", ""bg"")"),"conv_03545")</f>
        <v>conv_03545</v>
      </c>
      <c r="B1655" s="1" t="str">
        <f ca="1">IFERROR(__xludf.DUMMYFUNCTION("GOOGLETRANSLATE(English!B1655, ""en"", ""bg"")"),"биология")</f>
        <v>биология</v>
      </c>
      <c r="C1655" s="1" t="str">
        <f ca="1">IFERROR(__xludf.DUMMYFUNCTION("GOOGLETRANSLATE(English!C1655, ""en"", ""bg"")"),"средата")</f>
        <v>средата</v>
      </c>
      <c r="D1655" s="1" t="str">
        <f ca="1">IFERROR(__xludf.DUMMYFUNCTION("GOOGLETRANSLATE(English!D1655, ""en"", ""bg"")"),"основи на генетиката")</f>
        <v>основи на генетиката</v>
      </c>
      <c r="E1655" s="1" t="str">
        <f ca="1">IFERROR(__xludf.DUMMYFUNCTION("GOOGLETRANSLATE(English!E1655, ""en"", ""bg"")"),"Имам нужда от помощ с домашното. Можете ли да ми разкажете за основите на генетиката?")</f>
        <v>Имам нужда от помощ с домашното. Можете ли да ми разкажете за основите на генетиката?</v>
      </c>
      <c r="F1655" s="1" t="str">
        <f ca="1">IFERROR(__xludf.DUMMYFUNCTION("GOOGLETRANSLATE(English!F1655,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1655" s="1" t="str">
        <f ca="1">IFERROR(__xludf.DUMMYFUNCTION("GOOGLETRANSLATE(English!G1655, ""en"", ""bg"")"),"разговор")</f>
        <v>разговор</v>
      </c>
      <c r="H1655" s="1" t="str">
        <f ca="1">IFERROR(__xludf.DUMMYFUNCTION("GOOGLETRANSLATE(English!H1655, ""en"", ""bg"")"),"образователна_помощ")</f>
        <v>образователна_помощ</v>
      </c>
    </row>
    <row r="1656" spans="1:8" ht="13.2" x14ac:dyDescent="0.25">
      <c r="A1656" s="1" t="str">
        <f ca="1">IFERROR(__xludf.DUMMYFUNCTION("GOOGLETRANSLATE(English!A1656, ""en"", ""bg"")"),"hw_03080")</f>
        <v>hw_03080</v>
      </c>
      <c r="B1656" s="1" t="str">
        <f ca="1">IFERROR(__xludf.DUMMYFUNCTION("GOOGLETRANSLATE(English!B1656, ""en"", ""bg"")"),"биология")</f>
        <v>биология</v>
      </c>
      <c r="C1656" s="1" t="str">
        <f ca="1">IFERROR(__xludf.DUMMYFUNCTION("GOOGLETRANSLATE(English!C1656, ""en"", ""bg"")"),"средата")</f>
        <v>средата</v>
      </c>
      <c r="D1656" s="1" t="str">
        <f ca="1">IFERROR(__xludf.DUMMYFUNCTION("GOOGLETRANSLATE(English!D1656, ""en"", ""bg"")"),"класификация")</f>
        <v>класификация</v>
      </c>
      <c r="E1656" s="1" t="str">
        <f ca="1">IFERROR(__xludf.DUMMYFUNCTION("GOOGLETRANSLATE(English!E1656, ""en"", ""bg"")"),"Можете ли да обясните класификацията за моя научен проект?")</f>
        <v>Можете ли да обясните класификацията за моя научен проект?</v>
      </c>
      <c r="F1656" s="1" t="str">
        <f ca="1">IFERROR(__xludf.DUMMYFUNCTION("GOOGLETRANSLATE(English!F1656,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1656" s="1" t="str">
        <f ca="1">IFERROR(__xludf.DUMMYFUNCTION("GOOGLETRANSLATE(English!G1656, ""en"", ""bg"")"),"помощ_за_домашно_изпълнение")</f>
        <v>помощ_за_домашно_изпълнение</v>
      </c>
      <c r="H1656" s="1" t="str">
        <f ca="1">IFERROR(__xludf.DUMMYFUNCTION("GOOGLETRANSLATE(English!H1656, ""en"", ""bg"")"),"помощ_за_домашно_задаване")</f>
        <v>помощ_за_домашно_задаване</v>
      </c>
    </row>
    <row r="1657" spans="1:8" ht="13.2" x14ac:dyDescent="0.25">
      <c r="A1657" s="1" t="str">
        <f ca="1">IFERROR(__xludf.DUMMYFUNCTION("GOOGLETRANSLATE(English!A1657, ""en"", ""bg"")"),"hw_01154")</f>
        <v>hw_01154</v>
      </c>
      <c r="B1657" s="1" t="str">
        <f ca="1">IFERROR(__xludf.DUMMYFUNCTION("GOOGLETRANSLATE(English!B1657, ""en"", ""bg"")"),"химия")</f>
        <v>химия</v>
      </c>
      <c r="C1657" s="1" t="str">
        <f ca="1">IFERROR(__xludf.DUMMYFUNCTION("GOOGLETRANSLATE(English!C1657, ""en"", ""bg"")"),"високо")</f>
        <v>високо</v>
      </c>
      <c r="D1657" s="1" t="str">
        <f ca="1">IFERROR(__xludf.DUMMYFUNCTION("GOOGLETRANSLATE(English!D1657, ""en"", ""bg"")"),"стехиометрия")</f>
        <v>стехиометрия</v>
      </c>
      <c r="E1657" s="1" t="str">
        <f ca="1">IFERROR(__xludf.DUMMYFUNCTION("GOOGLETRANSLATE(English!E1657,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1657" s="1" t="str">
        <f ca="1">IFERROR(__xludf.DUMMYFUNCTION("GOOGLETRANSLATE(English!F1657,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657" s="1" t="str">
        <f ca="1">IFERROR(__xludf.DUMMYFUNCTION("GOOGLETRANSLATE(English!G1657, ""en"", ""bg"")"),"помощ_за_домашно_изпълнение")</f>
        <v>помощ_за_домашно_изпълнение</v>
      </c>
      <c r="H1657" s="1" t="str">
        <f ca="1">IFERROR(__xludf.DUMMYFUNCTION("GOOGLETRANSLATE(English!H1657, ""en"", ""bg"")"),"помощ_за_домашно_задаване")</f>
        <v>помощ_за_домашно_задаване</v>
      </c>
    </row>
    <row r="1658" spans="1:8" ht="13.2" x14ac:dyDescent="0.25">
      <c r="A1658" s="1" t="str">
        <f ca="1">IFERROR(__xludf.DUMMYFUNCTION("GOOGLETRANSLATE(English!A1658, ""en"", ""bg"")"),"conv_10803")</f>
        <v>conv_10803</v>
      </c>
      <c r="B1658" s="1" t="str">
        <f ca="1">IFERROR(__xludf.DUMMYFUNCTION("GOOGLETRANSLATE(English!B1658, ""en"", ""bg"")"),"химия")</f>
        <v>химия</v>
      </c>
      <c r="C1658" s="1" t="str">
        <f ca="1">IFERROR(__xludf.DUMMYFUNCTION("GOOGLETRANSLATE(English!C1658, ""en"", ""bg"")"),"високо")</f>
        <v>високо</v>
      </c>
      <c r="D1658" s="1" t="str">
        <f ca="1">IFERROR(__xludf.DUMMYFUNCTION("GOOGLETRANSLATE(English!D1658, ""en"", ""bg"")"),"равновесие")</f>
        <v>равновесие</v>
      </c>
      <c r="E1658" s="1" t="str">
        <f ca="1">IFERROR(__xludf.DUMMYFUNCTION("GOOGLETRANSLATE(English!E1658, ""en"", ""bg"")"),"Имам научен въпрос. Как работи равновесието в химията?")</f>
        <v>Имам научен въпрос. Как работи равновесието в химията?</v>
      </c>
      <c r="F1658" s="1" t="str">
        <f ca="1">IFERROR(__xludf.DUMMYFUNCTION("GOOGLETRANSLATE(English!F1658,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1658" s="1" t="str">
        <f ca="1">IFERROR(__xludf.DUMMYFUNCTION("GOOGLETRANSLATE(English!G1658, ""en"", ""bg"")"),"разговор")</f>
        <v>разговор</v>
      </c>
      <c r="H1658" s="1" t="str">
        <f ca="1">IFERROR(__xludf.DUMMYFUNCTION("GOOGLETRANSLATE(English!H1658, ""en"", ""bg"")"),"образователна_помощ")</f>
        <v>образователна_помощ</v>
      </c>
    </row>
    <row r="1659" spans="1:8" ht="13.2" x14ac:dyDescent="0.25">
      <c r="A1659" s="1" t="str">
        <f ca="1">IFERROR(__xludf.DUMMYFUNCTION("GOOGLETRANSLATE(English!A1659, ""en"", ""bg"")"),"hw_01696")</f>
        <v>hw_01696</v>
      </c>
      <c r="B1659" s="1" t="str">
        <f ca="1">IFERROR(__xludf.DUMMYFUNCTION("GOOGLETRANSLATE(English!B1659, ""en"", ""bg"")"),"физика")</f>
        <v>физика</v>
      </c>
      <c r="C1659" s="1" t="str">
        <f ca="1">IFERROR(__xludf.DUMMYFUNCTION("GOOGLETRANSLATE(English!C1659, ""en"", ""bg"")"),"елементарен")</f>
        <v>елементарен</v>
      </c>
      <c r="D1659" s="1" t="str">
        <f ca="1">IFERROR(__xludf.DUMMYFUNCTION("GOOGLETRANSLATE(English!D1659, ""en"", ""bg"")"),"прости машини")</f>
        <v>прости машини</v>
      </c>
      <c r="E1659" s="1" t="str">
        <f ca="1">IFERROR(__xludf.DUMMYFUNCTION("GOOGLETRANSLATE(English!E1659, ""en"", ""bg"")"),"Заседнал съм с този прост проблем с машината. Можете ли да помогнете?")</f>
        <v>Заседнал съм с този прост проблем с машината. Можете ли да помогнете?</v>
      </c>
      <c r="F1659" s="1" t="str">
        <f ca="1">IFERROR(__xludf.DUMMYFUNCTION("GOOGLETRANSLATE(English!F1659,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1659" s="1" t="str">
        <f ca="1">IFERROR(__xludf.DUMMYFUNCTION("GOOGLETRANSLATE(English!G1659, ""en"", ""bg"")"),"помощ_за_домашно_изпълнение")</f>
        <v>помощ_за_домашно_изпълнение</v>
      </c>
      <c r="H1659" s="1" t="str">
        <f ca="1">IFERROR(__xludf.DUMMYFUNCTION("GOOGLETRANSLATE(English!H1659, ""en"", ""bg"")"),"помощ_за_домашно_задаване")</f>
        <v>помощ_за_домашно_задаване</v>
      </c>
    </row>
    <row r="1660" spans="1:8" ht="13.2" x14ac:dyDescent="0.25">
      <c r="A1660" s="1" t="str">
        <f ca="1">IFERROR(__xludf.DUMMYFUNCTION("GOOGLETRANSLATE(English!A1660, ""en"", ""bg"")"),"conv_05012")</f>
        <v>conv_05012</v>
      </c>
      <c r="B1660" s="1" t="str">
        <f ca="1">IFERROR(__xludf.DUMMYFUNCTION("GOOGLETRANSLATE(English!B1660, ""en"", ""bg"")"),"биология")</f>
        <v>биология</v>
      </c>
      <c r="C1660" s="1" t="str">
        <f ca="1">IFERROR(__xludf.DUMMYFUNCTION("GOOGLETRANSLATE(English!C1660, ""en"", ""bg"")"),"средата")</f>
        <v>средата</v>
      </c>
      <c r="D1660" s="1" t="str">
        <f ca="1">IFERROR(__xludf.DUMMYFUNCTION("GOOGLETRANSLATE(English!D1660, ""en"", ""bg"")"),"клетки")</f>
        <v>клетки</v>
      </c>
      <c r="E1660" s="1" t="str">
        <f ca="1">IFERROR(__xludf.DUMMYFUNCTION("GOOGLETRANSLATE(English!E1660, ""en"", ""bg"")"),"Имам научен въпрос: Какво е клетка?")</f>
        <v>Имам научен въпрос: Какво е клетка?</v>
      </c>
      <c r="F1660" s="1" t="str">
        <f ca="1">IFERROR(__xludf.DUMMYFUNCTION("GOOGLETRANSLATE(English!F1660,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1660" s="1" t="str">
        <f ca="1">IFERROR(__xludf.DUMMYFUNCTION("GOOGLETRANSLATE(English!G1660, ""en"", ""bg"")"),"разговор")</f>
        <v>разговор</v>
      </c>
      <c r="H1660" s="1" t="str">
        <f ca="1">IFERROR(__xludf.DUMMYFUNCTION("GOOGLETRANSLATE(English!H1660, ""en"", ""bg"")"),"образователна_помощ")</f>
        <v>образователна_помощ</v>
      </c>
    </row>
    <row r="1661" spans="1:8" ht="13.2" x14ac:dyDescent="0.25">
      <c r="A1661" s="1" t="str">
        <f ca="1">IFERROR(__xludf.DUMMYFUNCTION("GOOGLETRANSLATE(English!A1661, ""en"", ""bg"")"),"hw_05832")</f>
        <v>hw_05832</v>
      </c>
      <c r="B1661" s="1" t="str">
        <f ca="1">IFERROR(__xludf.DUMMYFUNCTION("GOOGLETRANSLATE(English!B1661, ""en"", ""bg"")"),"биология")</f>
        <v>биология</v>
      </c>
      <c r="C1661" s="1" t="str">
        <f ca="1">IFERROR(__xludf.DUMMYFUNCTION("GOOGLETRANSLATE(English!C1661, ""en"", ""bg"")"),"средата")</f>
        <v>средата</v>
      </c>
      <c r="D1661" s="1" t="str">
        <f ca="1">IFERROR(__xludf.DUMMYFUNCTION("GOOGLETRANSLATE(English!D1661, ""en"", ""bg"")"),"основи на генетиката")</f>
        <v>основи на генетиката</v>
      </c>
      <c r="E1661" s="1" t="str">
        <f ca="1">IFERROR(__xludf.DUMMYFUNCTION("GOOGLETRANSLATE(English!E1661, ""en"", ""bg"")"),"Утре имам тест по основи на генетиката. Помогни ми да уча!")</f>
        <v>Утре имам тест по основи на генетиката. Помогни ми да уча!</v>
      </c>
      <c r="F1661" s="1" t="str">
        <f ca="1">IFERROR(__xludf.DUMMYFUNCTION("GOOGLETRANSLATE(English!F1661,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661" s="1" t="str">
        <f ca="1">IFERROR(__xludf.DUMMYFUNCTION("GOOGLETRANSLATE(English!G1661, ""en"", ""bg"")"),"помощ_за_домашно_изпълнение")</f>
        <v>помощ_за_домашно_изпълнение</v>
      </c>
      <c r="H1661" s="1" t="str">
        <f ca="1">IFERROR(__xludf.DUMMYFUNCTION("GOOGLETRANSLATE(English!H1661, ""en"", ""bg"")"),"помощ_за_домашно_задаване")</f>
        <v>помощ_за_домашно_задаване</v>
      </c>
    </row>
    <row r="1662" spans="1:8" ht="13.2" x14ac:dyDescent="0.25">
      <c r="A1662" s="1" t="str">
        <f ca="1">IFERROR(__xludf.DUMMYFUNCTION("GOOGLETRANSLATE(English!A1662, ""en"", ""bg"")"),"qa_04724")</f>
        <v>qa_04724</v>
      </c>
      <c r="B1662" s="1" t="str">
        <f ca="1">IFERROR(__xludf.DUMMYFUNCTION("GOOGLETRANSLATE(English!B1662, ""en"", ""bg"")"),"физика")</f>
        <v>физика</v>
      </c>
      <c r="C1662" s="1" t="str">
        <f ca="1">IFERROR(__xludf.DUMMYFUNCTION("GOOGLETRANSLATE(English!C1662, ""en"", ""bg"")"),"елементарен")</f>
        <v>елементарен</v>
      </c>
      <c r="D1662" s="1" t="str">
        <f ca="1">IFERROR(__xludf.DUMMYFUNCTION("GOOGLETRANSLATE(English!D1662, ""en"", ""bg"")"),"светлина и сянка")</f>
        <v>светлина и сянка</v>
      </c>
      <c r="E1662" s="1" t="str">
        <f ca="1">IFERROR(__xludf.DUMMYFUNCTION("GOOGLETRANSLATE(English!E1662, ""en"", ""bg"")"),"Как се правят сенките?")</f>
        <v>Как се правят сенките?</v>
      </c>
      <c r="F1662" s="1" t="str">
        <f ca="1">IFERROR(__xludf.DUMMYFUNCTION("GOOGLETRANSLATE(English!F1662,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1662" s="1" t="str">
        <f ca="1">IFERROR(__xludf.DUMMYFUNCTION("GOOGLETRANSLATE(English!G1662, ""en"", ""bg"")"),"direct_qa")</f>
        <v>direct_qa</v>
      </c>
      <c r="H1662" s="1" t="str">
        <f ca="1">IFERROR(__xludf.DUMMYFUNCTION("GOOGLETRANSLATE(English!H1662, ""en"", ""bg"")"),"заявка_за_знание")</f>
        <v>заявка_за_знание</v>
      </c>
    </row>
    <row r="1663" spans="1:8" ht="13.2" x14ac:dyDescent="0.25">
      <c r="A1663" s="1" t="str">
        <f ca="1">IFERROR(__xludf.DUMMYFUNCTION("GOOGLETRANSLATE(English!A1663, ""en"", ""bg"")"),"hw_13650")</f>
        <v>hw_13650</v>
      </c>
      <c r="B1663" s="1" t="str">
        <f ca="1">IFERROR(__xludf.DUMMYFUNCTION("GOOGLETRANSLATE(English!B1663, ""en"", ""bg"")"),"физика")</f>
        <v>физика</v>
      </c>
      <c r="C1663" s="1" t="str">
        <f ca="1">IFERROR(__xludf.DUMMYFUNCTION("GOOGLETRANSLATE(English!C1663, ""en"", ""bg"")"),"средата")</f>
        <v>средата</v>
      </c>
      <c r="D1663" s="1" t="str">
        <f ca="1">IFERROR(__xludf.DUMMYFUNCTION("GOOGLETRANSLATE(English!D1663, ""en"", ""bg"")"),"видове енергия")</f>
        <v>видове енергия</v>
      </c>
      <c r="E1663" s="1" t="str">
        <f ca="1">IFERROR(__xludf.DUMMYFUNCTION("GOOGLETRANSLATE(English!E1663, ""en"", ""bg"")"),"Можете ли да решите този въпрос за видовете енергия с мен?")</f>
        <v>Можете ли да решите този въпрос за видовете енергия с мен?</v>
      </c>
      <c r="F1663" s="1" t="str">
        <f ca="1">IFERROR(__xludf.DUMMYFUNCTION("GOOGLETRANSLATE(English!F1663,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663" s="1" t="str">
        <f ca="1">IFERROR(__xludf.DUMMYFUNCTION("GOOGLETRANSLATE(English!G1663, ""en"", ""bg"")"),"помощ_за_домашно_изпълнение")</f>
        <v>помощ_за_домашно_изпълнение</v>
      </c>
      <c r="H1663" s="1" t="str">
        <f ca="1">IFERROR(__xludf.DUMMYFUNCTION("GOOGLETRANSLATE(English!H1663, ""en"", ""bg"")"),"помощ_за_домашно_задаване")</f>
        <v>помощ_за_домашно_задаване</v>
      </c>
    </row>
    <row r="1664" spans="1:8" ht="13.2" x14ac:dyDescent="0.25">
      <c r="A1664" s="1" t="str">
        <f ca="1">IFERROR(__xludf.DUMMYFUNCTION("GOOGLETRANSLATE(English!A1664, ""en"", ""bg"")"),"hw_08440")</f>
        <v>hw_08440</v>
      </c>
      <c r="B1664" s="1" t="str">
        <f ca="1">IFERROR(__xludf.DUMMYFUNCTION("GOOGLETRANSLATE(English!B1664, ""en"", ""bg"")"),"биология")</f>
        <v>биология</v>
      </c>
      <c r="C1664" s="1" t="str">
        <f ca="1">IFERROR(__xludf.DUMMYFUNCTION("GOOGLETRANSLATE(English!C1664, ""en"", ""bg"")"),"елементарен")</f>
        <v>елементарен</v>
      </c>
      <c r="D1664" s="1" t="str">
        <f ca="1">IFERROR(__xludf.DUMMYFUNCTION("GOOGLETRANSLATE(English!D1664, ""en"", ""bg"")"),"хранителни вериги")</f>
        <v>хранителни вериги</v>
      </c>
      <c r="E1664" s="1" t="str">
        <f ca="1">IFERROR(__xludf.DUMMYFUNCTION("GOOGLETRANSLATE(English!E1664, ""en"", ""bg"")"),"Трябва да напиша доклад за хранителните вериги. Можете ли да ми помогнете да започна?")</f>
        <v>Трябва да напиша доклад за хранителните вериги. Можете ли да ми помогнете да започна?</v>
      </c>
      <c r="F1664" s="1" t="str">
        <f ca="1">IFERROR(__xludf.DUMMYFUNCTION("GOOGLETRANSLATE(English!F1664,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1664" s="1" t="str">
        <f ca="1">IFERROR(__xludf.DUMMYFUNCTION("GOOGLETRANSLATE(English!G1664, ""en"", ""bg"")"),"помощ_за_домашно_изпълнение")</f>
        <v>помощ_за_домашно_изпълнение</v>
      </c>
      <c r="H1664" s="1" t="str">
        <f ca="1">IFERROR(__xludf.DUMMYFUNCTION("GOOGLETRANSLATE(English!H1664, ""en"", ""bg"")"),"помощ_за_домашно_задаване")</f>
        <v>помощ_за_домашно_задаване</v>
      </c>
    </row>
    <row r="1665" spans="1:8" ht="13.2" x14ac:dyDescent="0.25">
      <c r="A1665" s="1" t="str">
        <f ca="1">IFERROR(__xludf.DUMMYFUNCTION("GOOGLETRANSLATE(English!A1665, ""en"", ""bg"")"),"conv_02863")</f>
        <v>conv_02863</v>
      </c>
      <c r="B1665" s="1" t="str">
        <f ca="1">IFERROR(__xludf.DUMMYFUNCTION("GOOGLETRANSLATE(English!B1665, ""en"", ""bg"")"),"физика")</f>
        <v>физика</v>
      </c>
      <c r="C1665" s="1" t="str">
        <f ca="1">IFERROR(__xludf.DUMMYFUNCTION("GOOGLETRANSLATE(English!C1665, ""en"", ""bg"")"),"средата")</f>
        <v>средата</v>
      </c>
      <c r="D1665" s="1" t="str">
        <f ca="1">IFERROR(__xludf.DUMMYFUNCTION("GOOGLETRANSLATE(English!D1665, ""en"", ""bg"")"),"плътност")</f>
        <v>плътност</v>
      </c>
      <c r="E1665" s="1" t="str">
        <f ca="1">IFERROR(__xludf.DUMMYFUNCTION("GOOGLETRANSLATE(English!E1665, ""en"", ""bg"")"),"Можете ли да ми обясните това? Можете ли да ми обясните плътността?")</f>
        <v>Можете ли да ми обясните това? Можете ли да ми обясните плътността?</v>
      </c>
      <c r="F1665" s="1" t="str">
        <f ca="1">IFERROR(__xludf.DUMMYFUNCTION("GOOGLETRANSLATE(English!F1665,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1665" s="1" t="str">
        <f ca="1">IFERROR(__xludf.DUMMYFUNCTION("GOOGLETRANSLATE(English!G1665, ""en"", ""bg"")"),"разговор")</f>
        <v>разговор</v>
      </c>
      <c r="H1665" s="1" t="str">
        <f ca="1">IFERROR(__xludf.DUMMYFUNCTION("GOOGLETRANSLATE(English!H1665, ""en"", ""bg"")"),"образователна_помощ")</f>
        <v>образователна_помощ</v>
      </c>
    </row>
    <row r="1666" spans="1:8" ht="13.2" x14ac:dyDescent="0.25">
      <c r="A1666" s="1" t="str">
        <f ca="1">IFERROR(__xludf.DUMMYFUNCTION("GOOGLETRANSLATE(English!A1666, ""en"", ""bg"")"),"qa_03946")</f>
        <v>qa_03946</v>
      </c>
      <c r="B1666" s="1" t="str">
        <f ca="1">IFERROR(__xludf.DUMMYFUNCTION("GOOGLETRANSLATE(English!B1666, ""en"", ""bg"")"),"химия")</f>
        <v>химия</v>
      </c>
      <c r="C1666" s="1" t="str">
        <f ca="1">IFERROR(__xludf.DUMMYFUNCTION("GOOGLETRANSLATE(English!C1666, ""en"", ""bg"")"),"високо")</f>
        <v>високо</v>
      </c>
      <c r="D1666" s="1" t="str">
        <f ca="1">IFERROR(__xludf.DUMMYFUNCTION("GOOGLETRANSLATE(English!D1666, ""en"", ""bg"")"),"електрохимия")</f>
        <v>електрохимия</v>
      </c>
      <c r="E1666" s="1" t="str">
        <f ca="1">IFERROR(__xludf.DUMMYFUNCTION("GOOGLETRANSLATE(English!E1666, ""en"", ""bg"")"),"Можете ли да ми помогнете да разбера електрохимията?")</f>
        <v>Можете ли да ми помогнете да разбера електрохимията?</v>
      </c>
      <c r="F1666" s="1" t="str">
        <f ca="1">IFERROR(__xludf.DUMMYFUNCTION("GOOGLETRANSLATE(English!F1666,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1666" s="1" t="str">
        <f ca="1">IFERROR(__xludf.DUMMYFUNCTION("GOOGLETRANSLATE(English!G1666, ""en"", ""bg"")"),"direct_qa")</f>
        <v>direct_qa</v>
      </c>
      <c r="H1666" s="1" t="str">
        <f ca="1">IFERROR(__xludf.DUMMYFUNCTION("GOOGLETRANSLATE(English!H1666, ""en"", ""bg"")"),"заявка_за_знание")</f>
        <v>заявка_за_знание</v>
      </c>
    </row>
    <row r="1667" spans="1:8" ht="13.2" x14ac:dyDescent="0.25">
      <c r="A1667" s="1" t="str">
        <f ca="1">IFERROR(__xludf.DUMMYFUNCTION("GOOGLETRANSLATE(English!A1667, ""en"", ""bg"")"),"hw_08035")</f>
        <v>hw_08035</v>
      </c>
      <c r="B1667" s="1" t="str">
        <f ca="1">IFERROR(__xludf.DUMMYFUNCTION("GOOGLETRANSLATE(English!B1667, ""en"", ""bg"")"),"химия")</f>
        <v>химия</v>
      </c>
      <c r="C1667" s="1" t="str">
        <f ca="1">IFERROR(__xludf.DUMMYFUNCTION("GOOGLETRANSLATE(English!C1667, ""en"", ""bg"")"),"високо")</f>
        <v>високо</v>
      </c>
      <c r="D1667" s="1" t="str">
        <f ca="1">IFERROR(__xludf.DUMMYFUNCTION("GOOGLETRANSLATE(English!D1667, ""en"", ""bg"")"),"скорости на реакция")</f>
        <v>скорости на реакция</v>
      </c>
      <c r="E1667" s="1" t="str">
        <f ca="1">IFERROR(__xludf.DUMMYFUNCTION("GOOGLETRANSLATE(English!E1667,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1667" s="1" t="str">
        <f ca="1">IFERROR(__xludf.DUMMYFUNCTION("GOOGLETRANSLATE(English!F1667,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1667" s="1" t="str">
        <f ca="1">IFERROR(__xludf.DUMMYFUNCTION("GOOGLETRANSLATE(English!G1667, ""en"", ""bg"")"),"помощ_за_домашно_изпълнение")</f>
        <v>помощ_за_домашно_изпълнение</v>
      </c>
      <c r="H1667" s="1" t="str">
        <f ca="1">IFERROR(__xludf.DUMMYFUNCTION("GOOGLETRANSLATE(English!H1667, ""en"", ""bg"")"),"помощ_за_домашно_задаване")</f>
        <v>помощ_за_домашно_задаване</v>
      </c>
    </row>
    <row r="1668" spans="1:8" ht="13.2" x14ac:dyDescent="0.25">
      <c r="A1668" s="1" t="str">
        <f ca="1">IFERROR(__xludf.DUMMYFUNCTION("GOOGLETRANSLATE(English!A1668, ""en"", ""bg"")"),"conv_13603")</f>
        <v>conv_13603</v>
      </c>
      <c r="B1668" s="1" t="str">
        <f ca="1">IFERROR(__xludf.DUMMYFUNCTION("GOOGLETRANSLATE(English!B1668, ""en"", ""bg"")"),"биология")</f>
        <v>биология</v>
      </c>
      <c r="C1668" s="1" t="str">
        <f ca="1">IFERROR(__xludf.DUMMYFUNCTION("GOOGLETRANSLATE(English!C1668, ""en"", ""bg"")"),"високо")</f>
        <v>високо</v>
      </c>
      <c r="D1668" s="1" t="str">
        <f ca="1">IFERROR(__xludf.DUMMYFUNCTION("GOOGLETRANSLATE(English!D1668, ""en"", ""bg"")"),"синтез на протеини")</f>
        <v>синтез на протеини</v>
      </c>
      <c r="E1668" s="1" t="str">
        <f ca="1">IFERROR(__xludf.DUMMYFUNCTION("GOOGLETRANSLATE(English!E1668, ""en"", ""bg"")"),"Не разбирам тази тема. Можете ли да ми разкажете за синтеза на протеини?")</f>
        <v>Не разбирам тази тема. Можете ли да ми разкажете за синтеза на протеини?</v>
      </c>
      <c r="F1668" s="1" t="str">
        <f ca="1">IFERROR(__xludf.DUMMYFUNCTION("GOOGLETRANSLATE(English!F1668,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1668" s="1" t="str">
        <f ca="1">IFERROR(__xludf.DUMMYFUNCTION("GOOGLETRANSLATE(English!G1668, ""en"", ""bg"")"),"разговор")</f>
        <v>разговор</v>
      </c>
      <c r="H1668" s="1" t="str">
        <f ca="1">IFERROR(__xludf.DUMMYFUNCTION("GOOGLETRANSLATE(English!H1668, ""en"", ""bg"")"),"образователна_помощ")</f>
        <v>образователна_помощ</v>
      </c>
    </row>
    <row r="1669" spans="1:8" ht="13.2" x14ac:dyDescent="0.25">
      <c r="A1669" s="1" t="str">
        <f ca="1">IFERROR(__xludf.DUMMYFUNCTION("GOOGLETRANSLATE(English!A1669, ""en"", ""bg"")"),"qa_12717")</f>
        <v>qa_12717</v>
      </c>
      <c r="B1669" s="1" t="str">
        <f ca="1">IFERROR(__xludf.DUMMYFUNCTION("GOOGLETRANSLATE(English!B1669, ""en"", ""bg"")"),"физика")</f>
        <v>физика</v>
      </c>
      <c r="C1669" s="1" t="str">
        <f ca="1">IFERROR(__xludf.DUMMYFUNCTION("GOOGLETRANSLATE(English!C1669, ""en"", ""bg"")"),"елементарен")</f>
        <v>елементарен</v>
      </c>
      <c r="D1669" s="1" t="str">
        <f ca="1">IFERROR(__xludf.DUMMYFUNCTION("GOOGLETRANSLATE(English!D1669, ""en"", ""bg"")"),"бутане и дърпане")</f>
        <v>бутане и дърпане</v>
      </c>
      <c r="E1669" s="1" t="str">
        <f ca="1">IFERROR(__xludf.DUMMYFUNCTION("GOOGLETRANSLATE(English!E1669, ""en"", ""bg"")"),"Можете ли да ми обясните как се прави бутане и дърпане?")</f>
        <v>Можете ли да ми обясните как се прави бутане и дърпане?</v>
      </c>
      <c r="F1669" s="1" t="str">
        <f ca="1">IFERROR(__xludf.DUMMYFUNCTION("GOOGLETRANSLATE(English!F1669,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1669" s="1" t="str">
        <f ca="1">IFERROR(__xludf.DUMMYFUNCTION("GOOGLETRANSLATE(English!G1669, ""en"", ""bg"")"),"direct_qa")</f>
        <v>direct_qa</v>
      </c>
      <c r="H1669" s="1" t="str">
        <f ca="1">IFERROR(__xludf.DUMMYFUNCTION("GOOGLETRANSLATE(English!H1669, ""en"", ""bg"")"),"заявка_за_знание")</f>
        <v>заявка_за_знание</v>
      </c>
    </row>
    <row r="1670" spans="1:8" ht="13.2" x14ac:dyDescent="0.25">
      <c r="A1670" s="1" t="str">
        <f ca="1">IFERROR(__xludf.DUMMYFUNCTION("GOOGLETRANSLATE(English!A1670, ""en"", ""bg"")"),"qa_08420")</f>
        <v>qa_08420</v>
      </c>
      <c r="B1670" s="1" t="str">
        <f ca="1">IFERROR(__xludf.DUMMYFUNCTION("GOOGLETRANSLATE(English!B1670, ""en"", ""bg"")"),"химия")</f>
        <v>химия</v>
      </c>
      <c r="C1670" s="1" t="str">
        <f ca="1">IFERROR(__xludf.DUMMYFUNCTION("GOOGLETRANSLATE(English!C1670, ""en"", ""bg"")"),"елементарен")</f>
        <v>елементарен</v>
      </c>
      <c r="D1670" s="1" t="str">
        <f ca="1">IFERROR(__xludf.DUMMYFUNCTION("GOOGLETRANSLATE(English!D1670, ""en"", ""bg"")"),"ежедневни химикали")</f>
        <v>ежедневни химикали</v>
      </c>
      <c r="E1670" s="1" t="str">
        <f ca="1">IFERROR(__xludf.DUMMYFUNCTION("GOOGLETRANSLATE(English!E1670, ""en"", ""bg"")"),"Как действат ежедневните химикали в химията?")</f>
        <v>Как действат ежедневните химикали в химията?</v>
      </c>
      <c r="F1670" s="1" t="str">
        <f ca="1">IFERROR(__xludf.DUMMYFUNCTION("GOOGLETRANSLATE(English!F1670,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1670" s="1" t="str">
        <f ca="1">IFERROR(__xludf.DUMMYFUNCTION("GOOGLETRANSLATE(English!G1670, ""en"", ""bg"")"),"direct_qa")</f>
        <v>direct_qa</v>
      </c>
      <c r="H1670" s="1" t="str">
        <f ca="1">IFERROR(__xludf.DUMMYFUNCTION("GOOGLETRANSLATE(English!H1670, ""en"", ""bg"")"),"заявка_за_знание")</f>
        <v>заявка_за_знание</v>
      </c>
    </row>
    <row r="1671" spans="1:8" ht="13.2" x14ac:dyDescent="0.25">
      <c r="A1671" s="1" t="str">
        <f ca="1">IFERROR(__xludf.DUMMYFUNCTION("GOOGLETRANSLATE(English!A1671, ""en"", ""bg"")"),"conv_00157")</f>
        <v>conv_00157</v>
      </c>
      <c r="B1671" s="1" t="str">
        <f ca="1">IFERROR(__xludf.DUMMYFUNCTION("GOOGLETRANSLATE(English!B1671, ""en"", ""bg"")"),"биология")</f>
        <v>биология</v>
      </c>
      <c r="C1671" s="1" t="str">
        <f ca="1">IFERROR(__xludf.DUMMYFUNCTION("GOOGLETRANSLATE(English!C1671, ""en"", ""bg"")"),"високо")</f>
        <v>високо</v>
      </c>
      <c r="D1671" s="1" t="str">
        <f ca="1">IFERROR(__xludf.DUMMYFUNCTION("GOOGLETRANSLATE(English!D1671, ""en"", ""bg"")"),"митоза и мейоза")</f>
        <v>митоза и мейоза</v>
      </c>
      <c r="E1671" s="1" t="str">
        <f ca="1">IFERROR(__xludf.DUMMYFUNCTION("GOOGLETRANSLATE(English!E1671, ""en"", ""bg"")"),"Можете ли да ми обясните това? Можете ли да ми разкажете за митозата и мейозата?")</f>
        <v>Можете ли да ми обясните това? Можете ли да ми разкажете за митозата и мейозата?</v>
      </c>
      <c r="F1671" s="1" t="str">
        <f ca="1">IFERROR(__xludf.DUMMYFUNCTION("GOOGLETRANSLATE(English!F1671,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1671" s="1" t="str">
        <f ca="1">IFERROR(__xludf.DUMMYFUNCTION("GOOGLETRANSLATE(English!G1671, ""en"", ""bg"")"),"разговор")</f>
        <v>разговор</v>
      </c>
      <c r="H1671" s="1" t="str">
        <f ca="1">IFERROR(__xludf.DUMMYFUNCTION("GOOGLETRANSLATE(English!H1671, ""en"", ""bg"")"),"образователна_помощ")</f>
        <v>образователна_помощ</v>
      </c>
    </row>
    <row r="1672" spans="1:8" ht="13.2" x14ac:dyDescent="0.25">
      <c r="A1672" s="1" t="str">
        <f ca="1">IFERROR(__xludf.DUMMYFUNCTION("GOOGLETRANSLATE(English!A1672, ""en"", ""bg"")"),"qa_01108")</f>
        <v>qa_01108</v>
      </c>
      <c r="B1672" s="1" t="str">
        <f ca="1">IFERROR(__xludf.DUMMYFUNCTION("GOOGLETRANSLATE(English!B1672, ""en"", ""bg"")"),"физика")</f>
        <v>физика</v>
      </c>
      <c r="C1672" s="1" t="str">
        <f ca="1">IFERROR(__xludf.DUMMYFUNCTION("GOOGLETRANSLATE(English!C1672, ""en"", ""bg"")"),"средата")</f>
        <v>средата</v>
      </c>
      <c r="D1672" s="1" t="str">
        <f ca="1">IFERROR(__xludf.DUMMYFUNCTION("GOOGLETRANSLATE(English!D1672, ""en"", ""bg"")"),"видове енергия")</f>
        <v>видове енергия</v>
      </c>
      <c r="E1672" s="1" t="str">
        <f ca="1">IFERROR(__xludf.DUMMYFUNCTION("GOOGLETRANSLATE(English!E1672, ""en"", ""bg"")"),"Какви са различните видове енергия?")</f>
        <v>Какви са различните видове енергия?</v>
      </c>
      <c r="F1672" s="1" t="str">
        <f ca="1">IFERROR(__xludf.DUMMYFUNCTION("GOOGLETRANSLATE(English!F1672,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1672" s="1" t="str">
        <f ca="1">IFERROR(__xludf.DUMMYFUNCTION("GOOGLETRANSLATE(English!G1672, ""en"", ""bg"")"),"direct_qa")</f>
        <v>direct_qa</v>
      </c>
      <c r="H1672" s="1" t="str">
        <f ca="1">IFERROR(__xludf.DUMMYFUNCTION("GOOGLETRANSLATE(English!H1672, ""en"", ""bg"")"),"заявка_за_знание")</f>
        <v>заявка_за_знание</v>
      </c>
    </row>
    <row r="1673" spans="1:8" ht="13.2" x14ac:dyDescent="0.25">
      <c r="A1673" s="1" t="str">
        <f ca="1">IFERROR(__xludf.DUMMYFUNCTION("GOOGLETRANSLATE(English!A1673, ""en"", ""bg"")"),"conv_11423")</f>
        <v>conv_11423</v>
      </c>
      <c r="B1673" s="1" t="str">
        <f ca="1">IFERROR(__xludf.DUMMYFUNCTION("GOOGLETRANSLATE(English!B1673, ""en"", ""bg"")"),"биология")</f>
        <v>биология</v>
      </c>
      <c r="C1673" s="1" t="str">
        <f ca="1">IFERROR(__xludf.DUMMYFUNCTION("GOOGLETRANSLATE(English!C1673, ""en"", ""bg"")"),"средата")</f>
        <v>средата</v>
      </c>
      <c r="D1673" s="1" t="str">
        <f ca="1">IFERROR(__xludf.DUMMYFUNCTION("GOOGLETRANSLATE(English!D1673, ""en"", ""bg"")"),"класификация")</f>
        <v>класификация</v>
      </c>
      <c r="E1673" s="1" t="str">
        <f ca="1">IFERROR(__xludf.DUMMYFUNCTION("GOOGLETRANSLATE(English!E1673, ""en"", ""bg"")"),"Имам научен въпрос. Защо класификацията е важна в биологията?")</f>
        <v>Имам научен въпрос. Защо класификацията е важна в биологията?</v>
      </c>
      <c r="F1673" s="1" t="str">
        <f ca="1">IFERROR(__xludf.DUMMYFUNCTION("GOOGLETRANSLATE(English!F1673,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1673" s="1" t="str">
        <f ca="1">IFERROR(__xludf.DUMMYFUNCTION("GOOGLETRANSLATE(English!G1673, ""en"", ""bg"")"),"разговор")</f>
        <v>разговор</v>
      </c>
      <c r="H1673" s="1" t="str">
        <f ca="1">IFERROR(__xludf.DUMMYFUNCTION("GOOGLETRANSLATE(English!H1673, ""en"", ""bg"")"),"образователна_помощ")</f>
        <v>образователна_помощ</v>
      </c>
    </row>
    <row r="1674" spans="1:8" ht="13.2" x14ac:dyDescent="0.25">
      <c r="A1674" s="1" t="str">
        <f ca="1">IFERROR(__xludf.DUMMYFUNCTION("GOOGLETRANSLATE(English!A1674, ""en"", ""bg"")"),"conv_17063")</f>
        <v>conv_17063</v>
      </c>
      <c r="B1674" s="1" t="str">
        <f ca="1">IFERROR(__xludf.DUMMYFUNCTION("GOOGLETRANSLATE(English!B1674, ""en"", ""bg"")"),"химия")</f>
        <v>химия</v>
      </c>
      <c r="C1674" s="1" t="str">
        <f ca="1">IFERROR(__xludf.DUMMYFUNCTION("GOOGLETRANSLATE(English!C1674, ""en"", ""bg"")"),"елементарен")</f>
        <v>елементарен</v>
      </c>
      <c r="D1674" s="1" t="str">
        <f ca="1">IFERROR(__xludf.DUMMYFUNCTION("GOOGLETRANSLATE(English!D1674, ""en"", ""bg"")"),"безопасност")</f>
        <v>безопасност</v>
      </c>
      <c r="E1674" s="1" t="str">
        <f ca="1">IFERROR(__xludf.DUMMYFUNCTION("GOOGLETRANSLATE(English!E1674, ""en"", ""bg"")"),"Имам нужда от помощ с домашното. Какво е безопасността?")</f>
        <v>Имам нужда от помощ с домашното. Какво е безопасността?</v>
      </c>
      <c r="F1674" s="1" t="str">
        <f ca="1">IFERROR(__xludf.DUMMYFUNCTION("GOOGLETRANSLATE(English!F1674,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1674" s="1" t="str">
        <f ca="1">IFERROR(__xludf.DUMMYFUNCTION("GOOGLETRANSLATE(English!G1674, ""en"", ""bg"")"),"разговор")</f>
        <v>разговор</v>
      </c>
      <c r="H1674" s="1" t="str">
        <f ca="1">IFERROR(__xludf.DUMMYFUNCTION("GOOGLETRANSLATE(English!H1674, ""en"", ""bg"")"),"образователна_помощ")</f>
        <v>образователна_помощ</v>
      </c>
    </row>
    <row r="1675" spans="1:8" ht="13.2" x14ac:dyDescent="0.25">
      <c r="A1675" s="1" t="str">
        <f ca="1">IFERROR(__xludf.DUMMYFUNCTION("GOOGLETRANSLATE(English!A1675, ""en"", ""bg"")"),"hw_05136")</f>
        <v>hw_05136</v>
      </c>
      <c r="B1675" s="1" t="str">
        <f ca="1">IFERROR(__xludf.DUMMYFUNCTION("GOOGLETRANSLATE(English!B1675, ""en"", ""bg"")"),"химия")</f>
        <v>химия</v>
      </c>
      <c r="C1675" s="1" t="str">
        <f ca="1">IFERROR(__xludf.DUMMYFUNCTION("GOOGLETRANSLATE(English!C1675, ""en"", ""bg"")"),"високо")</f>
        <v>високо</v>
      </c>
      <c r="D1675" s="1" t="str">
        <f ca="1">IFERROR(__xludf.DUMMYFUNCTION("GOOGLETRANSLATE(English!D1675, ""en"", ""bg"")"),"равновесие")</f>
        <v>равновесие</v>
      </c>
      <c r="E1675" s="1" t="str">
        <f ca="1">IFERROR(__xludf.DUMMYFUNCTION("GOOGLETRANSLATE(English!E1675, ""en"", ""bg"")"),"Не разбирам тази концепция за равновесие. Моля, обяснете!")</f>
        <v>Не разбирам тази концепция за равновесие. Моля, обяснете!</v>
      </c>
      <c r="F1675" s="1" t="str">
        <f ca="1">IFERROR(__xludf.DUMMYFUNCTION("GOOGLETRANSLATE(English!F1675,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675" s="1" t="str">
        <f ca="1">IFERROR(__xludf.DUMMYFUNCTION("GOOGLETRANSLATE(English!G1675, ""en"", ""bg"")"),"помощ_за_домашно_изпълнение")</f>
        <v>помощ_за_домашно_изпълнение</v>
      </c>
      <c r="H1675" s="1" t="str">
        <f ca="1">IFERROR(__xludf.DUMMYFUNCTION("GOOGLETRANSLATE(English!H1675, ""en"", ""bg"")"),"помощ_за_домашно_задаване")</f>
        <v>помощ_за_домашно_задаване</v>
      </c>
    </row>
    <row r="1676" spans="1:8" ht="13.2" x14ac:dyDescent="0.25">
      <c r="A1676" s="1" t="str">
        <f ca="1">IFERROR(__xludf.DUMMYFUNCTION("GOOGLETRANSLATE(English!A1676, ""en"", ""bg"")"),"hw_07001")</f>
        <v>hw_07001</v>
      </c>
      <c r="B1676" s="1" t="str">
        <f ca="1">IFERROR(__xludf.DUMMYFUNCTION("GOOGLETRANSLATE(English!B1676, ""en"", ""bg"")"),"биология")</f>
        <v>биология</v>
      </c>
      <c r="C1676" s="1" t="str">
        <f ca="1">IFERROR(__xludf.DUMMYFUNCTION("GOOGLETRANSLATE(English!C1676, ""en"", ""bg"")"),"средата")</f>
        <v>средата</v>
      </c>
      <c r="D1676" s="1" t="str">
        <f ca="1">IFERROR(__xludf.DUMMYFUNCTION("GOOGLETRANSLATE(English!D1676, ""en"", ""bg"")"),"основи на еволюцията")</f>
        <v>основи на еволюцията</v>
      </c>
      <c r="E1676" s="1" t="str">
        <f ca="1">IFERROR(__xludf.DUMMYFUNCTION("GOOGLETRANSLATE(English!E1676, ""en"", ""bg"")"),"Утре имам тест по основи на еволюцията. Помогни ми да уча!")</f>
        <v>Утре имам тест по основи на еволюцията. Помогни ми да уча!</v>
      </c>
      <c r="F1676" s="1" t="str">
        <f ca="1">IFERROR(__xludf.DUMMYFUNCTION("GOOGLETRANSLATE(English!F1676,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1676" s="1" t="str">
        <f ca="1">IFERROR(__xludf.DUMMYFUNCTION("GOOGLETRANSLATE(English!G1676, ""en"", ""bg"")"),"помощ_за_домашно_изпълнение")</f>
        <v>помощ_за_домашно_изпълнение</v>
      </c>
      <c r="H1676" s="1" t="str">
        <f ca="1">IFERROR(__xludf.DUMMYFUNCTION("GOOGLETRANSLATE(English!H1676, ""en"", ""bg"")"),"помощ_за_домашно_задаване")</f>
        <v>помощ_за_домашно_задаване</v>
      </c>
    </row>
    <row r="1677" spans="1:8" ht="13.2" x14ac:dyDescent="0.25">
      <c r="A1677" s="1" t="str">
        <f ca="1">IFERROR(__xludf.DUMMYFUNCTION("GOOGLETRANSLATE(English!A1677, ""en"", ""bg"")"),"hw_00573")</f>
        <v>hw_00573</v>
      </c>
      <c r="B1677" s="1" t="str">
        <f ca="1">IFERROR(__xludf.DUMMYFUNCTION("GOOGLETRANSLATE(English!B1677, ""en"", ""bg"")"),"химия")</f>
        <v>химия</v>
      </c>
      <c r="C1677" s="1" t="str">
        <f ca="1">IFERROR(__xludf.DUMMYFUNCTION("GOOGLETRANSLATE(English!C1677, ""en"", ""bg"")"),"средата")</f>
        <v>средата</v>
      </c>
      <c r="D1677" s="1" t="str">
        <f ca="1">IFERROR(__xludf.DUMMYFUNCTION("GOOGLETRANSLATE(English!D1677, ""en"", ""bg"")"),"атоми и молекули")</f>
        <v>атоми и молекули</v>
      </c>
      <c r="E1677" s="1" t="str">
        <f ca="1">IFERROR(__xludf.DUMMYFUNCTION("GOOGLETRANSLATE(English!E1677, ""en"", ""bg"")"),"Затруднявам се с атомите и молекулите в домашното си.")</f>
        <v>Затруднявам се с атомите и молекулите в домашното си.</v>
      </c>
      <c r="F1677" s="1" t="str">
        <f ca="1">IFERROR(__xludf.DUMMYFUNCTION("GOOGLETRANSLATE(English!F1677,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1677" s="1" t="str">
        <f ca="1">IFERROR(__xludf.DUMMYFUNCTION("GOOGLETRANSLATE(English!G1677, ""en"", ""bg"")"),"помощ_за_домашно_изпълнение")</f>
        <v>помощ_за_домашно_изпълнение</v>
      </c>
      <c r="H1677" s="1" t="str">
        <f ca="1">IFERROR(__xludf.DUMMYFUNCTION("GOOGLETRANSLATE(English!H1677, ""en"", ""bg"")"),"помощ_за_домашно_задаване")</f>
        <v>помощ_за_домашно_задаване</v>
      </c>
    </row>
    <row r="1678" spans="1:8" ht="13.2" x14ac:dyDescent="0.25">
      <c r="A1678" s="1" t="str">
        <f ca="1">IFERROR(__xludf.DUMMYFUNCTION("GOOGLETRANSLATE(English!A1678, ""en"", ""bg"")"),"hw_08507")</f>
        <v>hw_08507</v>
      </c>
      <c r="B1678" s="1" t="str">
        <f ca="1">IFERROR(__xludf.DUMMYFUNCTION("GOOGLETRANSLATE(English!B1678, ""en"", ""bg"")"),"биология")</f>
        <v>биология</v>
      </c>
      <c r="C1678" s="1" t="str">
        <f ca="1">IFERROR(__xludf.DUMMYFUNCTION("GOOGLETRANSLATE(English!C1678, ""en"", ""bg"")"),"средата")</f>
        <v>средата</v>
      </c>
      <c r="D1678" s="1" t="str">
        <f ca="1">IFERROR(__xludf.DUMMYFUNCTION("GOOGLETRANSLATE(English!D1678, ""en"", ""bg"")"),"основи на еволюцията")</f>
        <v>основи на еволюцията</v>
      </c>
      <c r="E1678" s="1" t="str">
        <f ca="1">IFERROR(__xludf.DUMMYFUNCTION("GOOGLETRANSLATE(English!E1678, ""en"", ""bg"")"),"Трябва да напиша доклад за основите на еволюцията. Можете ли да ми помогнете да започна?")</f>
        <v>Трябва да напиша доклад за основите на еволюцията. Можете ли да ми помогнете да започна?</v>
      </c>
      <c r="F1678" s="1" t="str">
        <f ca="1">IFERROR(__xludf.DUMMYFUNCTION("GOOGLETRANSLATE(English!F1678,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1678" s="1" t="str">
        <f ca="1">IFERROR(__xludf.DUMMYFUNCTION("GOOGLETRANSLATE(English!G1678, ""en"", ""bg"")"),"помощ_за_домашно_изпълнение")</f>
        <v>помощ_за_домашно_изпълнение</v>
      </c>
      <c r="H1678" s="1" t="str">
        <f ca="1">IFERROR(__xludf.DUMMYFUNCTION("GOOGLETRANSLATE(English!H1678, ""en"", ""bg"")"),"помощ_за_домашно_задаване")</f>
        <v>помощ_за_домашно_задаване</v>
      </c>
    </row>
    <row r="1679" spans="1:8" ht="13.2" x14ac:dyDescent="0.25">
      <c r="A1679" s="1" t="str">
        <f ca="1">IFERROR(__xludf.DUMMYFUNCTION("GOOGLETRANSLATE(English!A1679, ""en"", ""bg"")"),"qa_11463")</f>
        <v>qa_11463</v>
      </c>
      <c r="B1679" s="1" t="str">
        <f ca="1">IFERROR(__xludf.DUMMYFUNCTION("GOOGLETRANSLATE(English!B1679, ""en"", ""bg"")"),"химия")</f>
        <v>химия</v>
      </c>
      <c r="C1679" s="1" t="str">
        <f ca="1">IFERROR(__xludf.DUMMYFUNCTION("GOOGLETRANSLATE(English!C1679, ""en"", ""bg"")"),"елементарен")</f>
        <v>елементарен</v>
      </c>
      <c r="D1679" s="1" t="str">
        <f ca="1">IFERROR(__xludf.DUMMYFUNCTION("GOOGLETRANSLATE(English!D1679, ""en"", ""bg"")"),"промени в материалите")</f>
        <v>промени в материалите</v>
      </c>
      <c r="E1679" s="1" t="str">
        <f ca="1">IFERROR(__xludf.DUMMYFUNCTION("GOOGLETRANSLATE(English!E1679, ""en"", ""bg"")"),"Защо е важно да се изучават промените в материалите?")</f>
        <v>Защо е важно да се изучават промените в материалите?</v>
      </c>
      <c r="F1679" s="1" t="str">
        <f ca="1">IFERROR(__xludf.DUMMYFUNCTION("GOOGLETRANSLATE(English!F1679,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1679" s="1" t="str">
        <f ca="1">IFERROR(__xludf.DUMMYFUNCTION("GOOGLETRANSLATE(English!G1679, ""en"", ""bg"")"),"direct_qa")</f>
        <v>direct_qa</v>
      </c>
      <c r="H1679" s="1" t="str">
        <f ca="1">IFERROR(__xludf.DUMMYFUNCTION("GOOGLETRANSLATE(English!H1679, ""en"", ""bg"")"),"заявка_за_знание")</f>
        <v>заявка_за_знание</v>
      </c>
    </row>
    <row r="1680" spans="1:8" ht="13.2" x14ac:dyDescent="0.25">
      <c r="A1680" s="1" t="str">
        <f ca="1">IFERROR(__xludf.DUMMYFUNCTION("GOOGLETRANSLATE(English!A1680, ""en"", ""bg"")"),"conv_13022")</f>
        <v>conv_13022</v>
      </c>
      <c r="B1680" s="1" t="str">
        <f ca="1">IFERROR(__xludf.DUMMYFUNCTION("GOOGLETRANSLATE(English!B1680, ""en"", ""bg"")"),"физика")</f>
        <v>физика</v>
      </c>
      <c r="C1680" s="1" t="str">
        <f ca="1">IFERROR(__xludf.DUMMYFUNCTION("GOOGLETRANSLATE(English!C1680, ""en"", ""bg"")"),"елементарен")</f>
        <v>елементарен</v>
      </c>
      <c r="D1680" s="1" t="str">
        <f ca="1">IFERROR(__xludf.DUMMYFUNCTION("GOOGLETRANSLATE(English!D1680, ""en"", ""bg"")"),"горещо и студено")</f>
        <v>горещо и студено</v>
      </c>
      <c r="E1680" s="1" t="str">
        <f ca="1">IFERROR(__xludf.DUMMYFUNCTION("GOOGLETRANSLATE(English!E1680, ""en"", ""bg"")"),"Имам научен въпрос. Как работят топлото и студеното във физиката?")</f>
        <v>Имам научен въпрос. Как работят топлото и студеното във физиката?</v>
      </c>
      <c r="F1680" s="1" t="str">
        <f ca="1">IFERROR(__xludf.DUMMYFUNCTION("GOOGLETRANSLATE(English!F1680,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680" s="1" t="str">
        <f ca="1">IFERROR(__xludf.DUMMYFUNCTION("GOOGLETRANSLATE(English!G1680, ""en"", ""bg"")"),"разговор")</f>
        <v>разговор</v>
      </c>
      <c r="H1680" s="1" t="str">
        <f ca="1">IFERROR(__xludf.DUMMYFUNCTION("GOOGLETRANSLATE(English!H1680, ""en"", ""bg"")"),"образователна_помощ")</f>
        <v>образователна_помощ</v>
      </c>
    </row>
    <row r="1681" spans="1:8" ht="13.2" x14ac:dyDescent="0.25">
      <c r="A1681" s="1" t="str">
        <f ca="1">IFERROR(__xludf.DUMMYFUNCTION("GOOGLETRANSLATE(English!A1681, ""en"", ""bg"")"),"hw_00175")</f>
        <v>hw_00175</v>
      </c>
      <c r="B1681" s="1" t="str">
        <f ca="1">IFERROR(__xludf.DUMMYFUNCTION("GOOGLETRANSLATE(English!B1681, ""en"", ""bg"")"),"химия")</f>
        <v>химия</v>
      </c>
      <c r="C1681" s="1" t="str">
        <f ca="1">IFERROR(__xludf.DUMMYFUNCTION("GOOGLETRANSLATE(English!C1681, ""en"", ""bg"")"),"средата")</f>
        <v>средата</v>
      </c>
      <c r="D1681" s="1" t="str">
        <f ca="1">IFERROR(__xludf.DUMMYFUNCTION("GOOGLETRANSLATE(English!D1681, ""en"", ""bg"")"),"киселини и основи")</f>
        <v>киселини и основи</v>
      </c>
      <c r="E1681" s="1" t="str">
        <f ca="1">IFERROR(__xludf.DUMMYFUNCTION("GOOGLETRANSLATE(English!E1681, ""en"", ""bg"")"),"Не разбирам тази концепция за киселини и основи. Моля, обяснете!")</f>
        <v>Не разбирам тази концепция за киселини и основи. Моля, обяснете!</v>
      </c>
      <c r="F1681" s="1" t="str">
        <f ca="1">IFERROR(__xludf.DUMMYFUNCTION("GOOGLETRANSLATE(English!F1681,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1681" s="1" t="str">
        <f ca="1">IFERROR(__xludf.DUMMYFUNCTION("GOOGLETRANSLATE(English!G1681, ""en"", ""bg"")"),"помощ_за_домашно_изпълнение")</f>
        <v>помощ_за_домашно_изпълнение</v>
      </c>
      <c r="H1681" s="1" t="str">
        <f ca="1">IFERROR(__xludf.DUMMYFUNCTION("GOOGLETRANSLATE(English!H1681, ""en"", ""bg"")"),"помощ_за_домашно_задаване")</f>
        <v>помощ_за_домашно_задаване</v>
      </c>
    </row>
    <row r="1682" spans="1:8" ht="13.2" x14ac:dyDescent="0.25">
      <c r="A1682" s="1" t="str">
        <f ca="1">IFERROR(__xludf.DUMMYFUNCTION("GOOGLETRANSLATE(English!A1682, ""en"", ""bg"")"),"qa_02509")</f>
        <v>qa_02509</v>
      </c>
      <c r="B1682" s="1" t="str">
        <f ca="1">IFERROR(__xludf.DUMMYFUNCTION("GOOGLETRANSLATE(English!B1682, ""en"", ""bg"")"),"биология")</f>
        <v>биология</v>
      </c>
      <c r="C1682" s="1" t="str">
        <f ca="1">IFERROR(__xludf.DUMMYFUNCTION("GOOGLETRANSLATE(English!C1682, ""en"", ""bg"")"),"средата")</f>
        <v>средата</v>
      </c>
      <c r="D1682" s="1" t="str">
        <f ca="1">IFERROR(__xludf.DUMMYFUNCTION("GOOGLETRANSLATE(English!D1682, ""en"", ""bg"")"),"размножаване")</f>
        <v>размножаване</v>
      </c>
      <c r="E1682" s="1" t="str">
        <f ca="1">IFERROR(__xludf.DUMMYFUNCTION("GOOGLETRANSLATE(English!E1682, ""en"", ""bg"")"),"Защо размножаването е важно в биологията?")</f>
        <v>Защо размножаването е важно в биологията?</v>
      </c>
      <c r="F1682" s="1" t="str">
        <f ca="1">IFERROR(__xludf.DUMMYFUNCTION("GOOGLETRANSLATE(English!F1682,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1682" s="1" t="str">
        <f ca="1">IFERROR(__xludf.DUMMYFUNCTION("GOOGLETRANSLATE(English!G1682, ""en"", ""bg"")"),"direct_qa")</f>
        <v>direct_qa</v>
      </c>
      <c r="H1682" s="1" t="str">
        <f ca="1">IFERROR(__xludf.DUMMYFUNCTION("GOOGLETRANSLATE(English!H1682, ""en"", ""bg"")"),"заявка_за_знание")</f>
        <v>заявка_за_знание</v>
      </c>
    </row>
    <row r="1683" spans="1:8" ht="13.2" x14ac:dyDescent="0.25">
      <c r="A1683" s="1" t="str">
        <f ca="1">IFERROR(__xludf.DUMMYFUNCTION("GOOGLETRANSLATE(English!A1683, ""en"", ""bg"")"),"conv_03603")</f>
        <v>conv_03603</v>
      </c>
      <c r="B1683" s="1" t="str">
        <f ca="1">IFERROR(__xludf.DUMMYFUNCTION("GOOGLETRANSLATE(English!B1683, ""en"", ""bg"")"),"физика")</f>
        <v>физика</v>
      </c>
      <c r="C1683" s="1" t="str">
        <f ca="1">IFERROR(__xludf.DUMMYFUNCTION("GOOGLETRANSLATE(English!C1683, ""en"", ""bg"")"),"високо")</f>
        <v>високо</v>
      </c>
      <c r="D1683" s="1" t="str">
        <f ca="1">IFERROR(__xludf.DUMMYFUNCTION("GOOGLETRANSLATE(English!D1683, ""en"", ""bg"")"),"атомна структура")</f>
        <v>атомна структура</v>
      </c>
      <c r="E1683" s="1" t="str">
        <f ca="1">IFERROR(__xludf.DUMMYFUNCTION("GOOGLETRANSLATE(English!E1683, ""en"", ""bg"")"),"Можете ли да ми обясните това? Можете ли да ми обясните атомната структура?")</f>
        <v>Можете ли да ми обясните това? Можете ли да ми обясните атомната структура?</v>
      </c>
      <c r="F1683" s="1" t="str">
        <f ca="1">IFERROR(__xludf.DUMMYFUNCTION("GOOGLETRANSLATE(English!F1683,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1683" s="1" t="str">
        <f ca="1">IFERROR(__xludf.DUMMYFUNCTION("GOOGLETRANSLATE(English!G1683, ""en"", ""bg"")"),"разговор")</f>
        <v>разговор</v>
      </c>
      <c r="H1683" s="1" t="str">
        <f ca="1">IFERROR(__xludf.DUMMYFUNCTION("GOOGLETRANSLATE(English!H1683, ""en"", ""bg"")"),"образователна_помощ")</f>
        <v>образователна_помощ</v>
      </c>
    </row>
    <row r="1684" spans="1:8" ht="13.2" x14ac:dyDescent="0.25">
      <c r="A1684" s="1" t="str">
        <f ca="1">IFERROR(__xludf.DUMMYFUNCTION("GOOGLETRANSLATE(English!A1684, ""en"", ""bg"")"),"hw_06815")</f>
        <v>hw_06815</v>
      </c>
      <c r="B1684" s="1" t="str">
        <f ca="1">IFERROR(__xludf.DUMMYFUNCTION("GOOGLETRANSLATE(English!B1684, ""en"", ""bg"")"),"биология")</f>
        <v>биология</v>
      </c>
      <c r="C1684" s="1" t="str">
        <f ca="1">IFERROR(__xludf.DUMMYFUNCTION("GOOGLETRANSLATE(English!C1684, ""en"", ""bg"")"),"средата")</f>
        <v>средата</v>
      </c>
      <c r="D1684" s="1" t="str">
        <f ca="1">IFERROR(__xludf.DUMMYFUNCTION("GOOGLETRANSLATE(English!D1684, ""en"", ""bg"")"),"основи на еволюцията")</f>
        <v>основи на еволюцията</v>
      </c>
      <c r="E1684" s="1" t="str">
        <f ca="1">IFERROR(__xludf.DUMMYFUNCTION("GOOGLETRANSLATE(English!E1684, ""en"", ""bg"")"),"Можете ли да обясните основите на еволюцията за моя научен проект?")</f>
        <v>Можете ли да обясните основите на еволюцията за моя научен проект?</v>
      </c>
      <c r="F1684" s="1" t="str">
        <f ca="1">IFERROR(__xludf.DUMMYFUNCTION("GOOGLETRANSLATE(English!F1684,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1684" s="1" t="str">
        <f ca="1">IFERROR(__xludf.DUMMYFUNCTION("GOOGLETRANSLATE(English!G1684, ""en"", ""bg"")"),"помощ_за_домашно_изпълнение")</f>
        <v>помощ_за_домашно_изпълнение</v>
      </c>
      <c r="H1684" s="1" t="str">
        <f ca="1">IFERROR(__xludf.DUMMYFUNCTION("GOOGLETRANSLATE(English!H1684, ""en"", ""bg"")"),"помощ_за_домашно_задаване")</f>
        <v>помощ_за_домашно_задаване</v>
      </c>
    </row>
    <row r="1685" spans="1:8" ht="13.2" x14ac:dyDescent="0.25">
      <c r="A1685" s="1" t="str">
        <f ca="1">IFERROR(__xludf.DUMMYFUNCTION("GOOGLETRANSLATE(English!A1685, ""en"", ""bg"")"),"conv_07195")</f>
        <v>conv_07195</v>
      </c>
      <c r="B1685" s="1" t="str">
        <f ca="1">IFERROR(__xludf.DUMMYFUNCTION("GOOGLETRANSLATE(English!B1685, ""en"", ""bg"")"),"биология")</f>
        <v>биология</v>
      </c>
      <c r="C1685" s="1" t="str">
        <f ca="1">IFERROR(__xludf.DUMMYFUNCTION("GOOGLETRANSLATE(English!C1685, ""en"", ""bg"")"),"елементарен")</f>
        <v>елементарен</v>
      </c>
      <c r="D1685" s="1" t="str">
        <f ca="1">IFERROR(__xludf.DUMMYFUNCTION("GOOGLETRANSLATE(English!D1685, ""en"", ""bg"")"),"сетива")</f>
        <v>сетива</v>
      </c>
      <c r="E1685" s="1" t="str">
        <f ca="1">IFERROR(__xludf.DUMMYFUNCTION("GOOGLETRANSLATE(English!E1685, ""en"", ""bg"")"),"Имам научен въпрос. Какво е важно да знаем за сетивата?")</f>
        <v>Имам научен въпрос. Какво е важно да знаем за сетивата?</v>
      </c>
      <c r="F1685" s="1" t="str">
        <f ca="1">IFERROR(__xludf.DUMMYFUNCTION("GOOGLETRANSLATE(English!F1685,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1685" s="1" t="str">
        <f ca="1">IFERROR(__xludf.DUMMYFUNCTION("GOOGLETRANSLATE(English!G1685, ""en"", ""bg"")"),"разговор")</f>
        <v>разговор</v>
      </c>
      <c r="H1685" s="1" t="str">
        <f ca="1">IFERROR(__xludf.DUMMYFUNCTION("GOOGLETRANSLATE(English!H1685, ""en"", ""bg"")"),"образователна_помощ")</f>
        <v>образователна_помощ</v>
      </c>
    </row>
    <row r="1686" spans="1:8" ht="13.2" x14ac:dyDescent="0.25">
      <c r="A1686" s="1" t="str">
        <f ca="1">IFERROR(__xludf.DUMMYFUNCTION("GOOGLETRANSLATE(English!A1686, ""en"", ""bg"")"),"conv_12587")</f>
        <v>conv_12587</v>
      </c>
      <c r="B1686" s="1" t="str">
        <f ca="1">IFERROR(__xludf.DUMMYFUNCTION("GOOGLETRANSLATE(English!B1686, ""en"", ""bg"")"),"биология")</f>
        <v>биология</v>
      </c>
      <c r="C1686" s="1" t="str">
        <f ca="1">IFERROR(__xludf.DUMMYFUNCTION("GOOGLETRANSLATE(English!C1686, ""en"", ""bg"")"),"елементарен")</f>
        <v>елементарен</v>
      </c>
      <c r="D1686" s="1" t="str">
        <f ca="1">IFERROR(__xludf.DUMMYFUNCTION("GOOGLETRANSLATE(English!D1686, ""en"", ""bg"")"),"растения")</f>
        <v>растения</v>
      </c>
      <c r="E1686" s="1" t="str">
        <f ca="1">IFERROR(__xludf.DUMMYFUNCTION("GOOGLETRANSLATE(English!E1686, ""en"", ""bg"")"),"Помогнете ми да уча за теста си. Как семената пътуват до нови места?")</f>
        <v>Помогнете ми да уча за теста си. Как семената пътуват до нови места?</v>
      </c>
      <c r="F1686" s="1" t="str">
        <f ca="1">IFERROR(__xludf.DUMMYFUNCTION("GOOGLETRANSLATE(English!F1686,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1686" s="1" t="str">
        <f ca="1">IFERROR(__xludf.DUMMYFUNCTION("GOOGLETRANSLATE(English!G1686, ""en"", ""bg"")"),"разговор")</f>
        <v>разговор</v>
      </c>
      <c r="H1686" s="1" t="str">
        <f ca="1">IFERROR(__xludf.DUMMYFUNCTION("GOOGLETRANSLATE(English!H1686, ""en"", ""bg"")"),"образователна_помощ")</f>
        <v>образователна_помощ</v>
      </c>
    </row>
    <row r="1687" spans="1:8" ht="13.2" x14ac:dyDescent="0.25">
      <c r="A1687" s="1" t="str">
        <f ca="1">IFERROR(__xludf.DUMMYFUNCTION("GOOGLETRANSLATE(English!A1687, ""en"", ""bg"")"),"qa_08123")</f>
        <v>qa_08123</v>
      </c>
      <c r="B1687" s="1" t="str">
        <f ca="1">IFERROR(__xludf.DUMMYFUNCTION("GOOGLETRANSLATE(English!B1687, ""en"", ""bg"")"),"биология")</f>
        <v>биология</v>
      </c>
      <c r="C1687" s="1" t="str">
        <f ca="1">IFERROR(__xludf.DUMMYFUNCTION("GOOGLETRANSLATE(English!C1687, ""en"", ""bg"")"),"високо")</f>
        <v>високо</v>
      </c>
      <c r="D1687" s="1" t="str">
        <f ca="1">IFERROR(__xludf.DUMMYFUNCTION("GOOGLETRANSLATE(English!D1687, ""en"", ""bg"")"),"Структура на ДНК")</f>
        <v>Структура на ДНК</v>
      </c>
      <c r="E1687" s="1" t="str">
        <f ca="1">IFERROR(__xludf.DUMMYFUNCTION("GOOGLETRANSLATE(English!E1687, ""en"", ""bg"")"),"Какво е важно да знаем за структурата на ДНК?")</f>
        <v>Какво е важно да знаем за структурата на ДНК?</v>
      </c>
      <c r="F1687" s="1" t="str">
        <f ca="1">IFERROR(__xludf.DUMMYFUNCTION("GOOGLETRANSLATE(English!F1687,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1687" s="1" t="str">
        <f ca="1">IFERROR(__xludf.DUMMYFUNCTION("GOOGLETRANSLATE(English!G1687, ""en"", ""bg"")"),"direct_qa")</f>
        <v>direct_qa</v>
      </c>
      <c r="H1687" s="1" t="str">
        <f ca="1">IFERROR(__xludf.DUMMYFUNCTION("GOOGLETRANSLATE(English!H1687, ""en"", ""bg"")"),"заявка_за_знание")</f>
        <v>заявка_за_знание</v>
      </c>
    </row>
    <row r="1688" spans="1:8" ht="13.2" x14ac:dyDescent="0.25">
      <c r="A1688" s="1" t="str">
        <f ca="1">IFERROR(__xludf.DUMMYFUNCTION("GOOGLETRANSLATE(English!A1688, ""en"", ""bg"")"),"qa_05441")</f>
        <v>qa_05441</v>
      </c>
      <c r="B1688" s="1" t="str">
        <f ca="1">IFERROR(__xludf.DUMMYFUNCTION("GOOGLETRANSLATE(English!B1688, ""en"", ""bg"")"),"физика")</f>
        <v>физика</v>
      </c>
      <c r="C1688" s="1" t="str">
        <f ca="1">IFERROR(__xludf.DUMMYFUNCTION("GOOGLETRANSLATE(English!C1688, ""en"", ""bg"")"),"високо")</f>
        <v>високо</v>
      </c>
      <c r="D1688" s="1" t="str">
        <f ca="1">IFERROR(__xludf.DUMMYFUNCTION("GOOGLETRANSLATE(English!D1688, ""en"", ""bg"")"),"механика")</f>
        <v>механика</v>
      </c>
      <c r="E1688" s="1" t="str">
        <f ca="1">IFERROR(__xludf.DUMMYFUNCTION("GOOGLETRANSLATE(English!E1688, ""en"", ""bg"")"),"Можете ли да ми обясните механиката?")</f>
        <v>Можете ли да ми обясните механиката?</v>
      </c>
      <c r="F1688" s="1" t="str">
        <f ca="1">IFERROR(__xludf.DUMMYFUNCTION("GOOGLETRANSLATE(English!F1688,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1688" s="1" t="str">
        <f ca="1">IFERROR(__xludf.DUMMYFUNCTION("GOOGLETRANSLATE(English!G1688, ""en"", ""bg"")"),"direct_qa")</f>
        <v>direct_qa</v>
      </c>
      <c r="H1688" s="1" t="str">
        <f ca="1">IFERROR(__xludf.DUMMYFUNCTION("GOOGLETRANSLATE(English!H1688, ""en"", ""bg"")"),"заявка_за_знание")</f>
        <v>заявка_за_знание</v>
      </c>
    </row>
    <row r="1689" spans="1:8" ht="13.2" x14ac:dyDescent="0.25">
      <c r="A1689" s="1" t="str">
        <f ca="1">IFERROR(__xludf.DUMMYFUNCTION("GOOGLETRANSLATE(English!A1689, ""en"", ""bg"")"),"conv_18805")</f>
        <v>conv_18805</v>
      </c>
      <c r="B1689" s="1" t="str">
        <f ca="1">IFERROR(__xludf.DUMMYFUNCTION("GOOGLETRANSLATE(English!B1689, ""en"", ""bg"")"),"биология")</f>
        <v>биология</v>
      </c>
      <c r="C1689" s="1" t="str">
        <f ca="1">IFERROR(__xludf.DUMMYFUNCTION("GOOGLETRANSLATE(English!C1689, ""en"", ""bg"")"),"високо")</f>
        <v>високо</v>
      </c>
      <c r="D1689" s="1" t="str">
        <f ca="1">IFERROR(__xludf.DUMMYFUNCTION("GOOGLETRANSLATE(English!D1689, ""en"", ""bg"")"),"модели на наследяване")</f>
        <v>модели на наследяване</v>
      </c>
      <c r="E1689" s="1" t="str">
        <f ca="1">IFERROR(__xludf.DUMMYFUNCTION("GOOGLETRANSLATE(English!E1689, ""en"", ""bg"")"),"Можете ли да ми помогнете? Как работят моделите на наследяване?")</f>
        <v>Можете ли да ми помогнете? Как работят моделите на наследяване?</v>
      </c>
      <c r="F1689" s="1" t="str">
        <f ca="1">IFERROR(__xludf.DUMMYFUNCTION("GOOGLETRANSLATE(English!F1689,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1689" s="1" t="str">
        <f ca="1">IFERROR(__xludf.DUMMYFUNCTION("GOOGLETRANSLATE(English!G1689, ""en"", ""bg"")"),"разговор")</f>
        <v>разговор</v>
      </c>
      <c r="H1689" s="1" t="str">
        <f ca="1">IFERROR(__xludf.DUMMYFUNCTION("GOOGLETRANSLATE(English!H1689, ""en"", ""bg"")"),"образователна_помощ")</f>
        <v>образователна_помощ</v>
      </c>
    </row>
    <row r="1690" spans="1:8" ht="13.2" x14ac:dyDescent="0.25">
      <c r="A1690" s="1" t="str">
        <f ca="1">IFERROR(__xludf.DUMMYFUNCTION("GOOGLETRANSLATE(English!A1690, ""en"", ""bg"")"),"hw_11988")</f>
        <v>hw_11988</v>
      </c>
      <c r="B1690" s="1" t="str">
        <f ca="1">IFERROR(__xludf.DUMMYFUNCTION("GOOGLETRANSLATE(English!B1690, ""en"", ""bg"")"),"физика")</f>
        <v>физика</v>
      </c>
      <c r="C1690" s="1" t="str">
        <f ca="1">IFERROR(__xludf.DUMMYFUNCTION("GOOGLETRANSLATE(English!C1690, ""en"", ""bg"")"),"елементарен")</f>
        <v>елементарен</v>
      </c>
      <c r="D1690" s="1" t="str">
        <f ca="1">IFERROR(__xludf.DUMMYFUNCTION("GOOGLETRANSLATE(English!D1690, ""en"", ""bg"")"),"светлина и сянка")</f>
        <v>светлина и сянка</v>
      </c>
      <c r="E1690" s="1" t="str">
        <f ca="1">IFERROR(__xludf.DUMMYFUNCTION("GOOGLETRANSLATE(English!E1690, ""en"", ""bg"")"),"Трябва да разбера светлината и сянката за изпита си.")</f>
        <v>Трябва да разбера светлината и сянката за изпита си.</v>
      </c>
      <c r="F1690" s="1" t="str">
        <f ca="1">IFERROR(__xludf.DUMMYFUNCTION("GOOGLETRANSLATE(English!F1690,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1690" s="1" t="str">
        <f ca="1">IFERROR(__xludf.DUMMYFUNCTION("GOOGLETRANSLATE(English!G1690, ""en"", ""bg"")"),"помощ_за_домашно_изпълнение")</f>
        <v>помощ_за_домашно_изпълнение</v>
      </c>
      <c r="H1690" s="1" t="str">
        <f ca="1">IFERROR(__xludf.DUMMYFUNCTION("GOOGLETRANSLATE(English!H1690, ""en"", ""bg"")"),"помощ_за_домашно_задаване")</f>
        <v>помощ_за_домашно_задаване</v>
      </c>
    </row>
    <row r="1691" spans="1:8" ht="13.2" x14ac:dyDescent="0.25">
      <c r="A1691" s="1" t="str">
        <f ca="1">IFERROR(__xludf.DUMMYFUNCTION("GOOGLETRANSLATE(English!A1691, ""en"", ""bg"")"),"qa_08755")</f>
        <v>qa_08755</v>
      </c>
      <c r="B1691" s="1" t="str">
        <f ca="1">IFERROR(__xludf.DUMMYFUNCTION("GOOGLETRANSLATE(English!B1691, ""en"", ""bg"")"),"биология")</f>
        <v>биология</v>
      </c>
      <c r="C1691" s="1" t="str">
        <f ca="1">IFERROR(__xludf.DUMMYFUNCTION("GOOGLETRANSLATE(English!C1691, ""en"", ""bg"")"),"елементарен")</f>
        <v>елементарен</v>
      </c>
      <c r="D1691" s="1" t="str">
        <f ca="1">IFERROR(__xludf.DUMMYFUNCTION("GOOGLETRANSLATE(English!D1691, ""en"", ""bg"")"),"сетива")</f>
        <v>сетива</v>
      </c>
      <c r="E1691" s="1" t="str">
        <f ca="1">IFERROR(__xludf.DUMMYFUNCTION("GOOGLETRANSLATE(English!E1691, ""en"", ""bg"")"),"Защо сетивата са важни в биологията?")</f>
        <v>Защо сетивата са важни в биологията?</v>
      </c>
      <c r="F1691" s="1" t="str">
        <f ca="1">IFERROR(__xludf.DUMMYFUNCTION("GOOGLETRANSLATE(English!F1691, ""en"", ""bg"")"),"Сетивата са важни, защото ни помагат да разберем живота и как живите същества оцеляват.")</f>
        <v>Сетивата са важни, защото ни помагат да разберем живота и как живите същества оцеляват.</v>
      </c>
      <c r="G1691" s="1" t="str">
        <f ca="1">IFERROR(__xludf.DUMMYFUNCTION("GOOGLETRANSLATE(English!G1691, ""en"", ""bg"")"),"direct_qa")</f>
        <v>direct_qa</v>
      </c>
      <c r="H1691" s="1" t="str">
        <f ca="1">IFERROR(__xludf.DUMMYFUNCTION("GOOGLETRANSLATE(English!H1691, ""en"", ""bg"")"),"заявка_за_знание")</f>
        <v>заявка_за_знание</v>
      </c>
    </row>
    <row r="1692" spans="1:8" ht="13.2" x14ac:dyDescent="0.25">
      <c r="A1692" s="1" t="str">
        <f ca="1">IFERROR(__xludf.DUMMYFUNCTION("GOOGLETRANSLATE(English!A1692, ""en"", ""bg"")"),"qa_09739")</f>
        <v>qa_09739</v>
      </c>
      <c r="B1692" s="1" t="str">
        <f ca="1">IFERROR(__xludf.DUMMYFUNCTION("GOOGLETRANSLATE(English!B1692, ""en"", ""bg"")"),"биология")</f>
        <v>биология</v>
      </c>
      <c r="C1692" s="1" t="str">
        <f ca="1">IFERROR(__xludf.DUMMYFUNCTION("GOOGLETRANSLATE(English!C1692, ""en"", ""bg"")"),"високо")</f>
        <v>високо</v>
      </c>
      <c r="D1692" s="1" t="str">
        <f ca="1">IFERROR(__xludf.DUMMYFUNCTION("GOOGLETRANSLATE(English!D1692, ""en"", ""bg"")"),"клетъчно дишане")</f>
        <v>клетъчно дишане</v>
      </c>
      <c r="E1692" s="1" t="str">
        <f ca="1">IFERROR(__xludf.DUMMYFUNCTION("GOOGLETRANSLATE(English!E1692, ""en"", ""bg"")"),"Как работи клетъчното дишане?")</f>
        <v>Как работи клетъчното дишане?</v>
      </c>
      <c r="F1692" s="1" t="str">
        <f ca="1">IFERROR(__xludf.DUMMYFUNCTION("GOOGLETRANSLATE(English!F1692,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1692" s="1" t="str">
        <f ca="1">IFERROR(__xludf.DUMMYFUNCTION("GOOGLETRANSLATE(English!G1692, ""en"", ""bg"")"),"direct_qa")</f>
        <v>direct_qa</v>
      </c>
      <c r="H1692" s="1" t="str">
        <f ca="1">IFERROR(__xludf.DUMMYFUNCTION("GOOGLETRANSLATE(English!H1692, ""en"", ""bg"")"),"заявка_за_знание")</f>
        <v>заявка_за_знание</v>
      </c>
    </row>
    <row r="1693" spans="1:8" ht="13.2" x14ac:dyDescent="0.25">
      <c r="A1693" s="1" t="str">
        <f ca="1">IFERROR(__xludf.DUMMYFUNCTION("GOOGLETRANSLATE(English!A1693, ""en"", ""bg"")"),"conv_07971")</f>
        <v>conv_07971</v>
      </c>
      <c r="B1693" s="1" t="str">
        <f ca="1">IFERROR(__xludf.DUMMYFUNCTION("GOOGLETRANSLATE(English!B1693, ""en"", ""bg"")"),"химия")</f>
        <v>химия</v>
      </c>
      <c r="C1693" s="1" t="str">
        <f ca="1">IFERROR(__xludf.DUMMYFUNCTION("GOOGLETRANSLATE(English!C1693, ""en"", ""bg"")"),"средата")</f>
        <v>средата</v>
      </c>
      <c r="D1693" s="1" t="str">
        <f ca="1">IFERROR(__xludf.DUMMYFUNCTION("GOOGLETRANSLATE(English!D1693, ""en"", ""bg"")"),"химични промени")</f>
        <v>химични промени</v>
      </c>
      <c r="E1693" s="1" t="str">
        <f ca="1">IFERROR(__xludf.DUMMYFUNCTION("GOOGLETRANSLATE(English!E1693, ""en"", ""bg"")"),"Имам нужда от помощ с домашното си. Как протичат химичните промени в химията?")</f>
        <v>Имам нужда от помощ с домашното си. Как протичат химичните промени в химията?</v>
      </c>
      <c r="F1693" s="1" t="str">
        <f ca="1">IFERROR(__xludf.DUMMYFUNCTION("GOOGLETRANSLATE(English!F1693,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1693" s="1" t="str">
        <f ca="1">IFERROR(__xludf.DUMMYFUNCTION("GOOGLETRANSLATE(English!G1693, ""en"", ""bg"")"),"разговор")</f>
        <v>разговор</v>
      </c>
      <c r="H1693" s="1" t="str">
        <f ca="1">IFERROR(__xludf.DUMMYFUNCTION("GOOGLETRANSLATE(English!H1693, ""en"", ""bg"")"),"образователна_помощ")</f>
        <v>образователна_помощ</v>
      </c>
    </row>
    <row r="1694" spans="1:8" ht="13.2" x14ac:dyDescent="0.25">
      <c r="A1694" s="1" t="str">
        <f ca="1">IFERROR(__xludf.DUMMYFUNCTION("GOOGLETRANSLATE(English!A1694, ""en"", ""bg"")"),"conv_04028")</f>
        <v>conv_04028</v>
      </c>
      <c r="B1694" s="1" t="str">
        <f ca="1">IFERROR(__xludf.DUMMYFUNCTION("GOOGLETRANSLATE(English!B1694, ""en"", ""bg"")"),"физика")</f>
        <v>физика</v>
      </c>
      <c r="C1694" s="1" t="str">
        <f ca="1">IFERROR(__xludf.DUMMYFUNCTION("GOOGLETRANSLATE(English!C1694, ""en"", ""bg"")"),"високо")</f>
        <v>високо</v>
      </c>
      <c r="D1694" s="1" t="str">
        <f ca="1">IFERROR(__xludf.DUMMYFUNCTION("GOOGLETRANSLATE(English!D1694, ""en"", ""bg"")"),"термодинамика")</f>
        <v>термодинамика</v>
      </c>
      <c r="E1694" s="1" t="str">
        <f ca="1">IFERROR(__xludf.DUMMYFUNCTION("GOOGLETRANSLATE(English!E1694, ""en"", ""bg"")"),"Не разбирам тази тема. Какво трябва да знам за термодинамиката?")</f>
        <v>Не разбирам тази тема. Какво трябва да знам за термодинамиката?</v>
      </c>
      <c r="F1694" s="1" t="str">
        <f ca="1">IFERROR(__xludf.DUMMYFUNCTION("GOOGLETRANSLATE(English!F1694,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1694" s="1" t="str">
        <f ca="1">IFERROR(__xludf.DUMMYFUNCTION("GOOGLETRANSLATE(English!G1694, ""en"", ""bg"")"),"разговор")</f>
        <v>разговор</v>
      </c>
      <c r="H1694" s="1" t="str">
        <f ca="1">IFERROR(__xludf.DUMMYFUNCTION("GOOGLETRANSLATE(English!H1694, ""en"", ""bg"")"),"образователна_помощ")</f>
        <v>образователна_помощ</v>
      </c>
    </row>
    <row r="1695" spans="1:8" ht="13.2" x14ac:dyDescent="0.25">
      <c r="A1695" s="1" t="str">
        <f ca="1">IFERROR(__xludf.DUMMYFUNCTION("GOOGLETRANSLATE(English!A1695, ""en"", ""bg"")"),"qa_12618")</f>
        <v>qa_12618</v>
      </c>
      <c r="B1695" s="1" t="str">
        <f ca="1">IFERROR(__xludf.DUMMYFUNCTION("GOOGLETRANSLATE(English!B1695, ""en"", ""bg"")"),"физика")</f>
        <v>физика</v>
      </c>
      <c r="C1695" s="1" t="str">
        <f ca="1">IFERROR(__xludf.DUMMYFUNCTION("GOOGLETRANSLATE(English!C1695, ""en"", ""bg"")"),"високо")</f>
        <v>високо</v>
      </c>
      <c r="D1695" s="1" t="str">
        <f ca="1">IFERROR(__xludf.DUMMYFUNCTION("GOOGLETRANSLATE(English!D1695, ""en"", ""bg"")"),"атомна структура")</f>
        <v>атомна структура</v>
      </c>
      <c r="E1695" s="1" t="str">
        <f ca="1">IFERROR(__xludf.DUMMYFUNCTION("GOOGLETRANSLATE(English!E1695, ""en"", ""bg"")"),"Защо атомната структура е важна?")</f>
        <v>Защо атомната структура е важна?</v>
      </c>
      <c r="F1695" s="1" t="str">
        <f ca="1">IFERROR(__xludf.DUMMYFUNCTION("GOOGLETRANSLATE(English!F1695,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1695" s="1" t="str">
        <f ca="1">IFERROR(__xludf.DUMMYFUNCTION("GOOGLETRANSLATE(English!G1695, ""en"", ""bg"")"),"direct_qa")</f>
        <v>direct_qa</v>
      </c>
      <c r="H1695" s="1" t="str">
        <f ca="1">IFERROR(__xludf.DUMMYFUNCTION("GOOGLETRANSLATE(English!H1695, ""en"", ""bg"")"),"заявка_за_знание")</f>
        <v>заявка_за_знание</v>
      </c>
    </row>
    <row r="1696" spans="1:8" ht="13.2" x14ac:dyDescent="0.25">
      <c r="A1696" s="1" t="str">
        <f ca="1">IFERROR(__xludf.DUMMYFUNCTION("GOOGLETRANSLATE(English!A1696, ""en"", ""bg"")"),"conv_01559")</f>
        <v>conv_01559</v>
      </c>
      <c r="B1696" s="1" t="str">
        <f ca="1">IFERROR(__xludf.DUMMYFUNCTION("GOOGLETRANSLATE(English!B1696, ""en"", ""bg"")"),"химия")</f>
        <v>химия</v>
      </c>
      <c r="C1696" s="1" t="str">
        <f ca="1">IFERROR(__xludf.DUMMYFUNCTION("GOOGLETRANSLATE(English!C1696, ""en"", ""bg"")"),"елементарен")</f>
        <v>елементарен</v>
      </c>
      <c r="D1696" s="1" t="str">
        <f ca="1">IFERROR(__xludf.DUMMYFUNCTION("GOOGLETRANSLATE(English!D1696, ""en"", ""bg"")"),"ежедневни химикали")</f>
        <v>ежедневни химикали</v>
      </c>
      <c r="E1696" s="1" t="str">
        <f ca="1">IFERROR(__xludf.DUMMYFUNCTION("GOOGLETRANSLATE(English!E1696, ""en"", ""bg"")"),"Здравей, преподавателю! Защо е важно да се изучават ежедневни химикали?")</f>
        <v>Здравей, преподавателю! Защо е важно да се изучават ежедневни химикали?</v>
      </c>
      <c r="F1696" s="1" t="str">
        <f ca="1">IFERROR(__xludf.DUMMYFUNCTION("GOOGLETRANSLATE(English!F1696,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1696" s="1" t="str">
        <f ca="1">IFERROR(__xludf.DUMMYFUNCTION("GOOGLETRANSLATE(English!G1696, ""en"", ""bg"")"),"разговор")</f>
        <v>разговор</v>
      </c>
      <c r="H1696" s="1" t="str">
        <f ca="1">IFERROR(__xludf.DUMMYFUNCTION("GOOGLETRANSLATE(English!H1696, ""en"", ""bg"")"),"образователна_помощ")</f>
        <v>образователна_помощ</v>
      </c>
    </row>
    <row r="1697" spans="1:8" ht="13.2" x14ac:dyDescent="0.25">
      <c r="A1697" s="1" t="str">
        <f ca="1">IFERROR(__xludf.DUMMYFUNCTION("GOOGLETRANSLATE(English!A1697, ""en"", ""bg"")"),"qa_12243")</f>
        <v>qa_12243</v>
      </c>
      <c r="B1697" s="1" t="str">
        <f ca="1">IFERROR(__xludf.DUMMYFUNCTION("GOOGLETRANSLATE(English!B1697, ""en"", ""bg"")"),"биология")</f>
        <v>биология</v>
      </c>
      <c r="C1697" s="1" t="str">
        <f ca="1">IFERROR(__xludf.DUMMYFUNCTION("GOOGLETRANSLATE(English!C1697, ""en"", ""bg"")"),"средата")</f>
        <v>средата</v>
      </c>
      <c r="D1697" s="1" t="str">
        <f ca="1">IFERROR(__xludf.DUMMYFUNCTION("GOOGLETRANSLATE(English!D1697, ""en"", ""bg"")"),"размножаване")</f>
        <v>размножаване</v>
      </c>
      <c r="E1697" s="1" t="str">
        <f ca="1">IFERROR(__xludf.DUMMYFUNCTION("GOOGLETRANSLATE(English!E1697, ""en"", ""bg"")"),"Можете ли да ми разкажете за размножаването?")</f>
        <v>Можете ли да ми разкажете за размножаването?</v>
      </c>
      <c r="F1697" s="1" t="str">
        <f ca="1">IFERROR(__xludf.DUMMYFUNCTION("GOOGLETRANSLATE(English!F1697,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1697" s="1" t="str">
        <f ca="1">IFERROR(__xludf.DUMMYFUNCTION("GOOGLETRANSLATE(English!G1697, ""en"", ""bg"")"),"direct_qa")</f>
        <v>direct_qa</v>
      </c>
      <c r="H1697" s="1" t="str">
        <f ca="1">IFERROR(__xludf.DUMMYFUNCTION("GOOGLETRANSLATE(English!H1697, ""en"", ""bg"")"),"заявка_за_знание")</f>
        <v>заявка_за_знание</v>
      </c>
    </row>
    <row r="1698" spans="1:8" ht="13.2" x14ac:dyDescent="0.25">
      <c r="A1698" s="1" t="str">
        <f ca="1">IFERROR(__xludf.DUMMYFUNCTION("GOOGLETRANSLATE(English!A1698, ""en"", ""bg"")"),"conv_11131")</f>
        <v>conv_11131</v>
      </c>
      <c r="B1698" s="1" t="str">
        <f ca="1">IFERROR(__xludf.DUMMYFUNCTION("GOOGLETRANSLATE(English!B1698, ""en"", ""bg"")"),"физика")</f>
        <v>физика</v>
      </c>
      <c r="C1698" s="1" t="str">
        <f ca="1">IFERROR(__xludf.DUMMYFUNCTION("GOOGLETRANSLATE(English!C1698, ""en"", ""bg"")"),"средата")</f>
        <v>средата</v>
      </c>
      <c r="D1698" s="1" t="str">
        <f ca="1">IFERROR(__xludf.DUMMYFUNCTION("GOOGLETRANSLATE(English!D1698, ""en"", ""bg"")"),"видове енергия")</f>
        <v>видове енергия</v>
      </c>
      <c r="E1698" s="1" t="str">
        <f ca="1">IFERROR(__xludf.DUMMYFUNCTION("GOOGLETRANSLATE(English!E1698, ""en"", ""bg"")"),"Не разбирам тази тема. Как се променя видът на енергията?")</f>
        <v>Не разбирам тази тема. Как се променя видът на енергията?</v>
      </c>
      <c r="F1698" s="1" t="str">
        <f ca="1">IFERROR(__xludf.DUMMYFUNCTION("GOOGLETRANSLATE(English!F1698,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1698" s="1" t="str">
        <f ca="1">IFERROR(__xludf.DUMMYFUNCTION("GOOGLETRANSLATE(English!G1698, ""en"", ""bg"")"),"разговор")</f>
        <v>разговор</v>
      </c>
      <c r="H1698" s="1" t="str">
        <f ca="1">IFERROR(__xludf.DUMMYFUNCTION("GOOGLETRANSLATE(English!H1698, ""en"", ""bg"")"),"образователна_помощ")</f>
        <v>образователна_помощ</v>
      </c>
    </row>
    <row r="1699" spans="1:8" ht="13.2" x14ac:dyDescent="0.25">
      <c r="A1699" s="1" t="str">
        <f ca="1">IFERROR(__xludf.DUMMYFUNCTION("GOOGLETRANSLATE(English!A1699, ""en"", ""bg"")"),"conv_00421")</f>
        <v>conv_00421</v>
      </c>
      <c r="B1699" s="1" t="str">
        <f ca="1">IFERROR(__xludf.DUMMYFUNCTION("GOOGLETRANSLATE(English!B1699, ""en"", ""bg"")"),"физика")</f>
        <v>физика</v>
      </c>
      <c r="C1699" s="1" t="str">
        <f ca="1">IFERROR(__xludf.DUMMYFUNCTION("GOOGLETRANSLATE(English!C1699, ""en"", ""bg"")"),"елементарен")</f>
        <v>елементарен</v>
      </c>
      <c r="D1699" s="1" t="str">
        <f ca="1">IFERROR(__xludf.DUMMYFUNCTION("GOOGLETRANSLATE(English!D1699, ""en"", ""bg"")"),"плаващ и потъващ")</f>
        <v>плаващ и потъващ</v>
      </c>
      <c r="E1699" s="1" t="str">
        <f ca="1">IFERROR(__xludf.DUMMYFUNCTION("GOOGLETRANSLATE(English!E1699, ""en"", ""bg"")"),"Можете ли да ми обясните това? Какво трябва да знам за плаването и потъването?")</f>
        <v>Можете ли да ми обясните това? Какво трябва да знам за плаването и потъването?</v>
      </c>
      <c r="F1699" s="1" t="str">
        <f ca="1">IFERROR(__xludf.DUMMYFUNCTION("GOOGLETRANSLATE(English!F1699,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1699" s="1" t="str">
        <f ca="1">IFERROR(__xludf.DUMMYFUNCTION("GOOGLETRANSLATE(English!G1699, ""en"", ""bg"")"),"разговор")</f>
        <v>разговор</v>
      </c>
      <c r="H1699" s="1" t="str">
        <f ca="1">IFERROR(__xludf.DUMMYFUNCTION("GOOGLETRANSLATE(English!H1699, ""en"", ""bg"")"),"образователна_помощ")</f>
        <v>образователна_помощ</v>
      </c>
    </row>
    <row r="1700" spans="1:8" ht="13.2" x14ac:dyDescent="0.25">
      <c r="A1700" s="1" t="str">
        <f ca="1">IFERROR(__xludf.DUMMYFUNCTION("GOOGLETRANSLATE(English!A1700, ""en"", ""bg"")"),"hw_09327")</f>
        <v>hw_09327</v>
      </c>
      <c r="B1700" s="1" t="str">
        <f ca="1">IFERROR(__xludf.DUMMYFUNCTION("GOOGLETRANSLATE(English!B1700, ""en"", ""bg"")"),"биология")</f>
        <v>биология</v>
      </c>
      <c r="C1700" s="1" t="str">
        <f ca="1">IFERROR(__xludf.DUMMYFUNCTION("GOOGLETRANSLATE(English!C1700, ""en"", ""bg"")"),"средата")</f>
        <v>средата</v>
      </c>
      <c r="D1700" s="1" t="str">
        <f ca="1">IFERROR(__xludf.DUMMYFUNCTION("GOOGLETRANSLATE(English!D1700, ""en"", ""bg"")"),"размножаване")</f>
        <v>размножаване</v>
      </c>
      <c r="E1700" s="1" t="str">
        <f ca="1">IFERROR(__xludf.DUMMYFUNCTION("GOOGLETRANSLATE(English!E1700,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1700" s="1" t="str">
        <f ca="1">IFERROR(__xludf.DUMMYFUNCTION("GOOGLETRANSLATE(English!F1700,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1700" s="1" t="str">
        <f ca="1">IFERROR(__xludf.DUMMYFUNCTION("GOOGLETRANSLATE(English!G1700, ""en"", ""bg"")"),"помощ_за_домашно_изпълнение")</f>
        <v>помощ_за_домашно_изпълнение</v>
      </c>
      <c r="H1700" s="1" t="str">
        <f ca="1">IFERROR(__xludf.DUMMYFUNCTION("GOOGLETRANSLATE(English!H1700, ""en"", ""bg"")"),"помощ_за_домашно_задаване")</f>
        <v>помощ_за_домашно_задаване</v>
      </c>
    </row>
    <row r="1701" spans="1:8" ht="13.2" x14ac:dyDescent="0.25">
      <c r="A1701" s="1" t="str">
        <f ca="1">IFERROR(__xludf.DUMMYFUNCTION("GOOGLETRANSLATE(English!A1701, ""en"", ""bg"")"),"hw_14917")</f>
        <v>hw_14917</v>
      </c>
      <c r="B1701" s="1" t="str">
        <f ca="1">IFERROR(__xludf.DUMMYFUNCTION("GOOGLETRANSLATE(English!B1701, ""en"", ""bg"")"),"физика")</f>
        <v>физика</v>
      </c>
      <c r="C1701" s="1" t="str">
        <f ca="1">IFERROR(__xludf.DUMMYFUNCTION("GOOGLETRANSLATE(English!C1701, ""en"", ""bg"")"),"високо")</f>
        <v>високо</v>
      </c>
      <c r="D1701" s="1" t="str">
        <f ca="1">IFERROR(__xludf.DUMMYFUNCTION("GOOGLETRANSLATE(English!D1701, ""en"", ""bg"")"),"термодинамика")</f>
        <v>термодинамика</v>
      </c>
      <c r="E1701" s="1" t="str">
        <f ca="1">IFERROR(__xludf.DUMMYFUNCTION("GOOGLETRANSLATE(English!E1701, ""en"", ""bg"")"),"Заседнал съм с този термодинамичен проблем. Можете ли да помогнете?")</f>
        <v>Заседнал съм с този термодинамичен проблем. Можете ли да помогнете?</v>
      </c>
      <c r="F1701" s="1" t="str">
        <f ca="1">IFERROR(__xludf.DUMMYFUNCTION("GOOGLETRANSLATE(English!F1701,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1701" s="1" t="str">
        <f ca="1">IFERROR(__xludf.DUMMYFUNCTION("GOOGLETRANSLATE(English!G1701, ""en"", ""bg"")"),"помощ_за_домашно_изпълнение")</f>
        <v>помощ_за_домашно_изпълнение</v>
      </c>
      <c r="H1701" s="1" t="str">
        <f ca="1">IFERROR(__xludf.DUMMYFUNCTION("GOOGLETRANSLATE(English!H1701, ""en"", ""bg"")"),"помощ_за_домашно_задаване")</f>
        <v>помощ_за_домашно_задаване</v>
      </c>
    </row>
    <row r="1702" spans="1:8" ht="13.2" x14ac:dyDescent="0.25">
      <c r="A1702" s="1" t="str">
        <f ca="1">IFERROR(__xludf.DUMMYFUNCTION("GOOGLETRANSLATE(English!A1702, ""en"", ""bg"")"),"conv_15094")</f>
        <v>conv_15094</v>
      </c>
      <c r="B1702" s="1" t="str">
        <f ca="1">IFERROR(__xludf.DUMMYFUNCTION("GOOGLETRANSLATE(English!B1702, ""en"", ""bg"")"),"биология")</f>
        <v>биология</v>
      </c>
      <c r="C1702" s="1" t="str">
        <f ca="1">IFERROR(__xludf.DUMMYFUNCTION("GOOGLETRANSLATE(English!C1702, ""en"", ""bg"")"),"елементарен")</f>
        <v>елементарен</v>
      </c>
      <c r="D1702" s="1" t="str">
        <f ca="1">IFERROR(__xludf.DUMMYFUNCTION("GOOGLETRANSLATE(English!D1702, ""en"", ""bg"")"),"човешкото тяло")</f>
        <v>човешкото тяло</v>
      </c>
      <c r="E1702" s="1" t="str">
        <f ca="1">IFERROR(__xludf.DUMMYFUNCTION("GOOGLETRANSLATE(English!E1702, ""en"", ""bg"")"),"Здравей, преподавателю! Как работи човешкото тяло?")</f>
        <v>Здравей, преподавателю! Как работи човешкото тяло?</v>
      </c>
      <c r="F1702" s="1" t="str">
        <f ca="1">IFERROR(__xludf.DUMMYFUNCTION("GOOGLETRANSLATE(English!F1702,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1702" s="1" t="str">
        <f ca="1">IFERROR(__xludf.DUMMYFUNCTION("GOOGLETRANSLATE(English!G1702, ""en"", ""bg"")"),"разговор")</f>
        <v>разговор</v>
      </c>
      <c r="H1702" s="1" t="str">
        <f ca="1">IFERROR(__xludf.DUMMYFUNCTION("GOOGLETRANSLATE(English!H1702, ""en"", ""bg"")"),"образователна_помощ")</f>
        <v>образователна_помощ</v>
      </c>
    </row>
    <row r="1703" spans="1:8" ht="13.2" x14ac:dyDescent="0.25">
      <c r="A1703" s="1" t="str">
        <f ca="1">IFERROR(__xludf.DUMMYFUNCTION("GOOGLETRANSLATE(English!A1703, ""en"", ""bg"")"),"qa_13511")</f>
        <v>qa_13511</v>
      </c>
      <c r="B1703" s="1" t="str">
        <f ca="1">IFERROR(__xludf.DUMMYFUNCTION("GOOGLETRANSLATE(English!B1703, ""en"", ""bg"")"),"биология")</f>
        <v>биология</v>
      </c>
      <c r="C1703" s="1" t="str">
        <f ca="1">IFERROR(__xludf.DUMMYFUNCTION("GOOGLETRANSLATE(English!C1703, ""en"", ""bg"")"),"високо")</f>
        <v>високо</v>
      </c>
      <c r="D1703" s="1" t="str">
        <f ca="1">IFERROR(__xludf.DUMMYFUNCTION("GOOGLETRANSLATE(English!D1703, ""en"", ""bg"")"),"клетъчно дишане")</f>
        <v>клетъчно дишане</v>
      </c>
      <c r="E1703" s="1" t="str">
        <f ca="1">IFERROR(__xludf.DUMMYFUNCTION("GOOGLETRANSLATE(English!E1703, ""en"", ""bg"")"),"Какво е важно да знаем за клетъчното дишане?")</f>
        <v>Какво е важно да знаем за клетъчното дишане?</v>
      </c>
      <c r="F1703" s="1" t="str">
        <f ca="1">IFERROR(__xludf.DUMMYFUNCTION("GOOGLETRANSLATE(English!F1703,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1703" s="1" t="str">
        <f ca="1">IFERROR(__xludf.DUMMYFUNCTION("GOOGLETRANSLATE(English!G1703, ""en"", ""bg"")"),"direct_qa")</f>
        <v>direct_qa</v>
      </c>
      <c r="H1703" s="1" t="str">
        <f ca="1">IFERROR(__xludf.DUMMYFUNCTION("GOOGLETRANSLATE(English!H1703, ""en"", ""bg"")"),"заявка_за_знание")</f>
        <v>заявка_за_знание</v>
      </c>
    </row>
    <row r="1704" spans="1:8" ht="13.2" x14ac:dyDescent="0.25">
      <c r="A1704" s="1" t="str">
        <f ca="1">IFERROR(__xludf.DUMMYFUNCTION("GOOGLETRANSLATE(English!A1704, ""en"", ""bg"")"),"hw_01545")</f>
        <v>hw_01545</v>
      </c>
      <c r="B1704" s="1" t="str">
        <f ca="1">IFERROR(__xludf.DUMMYFUNCTION("GOOGLETRANSLATE(English!B1704, ""en"", ""bg"")"),"физика")</f>
        <v>физика</v>
      </c>
      <c r="C1704" s="1" t="str">
        <f ca="1">IFERROR(__xludf.DUMMYFUNCTION("GOOGLETRANSLATE(English!C1704, ""en"", ""bg"")"),"елементарен")</f>
        <v>елементарен</v>
      </c>
      <c r="D1704" s="1" t="str">
        <f ca="1">IFERROR(__xludf.DUMMYFUNCTION("GOOGLETRANSLATE(English!D1704, ""en"", ""bg"")"),"бутане и дърпане")</f>
        <v>бутане и дърпане</v>
      </c>
      <c r="E1704" s="1" t="str">
        <f ca="1">IFERROR(__xludf.DUMMYFUNCTION("GOOGLETRANSLATE(English!E1704,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1704" s="1" t="str">
        <f ca="1">IFERROR(__xludf.DUMMYFUNCTION("GOOGLETRANSLATE(English!F1704,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1704" s="1" t="str">
        <f ca="1">IFERROR(__xludf.DUMMYFUNCTION("GOOGLETRANSLATE(English!G1704, ""en"", ""bg"")"),"помощ_за_домашно_изпълнение")</f>
        <v>помощ_за_домашно_изпълнение</v>
      </c>
      <c r="H1704" s="1" t="str">
        <f ca="1">IFERROR(__xludf.DUMMYFUNCTION("GOOGLETRANSLATE(English!H1704, ""en"", ""bg"")"),"помощ_за_домашно_задаване")</f>
        <v>помощ_за_домашно_задаване</v>
      </c>
    </row>
    <row r="1705" spans="1:8" ht="13.2" x14ac:dyDescent="0.25">
      <c r="A1705" s="1" t="str">
        <f ca="1">IFERROR(__xludf.DUMMYFUNCTION("GOOGLETRANSLATE(English!A1705, ""en"", ""bg"")"),"hw_00093")</f>
        <v>hw_00093</v>
      </c>
      <c r="B1705" s="1" t="str">
        <f ca="1">IFERROR(__xludf.DUMMYFUNCTION("GOOGLETRANSLATE(English!B1705, ""en"", ""bg"")"),"биология")</f>
        <v>биология</v>
      </c>
      <c r="C1705" s="1" t="str">
        <f ca="1">IFERROR(__xludf.DUMMYFUNCTION("GOOGLETRANSLATE(English!C1705, ""en"", ""bg"")"),"високо")</f>
        <v>високо</v>
      </c>
      <c r="D1705" s="1" t="str">
        <f ca="1">IFERROR(__xludf.DUMMYFUNCTION("GOOGLETRANSLATE(English!D1705, ""en"", ""bg"")"),"клетъчно дишане")</f>
        <v>клетъчно дишане</v>
      </c>
      <c r="E1705" s="1" t="str">
        <f ca="1">IFERROR(__xludf.DUMMYFUNCTION("GOOGLETRANSLATE(English!E1705, ""en"", ""bg"")"),"Утре имам тест по клетъчно дишане. Помогни ми да уча!")</f>
        <v>Утре имам тест по клетъчно дишане. Помогни ми да уча!</v>
      </c>
      <c r="F1705" s="1" t="str">
        <f ca="1">IFERROR(__xludf.DUMMYFUNCTION("GOOGLETRANSLATE(English!F1705,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705" s="1" t="str">
        <f ca="1">IFERROR(__xludf.DUMMYFUNCTION("GOOGLETRANSLATE(English!G1705, ""en"", ""bg"")"),"помощ_за_домашно_изпълнение")</f>
        <v>помощ_за_домашно_изпълнение</v>
      </c>
      <c r="H1705" s="1" t="str">
        <f ca="1">IFERROR(__xludf.DUMMYFUNCTION("GOOGLETRANSLATE(English!H1705, ""en"", ""bg"")"),"помощ_за_домашно_задаване")</f>
        <v>помощ_за_домашно_задаване</v>
      </c>
    </row>
    <row r="1706" spans="1:8" ht="13.2" x14ac:dyDescent="0.25">
      <c r="A1706" s="1" t="str">
        <f ca="1">IFERROR(__xludf.DUMMYFUNCTION("GOOGLETRANSLATE(English!A1706, ""en"", ""bg"")"),"conv_18279")</f>
        <v>conv_18279</v>
      </c>
      <c r="B1706" s="1" t="str">
        <f ca="1">IFERROR(__xludf.DUMMYFUNCTION("GOOGLETRANSLATE(English!B1706, ""en"", ""bg"")"),"химия")</f>
        <v>химия</v>
      </c>
      <c r="C1706" s="1" t="str">
        <f ca="1">IFERROR(__xludf.DUMMYFUNCTION("GOOGLETRANSLATE(English!C1706, ""en"", ""bg"")"),"средата")</f>
        <v>средата</v>
      </c>
      <c r="D1706" s="1" t="str">
        <f ca="1">IFERROR(__xludf.DUMMYFUNCTION("GOOGLETRANSLATE(English!D1706, ""en"", ""bg"")"),"киселини и основи")</f>
        <v>киселини и основи</v>
      </c>
      <c r="E1706" s="1" t="str">
        <f ca="1">IFERROR(__xludf.DUMMYFUNCTION("GOOGLETRANSLATE(English!E1706, ""en"", ""bg"")"),"Здравей, преподавателю! Какво представляват киселините и основите?")</f>
        <v>Здравей, преподавателю! Какво представляват киселините и основите?</v>
      </c>
      <c r="F1706" s="1" t="str">
        <f ca="1">IFERROR(__xludf.DUMMYFUNCTION("GOOGLETRANSLATE(English!F1706,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1706" s="1" t="str">
        <f ca="1">IFERROR(__xludf.DUMMYFUNCTION("GOOGLETRANSLATE(English!G1706, ""en"", ""bg"")"),"разговор")</f>
        <v>разговор</v>
      </c>
      <c r="H1706" s="1" t="str">
        <f ca="1">IFERROR(__xludf.DUMMYFUNCTION("GOOGLETRANSLATE(English!H1706, ""en"", ""bg"")"),"образователна_помощ")</f>
        <v>образователна_помощ</v>
      </c>
    </row>
    <row r="1707" spans="1:8" ht="13.2" x14ac:dyDescent="0.25">
      <c r="A1707" s="1" t="str">
        <f ca="1">IFERROR(__xludf.DUMMYFUNCTION("GOOGLETRANSLATE(English!A1707, ""en"", ""bg"")"),"qa_03928")</f>
        <v>qa_03928</v>
      </c>
      <c r="B1707" s="1" t="str">
        <f ca="1">IFERROR(__xludf.DUMMYFUNCTION("GOOGLETRANSLATE(English!B1707, ""en"", ""bg"")"),"физика")</f>
        <v>физика</v>
      </c>
      <c r="C1707" s="1" t="str">
        <f ca="1">IFERROR(__xludf.DUMMYFUNCTION("GOOGLETRANSLATE(English!C1707, ""en"", ""bg"")"),"елементарен")</f>
        <v>елементарен</v>
      </c>
      <c r="D1707" s="1" t="str">
        <f ca="1">IFERROR(__xludf.DUMMYFUNCTION("GOOGLETRANSLATE(English!D1707, ""en"", ""bg"")"),"горещо и студено")</f>
        <v>горещо и студено</v>
      </c>
      <c r="E1707" s="1" t="str">
        <f ca="1">IFERROR(__xludf.DUMMYFUNCTION("GOOGLETRANSLATE(English!E1707, ""en"", ""bg"")"),"Защо е важно топлото и студеното?")</f>
        <v>Защо е важно топлото и студеното?</v>
      </c>
      <c r="F1707" s="1" t="str">
        <f ca="1">IFERROR(__xludf.DUMMYFUNCTION("GOOGLETRANSLATE(English!F1707,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1707" s="1" t="str">
        <f ca="1">IFERROR(__xludf.DUMMYFUNCTION("GOOGLETRANSLATE(English!G1707, ""en"", ""bg"")"),"direct_qa")</f>
        <v>direct_qa</v>
      </c>
      <c r="H1707" s="1" t="str">
        <f ca="1">IFERROR(__xludf.DUMMYFUNCTION("GOOGLETRANSLATE(English!H1707, ""en"", ""bg"")"),"заявка_за_знание")</f>
        <v>заявка_за_знание</v>
      </c>
    </row>
    <row r="1708" spans="1:8" ht="13.2" x14ac:dyDescent="0.25">
      <c r="A1708" s="1" t="str">
        <f ca="1">IFERROR(__xludf.DUMMYFUNCTION("GOOGLETRANSLATE(English!A1708, ""en"", ""bg"")"),"conv_11552")</f>
        <v>conv_11552</v>
      </c>
      <c r="B1708" s="1" t="str">
        <f ca="1">IFERROR(__xludf.DUMMYFUNCTION("GOOGLETRANSLATE(English!B1708, ""en"", ""bg"")"),"физика")</f>
        <v>физика</v>
      </c>
      <c r="C1708" s="1" t="str">
        <f ca="1">IFERROR(__xludf.DUMMYFUNCTION("GOOGLETRANSLATE(English!C1708, ""en"", ""bg"")"),"елементарен")</f>
        <v>елементарен</v>
      </c>
      <c r="D1708" s="1" t="str">
        <f ca="1">IFERROR(__xludf.DUMMYFUNCTION("GOOGLETRANSLATE(English!D1708, ""en"", ""bg"")"),"горещо и студено")</f>
        <v>горещо и студено</v>
      </c>
      <c r="E1708" s="1" t="str">
        <f ca="1">IFERROR(__xludf.DUMMYFUNCTION("GOOGLETRANSLATE(English!E1708, ""en"", ""bg"")"),"Можете ли да ми помогнете? Как работят топлото и студеното във физиката?")</f>
        <v>Можете ли да ми помогнете? Как работят топлото и студеното във физиката?</v>
      </c>
      <c r="F1708" s="1" t="str">
        <f ca="1">IFERROR(__xludf.DUMMYFUNCTION("GOOGLETRANSLATE(English!F1708,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708" s="1" t="str">
        <f ca="1">IFERROR(__xludf.DUMMYFUNCTION("GOOGLETRANSLATE(English!G1708, ""en"", ""bg"")"),"разговор")</f>
        <v>разговор</v>
      </c>
      <c r="H1708" s="1" t="str">
        <f ca="1">IFERROR(__xludf.DUMMYFUNCTION("GOOGLETRANSLATE(English!H1708, ""en"", ""bg"")"),"образователна_помощ")</f>
        <v>образователна_помощ</v>
      </c>
    </row>
    <row r="1709" spans="1:8" ht="13.2" x14ac:dyDescent="0.25">
      <c r="A1709" s="1" t="str">
        <f ca="1">IFERROR(__xludf.DUMMYFUNCTION("GOOGLETRANSLATE(English!A1709, ""en"", ""bg"")"),"conv_00324")</f>
        <v>conv_00324</v>
      </c>
      <c r="B1709" s="1" t="str">
        <f ca="1">IFERROR(__xludf.DUMMYFUNCTION("GOOGLETRANSLATE(English!B1709, ""en"", ""bg"")"),"химия")</f>
        <v>химия</v>
      </c>
      <c r="C1709" s="1" t="str">
        <f ca="1">IFERROR(__xludf.DUMMYFUNCTION("GOOGLETRANSLATE(English!C1709, ""en"", ""bg"")"),"средата")</f>
        <v>средата</v>
      </c>
      <c r="D1709" s="1" t="str">
        <f ca="1">IFERROR(__xludf.DUMMYFUNCTION("GOOGLETRANSLATE(English!D1709, ""en"", ""bg"")"),"атоми и молекули")</f>
        <v>атоми и молекули</v>
      </c>
      <c r="E1709" s="1" t="str">
        <f ca="1">IFERROR(__xludf.DUMMYFUNCTION("GOOGLETRANSLATE(English!E1709, ""en"", ""bg"")"),"Можете ли да ми помогнете? По какво се различават атомите и молекулите?")</f>
        <v>Можете ли да ми помогнете? По какво се различават атомите и молекулите?</v>
      </c>
      <c r="F1709" s="1" t="str">
        <f ca="1">IFERROR(__xludf.DUMMYFUNCTION("GOOGLETRANSLATE(English!F1709,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1709" s="1" t="str">
        <f ca="1">IFERROR(__xludf.DUMMYFUNCTION("GOOGLETRANSLATE(English!G1709, ""en"", ""bg"")"),"разговор")</f>
        <v>разговор</v>
      </c>
      <c r="H1709" s="1" t="str">
        <f ca="1">IFERROR(__xludf.DUMMYFUNCTION("GOOGLETRANSLATE(English!H1709, ""en"", ""bg"")"),"образователна_помощ")</f>
        <v>образователна_помощ</v>
      </c>
    </row>
    <row r="1710" spans="1:8" ht="13.2" x14ac:dyDescent="0.25">
      <c r="A1710" s="1" t="str">
        <f ca="1">IFERROR(__xludf.DUMMYFUNCTION("GOOGLETRANSLATE(English!A1710, ""en"", ""bg"")"),"conv_05418")</f>
        <v>conv_05418</v>
      </c>
      <c r="B1710" s="1" t="str">
        <f ca="1">IFERROR(__xludf.DUMMYFUNCTION("GOOGLETRANSLATE(English!B1710, ""en"", ""bg"")"),"химия")</f>
        <v>химия</v>
      </c>
      <c r="C1710" s="1" t="str">
        <f ca="1">IFERROR(__xludf.DUMMYFUNCTION("GOOGLETRANSLATE(English!C1710, ""en"", ""bg"")"),"елементарен")</f>
        <v>елементарен</v>
      </c>
      <c r="D1710" s="1" t="str">
        <f ca="1">IFERROR(__xludf.DUMMYFUNCTION("GOOGLETRANSLATE(English!D1710, ""en"", ""bg"")"),"разтваряне")</f>
        <v>разтваряне</v>
      </c>
      <c r="E1710" s="1" t="str">
        <f ca="1">IFERROR(__xludf.DUMMYFUNCTION("GOOGLETRANSLATE(English!E1710, ""en"", ""bg"")"),"Здравей, преподавателю! Какво е разтваряне?")</f>
        <v>Здравей, преподавателю! Какво е разтваряне?</v>
      </c>
      <c r="F1710" s="1" t="str">
        <f ca="1">IFERROR(__xludf.DUMMYFUNCTION("GOOGLETRANSLATE(English!F1710,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1710" s="1" t="str">
        <f ca="1">IFERROR(__xludf.DUMMYFUNCTION("GOOGLETRANSLATE(English!G1710, ""en"", ""bg"")"),"разговор")</f>
        <v>разговор</v>
      </c>
      <c r="H1710" s="1" t="str">
        <f ca="1">IFERROR(__xludf.DUMMYFUNCTION("GOOGLETRANSLATE(English!H1710, ""en"", ""bg"")"),"образователна_помощ")</f>
        <v>образователна_помощ</v>
      </c>
    </row>
    <row r="1711" spans="1:8" ht="13.2" x14ac:dyDescent="0.25">
      <c r="A1711" s="1" t="str">
        <f ca="1">IFERROR(__xludf.DUMMYFUNCTION("GOOGLETRANSLATE(English!A1711, ""en"", ""bg"")"),"conv_09923")</f>
        <v>conv_09923</v>
      </c>
      <c r="B1711" s="1" t="str">
        <f ca="1">IFERROR(__xludf.DUMMYFUNCTION("GOOGLETRANSLATE(English!B1711, ""en"", ""bg"")"),"физика")</f>
        <v>физика</v>
      </c>
      <c r="C1711" s="1" t="str">
        <f ca="1">IFERROR(__xludf.DUMMYFUNCTION("GOOGLETRANSLATE(English!C1711, ""en"", ""bg"")"),"елементарен")</f>
        <v>елементарен</v>
      </c>
      <c r="D1711" s="1" t="str">
        <f ca="1">IFERROR(__xludf.DUMMYFUNCTION("GOOGLETRANSLATE(English!D1711, ""en"", ""bg"")"),"звук")</f>
        <v>звук</v>
      </c>
      <c r="E1711" s="1" t="str">
        <f ca="1">IFERROR(__xludf.DUMMYFUNCTION("GOOGLETRANSLATE(English!E1711, ""en"", ""bg"")"),"Имам научен въпрос. Как работи звукът във физиката?")</f>
        <v>Имам научен въпрос. Как работи звукът във физиката?</v>
      </c>
      <c r="F1711" s="1" t="str">
        <f ca="1">IFERROR(__xludf.DUMMYFUNCTION("GOOGLETRANSLATE(English!F1711,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1711" s="1" t="str">
        <f ca="1">IFERROR(__xludf.DUMMYFUNCTION("GOOGLETRANSLATE(English!G1711, ""en"", ""bg"")"),"разговор")</f>
        <v>разговор</v>
      </c>
      <c r="H1711" s="1" t="str">
        <f ca="1">IFERROR(__xludf.DUMMYFUNCTION("GOOGLETRANSLATE(English!H1711, ""en"", ""bg"")"),"образователна_помощ")</f>
        <v>образователна_помощ</v>
      </c>
    </row>
    <row r="1712" spans="1:8" ht="13.2" x14ac:dyDescent="0.25">
      <c r="A1712" s="1" t="str">
        <f ca="1">IFERROR(__xludf.DUMMYFUNCTION("GOOGLETRANSLATE(English!A1712, ""en"", ""bg"")"),"conv_07180")</f>
        <v>conv_07180</v>
      </c>
      <c r="B1712" s="1" t="str">
        <f ca="1">IFERROR(__xludf.DUMMYFUNCTION("GOOGLETRANSLATE(English!B1712, ""en"", ""bg"")"),"химия")</f>
        <v>химия</v>
      </c>
      <c r="C1712" s="1" t="str">
        <f ca="1">IFERROR(__xludf.DUMMYFUNCTION("GOOGLETRANSLATE(English!C1712, ""en"", ""bg"")"),"елементарен")</f>
        <v>елементарен</v>
      </c>
      <c r="D1712" s="1" t="str">
        <f ca="1">IFERROR(__xludf.DUMMYFUNCTION("GOOGLETRANSLATE(English!D1712, ""en"", ""bg"")"),"безопасност")</f>
        <v>безопасност</v>
      </c>
      <c r="E1712" s="1" t="str">
        <f ca="1">IFERROR(__xludf.DUMMYFUNCTION("GOOGLETRANSLATE(English!E1712, ""en"", ""bg"")"),"Имам нужда от помощ с домашното. Можете ли да ми помогнете да разбера безопасността?")</f>
        <v>Имам нужда от помощ с домашното. Можете ли да ми помогнете да разбера безопасността?</v>
      </c>
      <c r="F1712" s="1" t="str">
        <f ca="1">IFERROR(__xludf.DUMMYFUNCTION("GOOGLETRANSLATE(English!F1712,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1712" s="1" t="str">
        <f ca="1">IFERROR(__xludf.DUMMYFUNCTION("GOOGLETRANSLATE(English!G1712, ""en"", ""bg"")"),"разговор")</f>
        <v>разговор</v>
      </c>
      <c r="H1712" s="1" t="str">
        <f ca="1">IFERROR(__xludf.DUMMYFUNCTION("GOOGLETRANSLATE(English!H1712, ""en"", ""bg"")"),"образователна_помощ")</f>
        <v>образователна_помощ</v>
      </c>
    </row>
    <row r="1713" spans="1:8" ht="13.2" x14ac:dyDescent="0.25">
      <c r="A1713" s="1" t="str">
        <f ca="1">IFERROR(__xludf.DUMMYFUNCTION("GOOGLETRANSLATE(English!A1713, ""en"", ""bg"")"),"conv_05909")</f>
        <v>conv_05909</v>
      </c>
      <c r="B1713" s="1" t="str">
        <f ca="1">IFERROR(__xludf.DUMMYFUNCTION("GOOGLETRANSLATE(English!B1713, ""en"", ""bg"")"),"биология")</f>
        <v>биология</v>
      </c>
      <c r="C1713" s="1" t="str">
        <f ca="1">IFERROR(__xludf.DUMMYFUNCTION("GOOGLETRANSLATE(English!C1713, ""en"", ""bg"")"),"високо")</f>
        <v>високо</v>
      </c>
      <c r="D1713" s="1" t="str">
        <f ca="1">IFERROR(__xludf.DUMMYFUNCTION("GOOGLETRANSLATE(English!D1713, ""en"", ""bg"")"),"модели на наследяване")</f>
        <v>модели на наследяване</v>
      </c>
      <c r="E1713" s="1" t="str">
        <f ca="1">IFERROR(__xludf.DUMMYFUNCTION("GOOGLETRANSLATE(English!E1713, ""en"", ""bg"")"),"Здравей, преподавателю! Защо моделите на наследяване са важни в биологията?")</f>
        <v>Здравей, преподавателю! Защо моделите на наследяване са важни в биологията?</v>
      </c>
      <c r="F1713" s="1" t="str">
        <f ca="1">IFERROR(__xludf.DUMMYFUNCTION("GOOGLETRANSLATE(English!F1713,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1713" s="1" t="str">
        <f ca="1">IFERROR(__xludf.DUMMYFUNCTION("GOOGLETRANSLATE(English!G1713, ""en"", ""bg"")"),"разговор")</f>
        <v>разговор</v>
      </c>
      <c r="H1713" s="1" t="str">
        <f ca="1">IFERROR(__xludf.DUMMYFUNCTION("GOOGLETRANSLATE(English!H1713, ""en"", ""bg"")"),"образователна_помощ")</f>
        <v>образователна_помощ</v>
      </c>
    </row>
    <row r="1714" spans="1:8" ht="13.2" x14ac:dyDescent="0.25">
      <c r="A1714" s="1" t="str">
        <f ca="1">IFERROR(__xludf.DUMMYFUNCTION("GOOGLETRANSLATE(English!A1714, ""en"", ""bg"")"),"conv_01436")</f>
        <v>conv_01436</v>
      </c>
      <c r="B1714" s="1" t="str">
        <f ca="1">IFERROR(__xludf.DUMMYFUNCTION("GOOGLETRANSLATE(English!B1714, ""en"", ""bg"")"),"химия")</f>
        <v>химия</v>
      </c>
      <c r="C1714" s="1" t="str">
        <f ca="1">IFERROR(__xludf.DUMMYFUNCTION("GOOGLETRANSLATE(English!C1714, ""en"", ""bg"")"),"средата")</f>
        <v>средата</v>
      </c>
      <c r="D1714" s="1" t="str">
        <f ca="1">IFERROR(__xludf.DUMMYFUNCTION("GOOGLETRANSLATE(English!D1714, ""en"", ""bg"")"),"киселини и основи")</f>
        <v>киселини и основи</v>
      </c>
      <c r="E1714" s="1" t="str">
        <f ca="1">IFERROR(__xludf.DUMMYFUNCTION("GOOGLETRANSLATE(English!E1714, ""en"", ""bg"")"),"Не разбирам тази тема. Защо е важно да се изучават киселини и основи?")</f>
        <v>Не разбирам тази тема. Защо е важно да се изучават киселини и основи?</v>
      </c>
      <c r="F1714" s="1" t="str">
        <f ca="1">IFERROR(__xludf.DUMMYFUNCTION("GOOGLETRANSLATE(English!F1714,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1714" s="1" t="str">
        <f ca="1">IFERROR(__xludf.DUMMYFUNCTION("GOOGLETRANSLATE(English!G1714, ""en"", ""bg"")"),"разговор")</f>
        <v>разговор</v>
      </c>
      <c r="H1714" s="1" t="str">
        <f ca="1">IFERROR(__xludf.DUMMYFUNCTION("GOOGLETRANSLATE(English!H1714, ""en"", ""bg"")"),"образователна_помощ")</f>
        <v>образователна_помощ</v>
      </c>
    </row>
    <row r="1715" spans="1:8" ht="13.2" x14ac:dyDescent="0.25">
      <c r="A1715" s="1" t="str">
        <f ca="1">IFERROR(__xludf.DUMMYFUNCTION("GOOGLETRANSLATE(English!A1715, ""en"", ""bg"")"),"conv_00370")</f>
        <v>conv_00370</v>
      </c>
      <c r="B1715" s="1" t="str">
        <f ca="1">IFERROR(__xludf.DUMMYFUNCTION("GOOGLETRANSLATE(English!B1715, ""en"", ""bg"")"),"химия")</f>
        <v>химия</v>
      </c>
      <c r="C1715" s="1" t="str">
        <f ca="1">IFERROR(__xludf.DUMMYFUNCTION("GOOGLETRANSLATE(English!C1715, ""en"", ""bg"")"),"високо")</f>
        <v>високо</v>
      </c>
      <c r="D1715" s="1" t="str">
        <f ca="1">IFERROR(__xludf.DUMMYFUNCTION("GOOGLETRANSLATE(English!D1715, ""en"", ""bg"")"),"скорости на реакция")</f>
        <v>скорости на реакция</v>
      </c>
      <c r="E1715" s="1" t="str">
        <f ca="1">IFERROR(__xludf.DUMMYFUNCTION("GOOGLETRANSLATE(English!E1715,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1715" s="1" t="str">
        <f ca="1">IFERROR(__xludf.DUMMYFUNCTION("GOOGLETRANSLATE(English!F1715,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1715" s="1" t="str">
        <f ca="1">IFERROR(__xludf.DUMMYFUNCTION("GOOGLETRANSLATE(English!G1715, ""en"", ""bg"")"),"разговор")</f>
        <v>разговор</v>
      </c>
      <c r="H1715" s="1" t="str">
        <f ca="1">IFERROR(__xludf.DUMMYFUNCTION("GOOGLETRANSLATE(English!H1715, ""en"", ""bg"")"),"образователна_помощ")</f>
        <v>образователна_помощ</v>
      </c>
    </row>
    <row r="1716" spans="1:8" ht="13.2" x14ac:dyDescent="0.25">
      <c r="A1716" s="1" t="str">
        <f ca="1">IFERROR(__xludf.DUMMYFUNCTION("GOOGLETRANSLATE(English!A1716, ""en"", ""bg"")"),"hw_07870")</f>
        <v>hw_07870</v>
      </c>
      <c r="B1716" s="1" t="str">
        <f ca="1">IFERROR(__xludf.DUMMYFUNCTION("GOOGLETRANSLATE(English!B1716, ""en"", ""bg"")"),"биология")</f>
        <v>биология</v>
      </c>
      <c r="C1716" s="1" t="str">
        <f ca="1">IFERROR(__xludf.DUMMYFUNCTION("GOOGLETRANSLATE(English!C1716, ""en"", ""bg"")"),"средата")</f>
        <v>средата</v>
      </c>
      <c r="D1716" s="1" t="str">
        <f ca="1">IFERROR(__xludf.DUMMYFUNCTION("GOOGLETRANSLATE(English!D1716, ""en"", ""bg"")"),"клетки")</f>
        <v>клетки</v>
      </c>
      <c r="E1716" s="1" t="str">
        <f ca="1">IFERROR(__xludf.DUMMYFUNCTION("GOOGLETRANSLATE(English!E1716, ""en"", ""bg"")"),"Трябва да напиша доклад за клетките. Можете ли да ми помогнете да започна?")</f>
        <v>Трябва да напиша доклад за клетките. Можете ли да ми помогнете да започна?</v>
      </c>
      <c r="F1716" s="1" t="str">
        <f ca="1">IFERROR(__xludf.DUMMYFUNCTION("GOOGLETRANSLATE(English!F1716,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1716" s="1" t="str">
        <f ca="1">IFERROR(__xludf.DUMMYFUNCTION("GOOGLETRANSLATE(English!G1716, ""en"", ""bg"")"),"помощ_за_домашно_изпълнение")</f>
        <v>помощ_за_домашно_изпълнение</v>
      </c>
      <c r="H1716" s="1" t="str">
        <f ca="1">IFERROR(__xludf.DUMMYFUNCTION("GOOGLETRANSLATE(English!H1716, ""en"", ""bg"")"),"помощ_за_домашно_задаване")</f>
        <v>помощ_за_домашно_задаване</v>
      </c>
    </row>
    <row r="1717" spans="1:8" ht="13.2" x14ac:dyDescent="0.25">
      <c r="A1717" s="1" t="str">
        <f ca="1">IFERROR(__xludf.DUMMYFUNCTION("GOOGLETRANSLATE(English!A1717, ""en"", ""bg"")"),"hw_08450")</f>
        <v>hw_08450</v>
      </c>
      <c r="B1717" s="1" t="str">
        <f ca="1">IFERROR(__xludf.DUMMYFUNCTION("GOOGLETRANSLATE(English!B1717, ""en"", ""bg"")"),"физика")</f>
        <v>физика</v>
      </c>
      <c r="C1717" s="1" t="str">
        <f ca="1">IFERROR(__xludf.DUMMYFUNCTION("GOOGLETRANSLATE(English!C1717, ""en"", ""bg"")"),"средата")</f>
        <v>средата</v>
      </c>
      <c r="D1717" s="1" t="str">
        <f ca="1">IFERROR(__xludf.DUMMYFUNCTION("GOOGLETRANSLATE(English!D1717, ""en"", ""bg"")"),"състояния на материята")</f>
        <v>състояния на материята</v>
      </c>
      <c r="E1717" s="1" t="str">
        <f ca="1">IFERROR(__xludf.DUMMYFUNCTION("GOOGLETRANSLATE(English!E1717,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1717" s="1" t="str">
        <f ca="1">IFERROR(__xludf.DUMMYFUNCTION("GOOGLETRANSLATE(English!F1717,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1717" s="1" t="str">
        <f ca="1">IFERROR(__xludf.DUMMYFUNCTION("GOOGLETRANSLATE(English!G1717, ""en"", ""bg"")"),"помощ_за_домашно_изпълнение")</f>
        <v>помощ_за_домашно_изпълнение</v>
      </c>
      <c r="H1717" s="1" t="str">
        <f ca="1">IFERROR(__xludf.DUMMYFUNCTION("GOOGLETRANSLATE(English!H1717, ""en"", ""bg"")"),"помощ_за_домашно_задаване")</f>
        <v>помощ_за_домашно_задаване</v>
      </c>
    </row>
    <row r="1718" spans="1:8" ht="13.2" x14ac:dyDescent="0.25">
      <c r="A1718" s="1" t="str">
        <f ca="1">IFERROR(__xludf.DUMMYFUNCTION("GOOGLETRANSLATE(English!A1718, ""en"", ""bg"")"),"conv_09644")</f>
        <v>conv_09644</v>
      </c>
      <c r="B1718" s="1" t="str">
        <f ca="1">IFERROR(__xludf.DUMMYFUNCTION("GOOGLETRANSLATE(English!B1718, ""en"", ""bg"")"),"биология")</f>
        <v>биология</v>
      </c>
      <c r="C1718" s="1" t="str">
        <f ca="1">IFERROR(__xludf.DUMMYFUNCTION("GOOGLETRANSLATE(English!C1718, ""en"", ""bg"")"),"средата")</f>
        <v>средата</v>
      </c>
      <c r="D1718" s="1" t="str">
        <f ca="1">IFERROR(__xludf.DUMMYFUNCTION("GOOGLETRANSLATE(English!D1718, ""en"", ""bg"")"),"основи на еволюцията")</f>
        <v>основи на еволюцията</v>
      </c>
      <c r="E1718" s="1" t="str">
        <f ca="1">IFERROR(__xludf.DUMMYFUNCTION("GOOGLETRANSLATE(English!E1718, ""en"", ""bg"")"),"Имам научен въпрос. Как работят основите на еволюцията?")</f>
        <v>Имам научен въпрос. Как работят основите на еволюцията?</v>
      </c>
      <c r="F1718" s="1" t="str">
        <f ca="1">IFERROR(__xludf.DUMMYFUNCTION("GOOGLETRANSLATE(English!F1718,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1718" s="1" t="str">
        <f ca="1">IFERROR(__xludf.DUMMYFUNCTION("GOOGLETRANSLATE(English!G1718, ""en"", ""bg"")"),"разговор")</f>
        <v>разговор</v>
      </c>
      <c r="H1718" s="1" t="str">
        <f ca="1">IFERROR(__xludf.DUMMYFUNCTION("GOOGLETRANSLATE(English!H1718, ""en"", ""bg"")"),"образователна_помощ")</f>
        <v>образователна_помощ</v>
      </c>
    </row>
    <row r="1719" spans="1:8" ht="13.2" x14ac:dyDescent="0.25">
      <c r="A1719" s="1" t="str">
        <f ca="1">IFERROR(__xludf.DUMMYFUNCTION("GOOGLETRANSLATE(English!A1719, ""en"", ""bg"")"),"conv_13327")</f>
        <v>conv_13327</v>
      </c>
      <c r="B1719" s="1" t="str">
        <f ca="1">IFERROR(__xludf.DUMMYFUNCTION("GOOGLETRANSLATE(English!B1719, ""en"", ""bg"")"),"биология")</f>
        <v>биология</v>
      </c>
      <c r="C1719" s="1" t="str">
        <f ca="1">IFERROR(__xludf.DUMMYFUNCTION("GOOGLETRANSLATE(English!C1719, ""en"", ""bg"")"),"високо")</f>
        <v>високо</v>
      </c>
      <c r="D1719" s="1" t="str">
        <f ca="1">IFERROR(__xludf.DUMMYFUNCTION("GOOGLETRANSLATE(English!D1719, ""en"", ""bg"")"),"модели на наследяване")</f>
        <v>модели на наследяване</v>
      </c>
      <c r="E1719" s="1" t="str">
        <f ca="1">IFERROR(__xludf.DUMMYFUNCTION("GOOGLETRANSLATE(English!E1719, ""en"", ""bg"")"),"Имам нужда от помощ с домашното. Защо моделите на наследяване са важни в биологията?")</f>
        <v>Имам нужда от помощ с домашното. Защо моделите на наследяване са важни в биологията?</v>
      </c>
      <c r="F1719" s="1" t="str">
        <f ca="1">IFERROR(__xludf.DUMMYFUNCTION("GOOGLETRANSLATE(English!F1719,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1719" s="1" t="str">
        <f ca="1">IFERROR(__xludf.DUMMYFUNCTION("GOOGLETRANSLATE(English!G1719, ""en"", ""bg"")"),"разговор")</f>
        <v>разговор</v>
      </c>
      <c r="H1719" s="1" t="str">
        <f ca="1">IFERROR(__xludf.DUMMYFUNCTION("GOOGLETRANSLATE(English!H1719, ""en"", ""bg"")"),"образователна_помощ")</f>
        <v>образователна_помощ</v>
      </c>
    </row>
    <row r="1720" spans="1:8" ht="13.2" x14ac:dyDescent="0.25">
      <c r="A1720" s="1" t="str">
        <f ca="1">IFERROR(__xludf.DUMMYFUNCTION("GOOGLETRANSLATE(English!A1720, ""en"", ""bg"")"),"qa_09712")</f>
        <v>qa_09712</v>
      </c>
      <c r="B1720" s="1" t="str">
        <f ca="1">IFERROR(__xludf.DUMMYFUNCTION("GOOGLETRANSLATE(English!B1720, ""en"", ""bg"")"),"биология")</f>
        <v>биология</v>
      </c>
      <c r="C1720" s="1" t="str">
        <f ca="1">IFERROR(__xludf.DUMMYFUNCTION("GOOGLETRANSLATE(English!C1720, ""en"", ""bg"")"),"средата")</f>
        <v>средата</v>
      </c>
      <c r="D1720" s="1" t="str">
        <f ca="1">IFERROR(__xludf.DUMMYFUNCTION("GOOGLETRANSLATE(English!D1720, ""en"", ""bg"")"),"екосистеми")</f>
        <v>екосистеми</v>
      </c>
      <c r="E1720" s="1" t="str">
        <f ca="1">IFERROR(__xludf.DUMMYFUNCTION("GOOGLETRANSLATE(English!E1720, ""en"", ""bg"")"),"Какво е важно да знаем за екосистемите?")</f>
        <v>Какво е важно да знаем за екосистемите?</v>
      </c>
      <c r="F1720" s="1" t="str">
        <f ca="1">IFERROR(__xludf.DUMMYFUNCTION("GOOGLETRANSLATE(English!F1720,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1720" s="1" t="str">
        <f ca="1">IFERROR(__xludf.DUMMYFUNCTION("GOOGLETRANSLATE(English!G1720, ""en"", ""bg"")"),"direct_qa")</f>
        <v>direct_qa</v>
      </c>
      <c r="H1720" s="1" t="str">
        <f ca="1">IFERROR(__xludf.DUMMYFUNCTION("GOOGLETRANSLATE(English!H1720, ""en"", ""bg"")"),"заявка_за_знание")</f>
        <v>заявка_за_знание</v>
      </c>
    </row>
    <row r="1721" spans="1:8" ht="13.2" x14ac:dyDescent="0.25">
      <c r="A1721" s="1" t="str">
        <f ca="1">IFERROR(__xludf.DUMMYFUNCTION("GOOGLETRANSLATE(English!A1721, ""en"", ""bg"")"),"hw_07245")</f>
        <v>hw_07245</v>
      </c>
      <c r="B1721" s="1" t="str">
        <f ca="1">IFERROR(__xludf.DUMMYFUNCTION("GOOGLETRANSLATE(English!B1721, ""en"", ""bg"")"),"химия")</f>
        <v>химия</v>
      </c>
      <c r="C1721" s="1" t="str">
        <f ca="1">IFERROR(__xludf.DUMMYFUNCTION("GOOGLETRANSLATE(English!C1721, ""en"", ""bg"")"),"елементарен")</f>
        <v>елементарен</v>
      </c>
      <c r="D1721" s="1" t="str">
        <f ca="1">IFERROR(__xludf.DUMMYFUNCTION("GOOGLETRANSLATE(English!D1721, ""en"", ""bg"")"),"промени в материалите")</f>
        <v>промени в материалите</v>
      </c>
      <c r="E1721" s="1" t="str">
        <f ca="1">IFERROR(__xludf.DUMMYFUNCTION("GOOGLETRANSLATE(English!E1721,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1721" s="1" t="str">
        <f ca="1">IFERROR(__xludf.DUMMYFUNCTION("GOOGLETRANSLATE(English!F1721,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721" s="1" t="str">
        <f ca="1">IFERROR(__xludf.DUMMYFUNCTION("GOOGLETRANSLATE(English!G1721, ""en"", ""bg"")"),"помощ_за_домашно_изпълнение")</f>
        <v>помощ_за_домашно_изпълнение</v>
      </c>
      <c r="H1721" s="1" t="str">
        <f ca="1">IFERROR(__xludf.DUMMYFUNCTION("GOOGLETRANSLATE(English!H1721, ""en"", ""bg"")"),"помощ_за_домашно_задаване")</f>
        <v>помощ_за_домашно_задаване</v>
      </c>
    </row>
    <row r="1722" spans="1:8" ht="13.2" x14ac:dyDescent="0.25">
      <c r="A1722" s="1" t="str">
        <f ca="1">IFERROR(__xludf.DUMMYFUNCTION("GOOGLETRANSLATE(English!A1722, ""en"", ""bg"")"),"hw_14557")</f>
        <v>hw_14557</v>
      </c>
      <c r="B1722" s="1" t="str">
        <f ca="1">IFERROR(__xludf.DUMMYFUNCTION("GOOGLETRANSLATE(English!B1722, ""en"", ""bg"")"),"биология")</f>
        <v>биология</v>
      </c>
      <c r="C1722" s="1" t="str">
        <f ca="1">IFERROR(__xludf.DUMMYFUNCTION("GOOGLETRANSLATE(English!C1722, ""en"", ""bg"")"),"елементарен")</f>
        <v>елементарен</v>
      </c>
      <c r="D1722" s="1" t="str">
        <f ca="1">IFERROR(__xludf.DUMMYFUNCTION("GOOGLETRANSLATE(English!D1722, ""en"", ""bg"")"),"хранителни вериги")</f>
        <v>хранителни вериги</v>
      </c>
      <c r="E1722" s="1" t="str">
        <f ca="1">IFERROR(__xludf.DUMMYFUNCTION("GOOGLETRANSLATE(English!E1722, ""en"", ""bg"")"),"Утре имам тест по хранителни вериги. Помогни ми да уча!")</f>
        <v>Утре имам тест по хранителни вериги. Помогни ми да уча!</v>
      </c>
      <c r="F1722" s="1" t="str">
        <f ca="1">IFERROR(__xludf.DUMMYFUNCTION("GOOGLETRANSLATE(English!F1722,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1722" s="1" t="str">
        <f ca="1">IFERROR(__xludf.DUMMYFUNCTION("GOOGLETRANSLATE(English!G1722, ""en"", ""bg"")"),"помощ_за_домашно_изпълнение")</f>
        <v>помощ_за_домашно_изпълнение</v>
      </c>
      <c r="H1722" s="1" t="str">
        <f ca="1">IFERROR(__xludf.DUMMYFUNCTION("GOOGLETRANSLATE(English!H1722, ""en"", ""bg"")"),"помощ_за_домашно_задаване")</f>
        <v>помощ_за_домашно_задаване</v>
      </c>
    </row>
    <row r="1723" spans="1:8" ht="13.2" x14ac:dyDescent="0.25">
      <c r="A1723" s="1" t="str">
        <f ca="1">IFERROR(__xludf.DUMMYFUNCTION("GOOGLETRANSLATE(English!A1723, ""en"", ""bg"")"),"hw_10880")</f>
        <v>hw_10880</v>
      </c>
      <c r="B1723" s="1" t="str">
        <f ca="1">IFERROR(__xludf.DUMMYFUNCTION("GOOGLETRANSLATE(English!B1723, ""en"", ""bg"")"),"химия")</f>
        <v>химия</v>
      </c>
      <c r="C1723" s="1" t="str">
        <f ca="1">IFERROR(__xludf.DUMMYFUNCTION("GOOGLETRANSLATE(English!C1723, ""en"", ""bg"")"),"средата")</f>
        <v>средата</v>
      </c>
      <c r="D1723" s="1" t="str">
        <f ca="1">IFERROR(__xludf.DUMMYFUNCTION("GOOGLETRANSLATE(English!D1723, ""en"", ""bg"")"),"химични промени")</f>
        <v>химични промени</v>
      </c>
      <c r="E1723" s="1" t="str">
        <f ca="1">IFERROR(__xludf.DUMMYFUNCTION("GOOGLETRANSLATE(English!E1723,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1723" s="1" t="str">
        <f ca="1">IFERROR(__xludf.DUMMYFUNCTION("GOOGLETRANSLATE(English!F1723,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1723" s="1" t="str">
        <f ca="1">IFERROR(__xludf.DUMMYFUNCTION("GOOGLETRANSLATE(English!G1723, ""en"", ""bg"")"),"помощ_за_домашно_изпълнение")</f>
        <v>помощ_за_домашно_изпълнение</v>
      </c>
      <c r="H1723" s="1" t="str">
        <f ca="1">IFERROR(__xludf.DUMMYFUNCTION("GOOGLETRANSLATE(English!H1723, ""en"", ""bg"")"),"помощ_за_домашно_задаване")</f>
        <v>помощ_за_домашно_задаване</v>
      </c>
    </row>
    <row r="1724" spans="1:8" ht="13.2" x14ac:dyDescent="0.25">
      <c r="A1724" s="1" t="str">
        <f ca="1">IFERROR(__xludf.DUMMYFUNCTION("GOOGLETRANSLATE(English!A1724, ""en"", ""bg"")"),"qa_12578")</f>
        <v>qa_12578</v>
      </c>
      <c r="B1724" s="1" t="str">
        <f ca="1">IFERROR(__xludf.DUMMYFUNCTION("GOOGLETRANSLATE(English!B1724, ""en"", ""bg"")"),"биология")</f>
        <v>биология</v>
      </c>
      <c r="C1724" s="1" t="str">
        <f ca="1">IFERROR(__xludf.DUMMYFUNCTION("GOOGLETRANSLATE(English!C1724, ""en"", ""bg"")"),"елементарен")</f>
        <v>елементарен</v>
      </c>
      <c r="D1724" s="1" t="str">
        <f ca="1">IFERROR(__xludf.DUMMYFUNCTION("GOOGLETRANSLATE(English!D1724, ""en"", ""bg"")"),"животни")</f>
        <v>животни</v>
      </c>
      <c r="E1724" s="1" t="str">
        <f ca="1">IFERROR(__xludf.DUMMYFUNCTION("GOOGLETRANSLATE(English!E1724, ""en"", ""bg"")"),"Какво отличава бозайниците от птиците?")</f>
        <v>Какво отличава бозайниците от птиците?</v>
      </c>
      <c r="F1724" s="1" t="str">
        <f ca="1">IFERROR(__xludf.DUMMYFUNCTION("GOOGLETRANSLATE(English!F1724,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1724" s="1" t="str">
        <f ca="1">IFERROR(__xludf.DUMMYFUNCTION("GOOGLETRANSLATE(English!G1724, ""en"", ""bg"")"),"direct_qa")</f>
        <v>direct_qa</v>
      </c>
      <c r="H1724" s="1" t="str">
        <f ca="1">IFERROR(__xludf.DUMMYFUNCTION("GOOGLETRANSLATE(English!H1724, ""en"", ""bg"")"),"заявка_за_знание")</f>
        <v>заявка_за_знание</v>
      </c>
    </row>
    <row r="1725" spans="1:8" ht="13.2" x14ac:dyDescent="0.25">
      <c r="A1725" s="1" t="str">
        <f ca="1">IFERROR(__xludf.DUMMYFUNCTION("GOOGLETRANSLATE(English!A1725, ""en"", ""bg"")"),"qa_07698")</f>
        <v>qa_07698</v>
      </c>
      <c r="B1725" s="1" t="str">
        <f ca="1">IFERROR(__xludf.DUMMYFUNCTION("GOOGLETRANSLATE(English!B1725, ""en"", ""bg"")"),"химия")</f>
        <v>химия</v>
      </c>
      <c r="C1725" s="1" t="str">
        <f ca="1">IFERROR(__xludf.DUMMYFUNCTION("GOOGLETRANSLATE(English!C1725, ""en"", ""bg"")"),"средата")</f>
        <v>средата</v>
      </c>
      <c r="D1725" s="1" t="str">
        <f ca="1">IFERROR(__xludf.DUMMYFUNCTION("GOOGLETRANSLATE(English!D1725, ""en"", ""bg"")"),"химични реакции")</f>
        <v>химични реакции</v>
      </c>
      <c r="E1725" s="1" t="str">
        <f ca="1">IFERROR(__xludf.DUMMYFUNCTION("GOOGLETRANSLATE(English!E1725, ""en"", ""bg"")"),"Как да разберете дали е възникнала химическа реакция?")</f>
        <v>Как да разберете дали е възникнала химическа реакция?</v>
      </c>
      <c r="F1725" s="1" t="str">
        <f ca="1">IFERROR(__xludf.DUMMYFUNCTION("GOOGLETRANSLATE(English!F1725,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725" s="1" t="str">
        <f ca="1">IFERROR(__xludf.DUMMYFUNCTION("GOOGLETRANSLATE(English!G1725, ""en"", ""bg"")"),"direct_qa")</f>
        <v>direct_qa</v>
      </c>
      <c r="H1725" s="1" t="str">
        <f ca="1">IFERROR(__xludf.DUMMYFUNCTION("GOOGLETRANSLATE(English!H1725, ""en"", ""bg"")"),"заявка_за_знание")</f>
        <v>заявка_за_знание</v>
      </c>
    </row>
    <row r="1726" spans="1:8" ht="13.2" x14ac:dyDescent="0.25">
      <c r="A1726" s="1" t="str">
        <f ca="1">IFERROR(__xludf.DUMMYFUNCTION("GOOGLETRANSLATE(English!A1726, ""en"", ""bg"")"),"qa_00141")</f>
        <v>qa_00141</v>
      </c>
      <c r="B1726" s="1" t="str">
        <f ca="1">IFERROR(__xludf.DUMMYFUNCTION("GOOGLETRANSLATE(English!B1726, ""en"", ""bg"")"),"биология")</f>
        <v>биология</v>
      </c>
      <c r="C1726" s="1" t="str">
        <f ca="1">IFERROR(__xludf.DUMMYFUNCTION("GOOGLETRANSLATE(English!C1726, ""en"", ""bg"")"),"средата")</f>
        <v>средата</v>
      </c>
      <c r="D1726" s="1" t="str">
        <f ca="1">IFERROR(__xludf.DUMMYFUNCTION("GOOGLETRANSLATE(English!D1726, ""en"", ""bg"")"),"класификация")</f>
        <v>класификация</v>
      </c>
      <c r="E1726" s="1" t="str">
        <f ca="1">IFERROR(__xludf.DUMMYFUNCTION("GOOGLETRANSLATE(English!E1726, ""en"", ""bg"")"),"Какво е важно да знаем за класификацията?")</f>
        <v>Какво е важно да знаем за класификацията?</v>
      </c>
      <c r="F1726" s="1" t="str">
        <f ca="1">IFERROR(__xludf.DUMMYFUNCTION("GOOGLETRANSLATE(English!F1726,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1726" s="1" t="str">
        <f ca="1">IFERROR(__xludf.DUMMYFUNCTION("GOOGLETRANSLATE(English!G1726, ""en"", ""bg"")"),"direct_qa")</f>
        <v>direct_qa</v>
      </c>
      <c r="H1726" s="1" t="str">
        <f ca="1">IFERROR(__xludf.DUMMYFUNCTION("GOOGLETRANSLATE(English!H1726, ""en"", ""bg"")"),"заявка_за_знание")</f>
        <v>заявка_за_знание</v>
      </c>
    </row>
    <row r="1727" spans="1:8" ht="13.2" x14ac:dyDescent="0.25">
      <c r="A1727" s="1" t="str">
        <f ca="1">IFERROR(__xludf.DUMMYFUNCTION("GOOGLETRANSLATE(English!A1727, ""en"", ""bg"")"),"qa_11312")</f>
        <v>qa_11312</v>
      </c>
      <c r="B1727" s="1" t="str">
        <f ca="1">IFERROR(__xludf.DUMMYFUNCTION("GOOGLETRANSLATE(English!B1727, ""en"", ""bg"")"),"химия")</f>
        <v>химия</v>
      </c>
      <c r="C1727" s="1" t="str">
        <f ca="1">IFERROR(__xludf.DUMMYFUNCTION("GOOGLETRANSLATE(English!C1727, ""en"", ""bg"")"),"елементарен")</f>
        <v>елементарен</v>
      </c>
      <c r="D1727" s="1" t="str">
        <f ca="1">IFERROR(__xludf.DUMMYFUNCTION("GOOGLETRANSLATE(English!D1727, ""en"", ""bg"")"),"смесване на материали")</f>
        <v>смесване на материали</v>
      </c>
      <c r="E1727" s="1" t="str">
        <f ca="1">IFERROR(__xludf.DUMMYFUNCTION("GOOGLETRANSLATE(English!E1727, ""en"", ""bg"")"),"Какво е решение?")</f>
        <v>Какво е решение?</v>
      </c>
      <c r="F1727" s="1" t="str">
        <f ca="1">IFERROR(__xludf.DUMMYFUNCTION("GOOGLETRANSLATE(English!F1727,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1727" s="1" t="str">
        <f ca="1">IFERROR(__xludf.DUMMYFUNCTION("GOOGLETRANSLATE(English!G1727, ""en"", ""bg"")"),"direct_qa")</f>
        <v>direct_qa</v>
      </c>
      <c r="H1727" s="1" t="str">
        <f ca="1">IFERROR(__xludf.DUMMYFUNCTION("GOOGLETRANSLATE(English!H1727, ""en"", ""bg"")"),"заявка_за_знание")</f>
        <v>заявка_за_знание</v>
      </c>
    </row>
    <row r="1728" spans="1:8" ht="13.2" x14ac:dyDescent="0.25">
      <c r="A1728" s="1" t="str">
        <f ca="1">IFERROR(__xludf.DUMMYFUNCTION("GOOGLETRANSLATE(English!A1728, ""en"", ""bg"")"),"hw_10931")</f>
        <v>hw_10931</v>
      </c>
      <c r="B1728" s="1" t="str">
        <f ca="1">IFERROR(__xludf.DUMMYFUNCTION("GOOGLETRANSLATE(English!B1728, ""en"", ""bg"")"),"биология")</f>
        <v>биология</v>
      </c>
      <c r="C1728" s="1" t="str">
        <f ca="1">IFERROR(__xludf.DUMMYFUNCTION("GOOGLETRANSLATE(English!C1728, ""en"", ""bg"")"),"средата")</f>
        <v>средата</v>
      </c>
      <c r="D1728" s="1" t="str">
        <f ca="1">IFERROR(__xludf.DUMMYFUNCTION("GOOGLETRANSLATE(English!D1728, ""en"", ""bg"")"),"екосистеми")</f>
        <v>екосистеми</v>
      </c>
      <c r="E1728" s="1" t="str">
        <f ca="1">IFERROR(__xludf.DUMMYFUNCTION("GOOGLETRANSLATE(English!E1728, ""en"", ""bg"")"),"Утре имам тест по екосистеми. Помогни ми да уча!")</f>
        <v>Утре имам тест по екосистеми. Помогни ми да уча!</v>
      </c>
      <c r="F1728" s="1" t="str">
        <f ca="1">IFERROR(__xludf.DUMMYFUNCTION("GOOGLETRANSLATE(English!F1728,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728" s="1" t="str">
        <f ca="1">IFERROR(__xludf.DUMMYFUNCTION("GOOGLETRANSLATE(English!G1728, ""en"", ""bg"")"),"помощ_за_домашно_изпълнение")</f>
        <v>помощ_за_домашно_изпълнение</v>
      </c>
      <c r="H1728" s="1" t="str">
        <f ca="1">IFERROR(__xludf.DUMMYFUNCTION("GOOGLETRANSLATE(English!H1728, ""en"", ""bg"")"),"помощ_за_домашно_задаване")</f>
        <v>помощ_за_домашно_задаване</v>
      </c>
    </row>
    <row r="1729" spans="1:8" ht="13.2" x14ac:dyDescent="0.25">
      <c r="A1729" s="1" t="str">
        <f ca="1">IFERROR(__xludf.DUMMYFUNCTION("GOOGLETRANSLATE(English!A1729, ""en"", ""bg"")"),"conv_16510")</f>
        <v>conv_16510</v>
      </c>
      <c r="B1729" s="1" t="str">
        <f ca="1">IFERROR(__xludf.DUMMYFUNCTION("GOOGLETRANSLATE(English!B1729, ""en"", ""bg"")"),"физика")</f>
        <v>физика</v>
      </c>
      <c r="C1729" s="1" t="str">
        <f ca="1">IFERROR(__xludf.DUMMYFUNCTION("GOOGLETRANSLATE(English!C1729, ""en"", ""bg"")"),"средата")</f>
        <v>средата</v>
      </c>
      <c r="D1729" s="1" t="str">
        <f ca="1">IFERROR(__xludf.DUMMYFUNCTION("GOOGLETRANSLATE(English!D1729, ""en"", ""bg"")"),"сили и движение")</f>
        <v>сили и движение</v>
      </c>
      <c r="E1729" s="1" t="str">
        <f ca="1">IFERROR(__xludf.DUMMYFUNCTION("GOOGLETRANSLATE(English!E1729, ""en"", ""bg"")"),"Здравей, преподавателю! Какво е ускорение?")</f>
        <v>Здравей, преподавателю! Какво е ускорение?</v>
      </c>
      <c r="F1729" s="1" t="str">
        <f ca="1">IFERROR(__xludf.DUMMYFUNCTION("GOOGLETRANSLATE(English!F1729,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1729" s="1" t="str">
        <f ca="1">IFERROR(__xludf.DUMMYFUNCTION("GOOGLETRANSLATE(English!G1729, ""en"", ""bg"")"),"разговор")</f>
        <v>разговор</v>
      </c>
      <c r="H1729" s="1" t="str">
        <f ca="1">IFERROR(__xludf.DUMMYFUNCTION("GOOGLETRANSLATE(English!H1729, ""en"", ""bg"")"),"образователна_помощ")</f>
        <v>образователна_помощ</v>
      </c>
    </row>
    <row r="1730" spans="1:8" ht="13.2" x14ac:dyDescent="0.25">
      <c r="A1730" s="1" t="str">
        <f ca="1">IFERROR(__xludf.DUMMYFUNCTION("GOOGLETRANSLATE(English!A1730, ""en"", ""bg"")"),"conv_17532")</f>
        <v>conv_17532</v>
      </c>
      <c r="B1730" s="1" t="str">
        <f ca="1">IFERROR(__xludf.DUMMYFUNCTION("GOOGLETRANSLATE(English!B1730, ""en"", ""bg"")"),"биология")</f>
        <v>биология</v>
      </c>
      <c r="C1730" s="1" t="str">
        <f ca="1">IFERROR(__xludf.DUMMYFUNCTION("GOOGLETRANSLATE(English!C1730, ""en"", ""bg"")"),"средата")</f>
        <v>средата</v>
      </c>
      <c r="D1730" s="1" t="str">
        <f ca="1">IFERROR(__xludf.DUMMYFUNCTION("GOOGLETRANSLATE(English!D1730, ""en"", ""bg"")"),"фотосинтеза")</f>
        <v>фотосинтеза</v>
      </c>
      <c r="E1730" s="1" t="str">
        <f ca="1">IFERROR(__xludf.DUMMYFUNCTION("GOOGLETRANSLATE(English!E1730, ""en"", ""bg"")"),"Помогнете ми да уча за теста. Как работи фотосинтезата?")</f>
        <v>Помогнете ми да уча за теста. Как работи фотосинтезата?</v>
      </c>
      <c r="F1730" s="1" t="str">
        <f ca="1">IFERROR(__xludf.DUMMYFUNCTION("GOOGLETRANSLATE(English!F1730,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1730" s="1" t="str">
        <f ca="1">IFERROR(__xludf.DUMMYFUNCTION("GOOGLETRANSLATE(English!G1730, ""en"", ""bg"")"),"разговор")</f>
        <v>разговор</v>
      </c>
      <c r="H1730" s="1" t="str">
        <f ca="1">IFERROR(__xludf.DUMMYFUNCTION("GOOGLETRANSLATE(English!H1730, ""en"", ""bg"")"),"образователна_помощ")</f>
        <v>образователна_помощ</v>
      </c>
    </row>
    <row r="1731" spans="1:8" ht="13.2" x14ac:dyDescent="0.25">
      <c r="A1731" s="1" t="str">
        <f ca="1">IFERROR(__xludf.DUMMYFUNCTION("GOOGLETRANSLATE(English!A1731, ""en"", ""bg"")"),"hw_10213")</f>
        <v>hw_10213</v>
      </c>
      <c r="B1731" s="1" t="str">
        <f ca="1">IFERROR(__xludf.DUMMYFUNCTION("GOOGLETRANSLATE(English!B1731, ""en"", ""bg"")"),"физика")</f>
        <v>физика</v>
      </c>
      <c r="C1731" s="1" t="str">
        <f ca="1">IFERROR(__xludf.DUMMYFUNCTION("GOOGLETRANSLATE(English!C1731, ""en"", ""bg"")"),"средата")</f>
        <v>средата</v>
      </c>
      <c r="D1731" s="1" t="str">
        <f ca="1">IFERROR(__xludf.DUMMYFUNCTION("GOOGLETRANSLATE(English!D1731, ""en"", ""bg"")"),"прости схеми")</f>
        <v>прости схеми</v>
      </c>
      <c r="E1731" s="1" t="str">
        <f ca="1">IFERROR(__xludf.DUMMYFUNCTION("GOOGLETRANSLATE(English!E1731, ""en"", ""bg"")"),"Заседнал съм с този прост проблем с електрическите схеми. Можете ли да помогнете?")</f>
        <v>Заседнал съм с този прост проблем с електрическите схеми. Можете ли да помогнете?</v>
      </c>
      <c r="F1731" s="1" t="str">
        <f ca="1">IFERROR(__xludf.DUMMYFUNCTION("GOOGLETRANSLATE(English!F1731,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731" s="1" t="str">
        <f ca="1">IFERROR(__xludf.DUMMYFUNCTION("GOOGLETRANSLATE(English!G1731, ""en"", ""bg"")"),"помощ_за_домашно_изпълнение")</f>
        <v>помощ_за_домашно_изпълнение</v>
      </c>
      <c r="H1731" s="1" t="str">
        <f ca="1">IFERROR(__xludf.DUMMYFUNCTION("GOOGLETRANSLATE(English!H1731, ""en"", ""bg"")"),"помощ_за_домашно_задаване")</f>
        <v>помощ_за_домашно_задаване</v>
      </c>
    </row>
    <row r="1732" spans="1:8" ht="13.2" x14ac:dyDescent="0.25">
      <c r="A1732" s="1" t="str">
        <f ca="1">IFERROR(__xludf.DUMMYFUNCTION("GOOGLETRANSLATE(English!A1732, ""en"", ""bg"")"),"qa_06346")</f>
        <v>qa_06346</v>
      </c>
      <c r="B1732" s="1" t="str">
        <f ca="1">IFERROR(__xludf.DUMMYFUNCTION("GOOGLETRANSLATE(English!B1732, ""en"", ""bg"")"),"химия")</f>
        <v>химия</v>
      </c>
      <c r="C1732" s="1" t="str">
        <f ca="1">IFERROR(__xludf.DUMMYFUNCTION("GOOGLETRANSLATE(English!C1732, ""en"", ""bg"")"),"средата")</f>
        <v>средата</v>
      </c>
      <c r="D1732" s="1" t="str">
        <f ca="1">IFERROR(__xludf.DUMMYFUNCTION("GOOGLETRANSLATE(English!D1732, ""en"", ""bg"")"),"киселини и основи")</f>
        <v>киселини и основи</v>
      </c>
      <c r="E1732" s="1" t="str">
        <f ca="1">IFERROR(__xludf.DUMMYFUNCTION("GOOGLETRANSLATE(English!E1732, ""en"", ""bg"")"),"Какво представляват киселините и основите?")</f>
        <v>Какво представляват киселините и основите?</v>
      </c>
      <c r="F1732" s="1" t="str">
        <f ca="1">IFERROR(__xludf.DUMMYFUNCTION("GOOGLETRANSLATE(English!F1732,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1732" s="1" t="str">
        <f ca="1">IFERROR(__xludf.DUMMYFUNCTION("GOOGLETRANSLATE(English!G1732, ""en"", ""bg"")"),"direct_qa")</f>
        <v>direct_qa</v>
      </c>
      <c r="H1732" s="1" t="str">
        <f ca="1">IFERROR(__xludf.DUMMYFUNCTION("GOOGLETRANSLATE(English!H1732, ""en"", ""bg"")"),"заявка_за_знание")</f>
        <v>заявка_за_знание</v>
      </c>
    </row>
    <row r="1733" spans="1:8" ht="13.2" x14ac:dyDescent="0.25">
      <c r="A1733" s="1" t="str">
        <f ca="1">IFERROR(__xludf.DUMMYFUNCTION("GOOGLETRANSLATE(English!A1733, ""en"", ""bg"")"),"hw_01692")</f>
        <v>hw_01692</v>
      </c>
      <c r="B1733" s="1" t="str">
        <f ca="1">IFERROR(__xludf.DUMMYFUNCTION("GOOGLETRANSLATE(English!B1733, ""en"", ""bg"")"),"биология")</f>
        <v>биология</v>
      </c>
      <c r="C1733" s="1" t="str">
        <f ca="1">IFERROR(__xludf.DUMMYFUNCTION("GOOGLETRANSLATE(English!C1733, ""en"", ""bg"")"),"високо")</f>
        <v>високо</v>
      </c>
      <c r="D1733" s="1" t="str">
        <f ca="1">IFERROR(__xludf.DUMMYFUNCTION("GOOGLETRANSLATE(English!D1733, ""en"", ""bg"")"),"клетъчно дишане")</f>
        <v>клетъчно дишане</v>
      </c>
      <c r="E1733" s="1" t="str">
        <f ca="1">IFERROR(__xludf.DUMMYFUNCTION("GOOGLETRANSLATE(English!E1733,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1733" s="1" t="str">
        <f ca="1">IFERROR(__xludf.DUMMYFUNCTION("GOOGLETRANSLATE(English!F1733,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733" s="1" t="str">
        <f ca="1">IFERROR(__xludf.DUMMYFUNCTION("GOOGLETRANSLATE(English!G1733, ""en"", ""bg"")"),"помощ_за_домашно_изпълнение")</f>
        <v>помощ_за_домашно_изпълнение</v>
      </c>
      <c r="H1733" s="1" t="str">
        <f ca="1">IFERROR(__xludf.DUMMYFUNCTION("GOOGLETRANSLATE(English!H1733, ""en"", ""bg"")"),"помощ_за_домашно_задаване")</f>
        <v>помощ_за_домашно_задаване</v>
      </c>
    </row>
    <row r="1734" spans="1:8" ht="13.2" x14ac:dyDescent="0.25">
      <c r="A1734" s="1" t="str">
        <f ca="1">IFERROR(__xludf.DUMMYFUNCTION("GOOGLETRANSLATE(English!A1734, ""en"", ""bg"")"),"conv_05544")</f>
        <v>conv_05544</v>
      </c>
      <c r="B1734" s="1" t="str">
        <f ca="1">IFERROR(__xludf.DUMMYFUNCTION("GOOGLETRANSLATE(English!B1734, ""en"", ""bg"")"),"биология")</f>
        <v>биология</v>
      </c>
      <c r="C1734" s="1" t="str">
        <f ca="1">IFERROR(__xludf.DUMMYFUNCTION("GOOGLETRANSLATE(English!C1734, ""en"", ""bg"")"),"елементарен")</f>
        <v>елементарен</v>
      </c>
      <c r="D1734" s="1" t="str">
        <f ca="1">IFERROR(__xludf.DUMMYFUNCTION("GOOGLETRANSLATE(English!D1734, ""en"", ""bg"")"),"човешкото тяло")</f>
        <v>човешкото тяло</v>
      </c>
      <c r="E1734" s="1" t="str">
        <f ca="1">IFERROR(__xludf.DUMMYFUNCTION("GOOGLETRANSLATE(English!E1734, ""en"", ""bg"")"),"Имам научен въпрос. Можете ли да ми разкажете за човешкото тяло?")</f>
        <v>Имам научен въпрос. Можете ли да ми разкажете за човешкото тяло?</v>
      </c>
      <c r="F1734" s="1" t="str">
        <f ca="1">IFERROR(__xludf.DUMMYFUNCTION("GOOGLETRANSLATE(English!F1734,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1734" s="1" t="str">
        <f ca="1">IFERROR(__xludf.DUMMYFUNCTION("GOOGLETRANSLATE(English!G1734, ""en"", ""bg"")"),"разговор")</f>
        <v>разговор</v>
      </c>
      <c r="H1734" s="1" t="str">
        <f ca="1">IFERROR(__xludf.DUMMYFUNCTION("GOOGLETRANSLATE(English!H1734, ""en"", ""bg"")"),"образователна_помощ")</f>
        <v>образователна_помощ</v>
      </c>
    </row>
    <row r="1735" spans="1:8" ht="13.2" x14ac:dyDescent="0.25">
      <c r="A1735" s="1" t="str">
        <f ca="1">IFERROR(__xludf.DUMMYFUNCTION("GOOGLETRANSLATE(English!A1735, ""en"", ""bg"")"),"hw_05639")</f>
        <v>hw_05639</v>
      </c>
      <c r="B1735" s="1" t="str">
        <f ca="1">IFERROR(__xludf.DUMMYFUNCTION("GOOGLETRANSLATE(English!B1735, ""en"", ""bg"")"),"химия")</f>
        <v>химия</v>
      </c>
      <c r="C1735" s="1" t="str">
        <f ca="1">IFERROR(__xludf.DUMMYFUNCTION("GOOGLETRANSLATE(English!C1735, ""en"", ""bg"")"),"средата")</f>
        <v>средата</v>
      </c>
      <c r="D1735" s="1" t="str">
        <f ca="1">IFERROR(__xludf.DUMMYFUNCTION("GOOGLETRANSLATE(English!D1735, ""en"", ""bg"")"),"киселини и основи")</f>
        <v>киселини и основи</v>
      </c>
      <c r="E1735" s="1" t="str">
        <f ca="1">IFERROR(__xludf.DUMMYFUNCTION("GOOGLETRANSLATE(English!E1735,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1735" s="1" t="str">
        <f ca="1">IFERROR(__xludf.DUMMYFUNCTION("GOOGLETRANSLATE(English!F1735,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1735" s="1" t="str">
        <f ca="1">IFERROR(__xludf.DUMMYFUNCTION("GOOGLETRANSLATE(English!G1735, ""en"", ""bg"")"),"помощ_за_домашно_изпълнение")</f>
        <v>помощ_за_домашно_изпълнение</v>
      </c>
      <c r="H1735" s="1" t="str">
        <f ca="1">IFERROR(__xludf.DUMMYFUNCTION("GOOGLETRANSLATE(English!H1735, ""en"", ""bg"")"),"помощ_за_домашно_задаване")</f>
        <v>помощ_за_домашно_задаване</v>
      </c>
    </row>
    <row r="1736" spans="1:8" ht="13.2" x14ac:dyDescent="0.25">
      <c r="A1736" s="1" t="str">
        <f ca="1">IFERROR(__xludf.DUMMYFUNCTION("GOOGLETRANSLATE(English!A1736, ""en"", ""bg"")"),"qa_11003")</f>
        <v>qa_11003</v>
      </c>
      <c r="B1736" s="1" t="str">
        <f ca="1">IFERROR(__xludf.DUMMYFUNCTION("GOOGLETRANSLATE(English!B1736, ""en"", ""bg"")"),"физика")</f>
        <v>физика</v>
      </c>
      <c r="C1736" s="1" t="str">
        <f ca="1">IFERROR(__xludf.DUMMYFUNCTION("GOOGLETRANSLATE(English!C1736, ""en"", ""bg"")"),"средата")</f>
        <v>средата</v>
      </c>
      <c r="D1736" s="1" t="str">
        <f ca="1">IFERROR(__xludf.DUMMYFUNCTION("GOOGLETRANSLATE(English!D1736, ""en"", ""bg"")"),"състояния на материята")</f>
        <v>състояния на материята</v>
      </c>
      <c r="E1736" s="1" t="str">
        <f ca="1">IFERROR(__xludf.DUMMYFUNCTION("GOOGLETRANSLATE(English!E1736, ""en"", ""bg"")"),"Можете ли да ми обясните състоянията на материята?")</f>
        <v>Можете ли да ми обясните състоянията на материята?</v>
      </c>
      <c r="F1736" s="1" t="str">
        <f ca="1">IFERROR(__xludf.DUMMYFUNCTION("GOOGLETRANSLATE(English!F1736,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1736" s="1" t="str">
        <f ca="1">IFERROR(__xludf.DUMMYFUNCTION("GOOGLETRANSLATE(English!G1736, ""en"", ""bg"")"),"direct_qa")</f>
        <v>direct_qa</v>
      </c>
      <c r="H1736" s="1" t="str">
        <f ca="1">IFERROR(__xludf.DUMMYFUNCTION("GOOGLETRANSLATE(English!H1736, ""en"", ""bg"")"),"заявка_за_знание")</f>
        <v>заявка_за_знание</v>
      </c>
    </row>
    <row r="1737" spans="1:8" ht="13.2" x14ac:dyDescent="0.25">
      <c r="A1737" s="1" t="str">
        <f ca="1">IFERROR(__xludf.DUMMYFUNCTION("GOOGLETRANSLATE(English!A1737, ""en"", ""bg"")"),"qa_11504")</f>
        <v>qa_11504</v>
      </c>
      <c r="B1737" s="1" t="str">
        <f ca="1">IFERROR(__xludf.DUMMYFUNCTION("GOOGLETRANSLATE(English!B1737, ""en"", ""bg"")"),"физика")</f>
        <v>физика</v>
      </c>
      <c r="C1737" s="1" t="str">
        <f ca="1">IFERROR(__xludf.DUMMYFUNCTION("GOOGLETRANSLATE(English!C1737, ""en"", ""bg"")"),"средата")</f>
        <v>средата</v>
      </c>
      <c r="D1737" s="1" t="str">
        <f ca="1">IFERROR(__xludf.DUMMYFUNCTION("GOOGLETRANSLATE(English!D1737, ""en"", ""bg"")"),"плътност")</f>
        <v>плътност</v>
      </c>
      <c r="E1737" s="1" t="str">
        <f ca="1">IFERROR(__xludf.DUMMYFUNCTION("GOOGLETRANSLATE(English!E1737, ""en"", ""bg"")"),"Как работи плътността във физиката?")</f>
        <v>Как работи плътността във физиката?</v>
      </c>
      <c r="F1737" s="1" t="str">
        <f ca="1">IFERROR(__xludf.DUMMYFUNCTION("GOOGLETRANSLATE(English!F1737,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1737" s="1" t="str">
        <f ca="1">IFERROR(__xludf.DUMMYFUNCTION("GOOGLETRANSLATE(English!G1737, ""en"", ""bg"")"),"direct_qa")</f>
        <v>direct_qa</v>
      </c>
      <c r="H1737" s="1" t="str">
        <f ca="1">IFERROR(__xludf.DUMMYFUNCTION("GOOGLETRANSLATE(English!H1737, ""en"", ""bg"")"),"заявка_за_знание")</f>
        <v>заявка_за_знание</v>
      </c>
    </row>
    <row r="1738" spans="1:8" ht="13.2" x14ac:dyDescent="0.25">
      <c r="A1738" s="1" t="str">
        <f ca="1">IFERROR(__xludf.DUMMYFUNCTION("GOOGLETRANSLATE(English!A1738, ""en"", ""bg"")"),"hw_05825")</f>
        <v>hw_05825</v>
      </c>
      <c r="B1738" s="1" t="str">
        <f ca="1">IFERROR(__xludf.DUMMYFUNCTION("GOOGLETRANSLATE(English!B1738, ""en"", ""bg"")"),"химия")</f>
        <v>химия</v>
      </c>
      <c r="C1738" s="1" t="str">
        <f ca="1">IFERROR(__xludf.DUMMYFUNCTION("GOOGLETRANSLATE(English!C1738, ""en"", ""bg"")"),"елементарен")</f>
        <v>елементарен</v>
      </c>
      <c r="D1738" s="1" t="str">
        <f ca="1">IFERROR(__xludf.DUMMYFUNCTION("GOOGLETRANSLATE(English!D1738, ""en"", ""bg"")"),"безопасност")</f>
        <v>безопасност</v>
      </c>
      <c r="E1738" s="1" t="str">
        <f ca="1">IFERROR(__xludf.DUMMYFUNCTION("GOOGLETRANSLATE(English!E1738, ""en"", ""bg"")"),"Не разбирам тази концепция за безопасност. Моля, обяснете!")</f>
        <v>Не разбирам тази концепция за безопасност. Моля, обяснете!</v>
      </c>
      <c r="F1738" s="1" t="str">
        <f ca="1">IFERROR(__xludf.DUMMYFUNCTION("GOOGLETRANSLATE(English!F1738,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1738" s="1" t="str">
        <f ca="1">IFERROR(__xludf.DUMMYFUNCTION("GOOGLETRANSLATE(English!G1738, ""en"", ""bg"")"),"помощ_за_домашно_изпълнение")</f>
        <v>помощ_за_домашно_изпълнение</v>
      </c>
      <c r="H1738" s="1" t="str">
        <f ca="1">IFERROR(__xludf.DUMMYFUNCTION("GOOGLETRANSLATE(English!H1738, ""en"", ""bg"")"),"помощ_за_домашно_задаване")</f>
        <v>помощ_за_домашно_задаване</v>
      </c>
    </row>
    <row r="1739" spans="1:8" ht="13.2" x14ac:dyDescent="0.25">
      <c r="A1739" s="1" t="str">
        <f ca="1">IFERROR(__xludf.DUMMYFUNCTION("GOOGLETRANSLATE(English!A1739, ""en"", ""bg"")"),"hw_11887")</f>
        <v>hw_11887</v>
      </c>
      <c r="B1739" s="1" t="str">
        <f ca="1">IFERROR(__xludf.DUMMYFUNCTION("GOOGLETRANSLATE(English!B1739, ""en"", ""bg"")"),"биология")</f>
        <v>биология</v>
      </c>
      <c r="C1739" s="1" t="str">
        <f ca="1">IFERROR(__xludf.DUMMYFUNCTION("GOOGLETRANSLATE(English!C1739, ""en"", ""bg"")"),"елементарен")</f>
        <v>елементарен</v>
      </c>
      <c r="D1739" s="1" t="str">
        <f ca="1">IFERROR(__xludf.DUMMYFUNCTION("GOOGLETRANSLATE(English!D1739, ""en"", ""bg"")"),"човешкото тяло")</f>
        <v>човешкото тяло</v>
      </c>
      <c r="E1739" s="1" t="str">
        <f ca="1">IFERROR(__xludf.DUMMYFUNCTION("GOOGLETRANSLATE(English!E1739, ""en"", ""bg"")"),"Домашното ми пита за човешкото тяло. Не го разбирам.")</f>
        <v>Домашното ми пита за човешкото тяло. Не го разбирам.</v>
      </c>
      <c r="F1739" s="1" t="str">
        <f ca="1">IFERROR(__xludf.DUMMYFUNCTION("GOOGLETRANSLATE(English!F1739,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1739" s="1" t="str">
        <f ca="1">IFERROR(__xludf.DUMMYFUNCTION("GOOGLETRANSLATE(English!G1739, ""en"", ""bg"")"),"помощ_за_домашно_изпълнение")</f>
        <v>помощ_за_домашно_изпълнение</v>
      </c>
      <c r="H1739" s="1" t="str">
        <f ca="1">IFERROR(__xludf.DUMMYFUNCTION("GOOGLETRANSLATE(English!H1739, ""en"", ""bg"")"),"помощ_за_домашно_задаване")</f>
        <v>помощ_за_домашно_задаване</v>
      </c>
    </row>
    <row r="1740" spans="1:8" ht="13.2" x14ac:dyDescent="0.25">
      <c r="A1740" s="1" t="str">
        <f ca="1">IFERROR(__xludf.DUMMYFUNCTION("GOOGLETRANSLATE(English!A1740, ""en"", ""bg"")"),"qa_14422")</f>
        <v>qa_14422</v>
      </c>
      <c r="B1740" s="1" t="str">
        <f ca="1">IFERROR(__xludf.DUMMYFUNCTION("GOOGLETRANSLATE(English!B1740, ""en"", ""bg"")"),"химия")</f>
        <v>химия</v>
      </c>
      <c r="C1740" s="1" t="str">
        <f ca="1">IFERROR(__xludf.DUMMYFUNCTION("GOOGLETRANSLATE(English!C1740, ""en"", ""bg"")"),"средата")</f>
        <v>средата</v>
      </c>
      <c r="D1740" s="1" t="str">
        <f ca="1">IFERROR(__xludf.DUMMYFUNCTION("GOOGLETRANSLATE(English!D1740, ""en"", ""bg"")"),"киселини и основи")</f>
        <v>киселини и основи</v>
      </c>
      <c r="E1740" s="1" t="str">
        <f ca="1">IFERROR(__xludf.DUMMYFUNCTION("GOOGLETRANSLATE(English!E1740, ""en"", ""bg"")"),"Защо е важно да се изучават киселини и основи?")</f>
        <v>Защо е важно да се изучават киселини и основи?</v>
      </c>
      <c r="F1740" s="1" t="str">
        <f ca="1">IFERROR(__xludf.DUMMYFUNCTION("GOOGLETRANSLATE(English!F1740,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1740" s="1" t="str">
        <f ca="1">IFERROR(__xludf.DUMMYFUNCTION("GOOGLETRANSLATE(English!G1740, ""en"", ""bg"")"),"direct_qa")</f>
        <v>direct_qa</v>
      </c>
      <c r="H1740" s="1" t="str">
        <f ca="1">IFERROR(__xludf.DUMMYFUNCTION("GOOGLETRANSLATE(English!H1740, ""en"", ""bg"")"),"заявка_за_знание")</f>
        <v>заявка_за_знание</v>
      </c>
    </row>
    <row r="1741" spans="1:8" ht="13.2" x14ac:dyDescent="0.25">
      <c r="A1741" s="1" t="str">
        <f ca="1">IFERROR(__xludf.DUMMYFUNCTION("GOOGLETRANSLATE(English!A1741, ""en"", ""bg"")"),"qa_10198")</f>
        <v>qa_10198</v>
      </c>
      <c r="B1741" s="1" t="str">
        <f ca="1">IFERROR(__xludf.DUMMYFUNCTION("GOOGLETRANSLATE(English!B1741, ""en"", ""bg"")"),"биология")</f>
        <v>биология</v>
      </c>
      <c r="C1741" s="1" t="str">
        <f ca="1">IFERROR(__xludf.DUMMYFUNCTION("GOOGLETRANSLATE(English!C1741, ""en"", ""bg"")"),"елементарен")</f>
        <v>елементарен</v>
      </c>
      <c r="D1741" s="1" t="str">
        <f ca="1">IFERROR(__xludf.DUMMYFUNCTION("GOOGLETRANSLATE(English!D1741, ""en"", ""bg"")"),"сетива")</f>
        <v>сетива</v>
      </c>
      <c r="E1741" s="1" t="str">
        <f ca="1">IFERROR(__xludf.DUMMYFUNCTION("GOOGLETRANSLATE(English!E1741, ""en"", ""bg"")"),"Можете ли да ми разкажете за сетивата?")</f>
        <v>Можете ли да ми разкажете за сетивата?</v>
      </c>
      <c r="F1741" s="1" t="str">
        <f ca="1">IFERROR(__xludf.DUMMYFUNCTION("GOOGLETRANSLATE(English!F1741,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1741" s="1" t="str">
        <f ca="1">IFERROR(__xludf.DUMMYFUNCTION("GOOGLETRANSLATE(English!G1741, ""en"", ""bg"")"),"direct_qa")</f>
        <v>direct_qa</v>
      </c>
      <c r="H1741" s="1" t="str">
        <f ca="1">IFERROR(__xludf.DUMMYFUNCTION("GOOGLETRANSLATE(English!H1741, ""en"", ""bg"")"),"заявка_за_знание")</f>
        <v>заявка_за_знание</v>
      </c>
    </row>
    <row r="1742" spans="1:8" ht="13.2" x14ac:dyDescent="0.25">
      <c r="A1742" s="1" t="str">
        <f ca="1">IFERROR(__xludf.DUMMYFUNCTION("GOOGLETRANSLATE(English!A1742, ""en"", ""bg"")"),"hw_08336")</f>
        <v>hw_08336</v>
      </c>
      <c r="B1742" s="1" t="str">
        <f ca="1">IFERROR(__xludf.DUMMYFUNCTION("GOOGLETRANSLATE(English!B1742, ""en"", ""bg"")"),"химия")</f>
        <v>химия</v>
      </c>
      <c r="C1742" s="1" t="str">
        <f ca="1">IFERROR(__xludf.DUMMYFUNCTION("GOOGLETRANSLATE(English!C1742, ""en"", ""bg"")"),"елементарен")</f>
        <v>елементарен</v>
      </c>
      <c r="D1742" s="1" t="str">
        <f ca="1">IFERROR(__xludf.DUMMYFUNCTION("GOOGLETRANSLATE(English!D1742, ""en"", ""bg"")"),"разтваряне")</f>
        <v>разтваряне</v>
      </c>
      <c r="E1742" s="1" t="str">
        <f ca="1">IFERROR(__xludf.DUMMYFUNCTION("GOOGLETRANSLATE(English!E1742, ""en"", ""bg"")"),"Можете ли да ми помогнете с изчисленията за разтваряне?")</f>
        <v>Можете ли да ми помогнете с изчисленията за разтваряне?</v>
      </c>
      <c r="F1742" s="1" t="str">
        <f ca="1">IFERROR(__xludf.DUMMYFUNCTION("GOOGLETRANSLATE(English!F1742,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1742" s="1" t="str">
        <f ca="1">IFERROR(__xludf.DUMMYFUNCTION("GOOGLETRANSLATE(English!G1742, ""en"", ""bg"")"),"помощ_за_домашно_изпълнение")</f>
        <v>помощ_за_домашно_изпълнение</v>
      </c>
      <c r="H1742" s="1" t="str">
        <f ca="1">IFERROR(__xludf.DUMMYFUNCTION("GOOGLETRANSLATE(English!H1742, ""en"", ""bg"")"),"помощ_за_домашно_задаване")</f>
        <v>помощ_за_домашно_задаване</v>
      </c>
    </row>
    <row r="1743" spans="1:8" ht="13.2" x14ac:dyDescent="0.25">
      <c r="A1743" s="1" t="str">
        <f ca="1">IFERROR(__xludf.DUMMYFUNCTION("GOOGLETRANSLATE(English!A1743, ""en"", ""bg"")"),"conv_13087")</f>
        <v>conv_13087</v>
      </c>
      <c r="B1743" s="1" t="str">
        <f ca="1">IFERROR(__xludf.DUMMYFUNCTION("GOOGLETRANSLATE(English!B1743, ""en"", ""bg"")"),"химия")</f>
        <v>химия</v>
      </c>
      <c r="C1743" s="1" t="str">
        <f ca="1">IFERROR(__xludf.DUMMYFUNCTION("GOOGLETRANSLATE(English!C1743, ""en"", ""bg"")"),"средата")</f>
        <v>средата</v>
      </c>
      <c r="D1743" s="1" t="str">
        <f ca="1">IFERROR(__xludf.DUMMYFUNCTION("GOOGLETRANSLATE(English!D1743, ""en"", ""bg"")"),"киселини и основи")</f>
        <v>киселини и основи</v>
      </c>
      <c r="E1743" s="1" t="str">
        <f ca="1">IFERROR(__xludf.DUMMYFUNCTION("GOOGLETRANSLATE(English!E1743, ""en"", ""bg"")"),"Имам нужда от помощ с домашното. Как действат киселините и основите в химията?")</f>
        <v>Имам нужда от помощ с домашното. Как действат киселините и основите в химията?</v>
      </c>
      <c r="F1743" s="1" t="str">
        <f ca="1">IFERROR(__xludf.DUMMYFUNCTION("GOOGLETRANSLATE(English!F1743,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743" s="1" t="str">
        <f ca="1">IFERROR(__xludf.DUMMYFUNCTION("GOOGLETRANSLATE(English!G1743, ""en"", ""bg"")"),"разговор")</f>
        <v>разговор</v>
      </c>
      <c r="H1743" s="1" t="str">
        <f ca="1">IFERROR(__xludf.DUMMYFUNCTION("GOOGLETRANSLATE(English!H1743, ""en"", ""bg"")"),"образователна_помощ")</f>
        <v>образователна_помощ</v>
      </c>
    </row>
    <row r="1744" spans="1:8" ht="13.2" x14ac:dyDescent="0.25">
      <c r="A1744" s="1" t="str">
        <f ca="1">IFERROR(__xludf.DUMMYFUNCTION("GOOGLETRANSLATE(English!A1744, ""en"", ""bg"")"),"hw_00883")</f>
        <v>hw_00883</v>
      </c>
      <c r="B1744" s="1" t="str">
        <f ca="1">IFERROR(__xludf.DUMMYFUNCTION("GOOGLETRANSLATE(English!B1744, ""en"", ""bg"")"),"химия")</f>
        <v>химия</v>
      </c>
      <c r="C1744" s="1" t="str">
        <f ca="1">IFERROR(__xludf.DUMMYFUNCTION("GOOGLETRANSLATE(English!C1744, ""en"", ""bg"")"),"средата")</f>
        <v>средата</v>
      </c>
      <c r="D1744" s="1" t="str">
        <f ca="1">IFERROR(__xludf.DUMMYFUNCTION("GOOGLETRANSLATE(English!D1744, ""en"", ""bg"")"),"съединения срещу елементи")</f>
        <v>съединения срещу елементи</v>
      </c>
      <c r="E1744" s="1" t="str">
        <f ca="1">IFERROR(__xludf.DUMMYFUNCTION("GOOGLETRANSLATE(English!E1744, ""en"", ""bg"")"),"Можете ли да ми помогнете с изчисленията на съединенията спрямо елементите?")</f>
        <v>Можете ли да ми помогнете с изчисленията на съединенията спрямо елементите?</v>
      </c>
      <c r="F1744" s="1" t="str">
        <f ca="1">IFERROR(__xludf.DUMMYFUNCTION("GOOGLETRANSLATE(English!F1744,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1744" s="1" t="str">
        <f ca="1">IFERROR(__xludf.DUMMYFUNCTION("GOOGLETRANSLATE(English!G1744, ""en"", ""bg"")"),"помощ_за_домашно_изпълнение")</f>
        <v>помощ_за_домашно_изпълнение</v>
      </c>
      <c r="H1744" s="1" t="str">
        <f ca="1">IFERROR(__xludf.DUMMYFUNCTION("GOOGLETRANSLATE(English!H1744, ""en"", ""bg"")"),"помощ_за_домашно_задаване")</f>
        <v>помощ_за_домашно_задаване</v>
      </c>
    </row>
    <row r="1745" spans="1:8" ht="13.2" x14ac:dyDescent="0.25">
      <c r="A1745" s="1" t="str">
        <f ca="1">IFERROR(__xludf.DUMMYFUNCTION("GOOGLETRANSLATE(English!A1745, ""en"", ""bg"")"),"conv_10454")</f>
        <v>conv_10454</v>
      </c>
      <c r="B1745" s="1" t="str">
        <f ca="1">IFERROR(__xludf.DUMMYFUNCTION("GOOGLETRANSLATE(English!B1745, ""en"", ""bg"")"),"биология")</f>
        <v>биология</v>
      </c>
      <c r="C1745" s="1" t="str">
        <f ca="1">IFERROR(__xludf.DUMMYFUNCTION("GOOGLETRANSLATE(English!C1745, ""en"", ""bg"")"),"средата")</f>
        <v>средата</v>
      </c>
      <c r="D1745" s="1" t="str">
        <f ca="1">IFERROR(__xludf.DUMMYFUNCTION("GOOGLETRANSLATE(English!D1745, ""en"", ""bg"")"),"клетки")</f>
        <v>клетки</v>
      </c>
      <c r="E1745" s="1" t="str">
        <f ca="1">IFERROR(__xludf.DUMMYFUNCTION("GOOGLETRANSLATE(English!E1745, ""en"", ""bg"")"),"Можете ли да ми обясните това? Какво е клетка?")</f>
        <v>Можете ли да ми обясните това? Какво е клетка?</v>
      </c>
      <c r="F1745" s="1" t="str">
        <f ca="1">IFERROR(__xludf.DUMMYFUNCTION("GOOGLETRANSLATE(English!F1745,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1745" s="1" t="str">
        <f ca="1">IFERROR(__xludf.DUMMYFUNCTION("GOOGLETRANSLATE(English!G1745, ""en"", ""bg"")"),"разговор")</f>
        <v>разговор</v>
      </c>
      <c r="H1745" s="1" t="str">
        <f ca="1">IFERROR(__xludf.DUMMYFUNCTION("GOOGLETRANSLATE(English!H1745, ""en"", ""bg"")"),"образователна_помощ")</f>
        <v>образователна_помощ</v>
      </c>
    </row>
    <row r="1746" spans="1:8" ht="13.2" x14ac:dyDescent="0.25">
      <c r="A1746" s="1" t="str">
        <f ca="1">IFERROR(__xludf.DUMMYFUNCTION("GOOGLETRANSLATE(English!A1746, ""en"", ""bg"")"),"conv_03150")</f>
        <v>conv_03150</v>
      </c>
      <c r="B1746" s="1" t="str">
        <f ca="1">IFERROR(__xludf.DUMMYFUNCTION("GOOGLETRANSLATE(English!B1746, ""en"", ""bg"")"),"биология")</f>
        <v>биология</v>
      </c>
      <c r="C1746" s="1" t="str">
        <f ca="1">IFERROR(__xludf.DUMMYFUNCTION("GOOGLETRANSLATE(English!C1746, ""en"", ""bg"")"),"средата")</f>
        <v>средата</v>
      </c>
      <c r="D1746" s="1" t="str">
        <f ca="1">IFERROR(__xludf.DUMMYFUNCTION("GOOGLETRANSLATE(English!D1746, ""en"", ""bg"")"),"дишане")</f>
        <v>дишане</v>
      </c>
      <c r="E1746" s="1" t="str">
        <f ca="1">IFERROR(__xludf.DUMMYFUNCTION("GOOGLETRANSLATE(English!E1746, ""en"", ""bg"")"),"Не разбирам тази тема. Защо дишането е важно в биологията?")</f>
        <v>Не разбирам тази тема. Защо дишането е важно в биологията?</v>
      </c>
      <c r="F1746" s="1" t="str">
        <f ca="1">IFERROR(__xludf.DUMMYFUNCTION("GOOGLETRANSLATE(English!F1746, ""en"", ""bg"")"),"Дишането е важно, защото ни помага да разберем живота и как живите същества оцеляват.")</f>
        <v>Дишането е важно, защото ни помага да разберем живота и как живите същества оцеляват.</v>
      </c>
      <c r="G1746" s="1" t="str">
        <f ca="1">IFERROR(__xludf.DUMMYFUNCTION("GOOGLETRANSLATE(English!G1746, ""en"", ""bg"")"),"разговор")</f>
        <v>разговор</v>
      </c>
      <c r="H1746" s="1" t="str">
        <f ca="1">IFERROR(__xludf.DUMMYFUNCTION("GOOGLETRANSLATE(English!H1746, ""en"", ""bg"")"),"образователна_помощ")</f>
        <v>образователна_помощ</v>
      </c>
    </row>
    <row r="1747" spans="1:8" ht="13.2" x14ac:dyDescent="0.25">
      <c r="A1747" s="1" t="str">
        <f ca="1">IFERROR(__xludf.DUMMYFUNCTION("GOOGLETRANSLATE(English!A1747, ""en"", ""bg"")"),"hw_05181")</f>
        <v>hw_05181</v>
      </c>
      <c r="B1747" s="1" t="str">
        <f ca="1">IFERROR(__xludf.DUMMYFUNCTION("GOOGLETRANSLATE(English!B1747, ""en"", ""bg"")"),"физика")</f>
        <v>физика</v>
      </c>
      <c r="C1747" s="1" t="str">
        <f ca="1">IFERROR(__xludf.DUMMYFUNCTION("GOOGLETRANSLATE(English!C1747, ""en"", ""bg"")"),"високо")</f>
        <v>високо</v>
      </c>
      <c r="D1747" s="1" t="str">
        <f ca="1">IFERROR(__xludf.DUMMYFUNCTION("GOOGLETRANSLATE(English!D1747, ""en"", ""bg"")"),"термодинамика")</f>
        <v>термодинамика</v>
      </c>
      <c r="E1747" s="1" t="str">
        <f ca="1">IFERROR(__xludf.DUMMYFUNCTION("GOOGLETRANSLATE(English!E1747, ""en"", ""bg"")"),"Можете ли да решите тази задача по термодинамика с мен?")</f>
        <v>Можете ли да решите тази задача по термодинамика с мен?</v>
      </c>
      <c r="F1747" s="1" t="str">
        <f ca="1">IFERROR(__xludf.DUMMYFUNCTION("GOOGLETRANSLATE(English!F1747,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1747" s="1" t="str">
        <f ca="1">IFERROR(__xludf.DUMMYFUNCTION("GOOGLETRANSLATE(English!G1747, ""en"", ""bg"")"),"помощ_за_домашно_изпълнение")</f>
        <v>помощ_за_домашно_изпълнение</v>
      </c>
      <c r="H1747" s="1" t="str">
        <f ca="1">IFERROR(__xludf.DUMMYFUNCTION("GOOGLETRANSLATE(English!H1747, ""en"", ""bg"")"),"помощ_за_домашно_задаване")</f>
        <v>помощ_за_домашно_задаване</v>
      </c>
    </row>
    <row r="1748" spans="1:8" ht="13.2" x14ac:dyDescent="0.25">
      <c r="A1748" s="1" t="str">
        <f ca="1">IFERROR(__xludf.DUMMYFUNCTION("GOOGLETRANSLATE(English!A1748, ""en"", ""bg"")"),"hw_06400")</f>
        <v>hw_06400</v>
      </c>
      <c r="B1748" s="1" t="str">
        <f ca="1">IFERROR(__xludf.DUMMYFUNCTION("GOOGLETRANSLATE(English!B1748, ""en"", ""bg"")"),"биология")</f>
        <v>биология</v>
      </c>
      <c r="C1748" s="1" t="str">
        <f ca="1">IFERROR(__xludf.DUMMYFUNCTION("GOOGLETRANSLATE(English!C1748, ""en"", ""bg"")"),"високо")</f>
        <v>високо</v>
      </c>
      <c r="D1748" s="1" t="str">
        <f ca="1">IFERROR(__xludf.DUMMYFUNCTION("GOOGLETRANSLATE(English!D1748, ""en"", ""bg"")"),"клетъчно дишане")</f>
        <v>клетъчно дишане</v>
      </c>
      <c r="E1748" s="1" t="str">
        <f ca="1">IFERROR(__xludf.DUMMYFUNCTION("GOOGLETRANSLATE(English!E1748,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1748" s="1" t="str">
        <f ca="1">IFERROR(__xludf.DUMMYFUNCTION("GOOGLETRANSLATE(English!F1748,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748" s="1" t="str">
        <f ca="1">IFERROR(__xludf.DUMMYFUNCTION("GOOGLETRANSLATE(English!G1748, ""en"", ""bg"")"),"помощ_за_домашно_изпълнение")</f>
        <v>помощ_за_домашно_изпълнение</v>
      </c>
      <c r="H1748" s="1" t="str">
        <f ca="1">IFERROR(__xludf.DUMMYFUNCTION("GOOGLETRANSLATE(English!H1748, ""en"", ""bg"")"),"помощ_за_домашно_задаване")</f>
        <v>помощ_за_домашно_задаване</v>
      </c>
    </row>
    <row r="1749" spans="1:8" ht="13.2" x14ac:dyDescent="0.25">
      <c r="A1749" s="1" t="str">
        <f ca="1">IFERROR(__xludf.DUMMYFUNCTION("GOOGLETRANSLATE(English!A1749, ""en"", ""bg"")"),"hw_10991")</f>
        <v>hw_10991</v>
      </c>
      <c r="B1749" s="1" t="str">
        <f ca="1">IFERROR(__xludf.DUMMYFUNCTION("GOOGLETRANSLATE(English!B1749, ""en"", ""bg"")"),"химия")</f>
        <v>химия</v>
      </c>
      <c r="C1749" s="1" t="str">
        <f ca="1">IFERROR(__xludf.DUMMYFUNCTION("GOOGLETRANSLATE(English!C1749, ""en"", ""bg"")"),"високо")</f>
        <v>високо</v>
      </c>
      <c r="D1749" s="1" t="str">
        <f ca="1">IFERROR(__xludf.DUMMYFUNCTION("GOOGLETRANSLATE(English!D1749, ""en"", ""bg"")"),"електрохимия")</f>
        <v>електрохимия</v>
      </c>
      <c r="E1749" s="1" t="str">
        <f ca="1">IFERROR(__xludf.DUMMYFUNCTION("GOOGLETRANSLATE(English!E1749, ""en"", ""bg"")"),"Можете ли да ми помогнете с електрохимични изчисления?")</f>
        <v>Можете ли да ми помогнете с електрохимични изчисления?</v>
      </c>
      <c r="F1749" s="1" t="str">
        <f ca="1">IFERROR(__xludf.DUMMYFUNCTION("GOOGLETRANSLATE(English!F1749,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1749" s="1" t="str">
        <f ca="1">IFERROR(__xludf.DUMMYFUNCTION("GOOGLETRANSLATE(English!G1749, ""en"", ""bg"")"),"помощ_за_домашно_изпълнение")</f>
        <v>помощ_за_домашно_изпълнение</v>
      </c>
      <c r="H1749" s="1" t="str">
        <f ca="1">IFERROR(__xludf.DUMMYFUNCTION("GOOGLETRANSLATE(English!H1749, ""en"", ""bg"")"),"помощ_за_домашно_задаване")</f>
        <v>помощ_за_домашно_задаване</v>
      </c>
    </row>
    <row r="1750" spans="1:8" ht="13.2" x14ac:dyDescent="0.25">
      <c r="A1750" s="1" t="str">
        <f ca="1">IFERROR(__xludf.DUMMYFUNCTION("GOOGLETRANSLATE(English!A1750, ""en"", ""bg"")"),"conv_01197")</f>
        <v>conv_01197</v>
      </c>
      <c r="B1750" s="1" t="str">
        <f ca="1">IFERROR(__xludf.DUMMYFUNCTION("GOOGLETRANSLATE(English!B1750, ""en"", ""bg"")"),"физика")</f>
        <v>физика</v>
      </c>
      <c r="C1750" s="1" t="str">
        <f ca="1">IFERROR(__xludf.DUMMYFUNCTION("GOOGLETRANSLATE(English!C1750, ""en"", ""bg"")"),"високо")</f>
        <v>високо</v>
      </c>
      <c r="D1750" s="1" t="str">
        <f ca="1">IFERROR(__xludf.DUMMYFUNCTION("GOOGLETRANSLATE(English!D1750, ""en"", ""bg"")"),"термодинамика")</f>
        <v>термодинамика</v>
      </c>
      <c r="E1750" s="1" t="str">
        <f ca="1">IFERROR(__xludf.DUMMYFUNCTION("GOOGLETRANSLATE(English!E1750, ""en"", ""bg"")"),"Помогнете ми да уча за теста си. Как работи термодинамиката във физиката?")</f>
        <v>Помогнете ми да уча за теста си. Как работи термодинамиката във физиката?</v>
      </c>
      <c r="F1750" s="1" t="str">
        <f ca="1">IFERROR(__xludf.DUMMYFUNCTION("GOOGLETRANSLATE(English!F1750,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1750" s="1" t="str">
        <f ca="1">IFERROR(__xludf.DUMMYFUNCTION("GOOGLETRANSLATE(English!G1750, ""en"", ""bg"")"),"разговор")</f>
        <v>разговор</v>
      </c>
      <c r="H1750" s="1" t="str">
        <f ca="1">IFERROR(__xludf.DUMMYFUNCTION("GOOGLETRANSLATE(English!H1750, ""en"", ""bg"")"),"образователна_помощ")</f>
        <v>образователна_помощ</v>
      </c>
    </row>
    <row r="1751" spans="1:8" ht="13.2" x14ac:dyDescent="0.25">
      <c r="A1751" s="1" t="str">
        <f ca="1">IFERROR(__xludf.DUMMYFUNCTION("GOOGLETRANSLATE(English!A1751, ""en"", ""bg"")"),"conv_19288")</f>
        <v>conv_19288</v>
      </c>
      <c r="B1751" s="1" t="str">
        <f ca="1">IFERROR(__xludf.DUMMYFUNCTION("GOOGLETRANSLATE(English!B1751, ""en"", ""bg"")"),"физика")</f>
        <v>физика</v>
      </c>
      <c r="C1751" s="1" t="str">
        <f ca="1">IFERROR(__xludf.DUMMYFUNCTION("GOOGLETRANSLATE(English!C1751, ""en"", ""bg"")"),"средата")</f>
        <v>средата</v>
      </c>
      <c r="D1751" s="1" t="str">
        <f ca="1">IFERROR(__xludf.DUMMYFUNCTION("GOOGLETRANSLATE(English!D1751, ""en"", ""bg"")"),"прости схеми")</f>
        <v>прости схеми</v>
      </c>
      <c r="E1751" s="1" t="str">
        <f ca="1">IFERROR(__xludf.DUMMYFUNCTION("GOOGLETRANSLATE(English!E1751, ""en"", ""bg"")"),"Имам нужда от помощ с домашното. Защо простите електрически вериги са важни?")</f>
        <v>Имам нужда от помощ с домашното. Защо простите електрически вериги са важни?</v>
      </c>
      <c r="F1751" s="1" t="str">
        <f ca="1">IFERROR(__xludf.DUMMYFUNCTION("GOOGLETRANSLATE(English!F1751,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751" s="1" t="str">
        <f ca="1">IFERROR(__xludf.DUMMYFUNCTION("GOOGLETRANSLATE(English!G1751, ""en"", ""bg"")"),"разговор")</f>
        <v>разговор</v>
      </c>
      <c r="H1751" s="1" t="str">
        <f ca="1">IFERROR(__xludf.DUMMYFUNCTION("GOOGLETRANSLATE(English!H1751, ""en"", ""bg"")"),"образователна_помощ")</f>
        <v>образователна_помощ</v>
      </c>
    </row>
    <row r="1752" spans="1:8" ht="13.2" x14ac:dyDescent="0.25">
      <c r="A1752" s="1" t="str">
        <f ca="1">IFERROR(__xludf.DUMMYFUNCTION("GOOGLETRANSLATE(English!A1752, ""en"", ""bg"")"),"hw_08288")</f>
        <v>hw_08288</v>
      </c>
      <c r="B1752" s="1" t="str">
        <f ca="1">IFERROR(__xludf.DUMMYFUNCTION("GOOGLETRANSLATE(English!B1752, ""en"", ""bg"")"),"физика")</f>
        <v>физика</v>
      </c>
      <c r="C1752" s="1" t="str">
        <f ca="1">IFERROR(__xludf.DUMMYFUNCTION("GOOGLETRANSLATE(English!C1752, ""en"", ""bg"")"),"елементарен")</f>
        <v>елементарен</v>
      </c>
      <c r="D1752" s="1" t="str">
        <f ca="1">IFERROR(__xludf.DUMMYFUNCTION("GOOGLETRANSLATE(English!D1752, ""en"", ""bg"")"),"звук")</f>
        <v>звук</v>
      </c>
      <c r="E1752" s="1" t="str">
        <f ca="1">IFERROR(__xludf.DUMMYFUNCTION("GOOGLETRANSLATE(English!E1752, ""en"", ""bg"")"),"Домашното ми по физика е за звук. Объркващо е!")</f>
        <v>Домашното ми по физика е за звук. Объркващо е!</v>
      </c>
      <c r="F1752" s="1" t="str">
        <f ca="1">IFERROR(__xludf.DUMMYFUNCTION("GOOGLETRANSLATE(English!F1752,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752" s="1" t="str">
        <f ca="1">IFERROR(__xludf.DUMMYFUNCTION("GOOGLETRANSLATE(English!G1752, ""en"", ""bg"")"),"помощ_за_домашно_изпълнение")</f>
        <v>помощ_за_домашно_изпълнение</v>
      </c>
      <c r="H1752" s="1" t="str">
        <f ca="1">IFERROR(__xludf.DUMMYFUNCTION("GOOGLETRANSLATE(English!H1752, ""en"", ""bg"")"),"помощ_за_домашно_задаване")</f>
        <v>помощ_за_домашно_задаване</v>
      </c>
    </row>
    <row r="1753" spans="1:8" ht="13.2" x14ac:dyDescent="0.25">
      <c r="A1753" s="1" t="str">
        <f ca="1">IFERROR(__xludf.DUMMYFUNCTION("GOOGLETRANSLATE(English!A1753, ""en"", ""bg"")"),"hw_08672")</f>
        <v>hw_08672</v>
      </c>
      <c r="B1753" s="1" t="str">
        <f ca="1">IFERROR(__xludf.DUMMYFUNCTION("GOOGLETRANSLATE(English!B1753, ""en"", ""bg"")"),"физика")</f>
        <v>физика</v>
      </c>
      <c r="C1753" s="1" t="str">
        <f ca="1">IFERROR(__xludf.DUMMYFUNCTION("GOOGLETRANSLATE(English!C1753, ""en"", ""bg"")"),"елементарен")</f>
        <v>елементарен</v>
      </c>
      <c r="D1753" s="1" t="str">
        <f ca="1">IFERROR(__xludf.DUMMYFUNCTION("GOOGLETRANSLATE(English!D1753, ""en"", ""bg"")"),"звук")</f>
        <v>звук</v>
      </c>
      <c r="E1753" s="1" t="str">
        <f ca="1">IFERROR(__xludf.DUMMYFUNCTION("GOOGLETRANSLATE(English!E1753, ""en"", ""bg"")"),"Можете ли да решите този важен въпрос с мен?")</f>
        <v>Можете ли да решите този важен въпрос с мен?</v>
      </c>
      <c r="F1753" s="1" t="str">
        <f ca="1">IFERROR(__xludf.DUMMYFUNCTION("GOOGLETRANSLATE(English!F1753,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1753" s="1" t="str">
        <f ca="1">IFERROR(__xludf.DUMMYFUNCTION("GOOGLETRANSLATE(English!G1753, ""en"", ""bg"")"),"помощ_за_домашно_изпълнение")</f>
        <v>помощ_за_домашно_изпълнение</v>
      </c>
      <c r="H1753" s="1" t="str">
        <f ca="1">IFERROR(__xludf.DUMMYFUNCTION("GOOGLETRANSLATE(English!H1753, ""en"", ""bg"")"),"помощ_за_домашно_задаване")</f>
        <v>помощ_за_домашно_задаване</v>
      </c>
    </row>
    <row r="1754" spans="1:8" ht="13.2" x14ac:dyDescent="0.25">
      <c r="A1754" s="1" t="str">
        <f ca="1">IFERROR(__xludf.DUMMYFUNCTION("GOOGLETRANSLATE(English!A1754, ""en"", ""bg"")"),"qa_03968")</f>
        <v>qa_03968</v>
      </c>
      <c r="B1754" s="1" t="str">
        <f ca="1">IFERROR(__xludf.DUMMYFUNCTION("GOOGLETRANSLATE(English!B1754, ""en"", ""bg"")"),"биология")</f>
        <v>биология</v>
      </c>
      <c r="C1754" s="1" t="str">
        <f ca="1">IFERROR(__xludf.DUMMYFUNCTION("GOOGLETRANSLATE(English!C1754, ""en"", ""bg"")"),"средата")</f>
        <v>средата</v>
      </c>
      <c r="D1754" s="1" t="str">
        <f ca="1">IFERROR(__xludf.DUMMYFUNCTION("GOOGLETRANSLATE(English!D1754, ""en"", ""bg"")"),"основи на генетиката")</f>
        <v>основи на генетиката</v>
      </c>
      <c r="E1754" s="1" t="str">
        <f ca="1">IFERROR(__xludf.DUMMYFUNCTION("GOOGLETRANSLATE(English!E1754, ""en"", ""bg"")"),"Защо основите на генетиката са важни в биологията?")</f>
        <v>Защо основите на генетиката са важни в биологията?</v>
      </c>
      <c r="F1754" s="1" t="str">
        <f ca="1">IFERROR(__xludf.DUMMYFUNCTION("GOOGLETRANSLATE(English!F1754,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1754" s="1" t="str">
        <f ca="1">IFERROR(__xludf.DUMMYFUNCTION("GOOGLETRANSLATE(English!G1754, ""en"", ""bg"")"),"direct_qa")</f>
        <v>direct_qa</v>
      </c>
      <c r="H1754" s="1" t="str">
        <f ca="1">IFERROR(__xludf.DUMMYFUNCTION("GOOGLETRANSLATE(English!H1754, ""en"", ""bg"")"),"заявка_за_знание")</f>
        <v>заявка_за_знание</v>
      </c>
    </row>
    <row r="1755" spans="1:8" ht="13.2" x14ac:dyDescent="0.25">
      <c r="A1755" s="1" t="str">
        <f ca="1">IFERROR(__xludf.DUMMYFUNCTION("GOOGLETRANSLATE(English!A1755, ""en"", ""bg"")"),"hw_11374")</f>
        <v>hw_11374</v>
      </c>
      <c r="B1755" s="1" t="str">
        <f ca="1">IFERROR(__xludf.DUMMYFUNCTION("GOOGLETRANSLATE(English!B1755, ""en"", ""bg"")"),"биология")</f>
        <v>биология</v>
      </c>
      <c r="C1755" s="1" t="str">
        <f ca="1">IFERROR(__xludf.DUMMYFUNCTION("GOOGLETRANSLATE(English!C1755, ""en"", ""bg"")"),"средата")</f>
        <v>средата</v>
      </c>
      <c r="D1755" s="1" t="str">
        <f ca="1">IFERROR(__xludf.DUMMYFUNCTION("GOOGLETRANSLATE(English!D1755, ""en"", ""bg"")"),"класификация")</f>
        <v>класификация</v>
      </c>
      <c r="E1755" s="1" t="str">
        <f ca="1">IFERROR(__xludf.DUMMYFUNCTION("GOOGLETRANSLATE(English!E1755, ""en"", ""bg"")"),"Утре имам тест по класификация. Помогни ми да уча!")</f>
        <v>Утре имам тест по класификация. Помогни ми да уча!</v>
      </c>
      <c r="F1755" s="1" t="str">
        <f ca="1">IFERROR(__xludf.DUMMYFUNCTION("GOOGLETRANSLATE(English!F1755,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1755" s="1" t="str">
        <f ca="1">IFERROR(__xludf.DUMMYFUNCTION("GOOGLETRANSLATE(English!G1755, ""en"", ""bg"")"),"помощ_за_домашно_изпълнение")</f>
        <v>помощ_за_домашно_изпълнение</v>
      </c>
      <c r="H1755" s="1" t="str">
        <f ca="1">IFERROR(__xludf.DUMMYFUNCTION("GOOGLETRANSLATE(English!H1755, ""en"", ""bg"")"),"помощ_за_домашно_задаване")</f>
        <v>помощ_за_домашно_задаване</v>
      </c>
    </row>
    <row r="1756" spans="1:8" ht="13.2" x14ac:dyDescent="0.25">
      <c r="A1756" s="1" t="str">
        <f ca="1">IFERROR(__xludf.DUMMYFUNCTION("GOOGLETRANSLATE(English!A1756, ""en"", ""bg"")"),"qa_05649")</f>
        <v>qa_05649</v>
      </c>
      <c r="B1756" s="1" t="str">
        <f ca="1">IFERROR(__xludf.DUMMYFUNCTION("GOOGLETRANSLATE(English!B1756, ""en"", ""bg"")"),"биология")</f>
        <v>биология</v>
      </c>
      <c r="C1756" s="1" t="str">
        <f ca="1">IFERROR(__xludf.DUMMYFUNCTION("GOOGLETRANSLATE(English!C1756, ""en"", ""bg"")"),"високо")</f>
        <v>високо</v>
      </c>
      <c r="D1756" s="1" t="str">
        <f ca="1">IFERROR(__xludf.DUMMYFUNCTION("GOOGLETRANSLATE(English!D1756, ""en"", ""bg"")"),"синтез на протеини")</f>
        <v>синтез на протеини</v>
      </c>
      <c r="E1756" s="1" t="str">
        <f ca="1">IFERROR(__xludf.DUMMYFUNCTION("GOOGLETRANSLATE(English!E1756, ""en"", ""bg"")"),"Как работи синтезът на протеини?")</f>
        <v>Как работи синтезът на протеини?</v>
      </c>
      <c r="F1756" s="1" t="str">
        <f ca="1">IFERROR(__xludf.DUMMYFUNCTION("GOOGLETRANSLATE(English!F1756,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1756" s="1" t="str">
        <f ca="1">IFERROR(__xludf.DUMMYFUNCTION("GOOGLETRANSLATE(English!G1756, ""en"", ""bg"")"),"direct_qa")</f>
        <v>direct_qa</v>
      </c>
      <c r="H1756" s="1" t="str">
        <f ca="1">IFERROR(__xludf.DUMMYFUNCTION("GOOGLETRANSLATE(English!H1756, ""en"", ""bg"")"),"заявка_за_знание")</f>
        <v>заявка_за_знание</v>
      </c>
    </row>
    <row r="1757" spans="1:8" ht="13.2" x14ac:dyDescent="0.25">
      <c r="A1757" s="1" t="str">
        <f ca="1">IFERROR(__xludf.DUMMYFUNCTION("GOOGLETRANSLATE(English!A1757, ""en"", ""bg"")"),"qa_05815")</f>
        <v>qa_05815</v>
      </c>
      <c r="B1757" s="1" t="str">
        <f ca="1">IFERROR(__xludf.DUMMYFUNCTION("GOOGLETRANSLATE(English!B1757, ""en"", ""bg"")"),"физика")</f>
        <v>физика</v>
      </c>
      <c r="C1757" s="1" t="str">
        <f ca="1">IFERROR(__xludf.DUMMYFUNCTION("GOOGLETRANSLATE(English!C1757, ""en"", ""bg"")"),"средата")</f>
        <v>средата</v>
      </c>
      <c r="D1757" s="1" t="str">
        <f ca="1">IFERROR(__xludf.DUMMYFUNCTION("GOOGLETRANSLATE(English!D1757, ""en"", ""bg"")"),"вълни")</f>
        <v>вълни</v>
      </c>
      <c r="E1757" s="1" t="str">
        <f ca="1">IFERROR(__xludf.DUMMYFUNCTION("GOOGLETRANSLATE(English!E1757, ""en"", ""bg"")"),"Как работят вълните във физиката?")</f>
        <v>Как работят вълните във физиката?</v>
      </c>
      <c r="F1757" s="1" t="str">
        <f ca="1">IFERROR(__xludf.DUMMYFUNCTION("GOOGLETRANSLATE(English!F1757,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1757" s="1" t="str">
        <f ca="1">IFERROR(__xludf.DUMMYFUNCTION("GOOGLETRANSLATE(English!G1757, ""en"", ""bg"")"),"direct_qa")</f>
        <v>direct_qa</v>
      </c>
      <c r="H1757" s="1" t="str">
        <f ca="1">IFERROR(__xludf.DUMMYFUNCTION("GOOGLETRANSLATE(English!H1757, ""en"", ""bg"")"),"заявка_за_знание")</f>
        <v>заявка_за_знание</v>
      </c>
    </row>
    <row r="1758" spans="1:8" ht="13.2" x14ac:dyDescent="0.25">
      <c r="A1758" s="1" t="str">
        <f ca="1">IFERROR(__xludf.DUMMYFUNCTION("GOOGLETRANSLATE(English!A1758, ""en"", ""bg"")"),"qa_11252")</f>
        <v>qa_11252</v>
      </c>
      <c r="B1758" s="1" t="str">
        <f ca="1">IFERROR(__xludf.DUMMYFUNCTION("GOOGLETRANSLATE(English!B1758, ""en"", ""bg"")"),"биология")</f>
        <v>биология</v>
      </c>
      <c r="C1758" s="1" t="str">
        <f ca="1">IFERROR(__xludf.DUMMYFUNCTION("GOOGLETRANSLATE(English!C1758, ""en"", ""bg"")"),"средата")</f>
        <v>средата</v>
      </c>
      <c r="D1758" s="1" t="str">
        <f ca="1">IFERROR(__xludf.DUMMYFUNCTION("GOOGLETRANSLATE(English!D1758, ""en"", ""bg"")"),"класификация")</f>
        <v>класификация</v>
      </c>
      <c r="E1758" s="1" t="str">
        <f ca="1">IFERROR(__xludf.DUMMYFUNCTION("GOOGLETRANSLATE(English!E1758, ""en"", ""bg"")"),"Можете ли да ми кажете за класификацията?")</f>
        <v>Можете ли да ми кажете за класификацията?</v>
      </c>
      <c r="F1758" s="1" t="str">
        <f ca="1">IFERROR(__xludf.DUMMYFUNCTION("GOOGLETRANSLATE(English!F1758,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1758" s="1" t="str">
        <f ca="1">IFERROR(__xludf.DUMMYFUNCTION("GOOGLETRANSLATE(English!G1758, ""en"", ""bg"")"),"direct_qa")</f>
        <v>direct_qa</v>
      </c>
      <c r="H1758" s="1" t="str">
        <f ca="1">IFERROR(__xludf.DUMMYFUNCTION("GOOGLETRANSLATE(English!H1758, ""en"", ""bg"")"),"заявка_за_знание")</f>
        <v>заявка_за_знание</v>
      </c>
    </row>
    <row r="1759" spans="1:8" ht="13.2" x14ac:dyDescent="0.25">
      <c r="A1759" s="1" t="str">
        <f ca="1">IFERROR(__xludf.DUMMYFUNCTION("GOOGLETRANSLATE(English!A1759, ""en"", ""bg"")"),"hw_03461")</f>
        <v>hw_03461</v>
      </c>
      <c r="B1759" s="1" t="str">
        <f ca="1">IFERROR(__xludf.DUMMYFUNCTION("GOOGLETRANSLATE(English!B1759, ""en"", ""bg"")"),"химия")</f>
        <v>химия</v>
      </c>
      <c r="C1759" s="1" t="str">
        <f ca="1">IFERROR(__xludf.DUMMYFUNCTION("GOOGLETRANSLATE(English!C1759, ""en"", ""bg"")"),"елементарен")</f>
        <v>елементарен</v>
      </c>
      <c r="D1759" s="1" t="str">
        <f ca="1">IFERROR(__xludf.DUMMYFUNCTION("GOOGLETRANSLATE(English!D1759, ""en"", ""bg"")"),"ежедневни химикали")</f>
        <v>ежедневни химикали</v>
      </c>
      <c r="E1759" s="1" t="str">
        <f ca="1">IFERROR(__xludf.DUMMYFUNCTION("GOOGLETRANSLATE(English!E1759, ""en"", ""bg"")"),"Трудя се с ежедневните химикали в домашните си.")</f>
        <v>Трудя се с ежедневните химикали в домашните си.</v>
      </c>
      <c r="F1759" s="1" t="str">
        <f ca="1">IFERROR(__xludf.DUMMYFUNCTION("GOOGLETRANSLATE(English!F1759,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1759" s="1" t="str">
        <f ca="1">IFERROR(__xludf.DUMMYFUNCTION("GOOGLETRANSLATE(English!G1759, ""en"", ""bg"")"),"помощ_за_домашно_изпълнение")</f>
        <v>помощ_за_домашно_изпълнение</v>
      </c>
      <c r="H1759" s="1" t="str">
        <f ca="1">IFERROR(__xludf.DUMMYFUNCTION("GOOGLETRANSLATE(English!H1759, ""en"", ""bg"")"),"помощ_за_домашно_задаване")</f>
        <v>помощ_за_домашно_задаване</v>
      </c>
    </row>
    <row r="1760" spans="1:8" ht="13.2" x14ac:dyDescent="0.25">
      <c r="A1760" s="1" t="str">
        <f ca="1">IFERROR(__xludf.DUMMYFUNCTION("GOOGLETRANSLATE(English!A1760, ""en"", ""bg"")"),"qa_09604")</f>
        <v>qa_09604</v>
      </c>
      <c r="B1760" s="1" t="str">
        <f ca="1">IFERROR(__xludf.DUMMYFUNCTION("GOOGLETRANSLATE(English!B1760, ""en"", ""bg"")"),"физика")</f>
        <v>физика</v>
      </c>
      <c r="C1760" s="1" t="str">
        <f ca="1">IFERROR(__xludf.DUMMYFUNCTION("GOOGLETRANSLATE(English!C1760, ""en"", ""bg"")"),"елементарен")</f>
        <v>елементарен</v>
      </c>
      <c r="D1760" s="1" t="str">
        <f ca="1">IFERROR(__xludf.DUMMYFUNCTION("GOOGLETRANSLATE(English!D1760, ""en"", ""bg"")"),"светлина и сянка")</f>
        <v>светлина и сянка</v>
      </c>
      <c r="E1760" s="1" t="str">
        <f ca="1">IFERROR(__xludf.DUMMYFUNCTION("GOOGLETRANSLATE(English!E1760, ""en"", ""bg"")"),"Как се правят сенките?")</f>
        <v>Как се правят сенките?</v>
      </c>
      <c r="F1760" s="1" t="str">
        <f ca="1">IFERROR(__xludf.DUMMYFUNCTION("GOOGLETRANSLATE(English!F1760,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1760" s="1" t="str">
        <f ca="1">IFERROR(__xludf.DUMMYFUNCTION("GOOGLETRANSLATE(English!G1760, ""en"", ""bg"")"),"direct_qa")</f>
        <v>direct_qa</v>
      </c>
      <c r="H1760" s="1" t="str">
        <f ca="1">IFERROR(__xludf.DUMMYFUNCTION("GOOGLETRANSLATE(English!H1760, ""en"", ""bg"")"),"заявка_за_знание")</f>
        <v>заявка_за_знание</v>
      </c>
    </row>
    <row r="1761" spans="1:8" ht="13.2" x14ac:dyDescent="0.25">
      <c r="A1761" s="1" t="str">
        <f ca="1">IFERROR(__xludf.DUMMYFUNCTION("GOOGLETRANSLATE(English!A1761, ""en"", ""bg"")"),"conv_02080")</f>
        <v>conv_02080</v>
      </c>
      <c r="B1761" s="1" t="str">
        <f ca="1">IFERROR(__xludf.DUMMYFUNCTION("GOOGLETRANSLATE(English!B1761, ""en"", ""bg"")"),"биология")</f>
        <v>биология</v>
      </c>
      <c r="C1761" s="1" t="str">
        <f ca="1">IFERROR(__xludf.DUMMYFUNCTION("GOOGLETRANSLATE(English!C1761, ""en"", ""bg"")"),"средата")</f>
        <v>средата</v>
      </c>
      <c r="D1761" s="1" t="str">
        <f ca="1">IFERROR(__xludf.DUMMYFUNCTION("GOOGLETRANSLATE(English!D1761, ""en"", ""bg"")"),"основи на генетиката")</f>
        <v>основи на генетиката</v>
      </c>
      <c r="E1761" s="1" t="str">
        <f ca="1">IFERROR(__xludf.DUMMYFUNCTION("GOOGLETRANSLATE(English!E1761, ""en"", ""bg"")"),"Имам научен въпрос. Какво е важно да знаем за основите на генетиката?")</f>
        <v>Имам научен въпрос. Какво е важно да знаем за основите на генетиката?</v>
      </c>
      <c r="F1761" s="1" t="str">
        <f ca="1">IFERROR(__xludf.DUMMYFUNCTION("GOOGLETRANSLATE(English!F1761,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1761" s="1" t="str">
        <f ca="1">IFERROR(__xludf.DUMMYFUNCTION("GOOGLETRANSLATE(English!G1761, ""en"", ""bg"")"),"разговор")</f>
        <v>разговор</v>
      </c>
      <c r="H1761" s="1" t="str">
        <f ca="1">IFERROR(__xludf.DUMMYFUNCTION("GOOGLETRANSLATE(English!H1761, ""en"", ""bg"")"),"образователна_помощ")</f>
        <v>образователна_помощ</v>
      </c>
    </row>
    <row r="1762" spans="1:8" ht="13.2" x14ac:dyDescent="0.25">
      <c r="A1762" s="1" t="str">
        <f ca="1">IFERROR(__xludf.DUMMYFUNCTION("GOOGLETRANSLATE(English!A1762, ""en"", ""bg"")"),"hw_09077")</f>
        <v>hw_09077</v>
      </c>
      <c r="B1762" s="1" t="str">
        <f ca="1">IFERROR(__xludf.DUMMYFUNCTION("GOOGLETRANSLATE(English!B1762, ""en"", ""bg"")"),"биология")</f>
        <v>биология</v>
      </c>
      <c r="C1762" s="1" t="str">
        <f ca="1">IFERROR(__xludf.DUMMYFUNCTION("GOOGLETRANSLATE(English!C1762, ""en"", ""bg"")"),"високо")</f>
        <v>високо</v>
      </c>
      <c r="D1762" s="1" t="str">
        <f ca="1">IFERROR(__xludf.DUMMYFUNCTION("GOOGLETRANSLATE(English!D1762, ""en"", ""bg"")"),"клетъчно дишане")</f>
        <v>клетъчно дишане</v>
      </c>
      <c r="E1762" s="1" t="str">
        <f ca="1">IFERROR(__xludf.DUMMYFUNCTION("GOOGLETRANSLATE(English!E1762,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1762" s="1" t="str">
        <f ca="1">IFERROR(__xludf.DUMMYFUNCTION("GOOGLETRANSLATE(English!F1762,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1762" s="1" t="str">
        <f ca="1">IFERROR(__xludf.DUMMYFUNCTION("GOOGLETRANSLATE(English!G1762, ""en"", ""bg"")"),"помощ_за_домашно_изпълнение")</f>
        <v>помощ_за_домашно_изпълнение</v>
      </c>
      <c r="H1762" s="1" t="str">
        <f ca="1">IFERROR(__xludf.DUMMYFUNCTION("GOOGLETRANSLATE(English!H1762, ""en"", ""bg"")"),"помощ_за_домашно_задаване")</f>
        <v>помощ_за_домашно_задаване</v>
      </c>
    </row>
    <row r="1763" spans="1:8" ht="13.2" x14ac:dyDescent="0.25">
      <c r="A1763" s="1" t="str">
        <f ca="1">IFERROR(__xludf.DUMMYFUNCTION("GOOGLETRANSLATE(English!A1763, ""en"", ""bg"")"),"hw_13618")</f>
        <v>hw_13618</v>
      </c>
      <c r="B1763" s="1" t="str">
        <f ca="1">IFERROR(__xludf.DUMMYFUNCTION("GOOGLETRANSLATE(English!B1763, ""en"", ""bg"")"),"химия")</f>
        <v>химия</v>
      </c>
      <c r="C1763" s="1" t="str">
        <f ca="1">IFERROR(__xludf.DUMMYFUNCTION("GOOGLETRANSLATE(English!C1763, ""en"", ""bg"")"),"високо")</f>
        <v>високо</v>
      </c>
      <c r="D1763" s="1" t="str">
        <f ca="1">IFERROR(__xludf.DUMMYFUNCTION("GOOGLETRANSLATE(English!D1763, ""en"", ""bg"")"),"скорости на реакция")</f>
        <v>скорости на реакция</v>
      </c>
      <c r="E1763" s="1" t="str">
        <f ca="1">IFERROR(__xludf.DUMMYFUNCTION("GOOGLETRANSLATE(English!E1763, ""en"", ""bg"")"),"Докладът ми по химия е за скоростите на реакциите. Помогнете ми да разбера.")</f>
        <v>Докладът ми по химия е за скоростите на реакциите. Помогнете ми да разбера.</v>
      </c>
      <c r="F1763" s="1" t="str">
        <f ca="1">IFERROR(__xludf.DUMMYFUNCTION("GOOGLETRANSLATE(English!F1763,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1763" s="1" t="str">
        <f ca="1">IFERROR(__xludf.DUMMYFUNCTION("GOOGLETRANSLATE(English!G1763, ""en"", ""bg"")"),"помощ_за_домашно_изпълнение")</f>
        <v>помощ_за_домашно_изпълнение</v>
      </c>
      <c r="H1763" s="1" t="str">
        <f ca="1">IFERROR(__xludf.DUMMYFUNCTION("GOOGLETRANSLATE(English!H1763, ""en"", ""bg"")"),"помощ_за_домашно_задаване")</f>
        <v>помощ_за_домашно_задаване</v>
      </c>
    </row>
    <row r="1764" spans="1:8" ht="13.2" x14ac:dyDescent="0.25">
      <c r="A1764" s="1" t="str">
        <f ca="1">IFERROR(__xludf.DUMMYFUNCTION("GOOGLETRANSLATE(English!A1764, ""en"", ""bg"")"),"hw_02298")</f>
        <v>hw_02298</v>
      </c>
      <c r="B1764" s="1" t="str">
        <f ca="1">IFERROR(__xludf.DUMMYFUNCTION("GOOGLETRANSLATE(English!B1764, ""en"", ""bg"")"),"биология")</f>
        <v>биология</v>
      </c>
      <c r="C1764" s="1" t="str">
        <f ca="1">IFERROR(__xludf.DUMMYFUNCTION("GOOGLETRANSLATE(English!C1764, ""en"", ""bg"")"),"елементарен")</f>
        <v>елементарен</v>
      </c>
      <c r="D1764" s="1" t="str">
        <f ca="1">IFERROR(__xludf.DUMMYFUNCTION("GOOGLETRANSLATE(English!D1764, ""en"", ""bg"")"),"растения")</f>
        <v>растения</v>
      </c>
      <c r="E1764" s="1" t="str">
        <f ca="1">IFERROR(__xludf.DUMMYFUNCTION("GOOGLETRANSLATE(English!E1764, ""en"", ""bg"")"),"Домашното ми пита за растенията. Не го разбирам.")</f>
        <v>Домашното ми пита за растенията. Не го разбирам.</v>
      </c>
      <c r="F1764" s="1" t="str">
        <f ca="1">IFERROR(__xludf.DUMMYFUNCTION("GOOGLETRANSLATE(English!F1764,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1764" s="1" t="str">
        <f ca="1">IFERROR(__xludf.DUMMYFUNCTION("GOOGLETRANSLATE(English!G1764, ""en"", ""bg"")"),"помощ_за_домашно_изпълнение")</f>
        <v>помощ_за_домашно_изпълнение</v>
      </c>
      <c r="H1764" s="1" t="str">
        <f ca="1">IFERROR(__xludf.DUMMYFUNCTION("GOOGLETRANSLATE(English!H1764, ""en"", ""bg"")"),"помощ_за_домашно_задаване")</f>
        <v>помощ_за_домашно_задаване</v>
      </c>
    </row>
    <row r="1765" spans="1:8" ht="13.2" x14ac:dyDescent="0.25">
      <c r="A1765" s="1" t="str">
        <f ca="1">IFERROR(__xludf.DUMMYFUNCTION("GOOGLETRANSLATE(English!A1765, ""en"", ""bg"")"),"conv_19406")</f>
        <v>conv_19406</v>
      </c>
      <c r="B1765" s="1" t="str">
        <f ca="1">IFERROR(__xludf.DUMMYFUNCTION("GOOGLETRANSLATE(English!B1765, ""en"", ""bg"")"),"химия")</f>
        <v>химия</v>
      </c>
      <c r="C1765" s="1" t="str">
        <f ca="1">IFERROR(__xludf.DUMMYFUNCTION("GOOGLETRANSLATE(English!C1765, ""en"", ""bg"")"),"средата")</f>
        <v>средата</v>
      </c>
      <c r="D1765" s="1" t="str">
        <f ca="1">IFERROR(__xludf.DUMMYFUNCTION("GOOGLETRANSLATE(English!D1765, ""en"", ""bg"")"),"химични реакции")</f>
        <v>химични реакции</v>
      </c>
      <c r="E1765" s="1" t="str">
        <f ca="1">IFERROR(__xludf.DUMMYFUNCTION("GOOGLETRANSLATE(English!E1765, ""en"", ""bg"")"),"Имам научен въпрос. Могат ли химичните реакции да бъдат обратими?")</f>
        <v>Имам научен въпрос. Могат ли химичните реакции да бъдат обратими?</v>
      </c>
      <c r="F1765" s="1" t="str">
        <f ca="1">IFERROR(__xludf.DUMMYFUNCTION("GOOGLETRANSLATE(English!F1765,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765" s="1" t="str">
        <f ca="1">IFERROR(__xludf.DUMMYFUNCTION("GOOGLETRANSLATE(English!G1765, ""en"", ""bg"")"),"разговор")</f>
        <v>разговор</v>
      </c>
      <c r="H1765" s="1" t="str">
        <f ca="1">IFERROR(__xludf.DUMMYFUNCTION("GOOGLETRANSLATE(English!H1765, ""en"", ""bg"")"),"образователна_помощ")</f>
        <v>образователна_помощ</v>
      </c>
    </row>
    <row r="1766" spans="1:8" ht="13.2" x14ac:dyDescent="0.25">
      <c r="A1766" s="1" t="str">
        <f ca="1">IFERROR(__xludf.DUMMYFUNCTION("GOOGLETRANSLATE(English!A1766, ""en"", ""bg"")"),"qa_14075")</f>
        <v>qa_14075</v>
      </c>
      <c r="B1766" s="1" t="str">
        <f ca="1">IFERROR(__xludf.DUMMYFUNCTION("GOOGLETRANSLATE(English!B1766, ""en"", ""bg"")"),"химия")</f>
        <v>химия</v>
      </c>
      <c r="C1766" s="1" t="str">
        <f ca="1">IFERROR(__xludf.DUMMYFUNCTION("GOOGLETRANSLATE(English!C1766, ""en"", ""bg"")"),"елементарен")</f>
        <v>елементарен</v>
      </c>
      <c r="D1766" s="1" t="str">
        <f ca="1">IFERROR(__xludf.DUMMYFUNCTION("GOOGLETRANSLATE(English!D1766, ""en"", ""bg"")"),"смесване на материали")</f>
        <v>смесване на материали</v>
      </c>
      <c r="E1766" s="1" t="str">
        <f ca="1">IFERROR(__xludf.DUMMYFUNCTION("GOOGLETRANSLATE(English!E1766, ""en"", ""bg"")"),"Какво се случва, когато смесите масло и вода?")</f>
        <v>Какво се случва, когато смесите масло и вода?</v>
      </c>
      <c r="F1766" s="1" t="str">
        <f ca="1">IFERROR(__xludf.DUMMYFUNCTION("GOOGLETRANSLATE(English!F1766,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1766" s="1" t="str">
        <f ca="1">IFERROR(__xludf.DUMMYFUNCTION("GOOGLETRANSLATE(English!G1766, ""en"", ""bg"")"),"direct_qa")</f>
        <v>direct_qa</v>
      </c>
      <c r="H1766" s="1" t="str">
        <f ca="1">IFERROR(__xludf.DUMMYFUNCTION("GOOGLETRANSLATE(English!H1766, ""en"", ""bg"")"),"заявка_за_знание")</f>
        <v>заявка_за_знание</v>
      </c>
    </row>
    <row r="1767" spans="1:8" ht="13.2" x14ac:dyDescent="0.25">
      <c r="A1767" s="1" t="str">
        <f ca="1">IFERROR(__xludf.DUMMYFUNCTION("GOOGLETRANSLATE(English!A1767, ""en"", ""bg"")"),"hw_14902")</f>
        <v>hw_14902</v>
      </c>
      <c r="B1767" s="1" t="str">
        <f ca="1">IFERROR(__xludf.DUMMYFUNCTION("GOOGLETRANSLATE(English!B1767, ""en"", ""bg"")"),"химия")</f>
        <v>химия</v>
      </c>
      <c r="C1767" s="1" t="str">
        <f ca="1">IFERROR(__xludf.DUMMYFUNCTION("GOOGLETRANSLATE(English!C1767, ""en"", ""bg"")"),"елементарен")</f>
        <v>елементарен</v>
      </c>
      <c r="D1767" s="1" t="str">
        <f ca="1">IFERROR(__xludf.DUMMYFUNCTION("GOOGLETRANSLATE(English!D1767, ""en"", ""bg"")"),"ежедневни химикали")</f>
        <v>ежедневни химикали</v>
      </c>
      <c r="E1767" s="1" t="str">
        <f ca="1">IFERROR(__xludf.DUMMYFUNCTION("GOOGLETRANSLATE(English!E1767, ""en"", ""bg"")"),"Можете ли да ми помогнете с ежедневните изчисления на химикали?")</f>
        <v>Можете ли да ми помогнете с ежедневните изчисления на химикали?</v>
      </c>
      <c r="F1767" s="1" t="str">
        <f ca="1">IFERROR(__xludf.DUMMYFUNCTION("GOOGLETRANSLATE(English!F1767,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1767" s="1" t="str">
        <f ca="1">IFERROR(__xludf.DUMMYFUNCTION("GOOGLETRANSLATE(English!G1767, ""en"", ""bg"")"),"помощ_за_домашно_изпълнение")</f>
        <v>помощ_за_домашно_изпълнение</v>
      </c>
      <c r="H1767" s="1" t="str">
        <f ca="1">IFERROR(__xludf.DUMMYFUNCTION("GOOGLETRANSLATE(English!H1767, ""en"", ""bg"")"),"помощ_за_домашно_задаване")</f>
        <v>помощ_за_домашно_задаване</v>
      </c>
    </row>
    <row r="1768" spans="1:8" ht="13.2" x14ac:dyDescent="0.25">
      <c r="A1768" s="1" t="str">
        <f ca="1">IFERROR(__xludf.DUMMYFUNCTION("GOOGLETRANSLATE(English!A1768, ""en"", ""bg"")"),"qa_05169")</f>
        <v>qa_05169</v>
      </c>
      <c r="B1768" s="1" t="str">
        <f ca="1">IFERROR(__xludf.DUMMYFUNCTION("GOOGLETRANSLATE(English!B1768, ""en"", ""bg"")"),"физика")</f>
        <v>физика</v>
      </c>
      <c r="C1768" s="1" t="str">
        <f ca="1">IFERROR(__xludf.DUMMYFUNCTION("GOOGLETRANSLATE(English!C1768, ""en"", ""bg"")"),"средата")</f>
        <v>средата</v>
      </c>
      <c r="D1768" s="1" t="str">
        <f ca="1">IFERROR(__xludf.DUMMYFUNCTION("GOOGLETRANSLATE(English!D1768, ""en"", ""bg"")"),"състояния на материята")</f>
        <v>състояния на материята</v>
      </c>
      <c r="E1768" s="1" t="str">
        <f ca="1">IFERROR(__xludf.DUMMYFUNCTION("GOOGLETRANSLATE(English!E1768, ""en"", ""bg"")"),"Защо състоянията на материята са важни?")</f>
        <v>Защо състоянията на материята са важни?</v>
      </c>
      <c r="F1768" s="1" t="str">
        <f ca="1">IFERROR(__xludf.DUMMYFUNCTION("GOOGLETRANSLATE(English!F1768,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1768" s="1" t="str">
        <f ca="1">IFERROR(__xludf.DUMMYFUNCTION("GOOGLETRANSLATE(English!G1768, ""en"", ""bg"")"),"direct_qa")</f>
        <v>direct_qa</v>
      </c>
      <c r="H1768" s="1" t="str">
        <f ca="1">IFERROR(__xludf.DUMMYFUNCTION("GOOGLETRANSLATE(English!H1768, ""en"", ""bg"")"),"заявка_за_знание")</f>
        <v>заявка_за_знание</v>
      </c>
    </row>
    <row r="1769" spans="1:8" ht="13.2" x14ac:dyDescent="0.25">
      <c r="A1769" s="1" t="str">
        <f ca="1">IFERROR(__xludf.DUMMYFUNCTION("GOOGLETRANSLATE(English!A1769, ""en"", ""bg"")"),"qa_10492")</f>
        <v>qa_10492</v>
      </c>
      <c r="B1769" s="1" t="str">
        <f ca="1">IFERROR(__xludf.DUMMYFUNCTION("GOOGLETRANSLATE(English!B1769, ""en"", ""bg"")"),"физика")</f>
        <v>физика</v>
      </c>
      <c r="C1769" s="1" t="str">
        <f ca="1">IFERROR(__xludf.DUMMYFUNCTION("GOOGLETRANSLATE(English!C1769, ""en"", ""bg"")"),"елементарен")</f>
        <v>елементарен</v>
      </c>
      <c r="D1769" s="1" t="str">
        <f ca="1">IFERROR(__xludf.DUMMYFUNCTION("GOOGLETRANSLATE(English!D1769, ""en"", ""bg"")"),"светлина и сянка")</f>
        <v>светлина и сянка</v>
      </c>
      <c r="E1769" s="1" t="str">
        <f ca="1">IFERROR(__xludf.DUMMYFUNCTION("GOOGLETRANSLATE(English!E1769, ""en"", ""bg"")"),"Какво е светлина?")</f>
        <v>Какво е светлина?</v>
      </c>
      <c r="F1769" s="1" t="str">
        <f ca="1">IFERROR(__xludf.DUMMYFUNCTION("GOOGLETRANSLATE(English!F1769,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1769" s="1" t="str">
        <f ca="1">IFERROR(__xludf.DUMMYFUNCTION("GOOGLETRANSLATE(English!G1769, ""en"", ""bg"")"),"direct_qa")</f>
        <v>direct_qa</v>
      </c>
      <c r="H1769" s="1" t="str">
        <f ca="1">IFERROR(__xludf.DUMMYFUNCTION("GOOGLETRANSLATE(English!H1769, ""en"", ""bg"")"),"заявка_за_знание")</f>
        <v>заявка_за_знание</v>
      </c>
    </row>
    <row r="1770" spans="1:8" ht="13.2" x14ac:dyDescent="0.25">
      <c r="A1770" s="1" t="str">
        <f ca="1">IFERROR(__xludf.DUMMYFUNCTION("GOOGLETRANSLATE(English!A1770, ""en"", ""bg"")"),"conv_16667")</f>
        <v>conv_16667</v>
      </c>
      <c r="B1770" s="1" t="str">
        <f ca="1">IFERROR(__xludf.DUMMYFUNCTION("GOOGLETRANSLATE(English!B1770, ""en"", ""bg"")"),"физика")</f>
        <v>физика</v>
      </c>
      <c r="C1770" s="1" t="str">
        <f ca="1">IFERROR(__xludf.DUMMYFUNCTION("GOOGLETRANSLATE(English!C1770, ""en"", ""bg"")"),"средата")</f>
        <v>средата</v>
      </c>
      <c r="D1770" s="1" t="str">
        <f ca="1">IFERROR(__xludf.DUMMYFUNCTION("GOOGLETRANSLATE(English!D1770, ""en"", ""bg"")"),"състояния на материята")</f>
        <v>състояния на материята</v>
      </c>
      <c r="E1770" s="1" t="str">
        <f ca="1">IFERROR(__xludf.DUMMYFUNCTION("GOOGLETRANSLATE(English!E1770, ""en"", ""bg"")"),"Здравей, преподавателю! Какво трябва да знам за състоянията на материята?")</f>
        <v>Здравей, преподавателю! Какво трябва да знам за състоянията на материята?</v>
      </c>
      <c r="F1770" s="1" t="str">
        <f ca="1">IFERROR(__xludf.DUMMYFUNCTION("GOOGLETRANSLATE(English!F1770,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1770" s="1" t="str">
        <f ca="1">IFERROR(__xludf.DUMMYFUNCTION("GOOGLETRANSLATE(English!G1770, ""en"", ""bg"")"),"разговор")</f>
        <v>разговор</v>
      </c>
      <c r="H1770" s="1" t="str">
        <f ca="1">IFERROR(__xludf.DUMMYFUNCTION("GOOGLETRANSLATE(English!H1770, ""en"", ""bg"")"),"образователна_помощ")</f>
        <v>образователна_помощ</v>
      </c>
    </row>
    <row r="1771" spans="1:8" ht="13.2" x14ac:dyDescent="0.25">
      <c r="A1771" s="1" t="str">
        <f ca="1">IFERROR(__xludf.DUMMYFUNCTION("GOOGLETRANSLATE(English!A1771, ""en"", ""bg"")"),"conv_16044")</f>
        <v>conv_16044</v>
      </c>
      <c r="B1771" s="1" t="str">
        <f ca="1">IFERROR(__xludf.DUMMYFUNCTION("GOOGLETRANSLATE(English!B1771, ""en"", ""bg"")"),"химия")</f>
        <v>химия</v>
      </c>
      <c r="C1771" s="1" t="str">
        <f ca="1">IFERROR(__xludf.DUMMYFUNCTION("GOOGLETRANSLATE(English!C1771, ""en"", ""bg"")"),"високо")</f>
        <v>високо</v>
      </c>
      <c r="D1771" s="1" t="str">
        <f ca="1">IFERROR(__xludf.DUMMYFUNCTION("GOOGLETRANSLATE(English!D1771, ""en"", ""bg"")"),"електрохимия")</f>
        <v>електрохимия</v>
      </c>
      <c r="E1771" s="1" t="str">
        <f ca="1">IFERROR(__xludf.DUMMYFUNCTION("GOOGLETRANSLATE(English!E1771, ""en"", ""bg"")"),"Можете ли да ми обясните това? Можете ли да ми помогнете да разбера електрохимията?")</f>
        <v>Можете ли да ми обясните това? Можете ли да ми помогнете да разбера електрохимията?</v>
      </c>
      <c r="F1771" s="1" t="str">
        <f ca="1">IFERROR(__xludf.DUMMYFUNCTION("GOOGLETRANSLATE(English!F1771,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1771" s="1" t="str">
        <f ca="1">IFERROR(__xludf.DUMMYFUNCTION("GOOGLETRANSLATE(English!G1771, ""en"", ""bg"")"),"разговор")</f>
        <v>разговор</v>
      </c>
      <c r="H1771" s="1" t="str">
        <f ca="1">IFERROR(__xludf.DUMMYFUNCTION("GOOGLETRANSLATE(English!H1771, ""en"", ""bg"")"),"образователна_помощ")</f>
        <v>образователна_помощ</v>
      </c>
    </row>
    <row r="1772" spans="1:8" ht="13.2" x14ac:dyDescent="0.25">
      <c r="A1772" s="1" t="str">
        <f ca="1">IFERROR(__xludf.DUMMYFUNCTION("GOOGLETRANSLATE(English!A1772, ""en"", ""bg"")"),"conv_09656")</f>
        <v>conv_09656</v>
      </c>
      <c r="B1772" s="1" t="str">
        <f ca="1">IFERROR(__xludf.DUMMYFUNCTION("GOOGLETRANSLATE(English!B1772, ""en"", ""bg"")"),"химия")</f>
        <v>химия</v>
      </c>
      <c r="C1772" s="1" t="str">
        <f ca="1">IFERROR(__xludf.DUMMYFUNCTION("GOOGLETRANSLATE(English!C1772, ""en"", ""bg"")"),"средата")</f>
        <v>средата</v>
      </c>
      <c r="D1772" s="1" t="str">
        <f ca="1">IFERROR(__xludf.DUMMYFUNCTION("GOOGLETRANSLATE(English!D1772, ""en"", ""bg"")"),"съединения срещу елементи")</f>
        <v>съединения срещу елементи</v>
      </c>
      <c r="E1772" s="1" t="str">
        <f ca="1">IFERROR(__xludf.DUMMYFUNCTION("GOOGLETRANSLATE(English!E1772, ""en"", ""bg"")"),"Имам научен въпрос. Как взаимодействат съединенията и елементите в химията?")</f>
        <v>Имам научен въпрос. Как взаимодействат съединенията и елементите в химията?</v>
      </c>
      <c r="F1772" s="1" t="str">
        <f ca="1">IFERROR(__xludf.DUMMYFUNCTION("GOOGLETRANSLATE(English!F1772,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1772" s="1" t="str">
        <f ca="1">IFERROR(__xludf.DUMMYFUNCTION("GOOGLETRANSLATE(English!G1772, ""en"", ""bg"")"),"разговор")</f>
        <v>разговор</v>
      </c>
      <c r="H1772" s="1" t="str">
        <f ca="1">IFERROR(__xludf.DUMMYFUNCTION("GOOGLETRANSLATE(English!H1772, ""en"", ""bg"")"),"образователна_помощ")</f>
        <v>образователна_помощ</v>
      </c>
    </row>
    <row r="1773" spans="1:8" ht="13.2" x14ac:dyDescent="0.25">
      <c r="A1773" s="1" t="str">
        <f ca="1">IFERROR(__xludf.DUMMYFUNCTION("GOOGLETRANSLATE(English!A1773, ""en"", ""bg"")"),"conv_14546")</f>
        <v>conv_14546</v>
      </c>
      <c r="B1773" s="1" t="str">
        <f ca="1">IFERROR(__xludf.DUMMYFUNCTION("GOOGLETRANSLATE(English!B1773, ""en"", ""bg"")"),"химия")</f>
        <v>химия</v>
      </c>
      <c r="C1773" s="1" t="str">
        <f ca="1">IFERROR(__xludf.DUMMYFUNCTION("GOOGLETRANSLATE(English!C1773, ""en"", ""bg"")"),"средата")</f>
        <v>средата</v>
      </c>
      <c r="D1773" s="1" t="str">
        <f ca="1">IFERROR(__xludf.DUMMYFUNCTION("GOOGLETRANSLATE(English!D1773, ""en"", ""bg"")"),"химични реакции")</f>
        <v>химични реакции</v>
      </c>
      <c r="E1773" s="1" t="str">
        <f ca="1">IFERROR(__xludf.DUMMYFUNCTION("GOOGLETRANSLATE(English!E1773, ""en"", ""bg"")"),"Помогнете ми да уча за теста. Как разбирате дали е протекла химическа реакция?")</f>
        <v>Помогнете ми да уча за теста. Как разбирате дали е протекла химическа реакция?</v>
      </c>
      <c r="F1773" s="1" t="str">
        <f ca="1">IFERROR(__xludf.DUMMYFUNCTION("GOOGLETRANSLATE(English!F1773,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773" s="1" t="str">
        <f ca="1">IFERROR(__xludf.DUMMYFUNCTION("GOOGLETRANSLATE(English!G1773, ""en"", ""bg"")"),"разговор")</f>
        <v>разговор</v>
      </c>
      <c r="H1773" s="1" t="str">
        <f ca="1">IFERROR(__xludf.DUMMYFUNCTION("GOOGLETRANSLATE(English!H1773, ""en"", ""bg"")"),"образователна_помощ")</f>
        <v>образователна_помощ</v>
      </c>
    </row>
    <row r="1774" spans="1:8" ht="13.2" x14ac:dyDescent="0.25">
      <c r="A1774" s="1" t="str">
        <f ca="1">IFERROR(__xludf.DUMMYFUNCTION("GOOGLETRANSLATE(English!A1774, ""en"", ""bg"")"),"conv_10986")</f>
        <v>conv_10986</v>
      </c>
      <c r="B1774" s="1" t="str">
        <f ca="1">IFERROR(__xludf.DUMMYFUNCTION("GOOGLETRANSLATE(English!B1774, ""en"", ""bg"")"),"биология")</f>
        <v>биология</v>
      </c>
      <c r="C1774" s="1" t="str">
        <f ca="1">IFERROR(__xludf.DUMMYFUNCTION("GOOGLETRANSLATE(English!C1774, ""en"", ""bg"")"),"елементарен")</f>
        <v>елементарен</v>
      </c>
      <c r="D1774" s="1" t="str">
        <f ca="1">IFERROR(__xludf.DUMMYFUNCTION("GOOGLETRANSLATE(English!D1774, ""en"", ""bg"")"),"сетива")</f>
        <v>сетива</v>
      </c>
      <c r="E1774" s="1" t="str">
        <f ca="1">IFERROR(__xludf.DUMMYFUNCTION("GOOGLETRANSLATE(English!E1774, ""en"", ""bg"")"),"Имам научен въпрос. Можете ли да ми разкажете за сетивата?")</f>
        <v>Имам научен въпрос. Можете ли да ми разкажете за сетивата?</v>
      </c>
      <c r="F1774" s="1" t="str">
        <f ca="1">IFERROR(__xludf.DUMMYFUNCTION("GOOGLETRANSLATE(English!F1774,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1774" s="1" t="str">
        <f ca="1">IFERROR(__xludf.DUMMYFUNCTION("GOOGLETRANSLATE(English!G1774, ""en"", ""bg"")"),"разговор")</f>
        <v>разговор</v>
      </c>
      <c r="H1774" s="1" t="str">
        <f ca="1">IFERROR(__xludf.DUMMYFUNCTION("GOOGLETRANSLATE(English!H1774, ""en"", ""bg"")"),"образователна_помощ")</f>
        <v>образователна_помощ</v>
      </c>
    </row>
    <row r="1775" spans="1:8" ht="13.2" x14ac:dyDescent="0.25">
      <c r="A1775" s="1" t="str">
        <f ca="1">IFERROR(__xludf.DUMMYFUNCTION("GOOGLETRANSLATE(English!A1775, ""en"", ""bg"")"),"hw_14041")</f>
        <v>hw_14041</v>
      </c>
      <c r="B1775" s="1" t="str">
        <f ca="1">IFERROR(__xludf.DUMMYFUNCTION("GOOGLETRANSLATE(English!B1775, ""en"", ""bg"")"),"физика")</f>
        <v>физика</v>
      </c>
      <c r="C1775" s="1" t="str">
        <f ca="1">IFERROR(__xludf.DUMMYFUNCTION("GOOGLETRANSLATE(English!C1775, ""en"", ""bg"")"),"средата")</f>
        <v>средата</v>
      </c>
      <c r="D1775" s="1" t="str">
        <f ca="1">IFERROR(__xludf.DUMMYFUNCTION("GOOGLETRANSLATE(English!D1775, ""en"", ""bg"")"),"прости схеми")</f>
        <v>прости схеми</v>
      </c>
      <c r="E1775" s="1" t="str">
        <f ca="1">IFERROR(__xludf.DUMMYFUNCTION("GOOGLETRANSLATE(English!E1775,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1775" s="1" t="str">
        <f ca="1">IFERROR(__xludf.DUMMYFUNCTION("GOOGLETRANSLATE(English!F1775,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775" s="1" t="str">
        <f ca="1">IFERROR(__xludf.DUMMYFUNCTION("GOOGLETRANSLATE(English!G1775, ""en"", ""bg"")"),"помощ_за_домашно_изпълнение")</f>
        <v>помощ_за_домашно_изпълнение</v>
      </c>
      <c r="H1775" s="1" t="str">
        <f ca="1">IFERROR(__xludf.DUMMYFUNCTION("GOOGLETRANSLATE(English!H1775, ""en"", ""bg"")"),"помощ_за_домашно_задаване")</f>
        <v>помощ_за_домашно_задаване</v>
      </c>
    </row>
    <row r="1776" spans="1:8" ht="13.2" x14ac:dyDescent="0.25">
      <c r="A1776" s="1" t="str">
        <f ca="1">IFERROR(__xludf.DUMMYFUNCTION("GOOGLETRANSLATE(English!A1776, ""en"", ""bg"")"),"conv_07136")</f>
        <v>conv_07136</v>
      </c>
      <c r="B1776" s="1" t="str">
        <f ca="1">IFERROR(__xludf.DUMMYFUNCTION("GOOGLETRANSLATE(English!B1776, ""en"", ""bg"")"),"химия")</f>
        <v>химия</v>
      </c>
      <c r="C1776" s="1" t="str">
        <f ca="1">IFERROR(__xludf.DUMMYFUNCTION("GOOGLETRANSLATE(English!C1776, ""en"", ""bg"")"),"високо")</f>
        <v>високо</v>
      </c>
      <c r="D1776" s="1" t="str">
        <f ca="1">IFERROR(__xludf.DUMMYFUNCTION("GOOGLETRANSLATE(English!D1776, ""en"", ""bg"")"),"органична химия")</f>
        <v>органична химия</v>
      </c>
      <c r="E1776" s="1" t="str">
        <f ca="1">IFERROR(__xludf.DUMMYFUNCTION("GOOGLETRANSLATE(English!E1776, ""en"", ""bg"")"),"Не разбирам тази тема. Как работи органичната химия в химията?")</f>
        <v>Не разбирам тази тема. Как работи органичната химия в химията?</v>
      </c>
      <c r="F1776" s="1" t="str">
        <f ca="1">IFERROR(__xludf.DUMMYFUNCTION("GOOGLETRANSLATE(English!F1776,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1776" s="1" t="str">
        <f ca="1">IFERROR(__xludf.DUMMYFUNCTION("GOOGLETRANSLATE(English!G1776, ""en"", ""bg"")"),"разговор")</f>
        <v>разговор</v>
      </c>
      <c r="H1776" s="1" t="str">
        <f ca="1">IFERROR(__xludf.DUMMYFUNCTION("GOOGLETRANSLATE(English!H1776, ""en"", ""bg"")"),"образователна_помощ")</f>
        <v>образователна_помощ</v>
      </c>
    </row>
    <row r="1777" spans="1:8" ht="13.2" x14ac:dyDescent="0.25">
      <c r="A1777" s="1" t="str">
        <f ca="1">IFERROR(__xludf.DUMMYFUNCTION("GOOGLETRANSLATE(English!A1777, ""en"", ""bg"")"),"hw_08928")</f>
        <v>hw_08928</v>
      </c>
      <c r="B1777" s="1" t="str">
        <f ca="1">IFERROR(__xludf.DUMMYFUNCTION("GOOGLETRANSLATE(English!B1777, ""en"", ""bg"")"),"биология")</f>
        <v>биология</v>
      </c>
      <c r="C1777" s="1" t="str">
        <f ca="1">IFERROR(__xludf.DUMMYFUNCTION("GOOGLETRANSLATE(English!C1777, ""en"", ""bg"")"),"елементарен")</f>
        <v>елементарен</v>
      </c>
      <c r="D1777" s="1" t="str">
        <f ca="1">IFERROR(__xludf.DUMMYFUNCTION("GOOGLETRANSLATE(English!D1777, ""en"", ""bg"")"),"животни")</f>
        <v>животни</v>
      </c>
      <c r="E1777" s="1" t="str">
        <f ca="1">IFERROR(__xludf.DUMMYFUNCTION("GOOGLETRANSLATE(English!E1777, ""en"", ""bg"")"),"Утре имам тест върху животни. Помогни ми да уча!")</f>
        <v>Утре имам тест върху животни. Помогни ми да уча!</v>
      </c>
      <c r="F1777" s="1" t="str">
        <f ca="1">IFERROR(__xludf.DUMMYFUNCTION("GOOGLETRANSLATE(English!F1777,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1777" s="1" t="str">
        <f ca="1">IFERROR(__xludf.DUMMYFUNCTION("GOOGLETRANSLATE(English!G1777, ""en"", ""bg"")"),"помощ_за_домашно_изпълнение")</f>
        <v>помощ_за_домашно_изпълнение</v>
      </c>
      <c r="H1777" s="1" t="str">
        <f ca="1">IFERROR(__xludf.DUMMYFUNCTION("GOOGLETRANSLATE(English!H1777, ""en"", ""bg"")"),"помощ_за_домашно_задаване")</f>
        <v>помощ_за_домашно_задаване</v>
      </c>
    </row>
    <row r="1778" spans="1:8" ht="13.2" x14ac:dyDescent="0.25">
      <c r="A1778" s="1" t="str">
        <f ca="1">IFERROR(__xludf.DUMMYFUNCTION("GOOGLETRANSLATE(English!A1778, ""en"", ""bg"")"),"hw_01721")</f>
        <v>hw_01721</v>
      </c>
      <c r="B1778" s="1" t="str">
        <f ca="1">IFERROR(__xludf.DUMMYFUNCTION("GOOGLETRANSLATE(English!B1778, ""en"", ""bg"")"),"биология")</f>
        <v>биология</v>
      </c>
      <c r="C1778" s="1" t="str">
        <f ca="1">IFERROR(__xludf.DUMMYFUNCTION("GOOGLETRANSLATE(English!C1778, ""en"", ""bg"")"),"високо")</f>
        <v>високо</v>
      </c>
      <c r="D1778" s="1" t="str">
        <f ca="1">IFERROR(__xludf.DUMMYFUNCTION("GOOGLETRANSLATE(English!D1778, ""en"", ""bg"")"),"митоза и мейоза")</f>
        <v>митоза и мейоза</v>
      </c>
      <c r="E1778" s="1" t="str">
        <f ca="1">IFERROR(__xludf.DUMMYFUNCTION("GOOGLETRANSLATE(English!E1778, ""en"", ""bg"")"),"Трябва да напиша доклад за митозата и мейозата. Можете ли да ми помогнете да започна?")</f>
        <v>Трябва да напиша доклад за митозата и мейозата. Можете ли да ми помогнете да започна?</v>
      </c>
      <c r="F1778" s="1" t="str">
        <f ca="1">IFERROR(__xludf.DUMMYFUNCTION("GOOGLETRANSLATE(English!F1778,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1778" s="1" t="str">
        <f ca="1">IFERROR(__xludf.DUMMYFUNCTION("GOOGLETRANSLATE(English!G1778, ""en"", ""bg"")"),"помощ_за_домашно_изпълнение")</f>
        <v>помощ_за_домашно_изпълнение</v>
      </c>
      <c r="H1778" s="1" t="str">
        <f ca="1">IFERROR(__xludf.DUMMYFUNCTION("GOOGLETRANSLATE(English!H1778, ""en"", ""bg"")"),"помощ_за_домашно_задаване")</f>
        <v>помощ_за_домашно_задаване</v>
      </c>
    </row>
    <row r="1779" spans="1:8" ht="13.2" x14ac:dyDescent="0.25">
      <c r="A1779" s="1" t="str">
        <f ca="1">IFERROR(__xludf.DUMMYFUNCTION("GOOGLETRANSLATE(English!A1779, ""en"", ""bg"")"),"conv_07169")</f>
        <v>conv_07169</v>
      </c>
      <c r="B1779" s="1" t="str">
        <f ca="1">IFERROR(__xludf.DUMMYFUNCTION("GOOGLETRANSLATE(English!B1779, ""en"", ""bg"")"),"биология")</f>
        <v>биология</v>
      </c>
      <c r="C1779" s="1" t="str">
        <f ca="1">IFERROR(__xludf.DUMMYFUNCTION("GOOGLETRANSLATE(English!C1779, ""en"", ""bg"")"),"средата")</f>
        <v>средата</v>
      </c>
      <c r="D1779" s="1" t="str">
        <f ca="1">IFERROR(__xludf.DUMMYFUNCTION("GOOGLETRANSLATE(English!D1779, ""en"", ""bg"")"),"екосистеми")</f>
        <v>екосистеми</v>
      </c>
      <c r="E1779" s="1" t="str">
        <f ca="1">IFERROR(__xludf.DUMMYFUNCTION("GOOGLETRANSLATE(English!E1779, ""en"", ""bg"")"),"Помогнете ми да уча за теста си. Как работят екосистемите?")</f>
        <v>Помогнете ми да уча за теста си. Как работят екосистемите?</v>
      </c>
      <c r="F1779" s="1" t="str">
        <f ca="1">IFERROR(__xludf.DUMMYFUNCTION("GOOGLETRANSLATE(English!F1779,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1779" s="1" t="str">
        <f ca="1">IFERROR(__xludf.DUMMYFUNCTION("GOOGLETRANSLATE(English!G1779, ""en"", ""bg"")"),"разговор")</f>
        <v>разговор</v>
      </c>
      <c r="H1779" s="1" t="str">
        <f ca="1">IFERROR(__xludf.DUMMYFUNCTION("GOOGLETRANSLATE(English!H1779, ""en"", ""bg"")"),"образователна_помощ")</f>
        <v>образователна_помощ</v>
      </c>
    </row>
    <row r="1780" spans="1:8" ht="13.2" x14ac:dyDescent="0.25">
      <c r="A1780" s="1" t="str">
        <f ca="1">IFERROR(__xludf.DUMMYFUNCTION("GOOGLETRANSLATE(English!A1780, ""en"", ""bg"")"),"qa_09000")</f>
        <v>qa_09000</v>
      </c>
      <c r="B1780" s="1" t="str">
        <f ca="1">IFERROR(__xludf.DUMMYFUNCTION("GOOGLETRANSLATE(English!B1780, ""en"", ""bg"")"),"химия")</f>
        <v>химия</v>
      </c>
      <c r="C1780" s="1" t="str">
        <f ca="1">IFERROR(__xludf.DUMMYFUNCTION("GOOGLETRANSLATE(English!C1780, ""en"", ""bg"")"),"елементарен")</f>
        <v>елементарен</v>
      </c>
      <c r="D1780" s="1" t="str">
        <f ca="1">IFERROR(__xludf.DUMMYFUNCTION("GOOGLETRANSLATE(English!D1780, ""en"", ""bg"")"),"ежедневни химикали")</f>
        <v>ежедневни химикали</v>
      </c>
      <c r="E1780" s="1" t="str">
        <f ca="1">IFERROR(__xludf.DUMMYFUNCTION("GOOGLETRANSLATE(English!E1780, ""en"", ""bg"")"),"Какво представляват ежедневните химикали?")</f>
        <v>Какво представляват ежедневните химикали?</v>
      </c>
      <c r="F1780" s="1" t="str">
        <f ca="1">IFERROR(__xludf.DUMMYFUNCTION("GOOGLETRANSLATE(English!F1780,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1780" s="1" t="str">
        <f ca="1">IFERROR(__xludf.DUMMYFUNCTION("GOOGLETRANSLATE(English!G1780, ""en"", ""bg"")"),"direct_qa")</f>
        <v>direct_qa</v>
      </c>
      <c r="H1780" s="1" t="str">
        <f ca="1">IFERROR(__xludf.DUMMYFUNCTION("GOOGLETRANSLATE(English!H1780, ""en"", ""bg"")"),"заявка_за_знание")</f>
        <v>заявка_за_знание</v>
      </c>
    </row>
    <row r="1781" spans="1:8" ht="13.2" x14ac:dyDescent="0.25">
      <c r="A1781" s="1" t="str">
        <f ca="1">IFERROR(__xludf.DUMMYFUNCTION("GOOGLETRANSLATE(English!A1781, ""en"", ""bg"")"),"hw_02682")</f>
        <v>hw_02682</v>
      </c>
      <c r="B1781" s="1" t="str">
        <f ca="1">IFERROR(__xludf.DUMMYFUNCTION("GOOGLETRANSLATE(English!B1781, ""en"", ""bg"")"),"химия")</f>
        <v>химия</v>
      </c>
      <c r="C1781" s="1" t="str">
        <f ca="1">IFERROR(__xludf.DUMMYFUNCTION("GOOGLETRANSLATE(English!C1781, ""en"", ""bg"")"),"средата")</f>
        <v>средата</v>
      </c>
      <c r="D1781" s="1" t="str">
        <f ca="1">IFERROR(__xludf.DUMMYFUNCTION("GOOGLETRANSLATE(English!D1781, ""en"", ""bg"")"),"атоми и молекули")</f>
        <v>атоми и молекули</v>
      </c>
      <c r="E1781" s="1" t="str">
        <f ca="1">IFERROR(__xludf.DUMMYFUNCTION("GOOGLETRANSLATE(English!E1781,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1781" s="1" t="str">
        <f ca="1">IFERROR(__xludf.DUMMYFUNCTION("GOOGLETRANSLATE(English!F1781,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1781" s="1" t="str">
        <f ca="1">IFERROR(__xludf.DUMMYFUNCTION("GOOGLETRANSLATE(English!G1781, ""en"", ""bg"")"),"помощ_за_домашно_изпълнение")</f>
        <v>помощ_за_домашно_изпълнение</v>
      </c>
      <c r="H1781" s="1" t="str">
        <f ca="1">IFERROR(__xludf.DUMMYFUNCTION("GOOGLETRANSLATE(English!H1781, ""en"", ""bg"")"),"помощ_за_домашно_задаване")</f>
        <v>помощ_за_домашно_задаване</v>
      </c>
    </row>
    <row r="1782" spans="1:8" ht="13.2" x14ac:dyDescent="0.25">
      <c r="A1782" s="1" t="str">
        <f ca="1">IFERROR(__xludf.DUMMYFUNCTION("GOOGLETRANSLATE(English!A1782, ""en"", ""bg"")"),"qa_00391")</f>
        <v>qa_00391</v>
      </c>
      <c r="B1782" s="1" t="str">
        <f ca="1">IFERROR(__xludf.DUMMYFUNCTION("GOOGLETRANSLATE(English!B1782, ""en"", ""bg"")"),"биология")</f>
        <v>биология</v>
      </c>
      <c r="C1782" s="1" t="str">
        <f ca="1">IFERROR(__xludf.DUMMYFUNCTION("GOOGLETRANSLATE(English!C1782, ""en"", ""bg"")"),"високо")</f>
        <v>високо</v>
      </c>
      <c r="D1782" s="1" t="str">
        <f ca="1">IFERROR(__xludf.DUMMYFUNCTION("GOOGLETRANSLATE(English!D1782, ""en"", ""bg"")"),"клетъчно дишане")</f>
        <v>клетъчно дишане</v>
      </c>
      <c r="E1782" s="1" t="str">
        <f ca="1">IFERROR(__xludf.DUMMYFUNCTION("GOOGLETRANSLATE(English!E1782, ""en"", ""bg"")"),"Защо клетъчното дишане е важно в биологията?")</f>
        <v>Защо клетъчното дишане е важно в биологията?</v>
      </c>
      <c r="F1782" s="1" t="str">
        <f ca="1">IFERROR(__xludf.DUMMYFUNCTION("GOOGLETRANSLATE(English!F1782,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1782" s="1" t="str">
        <f ca="1">IFERROR(__xludf.DUMMYFUNCTION("GOOGLETRANSLATE(English!G1782, ""en"", ""bg"")"),"direct_qa")</f>
        <v>direct_qa</v>
      </c>
      <c r="H1782" s="1" t="str">
        <f ca="1">IFERROR(__xludf.DUMMYFUNCTION("GOOGLETRANSLATE(English!H1782, ""en"", ""bg"")"),"заявка_за_знание")</f>
        <v>заявка_за_знание</v>
      </c>
    </row>
    <row r="1783" spans="1:8" ht="13.2" x14ac:dyDescent="0.25">
      <c r="A1783" s="1" t="str">
        <f ca="1">IFERROR(__xludf.DUMMYFUNCTION("GOOGLETRANSLATE(English!A1783, ""en"", ""bg"")"),"conv_04947")</f>
        <v>conv_04947</v>
      </c>
      <c r="B1783" s="1" t="str">
        <f ca="1">IFERROR(__xludf.DUMMYFUNCTION("GOOGLETRANSLATE(English!B1783, ""en"", ""bg"")"),"биология")</f>
        <v>биология</v>
      </c>
      <c r="C1783" s="1" t="str">
        <f ca="1">IFERROR(__xludf.DUMMYFUNCTION("GOOGLETRANSLATE(English!C1783, ""en"", ""bg"")"),"елементарен")</f>
        <v>елементарен</v>
      </c>
      <c r="D1783" s="1" t="str">
        <f ca="1">IFERROR(__xludf.DUMMYFUNCTION("GOOGLETRANSLATE(English!D1783, ""en"", ""bg"")"),"човешкото тяло")</f>
        <v>човешкото тяло</v>
      </c>
      <c r="E1783" s="1" t="str">
        <f ca="1">IFERROR(__xludf.DUMMYFUNCTION("GOOGLETRANSLATE(English!E1783, ""en"", ""bg"")"),"Здравей, преподавателю! Какво е важно да знаеш за човешкото тяло?")</f>
        <v>Здравей, преподавателю! Какво е важно да знаеш за човешкото тяло?</v>
      </c>
      <c r="F1783" s="1" t="str">
        <f ca="1">IFERROR(__xludf.DUMMYFUNCTION("GOOGLETRANSLATE(English!F1783,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1783" s="1" t="str">
        <f ca="1">IFERROR(__xludf.DUMMYFUNCTION("GOOGLETRANSLATE(English!G1783, ""en"", ""bg"")"),"разговор")</f>
        <v>разговор</v>
      </c>
      <c r="H1783" s="1" t="str">
        <f ca="1">IFERROR(__xludf.DUMMYFUNCTION("GOOGLETRANSLATE(English!H1783, ""en"", ""bg"")"),"образователна_помощ")</f>
        <v>образователна_помощ</v>
      </c>
    </row>
    <row r="1784" spans="1:8" ht="13.2" x14ac:dyDescent="0.25">
      <c r="A1784" s="1" t="str">
        <f ca="1">IFERROR(__xludf.DUMMYFUNCTION("GOOGLETRANSLATE(English!A1784, ""en"", ""bg"")"),"conv_09396")</f>
        <v>conv_09396</v>
      </c>
      <c r="B1784" s="1" t="str">
        <f ca="1">IFERROR(__xludf.DUMMYFUNCTION("GOOGLETRANSLATE(English!B1784, ""en"", ""bg"")"),"физика")</f>
        <v>физика</v>
      </c>
      <c r="C1784" s="1" t="str">
        <f ca="1">IFERROR(__xludf.DUMMYFUNCTION("GOOGLETRANSLATE(English!C1784, ""en"", ""bg"")"),"елементарен")</f>
        <v>елементарен</v>
      </c>
      <c r="D1784" s="1" t="str">
        <f ca="1">IFERROR(__xludf.DUMMYFUNCTION("GOOGLETRANSLATE(English!D1784, ""en"", ""bg"")"),"прости машини")</f>
        <v>прости машини</v>
      </c>
      <c r="E1784" s="1" t="str">
        <f ca="1">IFERROR(__xludf.DUMMYFUNCTION("GOOGLETRANSLATE(English!E1784, ""en"", ""bg"")"),"Имам нужда от помощ с домашното. Защо простите машини са важни?")</f>
        <v>Имам нужда от помощ с домашното. Защо простите машини са важни?</v>
      </c>
      <c r="F1784" s="1" t="str">
        <f ca="1">IFERROR(__xludf.DUMMYFUNCTION("GOOGLETRANSLATE(English!F1784,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1784" s="1" t="str">
        <f ca="1">IFERROR(__xludf.DUMMYFUNCTION("GOOGLETRANSLATE(English!G1784, ""en"", ""bg"")"),"разговор")</f>
        <v>разговор</v>
      </c>
      <c r="H1784" s="1" t="str">
        <f ca="1">IFERROR(__xludf.DUMMYFUNCTION("GOOGLETRANSLATE(English!H1784, ""en"", ""bg"")"),"образователна_помощ")</f>
        <v>образователна_помощ</v>
      </c>
    </row>
    <row r="1785" spans="1:8" ht="13.2" x14ac:dyDescent="0.25">
      <c r="A1785" s="1" t="str">
        <f ca="1">IFERROR(__xludf.DUMMYFUNCTION("GOOGLETRANSLATE(English!A1785, ""en"", ""bg"")"),"hw_05575")</f>
        <v>hw_05575</v>
      </c>
      <c r="B1785" s="1" t="str">
        <f ca="1">IFERROR(__xludf.DUMMYFUNCTION("GOOGLETRANSLATE(English!B1785, ""en"", ""bg"")"),"химия")</f>
        <v>химия</v>
      </c>
      <c r="C1785" s="1" t="str">
        <f ca="1">IFERROR(__xludf.DUMMYFUNCTION("GOOGLETRANSLATE(English!C1785, ""en"", ""bg"")"),"елементарен")</f>
        <v>елементарен</v>
      </c>
      <c r="D1785" s="1" t="str">
        <f ca="1">IFERROR(__xludf.DUMMYFUNCTION("GOOGLETRANSLATE(English!D1785, ""en"", ""bg"")"),"смесване на материали")</f>
        <v>смесване на материали</v>
      </c>
      <c r="E1785" s="1" t="str">
        <f ca="1">IFERROR(__xludf.DUMMYFUNCTION("GOOGLETRANSLATE(English!E1785, ""en"", ""bg"")"),"Моят доклад по химия е за смесване на материали. Помогнете ми да разбера.")</f>
        <v>Моят доклад по химия е за смесване на материали. Помогнете ми да разбера.</v>
      </c>
      <c r="F1785" s="1" t="str">
        <f ca="1">IFERROR(__xludf.DUMMYFUNCTION("GOOGLETRANSLATE(English!F1785,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1785" s="1" t="str">
        <f ca="1">IFERROR(__xludf.DUMMYFUNCTION("GOOGLETRANSLATE(English!G1785, ""en"", ""bg"")"),"помощ_за_домашно_изпълнение")</f>
        <v>помощ_за_домашно_изпълнение</v>
      </c>
      <c r="H1785" s="1" t="str">
        <f ca="1">IFERROR(__xludf.DUMMYFUNCTION("GOOGLETRANSLATE(English!H1785, ""en"", ""bg"")"),"помощ_за_домашно_задаване")</f>
        <v>помощ_за_домашно_задаване</v>
      </c>
    </row>
    <row r="1786" spans="1:8" ht="13.2" x14ac:dyDescent="0.25">
      <c r="A1786" s="1" t="str">
        <f ca="1">IFERROR(__xludf.DUMMYFUNCTION("GOOGLETRANSLATE(English!A1786, ""en"", ""bg"")"),"conv_17995")</f>
        <v>conv_17995</v>
      </c>
      <c r="B1786" s="1" t="str">
        <f ca="1">IFERROR(__xludf.DUMMYFUNCTION("GOOGLETRANSLATE(English!B1786, ""en"", ""bg"")"),"биология")</f>
        <v>биология</v>
      </c>
      <c r="C1786" s="1" t="str">
        <f ca="1">IFERROR(__xludf.DUMMYFUNCTION("GOOGLETRANSLATE(English!C1786, ""en"", ""bg"")"),"средата")</f>
        <v>средата</v>
      </c>
      <c r="D1786" s="1" t="str">
        <f ca="1">IFERROR(__xludf.DUMMYFUNCTION("GOOGLETRANSLATE(English!D1786, ""en"", ""bg"")"),"основи на еволюцията")</f>
        <v>основи на еволюцията</v>
      </c>
      <c r="E1786" s="1" t="str">
        <f ca="1">IFERROR(__xludf.DUMMYFUNCTION("GOOGLETRANSLATE(English!E1786, ""en"", ""bg"")"),"Можете ли да ми помогнете? Как работят основите на еволюцията?")</f>
        <v>Можете ли да ми помогнете? Как работят основите на еволюцията?</v>
      </c>
      <c r="F1786" s="1" t="str">
        <f ca="1">IFERROR(__xludf.DUMMYFUNCTION("GOOGLETRANSLATE(English!F1786,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1786" s="1" t="str">
        <f ca="1">IFERROR(__xludf.DUMMYFUNCTION("GOOGLETRANSLATE(English!G1786, ""en"", ""bg"")"),"разговор")</f>
        <v>разговор</v>
      </c>
      <c r="H1786" s="1" t="str">
        <f ca="1">IFERROR(__xludf.DUMMYFUNCTION("GOOGLETRANSLATE(English!H1786, ""en"", ""bg"")"),"образователна_помощ")</f>
        <v>образователна_помощ</v>
      </c>
    </row>
    <row r="1787" spans="1:8" ht="13.2" x14ac:dyDescent="0.25">
      <c r="A1787" s="1" t="str">
        <f ca="1">IFERROR(__xludf.DUMMYFUNCTION("GOOGLETRANSLATE(English!A1787, ""en"", ""bg"")"),"hw_13164")</f>
        <v>hw_13164</v>
      </c>
      <c r="B1787" s="1" t="str">
        <f ca="1">IFERROR(__xludf.DUMMYFUNCTION("GOOGLETRANSLATE(English!B1787, ""en"", ""bg"")"),"биология")</f>
        <v>биология</v>
      </c>
      <c r="C1787" s="1" t="str">
        <f ca="1">IFERROR(__xludf.DUMMYFUNCTION("GOOGLETRANSLATE(English!C1787, ""en"", ""bg"")"),"елементарен")</f>
        <v>елементарен</v>
      </c>
      <c r="D1787" s="1" t="str">
        <f ca="1">IFERROR(__xludf.DUMMYFUNCTION("GOOGLETRANSLATE(English!D1787, ""en"", ""bg"")"),"животни")</f>
        <v>животни</v>
      </c>
      <c r="E1787" s="1" t="str">
        <f ca="1">IFERROR(__xludf.DUMMYFUNCTION("GOOGLETRANSLATE(English!E1787, ""en"", ""bg"")"),"Утре имам тест върху животни. Помогни ми да уча!")</f>
        <v>Утре имам тест върху животни. Помогни ми да уча!</v>
      </c>
      <c r="F1787" s="1" t="str">
        <f ca="1">IFERROR(__xludf.DUMMYFUNCTION("GOOGLETRANSLATE(English!F1787,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1787" s="1" t="str">
        <f ca="1">IFERROR(__xludf.DUMMYFUNCTION("GOOGLETRANSLATE(English!G1787, ""en"", ""bg"")"),"помощ_за_домашно_изпълнение")</f>
        <v>помощ_за_домашно_изпълнение</v>
      </c>
      <c r="H1787" s="1" t="str">
        <f ca="1">IFERROR(__xludf.DUMMYFUNCTION("GOOGLETRANSLATE(English!H1787, ""en"", ""bg"")"),"помощ_за_домашно_задаване")</f>
        <v>помощ_за_домашно_задаване</v>
      </c>
    </row>
    <row r="1788" spans="1:8" ht="13.2" x14ac:dyDescent="0.25">
      <c r="A1788" s="1" t="str">
        <f ca="1">IFERROR(__xludf.DUMMYFUNCTION("GOOGLETRANSLATE(English!A1788, ""en"", ""bg"")"),"conv_18272")</f>
        <v>conv_18272</v>
      </c>
      <c r="B1788" s="1" t="str">
        <f ca="1">IFERROR(__xludf.DUMMYFUNCTION("GOOGLETRANSLATE(English!B1788, ""en"", ""bg"")"),"биология")</f>
        <v>биология</v>
      </c>
      <c r="C1788" s="1" t="str">
        <f ca="1">IFERROR(__xludf.DUMMYFUNCTION("GOOGLETRANSLATE(English!C1788, ""en"", ""bg"")"),"високо")</f>
        <v>високо</v>
      </c>
      <c r="D1788" s="1" t="str">
        <f ca="1">IFERROR(__xludf.DUMMYFUNCTION("GOOGLETRANSLATE(English!D1788, ""en"", ""bg"")"),"модели на наследяване")</f>
        <v>модели на наследяване</v>
      </c>
      <c r="E1788" s="1" t="str">
        <f ca="1">IFERROR(__xludf.DUMMYFUNCTION("GOOGLETRANSLATE(English!E1788, ""en"", ""bg"")"),"Помогнете ми да уча за теста. Можете ли да ми разкажете за моделите на наследяване?")</f>
        <v>Помогнете ми да уча за теста. Можете ли да ми разкажете за моделите на наследяване?</v>
      </c>
      <c r="F1788" s="1" t="str">
        <f ca="1">IFERROR(__xludf.DUMMYFUNCTION("GOOGLETRANSLATE(English!F1788,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1788" s="1" t="str">
        <f ca="1">IFERROR(__xludf.DUMMYFUNCTION("GOOGLETRANSLATE(English!G1788, ""en"", ""bg"")"),"разговор")</f>
        <v>разговор</v>
      </c>
      <c r="H1788" s="1" t="str">
        <f ca="1">IFERROR(__xludf.DUMMYFUNCTION("GOOGLETRANSLATE(English!H1788, ""en"", ""bg"")"),"образователна_помощ")</f>
        <v>образователна_помощ</v>
      </c>
    </row>
    <row r="1789" spans="1:8" ht="13.2" x14ac:dyDescent="0.25">
      <c r="A1789" s="1" t="str">
        <f ca="1">IFERROR(__xludf.DUMMYFUNCTION("GOOGLETRANSLATE(English!A1789, ""en"", ""bg"")"),"conv_01228")</f>
        <v>conv_01228</v>
      </c>
      <c r="B1789" s="1" t="str">
        <f ca="1">IFERROR(__xludf.DUMMYFUNCTION("GOOGLETRANSLATE(English!B1789, ""en"", ""bg"")"),"химия")</f>
        <v>химия</v>
      </c>
      <c r="C1789" s="1" t="str">
        <f ca="1">IFERROR(__xludf.DUMMYFUNCTION("GOOGLETRANSLATE(English!C1789, ""en"", ""bg"")"),"средата")</f>
        <v>средата</v>
      </c>
      <c r="D1789" s="1" t="str">
        <f ca="1">IFERROR(__xludf.DUMMYFUNCTION("GOOGLETRANSLATE(English!D1789, ""en"", ""bg"")"),"киселини и основи")</f>
        <v>киселини и основи</v>
      </c>
      <c r="E1789" s="1" t="str">
        <f ca="1">IFERROR(__xludf.DUMMYFUNCTION("GOOGLETRANSLATE(English!E1789, ""en"", ""bg"")"),"Можете ли да ми помогнете? Как действат киселините и основите в химията?")</f>
        <v>Можете ли да ми помогнете? Как действат киселините и основите в химията?</v>
      </c>
      <c r="F1789" s="1" t="str">
        <f ca="1">IFERROR(__xludf.DUMMYFUNCTION("GOOGLETRANSLATE(English!F1789,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789" s="1" t="str">
        <f ca="1">IFERROR(__xludf.DUMMYFUNCTION("GOOGLETRANSLATE(English!G1789, ""en"", ""bg"")"),"разговор")</f>
        <v>разговор</v>
      </c>
      <c r="H1789" s="1" t="str">
        <f ca="1">IFERROR(__xludf.DUMMYFUNCTION("GOOGLETRANSLATE(English!H1789, ""en"", ""bg"")"),"образователна_помощ")</f>
        <v>образователна_помощ</v>
      </c>
    </row>
    <row r="1790" spans="1:8" ht="13.2" x14ac:dyDescent="0.25">
      <c r="A1790" s="1" t="str">
        <f ca="1">IFERROR(__xludf.DUMMYFUNCTION("GOOGLETRANSLATE(English!A1790, ""en"", ""bg"")"),"qa_06588")</f>
        <v>qa_06588</v>
      </c>
      <c r="B1790" s="1" t="str">
        <f ca="1">IFERROR(__xludf.DUMMYFUNCTION("GOOGLETRANSLATE(English!B1790, ""en"", ""bg"")"),"биология")</f>
        <v>биология</v>
      </c>
      <c r="C1790" s="1" t="str">
        <f ca="1">IFERROR(__xludf.DUMMYFUNCTION("GOOGLETRANSLATE(English!C1790, ""en"", ""bg"")"),"средата")</f>
        <v>средата</v>
      </c>
      <c r="D1790" s="1" t="str">
        <f ca="1">IFERROR(__xludf.DUMMYFUNCTION("GOOGLETRANSLATE(English!D1790, ""en"", ""bg"")"),"основи на еволюцията")</f>
        <v>основи на еволюцията</v>
      </c>
      <c r="E1790" s="1" t="str">
        <f ca="1">IFERROR(__xludf.DUMMYFUNCTION("GOOGLETRANSLATE(English!E1790, ""en"", ""bg"")"),"Можете ли да ми разкажете за основите на еволюцията?")</f>
        <v>Можете ли да ми разкажете за основите на еволюцията?</v>
      </c>
      <c r="F1790" s="1" t="str">
        <f ca="1">IFERROR(__xludf.DUMMYFUNCTION("GOOGLETRANSLATE(English!F1790,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1790" s="1" t="str">
        <f ca="1">IFERROR(__xludf.DUMMYFUNCTION("GOOGLETRANSLATE(English!G1790, ""en"", ""bg"")"),"direct_qa")</f>
        <v>direct_qa</v>
      </c>
      <c r="H1790" s="1" t="str">
        <f ca="1">IFERROR(__xludf.DUMMYFUNCTION("GOOGLETRANSLATE(English!H1790, ""en"", ""bg"")"),"заявка_за_знание")</f>
        <v>заявка_за_знание</v>
      </c>
    </row>
    <row r="1791" spans="1:8" ht="13.2" x14ac:dyDescent="0.25">
      <c r="A1791" s="1" t="str">
        <f ca="1">IFERROR(__xludf.DUMMYFUNCTION("GOOGLETRANSLATE(English!A1791, ""en"", ""bg"")"),"hw_00591")</f>
        <v>hw_00591</v>
      </c>
      <c r="B1791" s="1" t="str">
        <f ca="1">IFERROR(__xludf.DUMMYFUNCTION("GOOGLETRANSLATE(English!B1791, ""en"", ""bg"")"),"химия")</f>
        <v>химия</v>
      </c>
      <c r="C1791" s="1" t="str">
        <f ca="1">IFERROR(__xludf.DUMMYFUNCTION("GOOGLETRANSLATE(English!C1791, ""en"", ""bg"")"),"високо")</f>
        <v>високо</v>
      </c>
      <c r="D1791" s="1" t="str">
        <f ca="1">IFERROR(__xludf.DUMMYFUNCTION("GOOGLETRANSLATE(English!D1791, ""en"", ""bg"")"),"скорости на реакция")</f>
        <v>скорости на реакция</v>
      </c>
      <c r="E1791" s="1" t="str">
        <f ca="1">IFERROR(__xludf.DUMMYFUNCTION("GOOGLETRANSLATE(English!E1791,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1791" s="1" t="str">
        <f ca="1">IFERROR(__xludf.DUMMYFUNCTION("GOOGLETRANSLATE(English!F1791,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1791" s="1" t="str">
        <f ca="1">IFERROR(__xludf.DUMMYFUNCTION("GOOGLETRANSLATE(English!G1791, ""en"", ""bg"")"),"помощ_за_домашно_изпълнение")</f>
        <v>помощ_за_домашно_изпълнение</v>
      </c>
      <c r="H1791" s="1" t="str">
        <f ca="1">IFERROR(__xludf.DUMMYFUNCTION("GOOGLETRANSLATE(English!H1791, ""en"", ""bg"")"),"помощ_за_домашно_задаване")</f>
        <v>помощ_за_домашно_задаване</v>
      </c>
    </row>
    <row r="1792" spans="1:8" ht="13.2" x14ac:dyDescent="0.25">
      <c r="A1792" s="1" t="str">
        <f ca="1">IFERROR(__xludf.DUMMYFUNCTION("GOOGLETRANSLATE(English!A1792, ""en"", ""bg"")"),"qa_03182")</f>
        <v>qa_03182</v>
      </c>
      <c r="B1792" s="1" t="str">
        <f ca="1">IFERROR(__xludf.DUMMYFUNCTION("GOOGLETRANSLATE(English!B1792, ""en"", ""bg"")"),"физика")</f>
        <v>физика</v>
      </c>
      <c r="C1792" s="1" t="str">
        <f ca="1">IFERROR(__xludf.DUMMYFUNCTION("GOOGLETRANSLATE(English!C1792, ""en"", ""bg"")"),"високо")</f>
        <v>високо</v>
      </c>
      <c r="D1792" s="1" t="str">
        <f ca="1">IFERROR(__xludf.DUMMYFUNCTION("GOOGLETRANSLATE(English!D1792, ""en"", ""bg"")"),"електромагнетизъм")</f>
        <v>електромагнетизъм</v>
      </c>
      <c r="E1792" s="1" t="str">
        <f ca="1">IFERROR(__xludf.DUMMYFUNCTION("GOOGLETRANSLATE(English!E1792, ""en"", ""bg"")"),"Какво трябва да знам за електромагнетизма?")</f>
        <v>Какво трябва да знам за електромагнетизма?</v>
      </c>
      <c r="F1792" s="1" t="str">
        <f ca="1">IFERROR(__xludf.DUMMYFUNCTION("GOOGLETRANSLATE(English!F1792,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1792" s="1" t="str">
        <f ca="1">IFERROR(__xludf.DUMMYFUNCTION("GOOGLETRANSLATE(English!G1792, ""en"", ""bg"")"),"direct_qa")</f>
        <v>direct_qa</v>
      </c>
      <c r="H1792" s="1" t="str">
        <f ca="1">IFERROR(__xludf.DUMMYFUNCTION("GOOGLETRANSLATE(English!H1792, ""en"", ""bg"")"),"заявка_за_знание")</f>
        <v>заявка_за_знание</v>
      </c>
    </row>
    <row r="1793" spans="1:8" ht="13.2" x14ac:dyDescent="0.25">
      <c r="A1793" s="1" t="str">
        <f ca="1">IFERROR(__xludf.DUMMYFUNCTION("GOOGLETRANSLATE(English!A1793, ""en"", ""bg"")"),"conv_13932")</f>
        <v>conv_13932</v>
      </c>
      <c r="B1793" s="1" t="str">
        <f ca="1">IFERROR(__xludf.DUMMYFUNCTION("GOOGLETRANSLATE(English!B1793, ""en"", ""bg"")"),"физика")</f>
        <v>физика</v>
      </c>
      <c r="C1793" s="1" t="str">
        <f ca="1">IFERROR(__xludf.DUMMYFUNCTION("GOOGLETRANSLATE(English!C1793, ""en"", ""bg"")"),"средата")</f>
        <v>средата</v>
      </c>
      <c r="D1793" s="1" t="str">
        <f ca="1">IFERROR(__xludf.DUMMYFUNCTION("GOOGLETRANSLATE(English!D1793, ""en"", ""bg"")"),"прости схеми")</f>
        <v>прости схеми</v>
      </c>
      <c r="E1793" s="1" t="str">
        <f ca="1">IFERROR(__xludf.DUMMYFUNCTION("GOOGLETRANSLATE(English!E1793, ""en"", ""bg"")"),"Здравей, преподавателю! Защо простите електрически вериги са важни?")</f>
        <v>Здравей, преподавателю! Защо простите електрически вериги са важни?</v>
      </c>
      <c r="F1793" s="1" t="str">
        <f ca="1">IFERROR(__xludf.DUMMYFUNCTION("GOOGLETRANSLATE(English!F1793,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793" s="1" t="str">
        <f ca="1">IFERROR(__xludf.DUMMYFUNCTION("GOOGLETRANSLATE(English!G1793, ""en"", ""bg"")"),"разговор")</f>
        <v>разговор</v>
      </c>
      <c r="H1793" s="1" t="str">
        <f ca="1">IFERROR(__xludf.DUMMYFUNCTION("GOOGLETRANSLATE(English!H1793, ""en"", ""bg"")"),"образователна_помощ")</f>
        <v>образователна_помощ</v>
      </c>
    </row>
    <row r="1794" spans="1:8" ht="13.2" x14ac:dyDescent="0.25">
      <c r="A1794" s="1" t="str">
        <f ca="1">IFERROR(__xludf.DUMMYFUNCTION("GOOGLETRANSLATE(English!A1794, ""en"", ""bg"")"),"hw_01075")</f>
        <v>hw_01075</v>
      </c>
      <c r="B1794" s="1" t="str">
        <f ca="1">IFERROR(__xludf.DUMMYFUNCTION("GOOGLETRANSLATE(English!B1794, ""en"", ""bg"")"),"физика")</f>
        <v>физика</v>
      </c>
      <c r="C1794" s="1" t="str">
        <f ca="1">IFERROR(__xludf.DUMMYFUNCTION("GOOGLETRANSLATE(English!C1794, ""en"", ""bg"")"),"елементарен")</f>
        <v>елементарен</v>
      </c>
      <c r="D1794" s="1" t="str">
        <f ca="1">IFERROR(__xludf.DUMMYFUNCTION("GOOGLETRANSLATE(English!D1794, ""en"", ""bg"")"),"плаващ и потъващ")</f>
        <v>плаващ и потъващ</v>
      </c>
      <c r="E1794" s="1" t="str">
        <f ca="1">IFERROR(__xludf.DUMMYFUNCTION("GOOGLETRANSLATE(English!E1794, ""en"", ""bg"")"),"Можеш ли да решиш този плаващ и потъващ въпрос с мен?")</f>
        <v>Можеш ли да решиш този плаващ и потъващ въпрос с мен?</v>
      </c>
      <c r="F1794" s="1" t="str">
        <f ca="1">IFERROR(__xludf.DUMMYFUNCTION("GOOGLETRANSLATE(English!F1794,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1794" s="1" t="str">
        <f ca="1">IFERROR(__xludf.DUMMYFUNCTION("GOOGLETRANSLATE(English!G1794, ""en"", ""bg"")"),"помощ_за_домашно_изпълнение")</f>
        <v>помощ_за_домашно_изпълнение</v>
      </c>
      <c r="H1794" s="1" t="str">
        <f ca="1">IFERROR(__xludf.DUMMYFUNCTION("GOOGLETRANSLATE(English!H1794, ""en"", ""bg"")"),"помощ_за_домашно_задаване")</f>
        <v>помощ_за_домашно_задаване</v>
      </c>
    </row>
    <row r="1795" spans="1:8" ht="13.2" x14ac:dyDescent="0.25">
      <c r="A1795" s="1" t="str">
        <f ca="1">IFERROR(__xludf.DUMMYFUNCTION("GOOGLETRANSLATE(English!A1795, ""en"", ""bg"")"),"conv_12420")</f>
        <v>conv_12420</v>
      </c>
      <c r="B1795" s="1" t="str">
        <f ca="1">IFERROR(__xludf.DUMMYFUNCTION("GOOGLETRANSLATE(English!B1795, ""en"", ""bg"")"),"физика")</f>
        <v>физика</v>
      </c>
      <c r="C1795" s="1" t="str">
        <f ca="1">IFERROR(__xludf.DUMMYFUNCTION("GOOGLETRANSLATE(English!C1795, ""en"", ""bg"")"),"средата")</f>
        <v>средата</v>
      </c>
      <c r="D1795" s="1" t="str">
        <f ca="1">IFERROR(__xludf.DUMMYFUNCTION("GOOGLETRANSLATE(English!D1795, ""en"", ""bg"")"),"вълни")</f>
        <v>вълни</v>
      </c>
      <c r="E1795" s="1" t="str">
        <f ca="1">IFERROR(__xludf.DUMMYFUNCTION("GOOGLETRANSLATE(English!E1795, ""en"", ""bg"")"),"Имам научен въпрос. Можете ли да ми обясните вълните?")</f>
        <v>Имам научен въпрос. Можете ли да ми обясните вълните?</v>
      </c>
      <c r="F1795" s="1" t="str">
        <f ca="1">IFERROR(__xludf.DUMMYFUNCTION("GOOGLETRANSLATE(English!F1795,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1795" s="1" t="str">
        <f ca="1">IFERROR(__xludf.DUMMYFUNCTION("GOOGLETRANSLATE(English!G1795, ""en"", ""bg"")"),"разговор")</f>
        <v>разговор</v>
      </c>
      <c r="H1795" s="1" t="str">
        <f ca="1">IFERROR(__xludf.DUMMYFUNCTION("GOOGLETRANSLATE(English!H1795, ""en"", ""bg"")"),"образователна_помощ")</f>
        <v>образователна_помощ</v>
      </c>
    </row>
    <row r="1796" spans="1:8" ht="13.2" x14ac:dyDescent="0.25">
      <c r="A1796" s="1" t="str">
        <f ca="1">IFERROR(__xludf.DUMMYFUNCTION("GOOGLETRANSLATE(English!A1796, ""en"", ""bg"")"),"conv_18731")</f>
        <v>conv_18731</v>
      </c>
      <c r="B1796" s="1" t="str">
        <f ca="1">IFERROR(__xludf.DUMMYFUNCTION("GOOGLETRANSLATE(English!B1796, ""en"", ""bg"")"),"химия")</f>
        <v>химия</v>
      </c>
      <c r="C1796" s="1" t="str">
        <f ca="1">IFERROR(__xludf.DUMMYFUNCTION("GOOGLETRANSLATE(English!C1796, ""en"", ""bg"")"),"средата")</f>
        <v>средата</v>
      </c>
      <c r="D1796" s="1" t="str">
        <f ca="1">IFERROR(__xludf.DUMMYFUNCTION("GOOGLETRANSLATE(English!D1796, ""en"", ""bg"")"),"химични реакции")</f>
        <v>химични реакции</v>
      </c>
      <c r="E1796" s="1" t="str">
        <f ca="1">IFERROR(__xludf.DUMMYFUNCTION("GOOGLETRANSLATE(English!E1796, ""en"", ""bg"")"),"Помогнете ми да уча за теста. Как разбирате дали е протекла химическа реакция?")</f>
        <v>Помогнете ми да уча за теста. Как разбирате дали е протекла химическа реакция?</v>
      </c>
      <c r="F1796" s="1" t="str">
        <f ca="1">IFERROR(__xludf.DUMMYFUNCTION("GOOGLETRANSLATE(English!F1796,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796" s="1" t="str">
        <f ca="1">IFERROR(__xludf.DUMMYFUNCTION("GOOGLETRANSLATE(English!G1796, ""en"", ""bg"")"),"разговор")</f>
        <v>разговор</v>
      </c>
      <c r="H1796" s="1" t="str">
        <f ca="1">IFERROR(__xludf.DUMMYFUNCTION("GOOGLETRANSLATE(English!H1796, ""en"", ""bg"")"),"образователна_помощ")</f>
        <v>образователна_помощ</v>
      </c>
    </row>
    <row r="1797" spans="1:8" ht="13.2" x14ac:dyDescent="0.25">
      <c r="A1797" s="1" t="str">
        <f ca="1">IFERROR(__xludf.DUMMYFUNCTION("GOOGLETRANSLATE(English!A1797, ""en"", ""bg"")"),"hw_07940")</f>
        <v>hw_07940</v>
      </c>
      <c r="B1797" s="1" t="str">
        <f ca="1">IFERROR(__xludf.DUMMYFUNCTION("GOOGLETRANSLATE(English!B1797, ""en"", ""bg"")"),"химия")</f>
        <v>химия</v>
      </c>
      <c r="C1797" s="1" t="str">
        <f ca="1">IFERROR(__xludf.DUMMYFUNCTION("GOOGLETRANSLATE(English!C1797, ""en"", ""bg"")"),"високо")</f>
        <v>високо</v>
      </c>
      <c r="D1797" s="1" t="str">
        <f ca="1">IFERROR(__xludf.DUMMYFUNCTION("GOOGLETRANSLATE(English!D1797, ""en"", ""bg"")"),"стехиометрия")</f>
        <v>стехиометрия</v>
      </c>
      <c r="E1797" s="1" t="str">
        <f ca="1">IFERROR(__xludf.DUMMYFUNCTION("GOOGLETRANSLATE(English!E1797,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1797" s="1" t="str">
        <f ca="1">IFERROR(__xludf.DUMMYFUNCTION("GOOGLETRANSLATE(English!F1797,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797" s="1" t="str">
        <f ca="1">IFERROR(__xludf.DUMMYFUNCTION("GOOGLETRANSLATE(English!G1797, ""en"", ""bg"")"),"помощ_за_домашно_изпълнение")</f>
        <v>помощ_за_домашно_изпълнение</v>
      </c>
      <c r="H1797" s="1" t="str">
        <f ca="1">IFERROR(__xludf.DUMMYFUNCTION("GOOGLETRANSLATE(English!H1797, ""en"", ""bg"")"),"помощ_за_домашно_задаване")</f>
        <v>помощ_за_домашно_задаване</v>
      </c>
    </row>
    <row r="1798" spans="1:8" ht="13.2" x14ac:dyDescent="0.25">
      <c r="A1798" s="1" t="str">
        <f ca="1">IFERROR(__xludf.DUMMYFUNCTION("GOOGLETRANSLATE(English!A1798, ""en"", ""bg"")"),"hw_11209")</f>
        <v>hw_11209</v>
      </c>
      <c r="B1798" s="1" t="str">
        <f ca="1">IFERROR(__xludf.DUMMYFUNCTION("GOOGLETRANSLATE(English!B1798, ""en"", ""bg"")"),"химия")</f>
        <v>химия</v>
      </c>
      <c r="C1798" s="1" t="str">
        <f ca="1">IFERROR(__xludf.DUMMYFUNCTION("GOOGLETRANSLATE(English!C1798, ""en"", ""bg"")"),"високо")</f>
        <v>високо</v>
      </c>
      <c r="D1798" s="1" t="str">
        <f ca="1">IFERROR(__xludf.DUMMYFUNCTION("GOOGLETRANSLATE(English!D1798, ""en"", ""bg"")"),"стехиометрия")</f>
        <v>стехиометрия</v>
      </c>
      <c r="E1798" s="1" t="str">
        <f ca="1">IFERROR(__xludf.DUMMYFUNCTION("GOOGLETRANSLATE(English!E1798, ""en"", ""bg"")"),"Можете ли да ми помогнете със стехиометричните изчисления?")</f>
        <v>Можете ли да ми помогнете със стехиометричните изчисления?</v>
      </c>
      <c r="F1798" s="1" t="str">
        <f ca="1">IFERROR(__xludf.DUMMYFUNCTION("GOOGLETRANSLATE(English!F1798,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798" s="1" t="str">
        <f ca="1">IFERROR(__xludf.DUMMYFUNCTION("GOOGLETRANSLATE(English!G1798, ""en"", ""bg"")"),"помощ_за_домашно_изпълнение")</f>
        <v>помощ_за_домашно_изпълнение</v>
      </c>
      <c r="H1798" s="1" t="str">
        <f ca="1">IFERROR(__xludf.DUMMYFUNCTION("GOOGLETRANSLATE(English!H1798, ""en"", ""bg"")"),"помощ_за_домашно_задаване")</f>
        <v>помощ_за_домашно_задаване</v>
      </c>
    </row>
    <row r="1799" spans="1:8" ht="13.2" x14ac:dyDescent="0.25">
      <c r="A1799" s="1" t="str">
        <f ca="1">IFERROR(__xludf.DUMMYFUNCTION("GOOGLETRANSLATE(English!A1799, ""en"", ""bg"")"),"conv_03357")</f>
        <v>conv_03357</v>
      </c>
      <c r="B1799" s="1" t="str">
        <f ca="1">IFERROR(__xludf.DUMMYFUNCTION("GOOGLETRANSLATE(English!B1799, ""en"", ""bg"")"),"биология")</f>
        <v>биология</v>
      </c>
      <c r="C1799" s="1" t="str">
        <f ca="1">IFERROR(__xludf.DUMMYFUNCTION("GOOGLETRANSLATE(English!C1799, ""en"", ""bg"")"),"средата")</f>
        <v>средата</v>
      </c>
      <c r="D1799" s="1" t="str">
        <f ca="1">IFERROR(__xludf.DUMMYFUNCTION("GOOGLETRANSLATE(English!D1799, ""en"", ""bg"")"),"фотосинтеза")</f>
        <v>фотосинтеза</v>
      </c>
      <c r="E1799" s="1" t="str">
        <f ca="1">IFERROR(__xludf.DUMMYFUNCTION("GOOGLETRANSLATE(English!E1799, ""en"", ""bg"")"),"Имам научен въпрос. Как работи фотосинтезата?")</f>
        <v>Имам научен въпрос. Как работи фотосинтезата?</v>
      </c>
      <c r="F1799" s="1" t="str">
        <f ca="1">IFERROR(__xludf.DUMMYFUNCTION("GOOGLETRANSLATE(English!F1799,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1799" s="1" t="str">
        <f ca="1">IFERROR(__xludf.DUMMYFUNCTION("GOOGLETRANSLATE(English!G1799, ""en"", ""bg"")"),"разговор")</f>
        <v>разговор</v>
      </c>
      <c r="H1799" s="1" t="str">
        <f ca="1">IFERROR(__xludf.DUMMYFUNCTION("GOOGLETRANSLATE(English!H1799, ""en"", ""bg"")"),"образователна_помощ")</f>
        <v>образователна_помощ</v>
      </c>
    </row>
    <row r="1800" spans="1:8" ht="13.2" x14ac:dyDescent="0.25">
      <c r="A1800" s="1" t="str">
        <f ca="1">IFERROR(__xludf.DUMMYFUNCTION("GOOGLETRANSLATE(English!A1800, ""en"", ""bg"")"),"conv_12819")</f>
        <v>conv_12819</v>
      </c>
      <c r="B1800" s="1" t="str">
        <f ca="1">IFERROR(__xludf.DUMMYFUNCTION("GOOGLETRANSLATE(English!B1800, ""en"", ""bg"")"),"биология")</f>
        <v>биология</v>
      </c>
      <c r="C1800" s="1" t="str">
        <f ca="1">IFERROR(__xludf.DUMMYFUNCTION("GOOGLETRANSLATE(English!C1800, ""en"", ""bg"")"),"елементарен")</f>
        <v>елементарен</v>
      </c>
      <c r="D1800" s="1" t="str">
        <f ca="1">IFERROR(__xludf.DUMMYFUNCTION("GOOGLETRANSLATE(English!D1800, ""en"", ""bg"")"),"човешкото тяло")</f>
        <v>човешкото тяло</v>
      </c>
      <c r="E1800" s="1" t="str">
        <f ca="1">IFERROR(__xludf.DUMMYFUNCTION("GOOGLETRANSLATE(English!E1800, ""en"", ""bg"")"),"Помогнете ми да уча за теста си. Какво е важно да знаем за човешкото тяло?")</f>
        <v>Помогнете ми да уча за теста си. Какво е важно да знаем за човешкото тяло?</v>
      </c>
      <c r="F1800" s="1" t="str">
        <f ca="1">IFERROR(__xludf.DUMMYFUNCTION("GOOGLETRANSLATE(English!F1800,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1800" s="1" t="str">
        <f ca="1">IFERROR(__xludf.DUMMYFUNCTION("GOOGLETRANSLATE(English!G1800, ""en"", ""bg"")"),"разговор")</f>
        <v>разговор</v>
      </c>
      <c r="H1800" s="1" t="str">
        <f ca="1">IFERROR(__xludf.DUMMYFUNCTION("GOOGLETRANSLATE(English!H1800, ""en"", ""bg"")"),"образователна_помощ")</f>
        <v>образователна_помощ</v>
      </c>
    </row>
    <row r="1801" spans="1:8" ht="13.2" x14ac:dyDescent="0.25">
      <c r="A1801" s="1" t="str">
        <f ca="1">IFERROR(__xludf.DUMMYFUNCTION("GOOGLETRANSLATE(English!A1801, ""en"", ""bg"")"),"qa_08721")</f>
        <v>qa_08721</v>
      </c>
      <c r="B1801" s="1" t="str">
        <f ca="1">IFERROR(__xludf.DUMMYFUNCTION("GOOGLETRANSLATE(English!B1801, ""en"", ""bg"")"),"биология")</f>
        <v>биология</v>
      </c>
      <c r="C1801" s="1" t="str">
        <f ca="1">IFERROR(__xludf.DUMMYFUNCTION("GOOGLETRANSLATE(English!C1801, ""en"", ""bg"")"),"средата")</f>
        <v>средата</v>
      </c>
      <c r="D1801" s="1" t="str">
        <f ca="1">IFERROR(__xludf.DUMMYFUNCTION("GOOGLETRANSLATE(English!D1801, ""en"", ""bg"")"),"екосистеми")</f>
        <v>екосистеми</v>
      </c>
      <c r="E1801" s="1" t="str">
        <f ca="1">IFERROR(__xludf.DUMMYFUNCTION("GOOGLETRANSLATE(English!E1801, ""en"", ""bg"")"),"Можете ли да ми разкажете за екосистемите?")</f>
        <v>Можете ли да ми разкажете за екосистемите?</v>
      </c>
      <c r="F1801" s="1" t="str">
        <f ca="1">IFERROR(__xludf.DUMMYFUNCTION("GOOGLETRANSLATE(English!F1801,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1801" s="1" t="str">
        <f ca="1">IFERROR(__xludf.DUMMYFUNCTION("GOOGLETRANSLATE(English!G1801, ""en"", ""bg"")"),"direct_qa")</f>
        <v>direct_qa</v>
      </c>
      <c r="H1801" s="1" t="str">
        <f ca="1">IFERROR(__xludf.DUMMYFUNCTION("GOOGLETRANSLATE(English!H1801, ""en"", ""bg"")"),"заявка_за_знание")</f>
        <v>заявка_за_знание</v>
      </c>
    </row>
    <row r="1802" spans="1:8" ht="13.2" x14ac:dyDescent="0.25">
      <c r="A1802" s="1" t="str">
        <f ca="1">IFERROR(__xludf.DUMMYFUNCTION("GOOGLETRANSLATE(English!A1802, ""en"", ""bg"")"),"qa_13502")</f>
        <v>qa_13502</v>
      </c>
      <c r="B1802" s="1" t="str">
        <f ca="1">IFERROR(__xludf.DUMMYFUNCTION("GOOGLETRANSLATE(English!B1802, ""en"", ""bg"")"),"физика")</f>
        <v>физика</v>
      </c>
      <c r="C1802" s="1" t="str">
        <f ca="1">IFERROR(__xludf.DUMMYFUNCTION("GOOGLETRANSLATE(English!C1802, ""en"", ""bg"")"),"средата")</f>
        <v>средата</v>
      </c>
      <c r="D1802" s="1" t="str">
        <f ca="1">IFERROR(__xludf.DUMMYFUNCTION("GOOGLETRANSLATE(English!D1802, ""en"", ""bg"")"),"основи на електричеството")</f>
        <v>основи на електричеството</v>
      </c>
      <c r="E1802" s="1" t="str">
        <f ca="1">IFERROR(__xludf.DUMMYFUNCTION("GOOGLETRANSLATE(English!E1802, ""en"", ""bg"")"),"Какво трябва да знам за основите на електричеството?")</f>
        <v>Какво трябва да знам за основите на електричеството?</v>
      </c>
      <c r="F1802" s="1" t="str">
        <f ca="1">IFERROR(__xludf.DUMMYFUNCTION("GOOGLETRANSLATE(English!F1802, ""en"", ""bg"")"),"Ключовото нещо за основите на електричеството е как то следва законите на физиката, които управляват нашата вселена.")</f>
        <v>Ключовото нещо за основите на електричеството е как то следва законите на физиката, които управляват нашата вселена.</v>
      </c>
      <c r="G1802" s="1" t="str">
        <f ca="1">IFERROR(__xludf.DUMMYFUNCTION("GOOGLETRANSLATE(English!G1802, ""en"", ""bg"")"),"direct_qa")</f>
        <v>direct_qa</v>
      </c>
      <c r="H1802" s="1" t="str">
        <f ca="1">IFERROR(__xludf.DUMMYFUNCTION("GOOGLETRANSLATE(English!H1802, ""en"", ""bg"")"),"заявка_за_знание")</f>
        <v>заявка_за_знание</v>
      </c>
    </row>
    <row r="1803" spans="1:8" ht="13.2" x14ac:dyDescent="0.25">
      <c r="A1803" s="1" t="str">
        <f ca="1">IFERROR(__xludf.DUMMYFUNCTION("GOOGLETRANSLATE(English!A1803, ""en"", ""bg"")"),"conv_06303")</f>
        <v>conv_06303</v>
      </c>
      <c r="B1803" s="1" t="str">
        <f ca="1">IFERROR(__xludf.DUMMYFUNCTION("GOOGLETRANSLATE(English!B1803, ""en"", ""bg"")"),"химия")</f>
        <v>химия</v>
      </c>
      <c r="C1803" s="1" t="str">
        <f ca="1">IFERROR(__xludf.DUMMYFUNCTION("GOOGLETRANSLATE(English!C1803, ""en"", ""bg"")"),"средата")</f>
        <v>средата</v>
      </c>
      <c r="D1803" s="1" t="str">
        <f ca="1">IFERROR(__xludf.DUMMYFUNCTION("GOOGLETRANSLATE(English!D1803, ""en"", ""bg"")"),"химични реакции")</f>
        <v>химични реакции</v>
      </c>
      <c r="E1803" s="1" t="str">
        <f ca="1">IFERROR(__xludf.DUMMYFUNCTION("GOOGLETRANSLATE(English!E1803, ""en"", ""bg"")"),"Можете ли да ми помогнете? Какво представляват реагентите и продуктите?")</f>
        <v>Можете ли да ми помогнете? Какво представляват реагентите и продуктите?</v>
      </c>
      <c r="F1803" s="1" t="str">
        <f ca="1">IFERROR(__xludf.DUMMYFUNCTION("GOOGLETRANSLATE(English!F1803,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1803" s="1" t="str">
        <f ca="1">IFERROR(__xludf.DUMMYFUNCTION("GOOGLETRANSLATE(English!G1803, ""en"", ""bg"")"),"разговор")</f>
        <v>разговор</v>
      </c>
      <c r="H1803" s="1" t="str">
        <f ca="1">IFERROR(__xludf.DUMMYFUNCTION("GOOGLETRANSLATE(English!H1803, ""en"", ""bg"")"),"образователна_помощ")</f>
        <v>образователна_помощ</v>
      </c>
    </row>
    <row r="1804" spans="1:8" ht="13.2" x14ac:dyDescent="0.25">
      <c r="A1804" s="1" t="str">
        <f ca="1">IFERROR(__xludf.DUMMYFUNCTION("GOOGLETRANSLATE(English!A1804, ""en"", ""bg"")"),"hw_07221")</f>
        <v>hw_07221</v>
      </c>
      <c r="B1804" s="1" t="str">
        <f ca="1">IFERROR(__xludf.DUMMYFUNCTION("GOOGLETRANSLATE(English!B1804, ""en"", ""bg"")"),"биология")</f>
        <v>биология</v>
      </c>
      <c r="C1804" s="1" t="str">
        <f ca="1">IFERROR(__xludf.DUMMYFUNCTION("GOOGLETRANSLATE(English!C1804, ""en"", ""bg"")"),"средата")</f>
        <v>средата</v>
      </c>
      <c r="D1804" s="1" t="str">
        <f ca="1">IFERROR(__xludf.DUMMYFUNCTION("GOOGLETRANSLATE(English!D1804, ""en"", ""bg"")"),"фотосинтеза")</f>
        <v>фотосинтеза</v>
      </c>
      <c r="E1804" s="1" t="str">
        <f ca="1">IFERROR(__xludf.DUMMYFUNCTION("GOOGLETRANSLATE(English!E1804, ""en"", ""bg"")"),"Можете ли да обясните фотосинтезата за моя научен проект?")</f>
        <v>Можете ли да обясните фотосинтезата за моя научен проект?</v>
      </c>
      <c r="F1804" s="1" t="str">
        <f ca="1">IFERROR(__xludf.DUMMYFUNCTION("GOOGLETRANSLATE(English!F1804,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804" s="1" t="str">
        <f ca="1">IFERROR(__xludf.DUMMYFUNCTION("GOOGLETRANSLATE(English!G1804, ""en"", ""bg"")"),"помощ_за_домашно_изпълнение")</f>
        <v>помощ_за_домашно_изпълнение</v>
      </c>
      <c r="H1804" s="1" t="str">
        <f ca="1">IFERROR(__xludf.DUMMYFUNCTION("GOOGLETRANSLATE(English!H1804, ""en"", ""bg"")"),"помощ_за_домашно_задаване")</f>
        <v>помощ_за_домашно_задаване</v>
      </c>
    </row>
    <row r="1805" spans="1:8" ht="13.2" x14ac:dyDescent="0.25">
      <c r="A1805" s="1" t="str">
        <f ca="1">IFERROR(__xludf.DUMMYFUNCTION("GOOGLETRANSLATE(English!A1805, ""en"", ""bg"")"),"hw_12903")</f>
        <v>hw_12903</v>
      </c>
      <c r="B1805" s="1" t="str">
        <f ca="1">IFERROR(__xludf.DUMMYFUNCTION("GOOGLETRANSLATE(English!B1805, ""en"", ""bg"")"),"химия")</f>
        <v>химия</v>
      </c>
      <c r="C1805" s="1" t="str">
        <f ca="1">IFERROR(__xludf.DUMMYFUNCTION("GOOGLETRANSLATE(English!C1805, ""en"", ""bg"")"),"високо")</f>
        <v>високо</v>
      </c>
      <c r="D1805" s="1" t="str">
        <f ca="1">IFERROR(__xludf.DUMMYFUNCTION("GOOGLETRANSLATE(English!D1805, ""en"", ""bg"")"),"стехиометрия")</f>
        <v>стехиометрия</v>
      </c>
      <c r="E1805" s="1" t="str">
        <f ca="1">IFERROR(__xludf.DUMMYFUNCTION("GOOGLETRANSLATE(English!E1805,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1805" s="1" t="str">
        <f ca="1">IFERROR(__xludf.DUMMYFUNCTION("GOOGLETRANSLATE(English!F1805,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1805" s="1" t="str">
        <f ca="1">IFERROR(__xludf.DUMMYFUNCTION("GOOGLETRANSLATE(English!G1805, ""en"", ""bg"")"),"помощ_за_домашно_изпълнение")</f>
        <v>помощ_за_домашно_изпълнение</v>
      </c>
      <c r="H1805" s="1" t="str">
        <f ca="1">IFERROR(__xludf.DUMMYFUNCTION("GOOGLETRANSLATE(English!H1805, ""en"", ""bg"")"),"помощ_за_домашно_задаване")</f>
        <v>помощ_за_домашно_задаване</v>
      </c>
    </row>
    <row r="1806" spans="1:8" ht="13.2" x14ac:dyDescent="0.25">
      <c r="A1806" s="1" t="str">
        <f ca="1">IFERROR(__xludf.DUMMYFUNCTION("GOOGLETRANSLATE(English!A1806, ""en"", ""bg"")"),"hw_03117")</f>
        <v>hw_03117</v>
      </c>
      <c r="B1806" s="1" t="str">
        <f ca="1">IFERROR(__xludf.DUMMYFUNCTION("GOOGLETRANSLATE(English!B1806, ""en"", ""bg"")"),"биология")</f>
        <v>биология</v>
      </c>
      <c r="C1806" s="1" t="str">
        <f ca="1">IFERROR(__xludf.DUMMYFUNCTION("GOOGLETRANSLATE(English!C1806, ""en"", ""bg"")"),"средата")</f>
        <v>средата</v>
      </c>
      <c r="D1806" s="1" t="str">
        <f ca="1">IFERROR(__xludf.DUMMYFUNCTION("GOOGLETRANSLATE(English!D1806, ""en"", ""bg"")"),"основи на генетиката")</f>
        <v>основи на генетиката</v>
      </c>
      <c r="E1806" s="1" t="str">
        <f ca="1">IFERROR(__xludf.DUMMYFUNCTION("GOOGLETRANSLATE(English!E1806, ""en"", ""bg"")"),"Трябва да напиша доклад за основите на генетиката. Можете ли да ми помогнете да започна?")</f>
        <v>Трябва да напиша доклад за основите на генетиката. Можете ли да ми помогнете да започна?</v>
      </c>
      <c r="F1806" s="1" t="str">
        <f ca="1">IFERROR(__xludf.DUMMYFUNCTION("GOOGLETRANSLATE(English!F1806,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806" s="1" t="str">
        <f ca="1">IFERROR(__xludf.DUMMYFUNCTION("GOOGLETRANSLATE(English!G1806, ""en"", ""bg"")"),"помощ_за_домашно_изпълнение")</f>
        <v>помощ_за_домашно_изпълнение</v>
      </c>
      <c r="H1806" s="1" t="str">
        <f ca="1">IFERROR(__xludf.DUMMYFUNCTION("GOOGLETRANSLATE(English!H1806, ""en"", ""bg"")"),"помощ_за_домашно_задаване")</f>
        <v>помощ_за_домашно_задаване</v>
      </c>
    </row>
    <row r="1807" spans="1:8" ht="13.2" x14ac:dyDescent="0.25">
      <c r="A1807" s="1" t="str">
        <f ca="1">IFERROR(__xludf.DUMMYFUNCTION("GOOGLETRANSLATE(English!A1807, ""en"", ""bg"")"),"conv_13217")</f>
        <v>conv_13217</v>
      </c>
      <c r="B1807" s="1" t="str">
        <f ca="1">IFERROR(__xludf.DUMMYFUNCTION("GOOGLETRANSLATE(English!B1807, ""en"", ""bg"")"),"химия")</f>
        <v>химия</v>
      </c>
      <c r="C1807" s="1" t="str">
        <f ca="1">IFERROR(__xludf.DUMMYFUNCTION("GOOGLETRANSLATE(English!C1807, ""en"", ""bg"")"),"елементарен")</f>
        <v>елементарен</v>
      </c>
      <c r="D1807" s="1" t="str">
        <f ca="1">IFERROR(__xludf.DUMMYFUNCTION("GOOGLETRANSLATE(English!D1807, ""en"", ""bg"")"),"промени в материалите")</f>
        <v>промени в материалите</v>
      </c>
      <c r="E1807" s="1" t="str">
        <f ca="1">IFERROR(__xludf.DUMMYFUNCTION("GOOGLETRANSLATE(English!E1807, ""en"", ""bg"")"),"Имам научен въпрос. Можете ли да ми помогнете да разбера промените в материалите?")</f>
        <v>Имам научен въпрос. Можете ли да ми помогнете да разбера промените в материалите?</v>
      </c>
      <c r="F1807" s="1" t="str">
        <f ca="1">IFERROR(__xludf.DUMMYFUNCTION("GOOGLETRANSLATE(English!F1807,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1807" s="1" t="str">
        <f ca="1">IFERROR(__xludf.DUMMYFUNCTION("GOOGLETRANSLATE(English!G1807, ""en"", ""bg"")"),"разговор")</f>
        <v>разговор</v>
      </c>
      <c r="H1807" s="1" t="str">
        <f ca="1">IFERROR(__xludf.DUMMYFUNCTION("GOOGLETRANSLATE(English!H1807, ""en"", ""bg"")"),"образователна_помощ")</f>
        <v>образователна_помощ</v>
      </c>
    </row>
    <row r="1808" spans="1:8" ht="13.2" x14ac:dyDescent="0.25">
      <c r="A1808" s="1" t="str">
        <f ca="1">IFERROR(__xludf.DUMMYFUNCTION("GOOGLETRANSLATE(English!A1808, ""en"", ""bg"")"),"hw_12402")</f>
        <v>hw_12402</v>
      </c>
      <c r="B1808" s="1" t="str">
        <f ca="1">IFERROR(__xludf.DUMMYFUNCTION("GOOGLETRANSLATE(English!B1808, ""en"", ""bg"")"),"физика")</f>
        <v>физика</v>
      </c>
      <c r="C1808" s="1" t="str">
        <f ca="1">IFERROR(__xludf.DUMMYFUNCTION("GOOGLETRANSLATE(English!C1808, ""en"", ""bg"")"),"високо")</f>
        <v>високо</v>
      </c>
      <c r="D1808" s="1" t="str">
        <f ca="1">IFERROR(__xludf.DUMMYFUNCTION("GOOGLETRANSLATE(English!D1808, ""en"", ""bg"")"),"атомна структура")</f>
        <v>атомна структура</v>
      </c>
      <c r="E1808" s="1" t="str">
        <f ca="1">IFERROR(__xludf.DUMMYFUNCTION("GOOGLETRANSLATE(English!E1808,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1808" s="1" t="str">
        <f ca="1">IFERROR(__xludf.DUMMYFUNCTION("GOOGLETRANSLATE(English!F1808,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1808" s="1" t="str">
        <f ca="1">IFERROR(__xludf.DUMMYFUNCTION("GOOGLETRANSLATE(English!G1808, ""en"", ""bg"")"),"помощ_за_домашно_изпълнение")</f>
        <v>помощ_за_домашно_изпълнение</v>
      </c>
      <c r="H1808" s="1" t="str">
        <f ca="1">IFERROR(__xludf.DUMMYFUNCTION("GOOGLETRANSLATE(English!H1808, ""en"", ""bg"")"),"помощ_за_домашно_задаване")</f>
        <v>помощ_за_домашно_задаване</v>
      </c>
    </row>
    <row r="1809" spans="1:8" ht="13.2" x14ac:dyDescent="0.25">
      <c r="A1809" s="1" t="str">
        <f ca="1">IFERROR(__xludf.DUMMYFUNCTION("GOOGLETRANSLATE(English!A1809, ""en"", ""bg"")"),"conv_07738")</f>
        <v>conv_07738</v>
      </c>
      <c r="B1809" s="1" t="str">
        <f ca="1">IFERROR(__xludf.DUMMYFUNCTION("GOOGLETRANSLATE(English!B1809, ""en"", ""bg"")"),"биология")</f>
        <v>биология</v>
      </c>
      <c r="C1809" s="1" t="str">
        <f ca="1">IFERROR(__xludf.DUMMYFUNCTION("GOOGLETRANSLATE(English!C1809, ""en"", ""bg"")"),"средата")</f>
        <v>средата</v>
      </c>
      <c r="D1809" s="1" t="str">
        <f ca="1">IFERROR(__xludf.DUMMYFUNCTION("GOOGLETRANSLATE(English!D1809, ""en"", ""bg"")"),"размножаване")</f>
        <v>размножаване</v>
      </c>
      <c r="E1809" s="1" t="str">
        <f ca="1">IFERROR(__xludf.DUMMYFUNCTION("GOOGLETRANSLATE(English!E1809, ""en"", ""bg"")"),"Имам нужда от помощ с домашното си. Как работи размножаването?")</f>
        <v>Имам нужда от помощ с домашното си. Как работи размножаването?</v>
      </c>
      <c r="F1809" s="1" t="str">
        <f ca="1">IFERROR(__xludf.DUMMYFUNCTION("GOOGLETRANSLATE(English!F1809,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1809" s="1" t="str">
        <f ca="1">IFERROR(__xludf.DUMMYFUNCTION("GOOGLETRANSLATE(English!G1809, ""en"", ""bg"")"),"разговор")</f>
        <v>разговор</v>
      </c>
      <c r="H1809" s="1" t="str">
        <f ca="1">IFERROR(__xludf.DUMMYFUNCTION("GOOGLETRANSLATE(English!H1809, ""en"", ""bg"")"),"образователна_помощ")</f>
        <v>образователна_помощ</v>
      </c>
    </row>
    <row r="1810" spans="1:8" ht="13.2" x14ac:dyDescent="0.25">
      <c r="A1810" s="1" t="str">
        <f ca="1">IFERROR(__xludf.DUMMYFUNCTION("GOOGLETRANSLATE(English!A1810, ""en"", ""bg"")"),"qa_10366")</f>
        <v>qa_10366</v>
      </c>
      <c r="B1810" s="1" t="str">
        <f ca="1">IFERROR(__xludf.DUMMYFUNCTION("GOOGLETRANSLATE(English!B1810, ""en"", ""bg"")"),"физика")</f>
        <v>физика</v>
      </c>
      <c r="C1810" s="1" t="str">
        <f ca="1">IFERROR(__xludf.DUMMYFUNCTION("GOOGLETRANSLATE(English!C1810, ""en"", ""bg"")"),"средата")</f>
        <v>средата</v>
      </c>
      <c r="D1810" s="1" t="str">
        <f ca="1">IFERROR(__xludf.DUMMYFUNCTION("GOOGLETRANSLATE(English!D1810, ""en"", ""bg"")"),"състояния на материята")</f>
        <v>състояния на материята</v>
      </c>
      <c r="E1810" s="1" t="str">
        <f ca="1">IFERROR(__xludf.DUMMYFUNCTION("GOOGLETRANSLATE(English!E1810, ""en"", ""bg"")"),"Защо състоянията на материята са важни?")</f>
        <v>Защо състоянията на материята са важни?</v>
      </c>
      <c r="F1810" s="1" t="str">
        <f ca="1">IFERROR(__xludf.DUMMYFUNCTION("GOOGLETRANSLATE(English!F1810,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1810" s="1" t="str">
        <f ca="1">IFERROR(__xludf.DUMMYFUNCTION("GOOGLETRANSLATE(English!G1810, ""en"", ""bg"")"),"direct_qa")</f>
        <v>direct_qa</v>
      </c>
      <c r="H1810" s="1" t="str">
        <f ca="1">IFERROR(__xludf.DUMMYFUNCTION("GOOGLETRANSLATE(English!H1810, ""en"", ""bg"")"),"заявка_за_знание")</f>
        <v>заявка_за_знание</v>
      </c>
    </row>
    <row r="1811" spans="1:8" ht="13.2" x14ac:dyDescent="0.25">
      <c r="A1811" s="1" t="str">
        <f ca="1">IFERROR(__xludf.DUMMYFUNCTION("GOOGLETRANSLATE(English!A1811, ""en"", ""bg"")"),"conv_18823")</f>
        <v>conv_18823</v>
      </c>
      <c r="B1811" s="1" t="str">
        <f ca="1">IFERROR(__xludf.DUMMYFUNCTION("GOOGLETRANSLATE(English!B1811, ""en"", ""bg"")"),"физика")</f>
        <v>физика</v>
      </c>
      <c r="C1811" s="1" t="str">
        <f ca="1">IFERROR(__xludf.DUMMYFUNCTION("GOOGLETRANSLATE(English!C1811, ""en"", ""bg"")"),"средата")</f>
        <v>средата</v>
      </c>
      <c r="D1811" s="1" t="str">
        <f ca="1">IFERROR(__xludf.DUMMYFUNCTION("GOOGLETRANSLATE(English!D1811, ""en"", ""bg"")"),"основи на електричеството")</f>
        <v>основи на електричеството</v>
      </c>
      <c r="E1811" s="1" t="str">
        <f ca="1">IFERROR(__xludf.DUMMYFUNCTION("GOOGLETRANSLATE(English!E1811, ""en"", ""bg"")"),"Здравей, преподавателю! Можеш ли да ми обясниш основите на електричеството?")</f>
        <v>Здравей, преподавателю! Можеш ли да ми обясниш основите на електричеството?</v>
      </c>
      <c r="F1811" s="1" t="str">
        <f ca="1">IFERROR(__xludf.DUMMYFUNCTION("GOOGLETRANSLATE(English!F1811,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1811" s="1" t="str">
        <f ca="1">IFERROR(__xludf.DUMMYFUNCTION("GOOGLETRANSLATE(English!G1811, ""en"", ""bg"")"),"разговор")</f>
        <v>разговор</v>
      </c>
      <c r="H1811" s="1" t="str">
        <f ca="1">IFERROR(__xludf.DUMMYFUNCTION("GOOGLETRANSLATE(English!H1811, ""en"", ""bg"")"),"образователна_помощ")</f>
        <v>образователна_помощ</v>
      </c>
    </row>
    <row r="1812" spans="1:8" ht="13.2" x14ac:dyDescent="0.25">
      <c r="A1812" s="1" t="str">
        <f ca="1">IFERROR(__xludf.DUMMYFUNCTION("GOOGLETRANSLATE(English!A1812, ""en"", ""bg"")"),"conv_08726")</f>
        <v>conv_08726</v>
      </c>
      <c r="B1812" s="1" t="str">
        <f ca="1">IFERROR(__xludf.DUMMYFUNCTION("GOOGLETRANSLATE(English!B1812, ""en"", ""bg"")"),"биология")</f>
        <v>биология</v>
      </c>
      <c r="C1812" s="1" t="str">
        <f ca="1">IFERROR(__xludf.DUMMYFUNCTION("GOOGLETRANSLATE(English!C1812, ""en"", ""bg"")"),"елементарен")</f>
        <v>елементарен</v>
      </c>
      <c r="D1812" s="1" t="str">
        <f ca="1">IFERROR(__xludf.DUMMYFUNCTION("GOOGLETRANSLATE(English!D1812, ""en"", ""bg"")"),"растения")</f>
        <v>растения</v>
      </c>
      <c r="E1812" s="1" t="str">
        <f ca="1">IFERROR(__xludf.DUMMYFUNCTION("GOOGLETRANSLATE(English!E1812, ""en"", ""bg"")"),"Не разбирам тази тема. От какво се нуждаят растенията, за да растат?")</f>
        <v>Не разбирам тази тема. От какво се нуждаят растенията, за да растат?</v>
      </c>
      <c r="F1812" s="1" t="str">
        <f ca="1">IFERROR(__xludf.DUMMYFUNCTION("GOOGLETRANSLATE(English!F1812,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1812" s="1" t="str">
        <f ca="1">IFERROR(__xludf.DUMMYFUNCTION("GOOGLETRANSLATE(English!G1812, ""en"", ""bg"")"),"разговор")</f>
        <v>разговор</v>
      </c>
      <c r="H1812" s="1" t="str">
        <f ca="1">IFERROR(__xludf.DUMMYFUNCTION("GOOGLETRANSLATE(English!H1812, ""en"", ""bg"")"),"образователна_помощ")</f>
        <v>образователна_помощ</v>
      </c>
    </row>
    <row r="1813" spans="1:8" ht="13.2" x14ac:dyDescent="0.25">
      <c r="A1813" s="1" t="str">
        <f ca="1">IFERROR(__xludf.DUMMYFUNCTION("GOOGLETRANSLATE(English!A1813, ""en"", ""bg"")"),"qa_08087")</f>
        <v>qa_08087</v>
      </c>
      <c r="B1813" s="1" t="str">
        <f ca="1">IFERROR(__xludf.DUMMYFUNCTION("GOOGLETRANSLATE(English!B1813, ""en"", ""bg"")"),"физика")</f>
        <v>физика</v>
      </c>
      <c r="C1813" s="1" t="str">
        <f ca="1">IFERROR(__xludf.DUMMYFUNCTION("GOOGLETRANSLATE(English!C1813, ""en"", ""bg"")"),"високо")</f>
        <v>високо</v>
      </c>
      <c r="D1813" s="1" t="str">
        <f ca="1">IFERROR(__xludf.DUMMYFUNCTION("GOOGLETRANSLATE(English!D1813, ""en"", ""bg"")"),"радиоактивност")</f>
        <v>радиоактивност</v>
      </c>
      <c r="E1813" s="1" t="str">
        <f ca="1">IFERROR(__xludf.DUMMYFUNCTION("GOOGLETRANSLATE(English!E1813, ""en"", ""bg"")"),"Какво трябва да знам за радиоактивността?")</f>
        <v>Какво трябва да знам за радиоактивността?</v>
      </c>
      <c r="F1813" s="1" t="str">
        <f ca="1">IFERROR(__xludf.DUMMYFUNCTION("GOOGLETRANSLATE(English!F1813,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1813" s="1" t="str">
        <f ca="1">IFERROR(__xludf.DUMMYFUNCTION("GOOGLETRANSLATE(English!G1813, ""en"", ""bg"")"),"direct_qa")</f>
        <v>direct_qa</v>
      </c>
      <c r="H1813" s="1" t="str">
        <f ca="1">IFERROR(__xludf.DUMMYFUNCTION("GOOGLETRANSLATE(English!H1813, ""en"", ""bg"")"),"заявка_за_знание")</f>
        <v>заявка_за_знание</v>
      </c>
    </row>
    <row r="1814" spans="1:8" ht="13.2" x14ac:dyDescent="0.25">
      <c r="A1814" s="1" t="str">
        <f ca="1">IFERROR(__xludf.DUMMYFUNCTION("GOOGLETRANSLATE(English!A1814, ""en"", ""bg"")"),"hw_11419")</f>
        <v>hw_11419</v>
      </c>
      <c r="B1814" s="1" t="str">
        <f ca="1">IFERROR(__xludf.DUMMYFUNCTION("GOOGLETRANSLATE(English!B1814, ""en"", ""bg"")"),"физика")</f>
        <v>физика</v>
      </c>
      <c r="C1814" s="1" t="str">
        <f ca="1">IFERROR(__xludf.DUMMYFUNCTION("GOOGLETRANSLATE(English!C1814, ""en"", ""bg"")"),"средата")</f>
        <v>средата</v>
      </c>
      <c r="D1814" s="1" t="str">
        <f ca="1">IFERROR(__xludf.DUMMYFUNCTION("GOOGLETRANSLATE(English!D1814, ""en"", ""bg"")"),"основи на електричеството")</f>
        <v>основи на електричеството</v>
      </c>
      <c r="E1814" s="1" t="str">
        <f ca="1">IFERROR(__xludf.DUMMYFUNCTION("GOOGLETRANSLATE(English!E1814, ""en"", ""bg"")"),"Домашното ми по физика е за основите на електричеството. Объркващо е!")</f>
        <v>Домашното ми по физика е за основите на електричеството. Объркващо е!</v>
      </c>
      <c r="F1814" s="1" t="str">
        <f ca="1">IFERROR(__xludf.DUMMYFUNCTION("GOOGLETRANSLATE(English!F1814,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1814" s="1" t="str">
        <f ca="1">IFERROR(__xludf.DUMMYFUNCTION("GOOGLETRANSLATE(English!G1814, ""en"", ""bg"")"),"помощ_за_домашно_изпълнение")</f>
        <v>помощ_за_домашно_изпълнение</v>
      </c>
      <c r="H1814" s="1" t="str">
        <f ca="1">IFERROR(__xludf.DUMMYFUNCTION("GOOGLETRANSLATE(English!H1814, ""en"", ""bg"")"),"помощ_за_домашно_задаване")</f>
        <v>помощ_за_домашно_задаване</v>
      </c>
    </row>
    <row r="1815" spans="1:8" ht="13.2" x14ac:dyDescent="0.25">
      <c r="A1815" s="1" t="str">
        <f ca="1">IFERROR(__xludf.DUMMYFUNCTION("GOOGLETRANSLATE(English!A1815, ""en"", ""bg"")"),"qa_12190")</f>
        <v>qa_12190</v>
      </c>
      <c r="B1815" s="1" t="str">
        <f ca="1">IFERROR(__xludf.DUMMYFUNCTION("GOOGLETRANSLATE(English!B1815, ""en"", ""bg"")"),"химия")</f>
        <v>химия</v>
      </c>
      <c r="C1815" s="1" t="str">
        <f ca="1">IFERROR(__xludf.DUMMYFUNCTION("GOOGLETRANSLATE(English!C1815, ""en"", ""bg"")"),"средата")</f>
        <v>средата</v>
      </c>
      <c r="D1815" s="1" t="str">
        <f ca="1">IFERROR(__xludf.DUMMYFUNCTION("GOOGLETRANSLATE(English!D1815, ""en"", ""bg"")"),"химични реакции")</f>
        <v>химични реакции</v>
      </c>
      <c r="E1815" s="1" t="str">
        <f ca="1">IFERROR(__xludf.DUMMYFUNCTION("GOOGLETRANSLATE(English!E1815, ""en"", ""bg"")"),"Могат ли химичните реакции да бъдат обратими?")</f>
        <v>Могат ли химичните реакции да бъдат обратими?</v>
      </c>
      <c r="F1815" s="1" t="str">
        <f ca="1">IFERROR(__xludf.DUMMYFUNCTION("GOOGLETRANSLATE(English!F1815,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815" s="1" t="str">
        <f ca="1">IFERROR(__xludf.DUMMYFUNCTION("GOOGLETRANSLATE(English!G1815, ""en"", ""bg"")"),"direct_qa")</f>
        <v>direct_qa</v>
      </c>
      <c r="H1815" s="1" t="str">
        <f ca="1">IFERROR(__xludf.DUMMYFUNCTION("GOOGLETRANSLATE(English!H1815, ""en"", ""bg"")"),"заявка_за_знание")</f>
        <v>заявка_за_знание</v>
      </c>
    </row>
    <row r="1816" spans="1:8" ht="13.2" x14ac:dyDescent="0.25">
      <c r="A1816" s="1" t="str">
        <f ca="1">IFERROR(__xludf.DUMMYFUNCTION("GOOGLETRANSLATE(English!A1816, ""en"", ""bg"")"),"qa_14718")</f>
        <v>qa_14718</v>
      </c>
      <c r="B1816" s="1" t="str">
        <f ca="1">IFERROR(__xludf.DUMMYFUNCTION("GOOGLETRANSLATE(English!B1816, ""en"", ""bg"")"),"физика")</f>
        <v>физика</v>
      </c>
      <c r="C1816" s="1" t="str">
        <f ca="1">IFERROR(__xludf.DUMMYFUNCTION("GOOGLETRANSLATE(English!C1816, ""en"", ""bg"")"),"средата")</f>
        <v>средата</v>
      </c>
      <c r="D1816" s="1" t="str">
        <f ca="1">IFERROR(__xludf.DUMMYFUNCTION("GOOGLETRANSLATE(English!D1816, ""en"", ""bg"")"),"вълни")</f>
        <v>вълни</v>
      </c>
      <c r="E1816" s="1" t="str">
        <f ca="1">IFERROR(__xludf.DUMMYFUNCTION("GOOGLETRANSLATE(English!E1816, ""en"", ""bg"")"),"Как работят вълните във физиката?")</f>
        <v>Как работят вълните във физиката?</v>
      </c>
      <c r="F1816" s="1" t="str">
        <f ca="1">IFERROR(__xludf.DUMMYFUNCTION("GOOGLETRANSLATE(English!F1816,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1816" s="1" t="str">
        <f ca="1">IFERROR(__xludf.DUMMYFUNCTION("GOOGLETRANSLATE(English!G1816, ""en"", ""bg"")"),"direct_qa")</f>
        <v>direct_qa</v>
      </c>
      <c r="H1816" s="1" t="str">
        <f ca="1">IFERROR(__xludf.DUMMYFUNCTION("GOOGLETRANSLATE(English!H1816, ""en"", ""bg"")"),"заявка_за_знание")</f>
        <v>заявка_за_знание</v>
      </c>
    </row>
    <row r="1817" spans="1:8" ht="13.2" x14ac:dyDescent="0.25">
      <c r="A1817" s="1" t="str">
        <f ca="1">IFERROR(__xludf.DUMMYFUNCTION("GOOGLETRANSLATE(English!A1817, ""en"", ""bg"")"),"qa_06694")</f>
        <v>qa_06694</v>
      </c>
      <c r="B1817" s="1" t="str">
        <f ca="1">IFERROR(__xludf.DUMMYFUNCTION("GOOGLETRANSLATE(English!B1817, ""en"", ""bg"")"),"биология")</f>
        <v>биология</v>
      </c>
      <c r="C1817" s="1" t="str">
        <f ca="1">IFERROR(__xludf.DUMMYFUNCTION("GOOGLETRANSLATE(English!C1817, ""en"", ""bg"")"),"елементарен")</f>
        <v>елементарен</v>
      </c>
      <c r="D1817" s="1" t="str">
        <f ca="1">IFERROR(__xludf.DUMMYFUNCTION("GOOGLETRANSLATE(English!D1817, ""en"", ""bg"")"),"човешкото тяло")</f>
        <v>човешкото тяло</v>
      </c>
      <c r="E1817" s="1" t="str">
        <f ca="1">IFERROR(__xludf.DUMMYFUNCTION("GOOGLETRANSLATE(English!E1817, ""en"", ""bg"")"),"Можете ли да ми разкажете за човешкото тяло?")</f>
        <v>Можете ли да ми разкажете за човешкото тяло?</v>
      </c>
      <c r="F1817" s="1" t="str">
        <f ca="1">IFERROR(__xludf.DUMMYFUNCTION("GOOGLETRANSLATE(English!F1817,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1817" s="1" t="str">
        <f ca="1">IFERROR(__xludf.DUMMYFUNCTION("GOOGLETRANSLATE(English!G1817, ""en"", ""bg"")"),"direct_qa")</f>
        <v>direct_qa</v>
      </c>
      <c r="H1817" s="1" t="str">
        <f ca="1">IFERROR(__xludf.DUMMYFUNCTION("GOOGLETRANSLATE(English!H1817, ""en"", ""bg"")"),"заявка_за_знание")</f>
        <v>заявка_за_знание</v>
      </c>
    </row>
    <row r="1818" spans="1:8" ht="13.2" x14ac:dyDescent="0.25">
      <c r="A1818" s="1" t="str">
        <f ca="1">IFERROR(__xludf.DUMMYFUNCTION("GOOGLETRANSLATE(English!A1818, ""en"", ""bg"")"),"conv_13571")</f>
        <v>conv_13571</v>
      </c>
      <c r="B1818" s="1" t="str">
        <f ca="1">IFERROR(__xludf.DUMMYFUNCTION("GOOGLETRANSLATE(English!B1818, ""en"", ""bg"")"),"химия")</f>
        <v>химия</v>
      </c>
      <c r="C1818" s="1" t="str">
        <f ca="1">IFERROR(__xludf.DUMMYFUNCTION("GOOGLETRANSLATE(English!C1818, ""en"", ""bg"")"),"средата")</f>
        <v>средата</v>
      </c>
      <c r="D1818" s="1" t="str">
        <f ca="1">IFERROR(__xludf.DUMMYFUNCTION("GOOGLETRANSLATE(English!D1818, ""en"", ""bg"")"),"атоми и молекули")</f>
        <v>атоми и молекули</v>
      </c>
      <c r="E1818" s="1" t="str">
        <f ca="1">IFERROR(__xludf.DUMMYFUNCTION("GOOGLETRANSLATE(English!E1818, ""en"", ""bg"")"),"Можете ли да ми обясните това? От кои части се състои един атом?")</f>
        <v>Можете ли да ми обясните това? От кои части се състои един атом?</v>
      </c>
      <c r="F1818" s="1" t="str">
        <f ca="1">IFERROR(__xludf.DUMMYFUNCTION("GOOGLETRANSLATE(English!F1818,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1818" s="1" t="str">
        <f ca="1">IFERROR(__xludf.DUMMYFUNCTION("GOOGLETRANSLATE(English!G1818, ""en"", ""bg"")"),"разговор")</f>
        <v>разговор</v>
      </c>
      <c r="H1818" s="1" t="str">
        <f ca="1">IFERROR(__xludf.DUMMYFUNCTION("GOOGLETRANSLATE(English!H1818, ""en"", ""bg"")"),"образователна_помощ")</f>
        <v>образователна_помощ</v>
      </c>
    </row>
    <row r="1819" spans="1:8" ht="13.2" x14ac:dyDescent="0.25">
      <c r="A1819" s="1" t="str">
        <f ca="1">IFERROR(__xludf.DUMMYFUNCTION("GOOGLETRANSLATE(English!A1819, ""en"", ""bg"")"),"conv_04554")</f>
        <v>conv_04554</v>
      </c>
      <c r="B1819" s="1" t="str">
        <f ca="1">IFERROR(__xludf.DUMMYFUNCTION("GOOGLETRANSLATE(English!B1819, ""en"", ""bg"")"),"биология")</f>
        <v>биология</v>
      </c>
      <c r="C1819" s="1" t="str">
        <f ca="1">IFERROR(__xludf.DUMMYFUNCTION("GOOGLETRANSLATE(English!C1819, ""en"", ""bg"")"),"високо")</f>
        <v>високо</v>
      </c>
      <c r="D1819" s="1" t="str">
        <f ca="1">IFERROR(__xludf.DUMMYFUNCTION("GOOGLETRANSLATE(English!D1819, ""en"", ""bg"")"),"митоза и мейоза")</f>
        <v>митоза и мейоза</v>
      </c>
      <c r="E1819" s="1" t="str">
        <f ca="1">IFERROR(__xludf.DUMMYFUNCTION("GOOGLETRANSLATE(English!E1819, ""en"", ""bg"")"),"Не разбирам тази тема. Защо митозата и мейозата са важни в биологията?")</f>
        <v>Не разбирам тази тема. Защо митозата и мейозата са важни в биологията?</v>
      </c>
      <c r="F1819" s="1" t="str">
        <f ca="1">IFERROR(__xludf.DUMMYFUNCTION("GOOGLETRANSLATE(English!F1819,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1819" s="1" t="str">
        <f ca="1">IFERROR(__xludf.DUMMYFUNCTION("GOOGLETRANSLATE(English!G1819, ""en"", ""bg"")"),"разговор")</f>
        <v>разговор</v>
      </c>
      <c r="H1819" s="1" t="str">
        <f ca="1">IFERROR(__xludf.DUMMYFUNCTION("GOOGLETRANSLATE(English!H1819, ""en"", ""bg"")"),"образователна_помощ")</f>
        <v>образователна_помощ</v>
      </c>
    </row>
    <row r="1820" spans="1:8" ht="13.2" x14ac:dyDescent="0.25">
      <c r="A1820" s="1" t="str">
        <f ca="1">IFERROR(__xludf.DUMMYFUNCTION("GOOGLETRANSLATE(English!A1820, ""en"", ""bg"")"),"conv_11021")</f>
        <v>conv_11021</v>
      </c>
      <c r="B1820" s="1" t="str">
        <f ca="1">IFERROR(__xludf.DUMMYFUNCTION("GOOGLETRANSLATE(English!B1820, ""en"", ""bg"")"),"физика")</f>
        <v>физика</v>
      </c>
      <c r="C1820" s="1" t="str">
        <f ca="1">IFERROR(__xludf.DUMMYFUNCTION("GOOGLETRANSLATE(English!C1820, ""en"", ""bg"")"),"елементарен")</f>
        <v>елементарен</v>
      </c>
      <c r="D1820" s="1" t="str">
        <f ca="1">IFERROR(__xludf.DUMMYFUNCTION("GOOGLETRANSLATE(English!D1820, ""en"", ""bg"")"),"звук")</f>
        <v>звук</v>
      </c>
      <c r="E1820" s="1" t="str">
        <f ca="1">IFERROR(__xludf.DUMMYFUNCTION("GOOGLETRANSLATE(English!E1820, ""en"", ""bg"")"),"Не разбирам тази тема. Какво трябва да знам за звука?")</f>
        <v>Не разбирам тази тема. Какво трябва да знам за звука?</v>
      </c>
      <c r="F1820" s="1" t="str">
        <f ca="1">IFERROR(__xludf.DUMMYFUNCTION("GOOGLETRANSLATE(English!F1820,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1820" s="1" t="str">
        <f ca="1">IFERROR(__xludf.DUMMYFUNCTION("GOOGLETRANSLATE(English!G1820, ""en"", ""bg"")"),"разговор")</f>
        <v>разговор</v>
      </c>
      <c r="H1820" s="1" t="str">
        <f ca="1">IFERROR(__xludf.DUMMYFUNCTION("GOOGLETRANSLATE(English!H1820, ""en"", ""bg"")"),"образователна_помощ")</f>
        <v>образователна_помощ</v>
      </c>
    </row>
    <row r="1821" spans="1:8" ht="13.2" x14ac:dyDescent="0.25">
      <c r="A1821" s="1" t="str">
        <f ca="1">IFERROR(__xludf.DUMMYFUNCTION("GOOGLETRANSLATE(English!A1821, ""en"", ""bg"")"),"qa_13909")</f>
        <v>qa_13909</v>
      </c>
      <c r="B1821" s="1" t="str">
        <f ca="1">IFERROR(__xludf.DUMMYFUNCTION("GOOGLETRANSLATE(English!B1821, ""en"", ""bg"")"),"химия")</f>
        <v>химия</v>
      </c>
      <c r="C1821" s="1" t="str">
        <f ca="1">IFERROR(__xludf.DUMMYFUNCTION("GOOGLETRANSLATE(English!C1821, ""en"", ""bg"")"),"високо")</f>
        <v>високо</v>
      </c>
      <c r="D1821" s="1" t="str">
        <f ca="1">IFERROR(__xludf.DUMMYFUNCTION("GOOGLETRANSLATE(English!D1821, ""en"", ""bg"")"),"стехиометрия")</f>
        <v>стехиометрия</v>
      </c>
      <c r="E1821" s="1" t="str">
        <f ca="1">IFERROR(__xludf.DUMMYFUNCTION("GOOGLETRANSLATE(English!E1821, ""en"", ""bg"")"),"Как работи стехиометрията в химията?")</f>
        <v>Как работи стехиометрията в химията?</v>
      </c>
      <c r="F1821" s="1" t="str">
        <f ca="1">IFERROR(__xludf.DUMMYFUNCTION("GOOGLETRANSLATE(English!F1821,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1821" s="1" t="str">
        <f ca="1">IFERROR(__xludf.DUMMYFUNCTION("GOOGLETRANSLATE(English!G1821, ""en"", ""bg"")"),"direct_qa")</f>
        <v>direct_qa</v>
      </c>
      <c r="H1821" s="1" t="str">
        <f ca="1">IFERROR(__xludf.DUMMYFUNCTION("GOOGLETRANSLATE(English!H1821, ""en"", ""bg"")"),"заявка_за_знание")</f>
        <v>заявка_за_знание</v>
      </c>
    </row>
    <row r="1822" spans="1:8" ht="13.2" x14ac:dyDescent="0.25">
      <c r="A1822" s="1" t="str">
        <f ca="1">IFERROR(__xludf.DUMMYFUNCTION("GOOGLETRANSLATE(English!A1822, ""en"", ""bg"")"),"qa_02282")</f>
        <v>qa_02282</v>
      </c>
      <c r="B1822" s="1" t="str">
        <f ca="1">IFERROR(__xludf.DUMMYFUNCTION("GOOGLETRANSLATE(English!B1822, ""en"", ""bg"")"),"химия")</f>
        <v>химия</v>
      </c>
      <c r="C1822" s="1" t="str">
        <f ca="1">IFERROR(__xludf.DUMMYFUNCTION("GOOGLETRANSLATE(English!C1822, ""en"", ""bg"")"),"елементарен")</f>
        <v>елементарен</v>
      </c>
      <c r="D1822" s="1" t="str">
        <f ca="1">IFERROR(__xludf.DUMMYFUNCTION("GOOGLETRANSLATE(English!D1822, ""en"", ""bg"")"),"промени в материалите")</f>
        <v>промени в материалите</v>
      </c>
      <c r="E1822" s="1" t="str">
        <f ca="1">IFERROR(__xludf.DUMMYFUNCTION("GOOGLETRANSLATE(English!E1822, ""en"", ""bg"")"),"Какво представляват промените в материалите?")</f>
        <v>Какво представляват промените в материалите?</v>
      </c>
      <c r="F1822" s="1" t="str">
        <f ca="1">IFERROR(__xludf.DUMMYFUNCTION("GOOGLETRANSLATE(English!F1822,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1822" s="1" t="str">
        <f ca="1">IFERROR(__xludf.DUMMYFUNCTION("GOOGLETRANSLATE(English!G1822, ""en"", ""bg"")"),"direct_qa")</f>
        <v>direct_qa</v>
      </c>
      <c r="H1822" s="1" t="str">
        <f ca="1">IFERROR(__xludf.DUMMYFUNCTION("GOOGLETRANSLATE(English!H1822, ""en"", ""bg"")"),"заявка_за_знание")</f>
        <v>заявка_за_знание</v>
      </c>
    </row>
    <row r="1823" spans="1:8" ht="13.2" x14ac:dyDescent="0.25">
      <c r="A1823" s="1" t="str">
        <f ca="1">IFERROR(__xludf.DUMMYFUNCTION("GOOGLETRANSLATE(English!A1823, ""en"", ""bg"")"),"conv_03550")</f>
        <v>conv_03550</v>
      </c>
      <c r="B1823" s="1" t="str">
        <f ca="1">IFERROR(__xludf.DUMMYFUNCTION("GOOGLETRANSLATE(English!B1823, ""en"", ""bg"")"),"физика")</f>
        <v>физика</v>
      </c>
      <c r="C1823" s="1" t="str">
        <f ca="1">IFERROR(__xludf.DUMMYFUNCTION("GOOGLETRANSLATE(English!C1823, ""en"", ""bg"")"),"средата")</f>
        <v>средата</v>
      </c>
      <c r="D1823" s="1" t="str">
        <f ca="1">IFERROR(__xludf.DUMMYFUNCTION("GOOGLETRANSLATE(English!D1823, ""en"", ""bg"")"),"видове енергия")</f>
        <v>видове енергия</v>
      </c>
      <c r="E1823" s="1" t="str">
        <f ca="1">IFERROR(__xludf.DUMMYFUNCTION("GOOGLETRANSLATE(English!E1823, ""en"", ""bg"")"),"Имам научен въпрос. Какво е потенциална енергия?")</f>
        <v>Имам научен въпрос. Какво е потенциална енергия?</v>
      </c>
      <c r="F1823" s="1" t="str">
        <f ca="1">IFERROR(__xludf.DUMMYFUNCTION("GOOGLETRANSLATE(English!F1823,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1823" s="1" t="str">
        <f ca="1">IFERROR(__xludf.DUMMYFUNCTION("GOOGLETRANSLATE(English!G1823, ""en"", ""bg"")"),"разговор")</f>
        <v>разговор</v>
      </c>
      <c r="H1823" s="1" t="str">
        <f ca="1">IFERROR(__xludf.DUMMYFUNCTION("GOOGLETRANSLATE(English!H1823, ""en"", ""bg"")"),"образователна_помощ")</f>
        <v>образователна_помощ</v>
      </c>
    </row>
    <row r="1824" spans="1:8" ht="13.2" x14ac:dyDescent="0.25">
      <c r="A1824" s="1" t="str">
        <f ca="1">IFERROR(__xludf.DUMMYFUNCTION("GOOGLETRANSLATE(English!A1824, ""en"", ""bg"")"),"hw_04911")</f>
        <v>hw_04911</v>
      </c>
      <c r="B1824" s="1" t="str">
        <f ca="1">IFERROR(__xludf.DUMMYFUNCTION("GOOGLETRANSLATE(English!B1824, ""en"", ""bg"")"),"физика")</f>
        <v>физика</v>
      </c>
      <c r="C1824" s="1" t="str">
        <f ca="1">IFERROR(__xludf.DUMMYFUNCTION("GOOGLETRANSLATE(English!C1824, ""en"", ""bg"")"),"високо")</f>
        <v>високо</v>
      </c>
      <c r="D1824" s="1" t="str">
        <f ca="1">IFERROR(__xludf.DUMMYFUNCTION("GOOGLETRANSLATE(English!D1824, ""en"", ""bg"")"),"термодинамика")</f>
        <v>термодинамика</v>
      </c>
      <c r="E1824" s="1" t="str">
        <f ca="1">IFERROR(__xludf.DUMMYFUNCTION("GOOGLETRANSLATE(English!E1824, ""en"", ""bg"")"),"Домашното ми по физика е за термодинамика. Объркващо е!")</f>
        <v>Домашното ми по физика е за термодинамика. Объркващо е!</v>
      </c>
      <c r="F1824" s="1" t="str">
        <f ca="1">IFERROR(__xludf.DUMMYFUNCTION("GOOGLETRANSLATE(English!F1824,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1824" s="1" t="str">
        <f ca="1">IFERROR(__xludf.DUMMYFUNCTION("GOOGLETRANSLATE(English!G1824, ""en"", ""bg"")"),"помощ_за_домашно_изпълнение")</f>
        <v>помощ_за_домашно_изпълнение</v>
      </c>
      <c r="H1824" s="1" t="str">
        <f ca="1">IFERROR(__xludf.DUMMYFUNCTION("GOOGLETRANSLATE(English!H1824, ""en"", ""bg"")"),"помощ_за_домашно_задаване")</f>
        <v>помощ_за_домашно_задаване</v>
      </c>
    </row>
    <row r="1825" spans="1:8" ht="13.2" x14ac:dyDescent="0.25">
      <c r="A1825" s="1" t="str">
        <f ca="1">IFERROR(__xludf.DUMMYFUNCTION("GOOGLETRANSLATE(English!A1825, ""en"", ""bg"")"),"conv_19650")</f>
        <v>conv_19650</v>
      </c>
      <c r="B1825" s="1" t="str">
        <f ca="1">IFERROR(__xludf.DUMMYFUNCTION("GOOGLETRANSLATE(English!B1825, ""en"", ""bg"")"),"физика")</f>
        <v>физика</v>
      </c>
      <c r="C1825" s="1" t="str">
        <f ca="1">IFERROR(__xludf.DUMMYFUNCTION("GOOGLETRANSLATE(English!C1825, ""en"", ""bg"")"),"средата")</f>
        <v>средата</v>
      </c>
      <c r="D1825" s="1" t="str">
        <f ca="1">IFERROR(__xludf.DUMMYFUNCTION("GOOGLETRANSLATE(English!D1825, ""en"", ""bg"")"),"сили и движение")</f>
        <v>сили и движение</v>
      </c>
      <c r="E1825" s="1" t="str">
        <f ca="1">IFERROR(__xludf.DUMMYFUNCTION("GOOGLETRANSLATE(English!E1825, ""en"", ""bg"")"),"Имам научен въпрос: Какъв е първият закон на Нютон?")</f>
        <v>Имам научен въпрос: Какъв е първият закон на Нютон?</v>
      </c>
      <c r="F1825" s="1" t="str">
        <f ca="1">IFERROR(__xludf.DUMMYFUNCTION("GOOGLETRANSLATE(English!F1825,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1825" s="1" t="str">
        <f ca="1">IFERROR(__xludf.DUMMYFUNCTION("GOOGLETRANSLATE(English!G1825, ""en"", ""bg"")"),"разговор")</f>
        <v>разговор</v>
      </c>
      <c r="H1825" s="1" t="str">
        <f ca="1">IFERROR(__xludf.DUMMYFUNCTION("GOOGLETRANSLATE(English!H1825, ""en"", ""bg"")"),"образователна_помощ")</f>
        <v>образователна_помощ</v>
      </c>
    </row>
    <row r="1826" spans="1:8" ht="13.2" x14ac:dyDescent="0.25">
      <c r="A1826" s="1" t="str">
        <f ca="1">IFERROR(__xludf.DUMMYFUNCTION("GOOGLETRANSLATE(English!A1826, ""en"", ""bg"")"),"conv_16461")</f>
        <v>conv_16461</v>
      </c>
      <c r="B1826" s="1" t="str">
        <f ca="1">IFERROR(__xludf.DUMMYFUNCTION("GOOGLETRANSLATE(English!B1826, ""en"", ""bg"")"),"химия")</f>
        <v>химия</v>
      </c>
      <c r="C1826" s="1" t="str">
        <f ca="1">IFERROR(__xludf.DUMMYFUNCTION("GOOGLETRANSLATE(English!C1826, ""en"", ""bg"")"),"средата")</f>
        <v>средата</v>
      </c>
      <c r="D1826" s="1" t="str">
        <f ca="1">IFERROR(__xludf.DUMMYFUNCTION("GOOGLETRANSLATE(English!D1826, ""en"", ""bg"")"),"атоми и молекули")</f>
        <v>атоми и молекули</v>
      </c>
      <c r="E1826" s="1" t="str">
        <f ca="1">IFERROR(__xludf.DUMMYFUNCTION("GOOGLETRANSLATE(English!E1826, ""en"", ""bg"")"),"Имам научен въпрос: По какво се различават атомите и молекулите?")</f>
        <v>Имам научен въпрос: По какво се различават атомите и молекулите?</v>
      </c>
      <c r="F1826" s="1" t="str">
        <f ca="1">IFERROR(__xludf.DUMMYFUNCTION("GOOGLETRANSLATE(English!F1826,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1826" s="1" t="str">
        <f ca="1">IFERROR(__xludf.DUMMYFUNCTION("GOOGLETRANSLATE(English!G1826, ""en"", ""bg"")"),"разговор")</f>
        <v>разговор</v>
      </c>
      <c r="H1826" s="1" t="str">
        <f ca="1">IFERROR(__xludf.DUMMYFUNCTION("GOOGLETRANSLATE(English!H1826, ""en"", ""bg"")"),"образователна_помощ")</f>
        <v>образователна_помощ</v>
      </c>
    </row>
    <row r="1827" spans="1:8" ht="13.2" x14ac:dyDescent="0.25">
      <c r="A1827" s="1" t="str">
        <f ca="1">IFERROR(__xludf.DUMMYFUNCTION("GOOGLETRANSLATE(English!A1827, ""en"", ""bg"")"),"hw_06795")</f>
        <v>hw_06795</v>
      </c>
      <c r="B1827" s="1" t="str">
        <f ca="1">IFERROR(__xludf.DUMMYFUNCTION("GOOGLETRANSLATE(English!B1827, ""en"", ""bg"")"),"биология")</f>
        <v>биология</v>
      </c>
      <c r="C1827" s="1" t="str">
        <f ca="1">IFERROR(__xludf.DUMMYFUNCTION("GOOGLETRANSLATE(English!C1827, ""en"", ""bg"")"),"високо")</f>
        <v>високо</v>
      </c>
      <c r="D1827" s="1" t="str">
        <f ca="1">IFERROR(__xludf.DUMMYFUNCTION("GOOGLETRANSLATE(English!D1827, ""en"", ""bg"")"),"молекулярна биология")</f>
        <v>молекулярна биология</v>
      </c>
      <c r="E1827" s="1" t="str">
        <f ca="1">IFERROR(__xludf.DUMMYFUNCTION("GOOGLETRANSLATE(English!E1827, ""en"", ""bg"")"),"Трябва да напиша доклад по молекулярна биология. Можете ли да ми помогнете да започна?")</f>
        <v>Трябва да напиша доклад по молекулярна биология. Можете ли да ми помогнете да започна?</v>
      </c>
      <c r="F1827" s="1" t="str">
        <f ca="1">IFERROR(__xludf.DUMMYFUNCTION("GOOGLETRANSLATE(English!F1827,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1827" s="1" t="str">
        <f ca="1">IFERROR(__xludf.DUMMYFUNCTION("GOOGLETRANSLATE(English!G1827, ""en"", ""bg"")"),"помощ_за_домашно_изпълнение")</f>
        <v>помощ_за_домашно_изпълнение</v>
      </c>
      <c r="H1827" s="1" t="str">
        <f ca="1">IFERROR(__xludf.DUMMYFUNCTION("GOOGLETRANSLATE(English!H1827, ""en"", ""bg"")"),"помощ_за_домашно_задаване")</f>
        <v>помощ_за_домашно_задаване</v>
      </c>
    </row>
    <row r="1828" spans="1:8" ht="13.2" x14ac:dyDescent="0.25">
      <c r="A1828" s="1" t="str">
        <f ca="1">IFERROR(__xludf.DUMMYFUNCTION("GOOGLETRANSLATE(English!A1828, ""en"", ""bg"")"),"qa_04082")</f>
        <v>qa_04082</v>
      </c>
      <c r="B1828" s="1" t="str">
        <f ca="1">IFERROR(__xludf.DUMMYFUNCTION("GOOGLETRANSLATE(English!B1828, ""en"", ""bg"")"),"физика")</f>
        <v>физика</v>
      </c>
      <c r="C1828" s="1" t="str">
        <f ca="1">IFERROR(__xludf.DUMMYFUNCTION("GOOGLETRANSLATE(English!C1828, ""en"", ""bg"")"),"средата")</f>
        <v>средата</v>
      </c>
      <c r="D1828" s="1" t="str">
        <f ca="1">IFERROR(__xludf.DUMMYFUNCTION("GOOGLETRANSLATE(English!D1828, ""en"", ""bg"")"),"видове енергия")</f>
        <v>видове енергия</v>
      </c>
      <c r="E1828" s="1" t="str">
        <f ca="1">IFERROR(__xludf.DUMMYFUNCTION("GOOGLETRANSLATE(English!E1828, ""en"", ""bg"")"),"Какви са различните видове енергия?")</f>
        <v>Какви са различните видове енергия?</v>
      </c>
      <c r="F1828" s="1" t="str">
        <f ca="1">IFERROR(__xludf.DUMMYFUNCTION("GOOGLETRANSLATE(English!F1828,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1828" s="1" t="str">
        <f ca="1">IFERROR(__xludf.DUMMYFUNCTION("GOOGLETRANSLATE(English!G1828, ""en"", ""bg"")"),"direct_qa")</f>
        <v>direct_qa</v>
      </c>
      <c r="H1828" s="1" t="str">
        <f ca="1">IFERROR(__xludf.DUMMYFUNCTION("GOOGLETRANSLATE(English!H1828, ""en"", ""bg"")"),"заявка_за_знание")</f>
        <v>заявка_за_знание</v>
      </c>
    </row>
    <row r="1829" spans="1:8" ht="13.2" x14ac:dyDescent="0.25">
      <c r="A1829" s="1" t="str">
        <f ca="1">IFERROR(__xludf.DUMMYFUNCTION("GOOGLETRANSLATE(English!A1829, ""en"", ""bg"")"),"qa_00679")</f>
        <v>qa_00679</v>
      </c>
      <c r="B1829" s="1" t="str">
        <f ca="1">IFERROR(__xludf.DUMMYFUNCTION("GOOGLETRANSLATE(English!B1829, ""en"", ""bg"")"),"физика")</f>
        <v>физика</v>
      </c>
      <c r="C1829" s="1" t="str">
        <f ca="1">IFERROR(__xludf.DUMMYFUNCTION("GOOGLETRANSLATE(English!C1829, ""en"", ""bg"")"),"елементарен")</f>
        <v>елементарен</v>
      </c>
      <c r="D1829" s="1" t="str">
        <f ca="1">IFERROR(__xludf.DUMMYFUNCTION("GOOGLETRANSLATE(English!D1829, ""en"", ""bg"")"),"плаващ и потъващ")</f>
        <v>плаващ и потъващ</v>
      </c>
      <c r="E1829" s="1" t="str">
        <f ca="1">IFERROR(__xludf.DUMMYFUNCTION("GOOGLETRANSLATE(English!E1829, ""en"", ""bg"")"),"Можете ли да ми обясните какво е плаване и потъване?")</f>
        <v>Можете ли да ми обясните какво е плаване и потъване?</v>
      </c>
      <c r="F1829" s="1" t="str">
        <f ca="1">IFERROR(__xludf.DUMMYFUNCTION("GOOGLETRANSLATE(English!F1829,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1829" s="1" t="str">
        <f ca="1">IFERROR(__xludf.DUMMYFUNCTION("GOOGLETRANSLATE(English!G1829, ""en"", ""bg"")"),"direct_qa")</f>
        <v>direct_qa</v>
      </c>
      <c r="H1829" s="1" t="str">
        <f ca="1">IFERROR(__xludf.DUMMYFUNCTION("GOOGLETRANSLATE(English!H1829, ""en"", ""bg"")"),"заявка_за_знание")</f>
        <v>заявка_за_знание</v>
      </c>
    </row>
    <row r="1830" spans="1:8" ht="13.2" x14ac:dyDescent="0.25">
      <c r="A1830" s="1" t="str">
        <f ca="1">IFERROR(__xludf.DUMMYFUNCTION("GOOGLETRANSLATE(English!A1830, ""en"", ""bg"")"),"conv_13166")</f>
        <v>conv_13166</v>
      </c>
      <c r="B1830" s="1" t="str">
        <f ca="1">IFERROR(__xludf.DUMMYFUNCTION("GOOGLETRANSLATE(English!B1830, ""en"", ""bg"")"),"химия")</f>
        <v>химия</v>
      </c>
      <c r="C1830" s="1" t="str">
        <f ca="1">IFERROR(__xludf.DUMMYFUNCTION("GOOGLETRANSLATE(English!C1830, ""en"", ""bg"")"),"високо")</f>
        <v>високо</v>
      </c>
      <c r="D1830" s="1" t="str">
        <f ca="1">IFERROR(__xludf.DUMMYFUNCTION("GOOGLETRANSLATE(English!D1830, ""en"", ""bg"")"),"електрохимия")</f>
        <v>електрохимия</v>
      </c>
      <c r="E1830" s="1" t="str">
        <f ca="1">IFERROR(__xludf.DUMMYFUNCTION("GOOGLETRANSLATE(English!E1830, ""en"", ""bg"")"),"Имам нужда от помощ с домашното. Какво представлява електрохимията?")</f>
        <v>Имам нужда от помощ с домашното. Какво представлява електрохимията?</v>
      </c>
      <c r="F1830" s="1" t="str">
        <f ca="1">IFERROR(__xludf.DUMMYFUNCTION("GOOGLETRANSLATE(English!F1830,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1830" s="1" t="str">
        <f ca="1">IFERROR(__xludf.DUMMYFUNCTION("GOOGLETRANSLATE(English!G1830, ""en"", ""bg"")"),"разговор")</f>
        <v>разговор</v>
      </c>
      <c r="H1830" s="1" t="str">
        <f ca="1">IFERROR(__xludf.DUMMYFUNCTION("GOOGLETRANSLATE(English!H1830, ""en"", ""bg"")"),"образователна_помощ")</f>
        <v>образователна_помощ</v>
      </c>
    </row>
    <row r="1831" spans="1:8" ht="13.2" x14ac:dyDescent="0.25">
      <c r="A1831" s="1" t="str">
        <f ca="1">IFERROR(__xludf.DUMMYFUNCTION("GOOGLETRANSLATE(English!A1831, ""en"", ""bg"")"),"conv_18960")</f>
        <v>conv_18960</v>
      </c>
      <c r="B1831" s="1" t="str">
        <f ca="1">IFERROR(__xludf.DUMMYFUNCTION("GOOGLETRANSLATE(English!B1831, ""en"", ""bg"")"),"биология")</f>
        <v>биология</v>
      </c>
      <c r="C1831" s="1" t="str">
        <f ca="1">IFERROR(__xludf.DUMMYFUNCTION("GOOGLETRANSLATE(English!C1831, ""en"", ""bg"")"),"високо")</f>
        <v>високо</v>
      </c>
      <c r="D1831" s="1" t="str">
        <f ca="1">IFERROR(__xludf.DUMMYFUNCTION("GOOGLETRANSLATE(English!D1831, ""en"", ""bg"")"),"модели на наследяване")</f>
        <v>модели на наследяване</v>
      </c>
      <c r="E1831" s="1" t="str">
        <f ca="1">IFERROR(__xludf.DUMMYFUNCTION("GOOGLETRANSLATE(English!E1831, ""en"", ""bg"")"),"Здравей, преподавателю! Как работят моделите на наследяване?")</f>
        <v>Здравей, преподавателю! Как работят моделите на наследяване?</v>
      </c>
      <c r="F1831" s="1" t="str">
        <f ca="1">IFERROR(__xludf.DUMMYFUNCTION("GOOGLETRANSLATE(English!F1831,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1831" s="1" t="str">
        <f ca="1">IFERROR(__xludf.DUMMYFUNCTION("GOOGLETRANSLATE(English!G1831, ""en"", ""bg"")"),"разговор")</f>
        <v>разговор</v>
      </c>
      <c r="H1831" s="1" t="str">
        <f ca="1">IFERROR(__xludf.DUMMYFUNCTION("GOOGLETRANSLATE(English!H1831, ""en"", ""bg"")"),"образователна_помощ")</f>
        <v>образователна_помощ</v>
      </c>
    </row>
    <row r="1832" spans="1:8" ht="13.2" x14ac:dyDescent="0.25">
      <c r="A1832" s="1" t="str">
        <f ca="1">IFERROR(__xludf.DUMMYFUNCTION("GOOGLETRANSLATE(English!A1832, ""en"", ""bg"")"),"hw_03250")</f>
        <v>hw_03250</v>
      </c>
      <c r="B1832" s="1" t="str">
        <f ca="1">IFERROR(__xludf.DUMMYFUNCTION("GOOGLETRANSLATE(English!B1832, ""en"", ""bg"")"),"биология")</f>
        <v>биология</v>
      </c>
      <c r="C1832" s="1" t="str">
        <f ca="1">IFERROR(__xludf.DUMMYFUNCTION("GOOGLETRANSLATE(English!C1832, ""en"", ""bg"")"),"елементарен")</f>
        <v>елементарен</v>
      </c>
      <c r="D1832" s="1" t="str">
        <f ca="1">IFERROR(__xludf.DUMMYFUNCTION("GOOGLETRANSLATE(English!D1832, ""en"", ""bg"")"),"растения")</f>
        <v>растения</v>
      </c>
      <c r="E1832" s="1" t="str">
        <f ca="1">IFERROR(__xludf.DUMMYFUNCTION("GOOGLETRANSLATE(English!E1832, ""en"", ""bg"")"),"Трябва да напиша доклад за растенията. Можете ли да ми помогнете да започна?")</f>
        <v>Трябва да напиша доклад за растенията. Можете ли да ми помогнете да започна?</v>
      </c>
      <c r="F1832" s="1" t="str">
        <f ca="1">IFERROR(__xludf.DUMMYFUNCTION("GOOGLETRANSLATE(English!F1832,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1832" s="1" t="str">
        <f ca="1">IFERROR(__xludf.DUMMYFUNCTION("GOOGLETRANSLATE(English!G1832, ""en"", ""bg"")"),"помощ_за_домашно_изпълнение")</f>
        <v>помощ_за_домашно_изпълнение</v>
      </c>
      <c r="H1832" s="1" t="str">
        <f ca="1">IFERROR(__xludf.DUMMYFUNCTION("GOOGLETRANSLATE(English!H1832, ""en"", ""bg"")"),"помощ_за_домашно_задаване")</f>
        <v>помощ_за_домашно_задаване</v>
      </c>
    </row>
    <row r="1833" spans="1:8" ht="13.2" x14ac:dyDescent="0.25">
      <c r="A1833" s="1" t="str">
        <f ca="1">IFERROR(__xludf.DUMMYFUNCTION("GOOGLETRANSLATE(English!A1833, ""en"", ""bg"")"),"conv_19219")</f>
        <v>conv_19219</v>
      </c>
      <c r="B1833" s="1" t="str">
        <f ca="1">IFERROR(__xludf.DUMMYFUNCTION("GOOGLETRANSLATE(English!B1833, ""en"", ""bg"")"),"химия")</f>
        <v>химия</v>
      </c>
      <c r="C1833" s="1" t="str">
        <f ca="1">IFERROR(__xludf.DUMMYFUNCTION("GOOGLETRANSLATE(English!C1833, ""en"", ""bg"")"),"елементарен")</f>
        <v>елементарен</v>
      </c>
      <c r="D1833" s="1" t="str">
        <f ca="1">IFERROR(__xludf.DUMMYFUNCTION("GOOGLETRANSLATE(English!D1833, ""en"", ""bg"")"),"промени в материалите")</f>
        <v>промени в материалите</v>
      </c>
      <c r="E1833" s="1" t="str">
        <f ca="1">IFERROR(__xludf.DUMMYFUNCTION("GOOGLETRANSLATE(English!E1833, ""en"", ""bg"")"),"Имам нужда от помощ с домашното. Как протичат промените в материалите в химията?")</f>
        <v>Имам нужда от помощ с домашното. Как протичат промените в материалите в химията?</v>
      </c>
      <c r="F1833" s="1" t="str">
        <f ca="1">IFERROR(__xludf.DUMMYFUNCTION("GOOGLETRANSLATE(English!F1833,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1833" s="1" t="str">
        <f ca="1">IFERROR(__xludf.DUMMYFUNCTION("GOOGLETRANSLATE(English!G1833, ""en"", ""bg"")"),"разговор")</f>
        <v>разговор</v>
      </c>
      <c r="H1833" s="1" t="str">
        <f ca="1">IFERROR(__xludf.DUMMYFUNCTION("GOOGLETRANSLATE(English!H1833, ""en"", ""bg"")"),"образователна_помощ")</f>
        <v>образователна_помощ</v>
      </c>
    </row>
    <row r="1834" spans="1:8" ht="13.2" x14ac:dyDescent="0.25">
      <c r="A1834" s="1" t="str">
        <f ca="1">IFERROR(__xludf.DUMMYFUNCTION("GOOGLETRANSLATE(English!A1834, ""en"", ""bg"")"),"conv_14243")</f>
        <v>conv_14243</v>
      </c>
      <c r="B1834" s="1" t="str">
        <f ca="1">IFERROR(__xludf.DUMMYFUNCTION("GOOGLETRANSLATE(English!B1834, ""en"", ""bg"")"),"физика")</f>
        <v>физика</v>
      </c>
      <c r="C1834" s="1" t="str">
        <f ca="1">IFERROR(__xludf.DUMMYFUNCTION("GOOGLETRANSLATE(English!C1834, ""en"", ""bg"")"),"елементарен")</f>
        <v>елементарен</v>
      </c>
      <c r="D1834" s="1" t="str">
        <f ca="1">IFERROR(__xludf.DUMMYFUNCTION("GOOGLETRANSLATE(English!D1834, ""en"", ""bg"")"),"бутане и дърпане")</f>
        <v>бутане и дърпане</v>
      </c>
      <c r="E1834" s="1" t="str">
        <f ca="1">IFERROR(__xludf.DUMMYFUNCTION("GOOGLETRANSLATE(English!E1834, ""en"", ""bg"")"),"Можете ли да ми помогнете? Защо е важно да се бута и дърпа?")</f>
        <v>Можете ли да ми помогнете? Защо е важно да се бута и дърпа?</v>
      </c>
      <c r="F1834" s="1" t="str">
        <f ca="1">IFERROR(__xludf.DUMMYFUNCTION("GOOGLETRANSLATE(English!F1834,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1834" s="1" t="str">
        <f ca="1">IFERROR(__xludf.DUMMYFUNCTION("GOOGLETRANSLATE(English!G1834, ""en"", ""bg"")"),"разговор")</f>
        <v>разговор</v>
      </c>
      <c r="H1834" s="1" t="str">
        <f ca="1">IFERROR(__xludf.DUMMYFUNCTION("GOOGLETRANSLATE(English!H1834, ""en"", ""bg"")"),"образователна_помощ")</f>
        <v>образователна_помощ</v>
      </c>
    </row>
    <row r="1835" spans="1:8" ht="13.2" x14ac:dyDescent="0.25">
      <c r="A1835" s="1" t="str">
        <f ca="1">IFERROR(__xludf.DUMMYFUNCTION("GOOGLETRANSLATE(English!A1835, ""en"", ""bg"")"),"qa_10945")</f>
        <v>qa_10945</v>
      </c>
      <c r="B1835" s="1" t="str">
        <f ca="1">IFERROR(__xludf.DUMMYFUNCTION("GOOGLETRANSLATE(English!B1835, ""en"", ""bg"")"),"биология")</f>
        <v>биология</v>
      </c>
      <c r="C1835" s="1" t="str">
        <f ca="1">IFERROR(__xludf.DUMMYFUNCTION("GOOGLETRANSLATE(English!C1835, ""en"", ""bg"")"),"средата")</f>
        <v>средата</v>
      </c>
      <c r="D1835" s="1" t="str">
        <f ca="1">IFERROR(__xludf.DUMMYFUNCTION("GOOGLETRANSLATE(English!D1835, ""en"", ""bg"")"),"фотосинтеза")</f>
        <v>фотосинтеза</v>
      </c>
      <c r="E1835" s="1" t="str">
        <f ca="1">IFERROR(__xludf.DUMMYFUNCTION("GOOGLETRANSLATE(English!E1835, ""en"", ""bg"")"),"Можете ли да ми разкажете за фотосинтезата?")</f>
        <v>Можете ли да ми разкажете за фотосинтезата?</v>
      </c>
      <c r="F1835" s="1" t="str">
        <f ca="1">IFERROR(__xludf.DUMMYFUNCTION("GOOGLETRANSLATE(English!F1835,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1835" s="1" t="str">
        <f ca="1">IFERROR(__xludf.DUMMYFUNCTION("GOOGLETRANSLATE(English!G1835, ""en"", ""bg"")"),"direct_qa")</f>
        <v>direct_qa</v>
      </c>
      <c r="H1835" s="1" t="str">
        <f ca="1">IFERROR(__xludf.DUMMYFUNCTION("GOOGLETRANSLATE(English!H1835, ""en"", ""bg"")"),"заявка_за_знание")</f>
        <v>заявка_за_знание</v>
      </c>
    </row>
    <row r="1836" spans="1:8" ht="13.2" x14ac:dyDescent="0.25">
      <c r="A1836" s="1" t="str">
        <f ca="1">IFERROR(__xludf.DUMMYFUNCTION("GOOGLETRANSLATE(English!A1836, ""en"", ""bg"")"),"conv_14506")</f>
        <v>conv_14506</v>
      </c>
      <c r="B1836" s="1" t="str">
        <f ca="1">IFERROR(__xludf.DUMMYFUNCTION("GOOGLETRANSLATE(English!B1836, ""en"", ""bg"")"),"биология")</f>
        <v>биология</v>
      </c>
      <c r="C1836" s="1" t="str">
        <f ca="1">IFERROR(__xludf.DUMMYFUNCTION("GOOGLETRANSLATE(English!C1836, ""en"", ""bg"")"),"средата")</f>
        <v>средата</v>
      </c>
      <c r="D1836" s="1" t="str">
        <f ca="1">IFERROR(__xludf.DUMMYFUNCTION("GOOGLETRANSLATE(English!D1836, ""en"", ""bg"")"),"фотосинтеза")</f>
        <v>фотосинтеза</v>
      </c>
      <c r="E1836" s="1" t="str">
        <f ca="1">IFERROR(__xludf.DUMMYFUNCTION("GOOGLETRANSLATE(English!E1836, ""en"", ""bg"")"),"Помогнете ми да уча за теста. Какво е важно да знаем за фотосинтезата?")</f>
        <v>Помогнете ми да уча за теста. Какво е важно да знаем за фотосинтезата?</v>
      </c>
      <c r="F1836" s="1" t="str">
        <f ca="1">IFERROR(__xludf.DUMMYFUNCTION("GOOGLETRANSLATE(English!F1836,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1836" s="1" t="str">
        <f ca="1">IFERROR(__xludf.DUMMYFUNCTION("GOOGLETRANSLATE(English!G1836, ""en"", ""bg"")"),"разговор")</f>
        <v>разговор</v>
      </c>
      <c r="H1836" s="1" t="str">
        <f ca="1">IFERROR(__xludf.DUMMYFUNCTION("GOOGLETRANSLATE(English!H1836, ""en"", ""bg"")"),"образователна_помощ")</f>
        <v>образователна_помощ</v>
      </c>
    </row>
    <row r="1837" spans="1:8" ht="13.2" x14ac:dyDescent="0.25">
      <c r="A1837" s="1" t="str">
        <f ca="1">IFERROR(__xludf.DUMMYFUNCTION("GOOGLETRANSLATE(English!A1837, ""en"", ""bg"")"),"qa_10925")</f>
        <v>qa_10925</v>
      </c>
      <c r="B1837" s="1" t="str">
        <f ca="1">IFERROR(__xludf.DUMMYFUNCTION("GOOGLETRANSLATE(English!B1837, ""en"", ""bg"")"),"физика")</f>
        <v>физика</v>
      </c>
      <c r="C1837" s="1" t="str">
        <f ca="1">IFERROR(__xludf.DUMMYFUNCTION("GOOGLETRANSLATE(English!C1837, ""en"", ""bg"")"),"високо")</f>
        <v>високо</v>
      </c>
      <c r="D1837" s="1" t="str">
        <f ca="1">IFERROR(__xludf.DUMMYFUNCTION("GOOGLETRANSLATE(English!D1837, ""en"", ""bg"")"),"термодинамика")</f>
        <v>термодинамика</v>
      </c>
      <c r="E1837" s="1" t="str">
        <f ca="1">IFERROR(__xludf.DUMMYFUNCTION("GOOGLETRANSLATE(English!E1837, ""en"", ""bg"")"),"Защо термодинамиката е важна?")</f>
        <v>Защо термодинамиката е важна?</v>
      </c>
      <c r="F1837" s="1" t="str">
        <f ca="1">IFERROR(__xludf.DUMMYFUNCTION("GOOGLETRANSLATE(English!F1837,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1837" s="1" t="str">
        <f ca="1">IFERROR(__xludf.DUMMYFUNCTION("GOOGLETRANSLATE(English!G1837, ""en"", ""bg"")"),"direct_qa")</f>
        <v>direct_qa</v>
      </c>
      <c r="H1837" s="1" t="str">
        <f ca="1">IFERROR(__xludf.DUMMYFUNCTION("GOOGLETRANSLATE(English!H1837, ""en"", ""bg"")"),"заявка_за_знание")</f>
        <v>заявка_за_знание</v>
      </c>
    </row>
    <row r="1838" spans="1:8" ht="13.2" x14ac:dyDescent="0.25">
      <c r="A1838" s="1" t="str">
        <f ca="1">IFERROR(__xludf.DUMMYFUNCTION("GOOGLETRANSLATE(English!A1838, ""en"", ""bg"")"),"conv_06275")</f>
        <v>conv_06275</v>
      </c>
      <c r="B1838" s="1" t="str">
        <f ca="1">IFERROR(__xludf.DUMMYFUNCTION("GOOGLETRANSLATE(English!B1838, ""en"", ""bg"")"),"физика")</f>
        <v>физика</v>
      </c>
      <c r="C1838" s="1" t="str">
        <f ca="1">IFERROR(__xludf.DUMMYFUNCTION("GOOGLETRANSLATE(English!C1838, ""en"", ""bg"")"),"елементарен")</f>
        <v>елементарен</v>
      </c>
      <c r="D1838" s="1" t="str">
        <f ca="1">IFERROR(__xludf.DUMMYFUNCTION("GOOGLETRANSLATE(English!D1838, ""en"", ""bg"")"),"горещо и студено")</f>
        <v>горещо и студено</v>
      </c>
      <c r="E1838" s="1" t="str">
        <f ca="1">IFERROR(__xludf.DUMMYFUNCTION("GOOGLETRANSLATE(English!E1838, ""en"", ""bg"")"),"Здравей, преподавателю! Как се сравняват топлото и студеното във физиката?")</f>
        <v>Здравей, преподавателю! Как се сравняват топлото и студеното във физиката?</v>
      </c>
      <c r="F1838" s="1" t="str">
        <f ca="1">IFERROR(__xludf.DUMMYFUNCTION("GOOGLETRANSLATE(English!F1838,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838" s="1" t="str">
        <f ca="1">IFERROR(__xludf.DUMMYFUNCTION("GOOGLETRANSLATE(English!G1838, ""en"", ""bg"")"),"разговор")</f>
        <v>разговор</v>
      </c>
      <c r="H1838" s="1" t="str">
        <f ca="1">IFERROR(__xludf.DUMMYFUNCTION("GOOGLETRANSLATE(English!H1838, ""en"", ""bg"")"),"образователна_помощ")</f>
        <v>образователна_помощ</v>
      </c>
    </row>
    <row r="1839" spans="1:8" ht="13.2" x14ac:dyDescent="0.25">
      <c r="A1839" s="1" t="str">
        <f ca="1">IFERROR(__xludf.DUMMYFUNCTION("GOOGLETRANSLATE(English!A1839, ""en"", ""bg"")"),"conv_06628")</f>
        <v>conv_06628</v>
      </c>
      <c r="B1839" s="1" t="str">
        <f ca="1">IFERROR(__xludf.DUMMYFUNCTION("GOOGLETRANSLATE(English!B1839, ""en"", ""bg"")"),"физика")</f>
        <v>физика</v>
      </c>
      <c r="C1839" s="1" t="str">
        <f ca="1">IFERROR(__xludf.DUMMYFUNCTION("GOOGLETRANSLATE(English!C1839, ""en"", ""bg"")"),"високо")</f>
        <v>високо</v>
      </c>
      <c r="D1839" s="1" t="str">
        <f ca="1">IFERROR(__xludf.DUMMYFUNCTION("GOOGLETRANSLATE(English!D1839, ""en"", ""bg"")"),"електромагнетизъм")</f>
        <v>електромагнетизъм</v>
      </c>
      <c r="E1839" s="1" t="str">
        <f ca="1">IFERROR(__xludf.DUMMYFUNCTION("GOOGLETRANSLATE(English!E1839, ""en"", ""bg"")"),"Помогнете ми да уча за теста си. Защо електромагнетизмът е важен?")</f>
        <v>Помогнете ми да уча за теста си. Защо електромагнетизмът е важен?</v>
      </c>
      <c r="F1839" s="1" t="str">
        <f ca="1">IFERROR(__xludf.DUMMYFUNCTION("GOOGLETRANSLATE(English!F1839,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1839" s="1" t="str">
        <f ca="1">IFERROR(__xludf.DUMMYFUNCTION("GOOGLETRANSLATE(English!G1839, ""en"", ""bg"")"),"разговор")</f>
        <v>разговор</v>
      </c>
      <c r="H1839" s="1" t="str">
        <f ca="1">IFERROR(__xludf.DUMMYFUNCTION("GOOGLETRANSLATE(English!H1839, ""en"", ""bg"")"),"образователна_помощ")</f>
        <v>образователна_помощ</v>
      </c>
    </row>
    <row r="1840" spans="1:8" ht="13.2" x14ac:dyDescent="0.25">
      <c r="A1840" s="1" t="str">
        <f ca="1">IFERROR(__xludf.DUMMYFUNCTION("GOOGLETRANSLATE(English!A1840, ""en"", ""bg"")"),"conv_06882")</f>
        <v>conv_06882</v>
      </c>
      <c r="B1840" s="1" t="str">
        <f ca="1">IFERROR(__xludf.DUMMYFUNCTION("GOOGLETRANSLATE(English!B1840, ""en"", ""bg"")"),"биология")</f>
        <v>биология</v>
      </c>
      <c r="C1840" s="1" t="str">
        <f ca="1">IFERROR(__xludf.DUMMYFUNCTION("GOOGLETRANSLATE(English!C1840, ""en"", ""bg"")"),"високо")</f>
        <v>високо</v>
      </c>
      <c r="D1840" s="1" t="str">
        <f ca="1">IFERROR(__xludf.DUMMYFUNCTION("GOOGLETRANSLATE(English!D1840, ""en"", ""bg"")"),"клетъчно дишане")</f>
        <v>клетъчно дишане</v>
      </c>
      <c r="E1840" s="1" t="str">
        <f ca="1">IFERROR(__xludf.DUMMYFUNCTION("GOOGLETRANSLATE(English!E1840, ""en"", ""bg"")"),"Имам нужда от помощ с домашното си. Какво е важно да знаем за клетъчното дишане?")</f>
        <v>Имам нужда от помощ с домашното си. Какво е важно да знаем за клетъчното дишане?</v>
      </c>
      <c r="F1840" s="1" t="str">
        <f ca="1">IFERROR(__xludf.DUMMYFUNCTION("GOOGLETRANSLATE(English!F1840,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1840" s="1" t="str">
        <f ca="1">IFERROR(__xludf.DUMMYFUNCTION("GOOGLETRANSLATE(English!G1840, ""en"", ""bg"")"),"разговор")</f>
        <v>разговор</v>
      </c>
      <c r="H1840" s="1" t="str">
        <f ca="1">IFERROR(__xludf.DUMMYFUNCTION("GOOGLETRANSLATE(English!H1840, ""en"", ""bg"")"),"образователна_помощ")</f>
        <v>образователна_помощ</v>
      </c>
    </row>
    <row r="1841" spans="1:8" ht="13.2" x14ac:dyDescent="0.25">
      <c r="A1841" s="1" t="str">
        <f ca="1">IFERROR(__xludf.DUMMYFUNCTION("GOOGLETRANSLATE(English!A1841, ""en"", ""bg"")"),"hw_10846")</f>
        <v>hw_10846</v>
      </c>
      <c r="B1841" s="1" t="str">
        <f ca="1">IFERROR(__xludf.DUMMYFUNCTION("GOOGLETRANSLATE(English!B1841, ""en"", ""bg"")"),"химия")</f>
        <v>химия</v>
      </c>
      <c r="C1841" s="1" t="str">
        <f ca="1">IFERROR(__xludf.DUMMYFUNCTION("GOOGLETRANSLATE(English!C1841, ""en"", ""bg"")"),"средата")</f>
        <v>средата</v>
      </c>
      <c r="D1841" s="1" t="str">
        <f ca="1">IFERROR(__xludf.DUMMYFUNCTION("GOOGLETRANSLATE(English!D1841, ""en"", ""bg"")"),"съединения срещу елементи")</f>
        <v>съединения срещу елементи</v>
      </c>
      <c r="E1841" s="1" t="str">
        <f ca="1">IFERROR(__xludf.DUMMYFUNCTION("GOOGLETRANSLATE(English!E1841, ""en"", ""bg"")"),"Можете ли да ми помогнете с изчисленията на съединенията спрямо елементите?")</f>
        <v>Можете ли да ми помогнете с изчисленията на съединенията спрямо елементите?</v>
      </c>
      <c r="F1841" s="1" t="str">
        <f ca="1">IFERROR(__xludf.DUMMYFUNCTION("GOOGLETRANSLATE(English!F1841,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1841" s="1" t="str">
        <f ca="1">IFERROR(__xludf.DUMMYFUNCTION("GOOGLETRANSLATE(English!G1841, ""en"", ""bg"")"),"помощ_за_домашно_изпълнение")</f>
        <v>помощ_за_домашно_изпълнение</v>
      </c>
      <c r="H1841" s="1" t="str">
        <f ca="1">IFERROR(__xludf.DUMMYFUNCTION("GOOGLETRANSLATE(English!H1841, ""en"", ""bg"")"),"помощ_за_домашно_задаване")</f>
        <v>помощ_за_домашно_задаване</v>
      </c>
    </row>
    <row r="1842" spans="1:8" ht="13.2" x14ac:dyDescent="0.25">
      <c r="A1842" s="1" t="str">
        <f ca="1">IFERROR(__xludf.DUMMYFUNCTION("GOOGLETRANSLATE(English!A1842, ""en"", ""bg"")"),"qa_01863")</f>
        <v>qa_01863</v>
      </c>
      <c r="B1842" s="1" t="str">
        <f ca="1">IFERROR(__xludf.DUMMYFUNCTION("GOOGLETRANSLATE(English!B1842, ""en"", ""bg"")"),"физика")</f>
        <v>физика</v>
      </c>
      <c r="C1842" s="1" t="str">
        <f ca="1">IFERROR(__xludf.DUMMYFUNCTION("GOOGLETRANSLATE(English!C1842, ""en"", ""bg"")"),"средата")</f>
        <v>средата</v>
      </c>
      <c r="D1842" s="1" t="str">
        <f ca="1">IFERROR(__xludf.DUMMYFUNCTION("GOOGLETRANSLATE(English!D1842, ""en"", ""bg"")"),"плътност")</f>
        <v>плътност</v>
      </c>
      <c r="E1842" s="1" t="str">
        <f ca="1">IFERROR(__xludf.DUMMYFUNCTION("GOOGLETRANSLATE(English!E1842, ""en"", ""bg"")"),"Какво трябва да знам за плътността?")</f>
        <v>Какво трябва да знам за плътността?</v>
      </c>
      <c r="F1842" s="1" t="str">
        <f ca="1">IFERROR(__xludf.DUMMYFUNCTION("GOOGLETRANSLATE(English!F1842,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1842" s="1" t="str">
        <f ca="1">IFERROR(__xludf.DUMMYFUNCTION("GOOGLETRANSLATE(English!G1842, ""en"", ""bg"")"),"direct_qa")</f>
        <v>direct_qa</v>
      </c>
      <c r="H1842" s="1" t="str">
        <f ca="1">IFERROR(__xludf.DUMMYFUNCTION("GOOGLETRANSLATE(English!H1842, ""en"", ""bg"")"),"заявка_за_знание")</f>
        <v>заявка_за_знание</v>
      </c>
    </row>
    <row r="1843" spans="1:8" ht="13.2" x14ac:dyDescent="0.25">
      <c r="A1843" s="1" t="str">
        <f ca="1">IFERROR(__xludf.DUMMYFUNCTION("GOOGLETRANSLATE(English!A1843, ""en"", ""bg"")"),"hw_07681")</f>
        <v>hw_07681</v>
      </c>
      <c r="B1843" s="1" t="str">
        <f ca="1">IFERROR(__xludf.DUMMYFUNCTION("GOOGLETRANSLATE(English!B1843, ""en"", ""bg"")"),"физика")</f>
        <v>физика</v>
      </c>
      <c r="C1843" s="1" t="str">
        <f ca="1">IFERROR(__xludf.DUMMYFUNCTION("GOOGLETRANSLATE(English!C1843, ""en"", ""bg"")"),"средата")</f>
        <v>средата</v>
      </c>
      <c r="D1843" s="1" t="str">
        <f ca="1">IFERROR(__xludf.DUMMYFUNCTION("GOOGLETRANSLATE(English!D1843, ""en"", ""bg"")"),"видове енергия")</f>
        <v>видове енергия</v>
      </c>
      <c r="E1843" s="1" t="str">
        <f ca="1">IFERROR(__xludf.DUMMYFUNCTION("GOOGLETRANSLATE(English!E1843, ""en"", ""bg"")"),"Домашното ми по физика е за видовете енергия. Объркващо е!")</f>
        <v>Домашното ми по физика е за видовете енергия. Объркващо е!</v>
      </c>
      <c r="F1843" s="1" t="str">
        <f ca="1">IFERROR(__xludf.DUMMYFUNCTION("GOOGLETRANSLATE(English!F1843,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843" s="1" t="str">
        <f ca="1">IFERROR(__xludf.DUMMYFUNCTION("GOOGLETRANSLATE(English!G1843, ""en"", ""bg"")"),"помощ_за_домашно_изпълнение")</f>
        <v>помощ_за_домашно_изпълнение</v>
      </c>
      <c r="H1843" s="1" t="str">
        <f ca="1">IFERROR(__xludf.DUMMYFUNCTION("GOOGLETRANSLATE(English!H1843, ""en"", ""bg"")"),"помощ_за_домашно_задаване")</f>
        <v>помощ_за_домашно_задаване</v>
      </c>
    </row>
    <row r="1844" spans="1:8" ht="13.2" x14ac:dyDescent="0.25">
      <c r="A1844" s="1" t="str">
        <f ca="1">IFERROR(__xludf.DUMMYFUNCTION("GOOGLETRANSLATE(English!A1844, ""en"", ""bg"")"),"qa_02243")</f>
        <v>qa_02243</v>
      </c>
      <c r="B1844" s="1" t="str">
        <f ca="1">IFERROR(__xludf.DUMMYFUNCTION("GOOGLETRANSLATE(English!B1844, ""en"", ""bg"")"),"химия")</f>
        <v>химия</v>
      </c>
      <c r="C1844" s="1" t="str">
        <f ca="1">IFERROR(__xludf.DUMMYFUNCTION("GOOGLETRANSLATE(English!C1844, ""en"", ""bg"")"),"средата")</f>
        <v>средата</v>
      </c>
      <c r="D1844" s="1" t="str">
        <f ca="1">IFERROR(__xludf.DUMMYFUNCTION("GOOGLETRANSLATE(English!D1844, ""en"", ""bg"")"),"атоми и молекули")</f>
        <v>атоми и молекули</v>
      </c>
      <c r="E1844" s="1" t="str">
        <f ca="1">IFERROR(__xludf.DUMMYFUNCTION("GOOGLETRANSLATE(English!E1844, ""en"", ""bg"")"),"Защо атомите се свързват помежду си?")</f>
        <v>Защо атомите се свързват помежду си?</v>
      </c>
      <c r="F1844" s="1" t="str">
        <f ca="1">IFERROR(__xludf.DUMMYFUNCTION("GOOGLETRANSLATE(English!F1844,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1844" s="1" t="str">
        <f ca="1">IFERROR(__xludf.DUMMYFUNCTION("GOOGLETRANSLATE(English!G1844, ""en"", ""bg"")"),"direct_qa")</f>
        <v>direct_qa</v>
      </c>
      <c r="H1844" s="1" t="str">
        <f ca="1">IFERROR(__xludf.DUMMYFUNCTION("GOOGLETRANSLATE(English!H1844, ""en"", ""bg"")"),"заявка_за_знание")</f>
        <v>заявка_за_знание</v>
      </c>
    </row>
    <row r="1845" spans="1:8" ht="13.2" x14ac:dyDescent="0.25">
      <c r="A1845" s="1" t="str">
        <f ca="1">IFERROR(__xludf.DUMMYFUNCTION("GOOGLETRANSLATE(English!A1845, ""en"", ""bg"")"),"conv_17967")</f>
        <v>conv_17967</v>
      </c>
      <c r="B1845" s="1" t="str">
        <f ca="1">IFERROR(__xludf.DUMMYFUNCTION("GOOGLETRANSLATE(English!B1845, ""en"", ""bg"")"),"химия")</f>
        <v>химия</v>
      </c>
      <c r="C1845" s="1" t="str">
        <f ca="1">IFERROR(__xludf.DUMMYFUNCTION("GOOGLETRANSLATE(English!C1845, ""en"", ""bg"")"),"високо")</f>
        <v>високо</v>
      </c>
      <c r="D1845" s="1" t="str">
        <f ca="1">IFERROR(__xludf.DUMMYFUNCTION("GOOGLETRANSLATE(English!D1845, ""en"", ""bg"")"),"химическо свързване")</f>
        <v>химическо свързване</v>
      </c>
      <c r="E1845" s="1" t="str">
        <f ca="1">IFERROR(__xludf.DUMMYFUNCTION("GOOGLETRANSLATE(English!E1845, ""en"", ""bg"")"),"Имам научен въпрос. Можете ли да ми помогнете да разбера химичната връзка?")</f>
        <v>Имам научен въпрос. Можете ли да ми помогнете да разбера химичната връзка?</v>
      </c>
      <c r="F1845" s="1" t="str">
        <f ca="1">IFERROR(__xludf.DUMMYFUNCTION("GOOGLETRANSLATE(English!F1845,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1845" s="1" t="str">
        <f ca="1">IFERROR(__xludf.DUMMYFUNCTION("GOOGLETRANSLATE(English!G1845, ""en"", ""bg"")"),"разговор")</f>
        <v>разговор</v>
      </c>
      <c r="H1845" s="1" t="str">
        <f ca="1">IFERROR(__xludf.DUMMYFUNCTION("GOOGLETRANSLATE(English!H1845, ""en"", ""bg"")"),"образователна_помощ")</f>
        <v>образователна_помощ</v>
      </c>
    </row>
    <row r="1846" spans="1:8" ht="13.2" x14ac:dyDescent="0.25">
      <c r="A1846" s="1" t="str">
        <f ca="1">IFERROR(__xludf.DUMMYFUNCTION("GOOGLETRANSLATE(English!A1846, ""en"", ""bg"")"),"qa_04284")</f>
        <v>qa_04284</v>
      </c>
      <c r="B1846" s="1" t="str">
        <f ca="1">IFERROR(__xludf.DUMMYFUNCTION("GOOGLETRANSLATE(English!B1846, ""en"", ""bg"")"),"биология")</f>
        <v>биология</v>
      </c>
      <c r="C1846" s="1" t="str">
        <f ca="1">IFERROR(__xludf.DUMMYFUNCTION("GOOGLETRANSLATE(English!C1846, ""en"", ""bg"")"),"средата")</f>
        <v>средата</v>
      </c>
      <c r="D1846" s="1" t="str">
        <f ca="1">IFERROR(__xludf.DUMMYFUNCTION("GOOGLETRANSLATE(English!D1846, ""en"", ""bg"")"),"основи на генетиката")</f>
        <v>основи на генетиката</v>
      </c>
      <c r="E1846" s="1" t="str">
        <f ca="1">IFERROR(__xludf.DUMMYFUNCTION("GOOGLETRANSLATE(English!E1846, ""en"", ""bg"")"),"Защо основите на генетиката са важни в биологията?")</f>
        <v>Защо основите на генетиката са важни в биологията?</v>
      </c>
      <c r="F1846" s="1" t="str">
        <f ca="1">IFERROR(__xludf.DUMMYFUNCTION("GOOGLETRANSLATE(English!F1846,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1846" s="1" t="str">
        <f ca="1">IFERROR(__xludf.DUMMYFUNCTION("GOOGLETRANSLATE(English!G1846, ""en"", ""bg"")"),"direct_qa")</f>
        <v>direct_qa</v>
      </c>
      <c r="H1846" s="1" t="str">
        <f ca="1">IFERROR(__xludf.DUMMYFUNCTION("GOOGLETRANSLATE(English!H1846, ""en"", ""bg"")"),"заявка_за_знание")</f>
        <v>заявка_за_знание</v>
      </c>
    </row>
    <row r="1847" spans="1:8" ht="13.2" x14ac:dyDescent="0.25">
      <c r="A1847" s="1" t="str">
        <f ca="1">IFERROR(__xludf.DUMMYFUNCTION("GOOGLETRANSLATE(English!A1847, ""en"", ""bg"")"),"qa_07445")</f>
        <v>qa_07445</v>
      </c>
      <c r="B1847" s="1" t="str">
        <f ca="1">IFERROR(__xludf.DUMMYFUNCTION("GOOGLETRANSLATE(English!B1847, ""en"", ""bg"")"),"химия")</f>
        <v>химия</v>
      </c>
      <c r="C1847" s="1" t="str">
        <f ca="1">IFERROR(__xludf.DUMMYFUNCTION("GOOGLETRANSLATE(English!C1847, ""en"", ""bg"")"),"средата")</f>
        <v>средата</v>
      </c>
      <c r="D1847" s="1" t="str">
        <f ca="1">IFERROR(__xludf.DUMMYFUNCTION("GOOGLETRANSLATE(English!D1847, ""en"", ""bg"")"),"атоми и молекули")</f>
        <v>атоми и молекули</v>
      </c>
      <c r="E1847" s="1" t="str">
        <f ca="1">IFERROR(__xludf.DUMMYFUNCTION("GOOGLETRANSLATE(English!E1847, ""en"", ""bg"")"),"Коя е най-малката част от един елемент?")</f>
        <v>Коя е най-малката част от един елемент?</v>
      </c>
      <c r="F1847" s="1" t="str">
        <f ca="1">IFERROR(__xludf.DUMMYFUNCTION("GOOGLETRANSLATE(English!F1847,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1847" s="1" t="str">
        <f ca="1">IFERROR(__xludf.DUMMYFUNCTION("GOOGLETRANSLATE(English!G1847, ""en"", ""bg"")"),"direct_qa")</f>
        <v>direct_qa</v>
      </c>
      <c r="H1847" s="1" t="str">
        <f ca="1">IFERROR(__xludf.DUMMYFUNCTION("GOOGLETRANSLATE(English!H1847, ""en"", ""bg"")"),"заявка_за_знание")</f>
        <v>заявка_за_знание</v>
      </c>
    </row>
    <row r="1848" spans="1:8" ht="13.2" x14ac:dyDescent="0.25">
      <c r="A1848" s="1" t="str">
        <f ca="1">IFERROR(__xludf.DUMMYFUNCTION("GOOGLETRANSLATE(English!A1848, ""en"", ""bg"")"),"conv_14250")</f>
        <v>conv_14250</v>
      </c>
      <c r="B1848" s="1" t="str">
        <f ca="1">IFERROR(__xludf.DUMMYFUNCTION("GOOGLETRANSLATE(English!B1848, ""en"", ""bg"")"),"химия")</f>
        <v>химия</v>
      </c>
      <c r="C1848" s="1" t="str">
        <f ca="1">IFERROR(__xludf.DUMMYFUNCTION("GOOGLETRANSLATE(English!C1848, ""en"", ""bg"")"),"високо")</f>
        <v>високо</v>
      </c>
      <c r="D1848" s="1" t="str">
        <f ca="1">IFERROR(__xludf.DUMMYFUNCTION("GOOGLETRANSLATE(English!D1848, ""en"", ""bg"")"),"скорости на реакция")</f>
        <v>скорости на реакция</v>
      </c>
      <c r="E1848" s="1" t="str">
        <f ca="1">IFERROR(__xludf.DUMMYFUNCTION("GOOGLETRANSLATE(English!E1848,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1848" s="1" t="str">
        <f ca="1">IFERROR(__xludf.DUMMYFUNCTION("GOOGLETRANSLATE(English!F1848,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1848" s="1" t="str">
        <f ca="1">IFERROR(__xludf.DUMMYFUNCTION("GOOGLETRANSLATE(English!G1848, ""en"", ""bg"")"),"разговор")</f>
        <v>разговор</v>
      </c>
      <c r="H1848" s="1" t="str">
        <f ca="1">IFERROR(__xludf.DUMMYFUNCTION("GOOGLETRANSLATE(English!H1848, ""en"", ""bg"")"),"образователна_помощ")</f>
        <v>образователна_помощ</v>
      </c>
    </row>
    <row r="1849" spans="1:8" ht="13.2" x14ac:dyDescent="0.25">
      <c r="A1849" s="1" t="str">
        <f ca="1">IFERROR(__xludf.DUMMYFUNCTION("GOOGLETRANSLATE(English!A1849, ""en"", ""bg"")"),"hw_12307")</f>
        <v>hw_12307</v>
      </c>
      <c r="B1849" s="1" t="str">
        <f ca="1">IFERROR(__xludf.DUMMYFUNCTION("GOOGLETRANSLATE(English!B1849, ""en"", ""bg"")"),"физика")</f>
        <v>физика</v>
      </c>
      <c r="C1849" s="1" t="str">
        <f ca="1">IFERROR(__xludf.DUMMYFUNCTION("GOOGLETRANSLATE(English!C1849, ""en"", ""bg"")"),"средата")</f>
        <v>средата</v>
      </c>
      <c r="D1849" s="1" t="str">
        <f ca="1">IFERROR(__xludf.DUMMYFUNCTION("GOOGLETRANSLATE(English!D1849, ""en"", ""bg"")"),"плътност")</f>
        <v>плътност</v>
      </c>
      <c r="E1849" s="1" t="str">
        <f ca="1">IFERROR(__xludf.DUMMYFUNCTION("GOOGLETRANSLATE(English!E1849, ""en"", ""bg"")"),"Домашното ми по физика е за плътността. Объркващо е!")</f>
        <v>Домашното ми по физика е за плътността. Объркващо е!</v>
      </c>
      <c r="F1849" s="1" t="str">
        <f ca="1">IFERROR(__xludf.DUMMYFUNCTION("GOOGLETRANSLATE(English!F1849,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1849" s="1" t="str">
        <f ca="1">IFERROR(__xludf.DUMMYFUNCTION("GOOGLETRANSLATE(English!G1849, ""en"", ""bg"")"),"помощ_за_домашно_изпълнение")</f>
        <v>помощ_за_домашно_изпълнение</v>
      </c>
      <c r="H1849" s="1" t="str">
        <f ca="1">IFERROR(__xludf.DUMMYFUNCTION("GOOGLETRANSLATE(English!H1849, ""en"", ""bg"")"),"помощ_за_домашно_задаване")</f>
        <v>помощ_за_домашно_задаване</v>
      </c>
    </row>
    <row r="1850" spans="1:8" ht="13.2" x14ac:dyDescent="0.25">
      <c r="A1850" s="1" t="str">
        <f ca="1">IFERROR(__xludf.DUMMYFUNCTION("GOOGLETRANSLATE(English!A1850, ""en"", ""bg"")"),"conv_07862")</f>
        <v>conv_07862</v>
      </c>
      <c r="B1850" s="1" t="str">
        <f ca="1">IFERROR(__xludf.DUMMYFUNCTION("GOOGLETRANSLATE(English!B1850, ""en"", ""bg"")"),"физика")</f>
        <v>физика</v>
      </c>
      <c r="C1850" s="1" t="str">
        <f ca="1">IFERROR(__xludf.DUMMYFUNCTION("GOOGLETRANSLATE(English!C1850, ""en"", ""bg"")"),"средата")</f>
        <v>средата</v>
      </c>
      <c r="D1850" s="1" t="str">
        <f ca="1">IFERROR(__xludf.DUMMYFUNCTION("GOOGLETRANSLATE(English!D1850, ""en"", ""bg"")"),"видове енергия")</f>
        <v>видове енергия</v>
      </c>
      <c r="E1850" s="1" t="str">
        <f ca="1">IFERROR(__xludf.DUMMYFUNCTION("GOOGLETRANSLATE(English!E1850, ""en"", ""bg"")"),"Имам научен въпрос. Какво е потенциална енергия?")</f>
        <v>Имам научен въпрос. Какво е потенциална енергия?</v>
      </c>
      <c r="F1850" s="1" t="str">
        <f ca="1">IFERROR(__xludf.DUMMYFUNCTION("GOOGLETRANSLATE(English!F1850,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1850" s="1" t="str">
        <f ca="1">IFERROR(__xludf.DUMMYFUNCTION("GOOGLETRANSLATE(English!G1850, ""en"", ""bg"")"),"разговор")</f>
        <v>разговор</v>
      </c>
      <c r="H1850" s="1" t="str">
        <f ca="1">IFERROR(__xludf.DUMMYFUNCTION("GOOGLETRANSLATE(English!H1850, ""en"", ""bg"")"),"образователна_помощ")</f>
        <v>образователна_помощ</v>
      </c>
    </row>
    <row r="1851" spans="1:8" ht="13.2" x14ac:dyDescent="0.25">
      <c r="A1851" s="1" t="str">
        <f ca="1">IFERROR(__xludf.DUMMYFUNCTION("GOOGLETRANSLATE(English!A1851, ""en"", ""bg"")"),"hw_12127")</f>
        <v>hw_12127</v>
      </c>
      <c r="B1851" s="1" t="str">
        <f ca="1">IFERROR(__xludf.DUMMYFUNCTION("GOOGLETRANSLATE(English!B1851, ""en"", ""bg"")"),"биология")</f>
        <v>биология</v>
      </c>
      <c r="C1851" s="1" t="str">
        <f ca="1">IFERROR(__xludf.DUMMYFUNCTION("GOOGLETRANSLATE(English!C1851, ""en"", ""bg"")"),"елементарен")</f>
        <v>елементарен</v>
      </c>
      <c r="D1851" s="1" t="str">
        <f ca="1">IFERROR(__xludf.DUMMYFUNCTION("GOOGLETRANSLATE(English!D1851, ""en"", ""bg"")"),"растения")</f>
        <v>растения</v>
      </c>
      <c r="E1851" s="1" t="str">
        <f ca="1">IFERROR(__xludf.DUMMYFUNCTION("GOOGLETRANSLATE(English!E1851, ""en"", ""bg"")"),"Можете ли да обясните растенията за моя научен проект?")</f>
        <v>Можете ли да обясните растенията за моя научен проект?</v>
      </c>
      <c r="F1851" s="1" t="str">
        <f ca="1">IFERROR(__xludf.DUMMYFUNCTION("GOOGLETRANSLATE(English!F1851,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1851" s="1" t="str">
        <f ca="1">IFERROR(__xludf.DUMMYFUNCTION("GOOGLETRANSLATE(English!G1851, ""en"", ""bg"")"),"помощ_за_домашно_изпълнение")</f>
        <v>помощ_за_домашно_изпълнение</v>
      </c>
      <c r="H1851" s="1" t="str">
        <f ca="1">IFERROR(__xludf.DUMMYFUNCTION("GOOGLETRANSLATE(English!H1851, ""en"", ""bg"")"),"помощ_за_домашно_задаване")</f>
        <v>помощ_за_домашно_задаване</v>
      </c>
    </row>
    <row r="1852" spans="1:8" ht="13.2" x14ac:dyDescent="0.25">
      <c r="A1852" s="1" t="str">
        <f ca="1">IFERROR(__xludf.DUMMYFUNCTION("GOOGLETRANSLATE(English!A1852, ""en"", ""bg"")"),"conv_13326")</f>
        <v>conv_13326</v>
      </c>
      <c r="B1852" s="1" t="str">
        <f ca="1">IFERROR(__xludf.DUMMYFUNCTION("GOOGLETRANSLATE(English!B1852, ""en"", ""bg"")"),"химия")</f>
        <v>химия</v>
      </c>
      <c r="C1852" s="1" t="str">
        <f ca="1">IFERROR(__xludf.DUMMYFUNCTION("GOOGLETRANSLATE(English!C1852, ""en"", ""bg"")"),"високо")</f>
        <v>високо</v>
      </c>
      <c r="D1852" s="1" t="str">
        <f ca="1">IFERROR(__xludf.DUMMYFUNCTION("GOOGLETRANSLATE(English!D1852, ""en"", ""bg"")"),"скорости на реакция")</f>
        <v>скорости на реакция</v>
      </c>
      <c r="E1852" s="1" t="str">
        <f ca="1">IFERROR(__xludf.DUMMYFUNCTION("GOOGLETRANSLATE(English!E1852, ""en"", ""bg"")"),"Имам научен въпрос. Можете ли да ми помогнете да разбера скоростите на реакциите?")</f>
        <v>Имам научен въпрос. Можете ли да ми помогнете да разбера скоростите на реакциите?</v>
      </c>
      <c r="F1852" s="1" t="str">
        <f ca="1">IFERROR(__xludf.DUMMYFUNCTION("GOOGLETRANSLATE(English!F1852,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1852" s="1" t="str">
        <f ca="1">IFERROR(__xludf.DUMMYFUNCTION("GOOGLETRANSLATE(English!G1852, ""en"", ""bg"")"),"разговор")</f>
        <v>разговор</v>
      </c>
      <c r="H1852" s="1" t="str">
        <f ca="1">IFERROR(__xludf.DUMMYFUNCTION("GOOGLETRANSLATE(English!H1852, ""en"", ""bg"")"),"образователна_помощ")</f>
        <v>образователна_помощ</v>
      </c>
    </row>
    <row r="1853" spans="1:8" ht="13.2" x14ac:dyDescent="0.25">
      <c r="A1853" s="1" t="str">
        <f ca="1">IFERROR(__xludf.DUMMYFUNCTION("GOOGLETRANSLATE(English!A1853, ""en"", ""bg"")"),"conv_06976")</f>
        <v>conv_06976</v>
      </c>
      <c r="B1853" s="1" t="str">
        <f ca="1">IFERROR(__xludf.DUMMYFUNCTION("GOOGLETRANSLATE(English!B1853, ""en"", ""bg"")"),"физика")</f>
        <v>физика</v>
      </c>
      <c r="C1853" s="1" t="str">
        <f ca="1">IFERROR(__xludf.DUMMYFUNCTION("GOOGLETRANSLATE(English!C1853, ""en"", ""bg"")"),"високо")</f>
        <v>високо</v>
      </c>
      <c r="D1853" s="1" t="str">
        <f ca="1">IFERROR(__xludf.DUMMYFUNCTION("GOOGLETRANSLATE(English!D1853, ""en"", ""bg"")"),"радиоактивност")</f>
        <v>радиоактивност</v>
      </c>
      <c r="E1853" s="1" t="str">
        <f ca="1">IFERROR(__xludf.DUMMYFUNCTION("GOOGLETRANSLATE(English!E1853, ""en"", ""bg"")"),"Имам нужда от помощ с домашното си. Как действа радиоактивността във физиката?")</f>
        <v>Имам нужда от помощ с домашното си. Как действа радиоактивността във физиката?</v>
      </c>
      <c r="F1853" s="1" t="str">
        <f ca="1">IFERROR(__xludf.DUMMYFUNCTION("GOOGLETRANSLATE(English!F1853,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1853" s="1" t="str">
        <f ca="1">IFERROR(__xludf.DUMMYFUNCTION("GOOGLETRANSLATE(English!G1853, ""en"", ""bg"")"),"разговор")</f>
        <v>разговор</v>
      </c>
      <c r="H1853" s="1" t="str">
        <f ca="1">IFERROR(__xludf.DUMMYFUNCTION("GOOGLETRANSLATE(English!H1853, ""en"", ""bg"")"),"образователна_помощ")</f>
        <v>образователна_помощ</v>
      </c>
    </row>
    <row r="1854" spans="1:8" ht="13.2" x14ac:dyDescent="0.25">
      <c r="A1854" s="1" t="str">
        <f ca="1">IFERROR(__xludf.DUMMYFUNCTION("GOOGLETRANSLATE(English!A1854, ""en"", ""bg"")"),"qa_05364")</f>
        <v>qa_05364</v>
      </c>
      <c r="B1854" s="1" t="str">
        <f ca="1">IFERROR(__xludf.DUMMYFUNCTION("GOOGLETRANSLATE(English!B1854, ""en"", ""bg"")"),"химия")</f>
        <v>химия</v>
      </c>
      <c r="C1854" s="1" t="str">
        <f ca="1">IFERROR(__xludf.DUMMYFUNCTION("GOOGLETRANSLATE(English!C1854, ""en"", ""bg"")"),"високо")</f>
        <v>високо</v>
      </c>
      <c r="D1854" s="1" t="str">
        <f ca="1">IFERROR(__xludf.DUMMYFUNCTION("GOOGLETRANSLATE(English!D1854, ""en"", ""bg"")"),"електрохимия")</f>
        <v>електрохимия</v>
      </c>
      <c r="E1854" s="1" t="str">
        <f ca="1">IFERROR(__xludf.DUMMYFUNCTION("GOOGLETRANSLATE(English!E1854, ""en"", ""bg"")"),"Как работи електрохимията в химията?")</f>
        <v>Как работи електрохимията в химията?</v>
      </c>
      <c r="F1854" s="1" t="str">
        <f ca="1">IFERROR(__xludf.DUMMYFUNCTION("GOOGLETRANSLATE(English!F1854,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1854" s="1" t="str">
        <f ca="1">IFERROR(__xludf.DUMMYFUNCTION("GOOGLETRANSLATE(English!G1854, ""en"", ""bg"")"),"direct_qa")</f>
        <v>direct_qa</v>
      </c>
      <c r="H1854" s="1" t="str">
        <f ca="1">IFERROR(__xludf.DUMMYFUNCTION("GOOGLETRANSLATE(English!H1854, ""en"", ""bg"")"),"заявка_за_знание")</f>
        <v>заявка_за_знание</v>
      </c>
    </row>
    <row r="1855" spans="1:8" ht="13.2" x14ac:dyDescent="0.25">
      <c r="A1855" s="1" t="str">
        <f ca="1">IFERROR(__xludf.DUMMYFUNCTION("GOOGLETRANSLATE(English!A1855, ""en"", ""bg"")"),"hw_06543")</f>
        <v>hw_06543</v>
      </c>
      <c r="B1855" s="1" t="str">
        <f ca="1">IFERROR(__xludf.DUMMYFUNCTION("GOOGLETRANSLATE(English!B1855, ""en"", ""bg"")"),"химия")</f>
        <v>химия</v>
      </c>
      <c r="C1855" s="1" t="str">
        <f ca="1">IFERROR(__xludf.DUMMYFUNCTION("GOOGLETRANSLATE(English!C1855, ""en"", ""bg"")"),"високо")</f>
        <v>високо</v>
      </c>
      <c r="D1855" s="1" t="str">
        <f ca="1">IFERROR(__xludf.DUMMYFUNCTION("GOOGLETRANSLATE(English!D1855, ""en"", ""bg"")"),"електрохимия")</f>
        <v>електрохимия</v>
      </c>
      <c r="E1855" s="1" t="str">
        <f ca="1">IFERROR(__xludf.DUMMYFUNCTION("GOOGLETRANSLATE(English!E1855, ""en"", ""bg"")"),"Можете ли да ми помогнете с електрохимични изчисления?")</f>
        <v>Можете ли да ми помогнете с електрохимични изчисления?</v>
      </c>
      <c r="F1855" s="1" t="str">
        <f ca="1">IFERROR(__xludf.DUMMYFUNCTION("GOOGLETRANSLATE(English!F1855,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1855" s="1" t="str">
        <f ca="1">IFERROR(__xludf.DUMMYFUNCTION("GOOGLETRANSLATE(English!G1855, ""en"", ""bg"")"),"помощ_за_домашно_изпълнение")</f>
        <v>помощ_за_домашно_изпълнение</v>
      </c>
      <c r="H1855" s="1" t="str">
        <f ca="1">IFERROR(__xludf.DUMMYFUNCTION("GOOGLETRANSLATE(English!H1855, ""en"", ""bg"")"),"помощ_за_домашно_задаване")</f>
        <v>помощ_за_домашно_задаване</v>
      </c>
    </row>
    <row r="1856" spans="1:8" ht="13.2" x14ac:dyDescent="0.25">
      <c r="A1856" s="1" t="str">
        <f ca="1">IFERROR(__xludf.DUMMYFUNCTION("GOOGLETRANSLATE(English!A1856, ""en"", ""bg"")"),"hw_09874")</f>
        <v>hw_09874</v>
      </c>
      <c r="B1856" s="1" t="str">
        <f ca="1">IFERROR(__xludf.DUMMYFUNCTION("GOOGLETRANSLATE(English!B1856, ""en"", ""bg"")"),"химия")</f>
        <v>химия</v>
      </c>
      <c r="C1856" s="1" t="str">
        <f ca="1">IFERROR(__xludf.DUMMYFUNCTION("GOOGLETRANSLATE(English!C1856, ""en"", ""bg"")"),"високо")</f>
        <v>високо</v>
      </c>
      <c r="D1856" s="1" t="str">
        <f ca="1">IFERROR(__xludf.DUMMYFUNCTION("GOOGLETRANSLATE(English!D1856, ""en"", ""bg"")"),"равновесие")</f>
        <v>равновесие</v>
      </c>
      <c r="E1856" s="1" t="str">
        <f ca="1">IFERROR(__xludf.DUMMYFUNCTION("GOOGLETRANSLATE(English!E1856, ""en"", ""bg"")"),"Трудно ми е да пазя равновесието си в домашните.")</f>
        <v>Трудно ми е да пазя равновесието си в домашните.</v>
      </c>
      <c r="F1856" s="1" t="str">
        <f ca="1">IFERROR(__xludf.DUMMYFUNCTION("GOOGLETRANSLATE(English!F1856,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856" s="1" t="str">
        <f ca="1">IFERROR(__xludf.DUMMYFUNCTION("GOOGLETRANSLATE(English!G1856, ""en"", ""bg"")"),"помощ_за_домашно_изпълнение")</f>
        <v>помощ_за_домашно_изпълнение</v>
      </c>
      <c r="H1856" s="1" t="str">
        <f ca="1">IFERROR(__xludf.DUMMYFUNCTION("GOOGLETRANSLATE(English!H1856, ""en"", ""bg"")"),"помощ_за_домашно_задаване")</f>
        <v>помощ_за_домашно_задаване</v>
      </c>
    </row>
    <row r="1857" spans="1:8" ht="13.2" x14ac:dyDescent="0.25">
      <c r="A1857" s="1" t="str">
        <f ca="1">IFERROR(__xludf.DUMMYFUNCTION("GOOGLETRANSLATE(English!A1857, ""en"", ""bg"")"),"hw_01946")</f>
        <v>hw_01946</v>
      </c>
      <c r="B1857" s="1" t="str">
        <f ca="1">IFERROR(__xludf.DUMMYFUNCTION("GOOGLETRANSLATE(English!B1857, ""en"", ""bg"")"),"физика")</f>
        <v>физика</v>
      </c>
      <c r="C1857" s="1" t="str">
        <f ca="1">IFERROR(__xludf.DUMMYFUNCTION("GOOGLETRANSLATE(English!C1857, ""en"", ""bg"")"),"средата")</f>
        <v>средата</v>
      </c>
      <c r="D1857" s="1" t="str">
        <f ca="1">IFERROR(__xludf.DUMMYFUNCTION("GOOGLETRANSLATE(English!D1857, ""en"", ""bg"")"),"видове енергия")</f>
        <v>видове енергия</v>
      </c>
      <c r="E1857" s="1" t="str">
        <f ca="1">IFERROR(__xludf.DUMMYFUNCTION("GOOGLETRANSLATE(English!E1857, ""en"", ""bg"")"),"Трябва да разбера видовете енергия за изпита си.")</f>
        <v>Трябва да разбера видовете енергия за изпита си.</v>
      </c>
      <c r="F1857" s="1" t="str">
        <f ca="1">IFERROR(__xludf.DUMMYFUNCTION("GOOGLETRANSLATE(English!F1857,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1857" s="1" t="str">
        <f ca="1">IFERROR(__xludf.DUMMYFUNCTION("GOOGLETRANSLATE(English!G1857, ""en"", ""bg"")"),"помощ_за_домашно_изпълнение")</f>
        <v>помощ_за_домашно_изпълнение</v>
      </c>
      <c r="H1857" s="1" t="str">
        <f ca="1">IFERROR(__xludf.DUMMYFUNCTION("GOOGLETRANSLATE(English!H1857, ""en"", ""bg"")"),"помощ_за_домашно_задаване")</f>
        <v>помощ_за_домашно_задаване</v>
      </c>
    </row>
    <row r="1858" spans="1:8" ht="13.2" x14ac:dyDescent="0.25">
      <c r="A1858" s="1" t="str">
        <f ca="1">IFERROR(__xludf.DUMMYFUNCTION("GOOGLETRANSLATE(English!A1858, ""en"", ""bg"")"),"conv_12463")</f>
        <v>conv_12463</v>
      </c>
      <c r="B1858" s="1" t="str">
        <f ca="1">IFERROR(__xludf.DUMMYFUNCTION("GOOGLETRANSLATE(English!B1858, ""en"", ""bg"")"),"химия")</f>
        <v>химия</v>
      </c>
      <c r="C1858" s="1" t="str">
        <f ca="1">IFERROR(__xludf.DUMMYFUNCTION("GOOGLETRANSLATE(English!C1858, ""en"", ""bg"")"),"средата")</f>
        <v>средата</v>
      </c>
      <c r="D1858" s="1" t="str">
        <f ca="1">IFERROR(__xludf.DUMMYFUNCTION("GOOGLETRANSLATE(English!D1858, ""en"", ""bg"")"),"атоми и молекули")</f>
        <v>атоми и молекули</v>
      </c>
      <c r="E1858" s="1" t="str">
        <f ca="1">IFERROR(__xludf.DUMMYFUNCTION("GOOGLETRANSLATE(English!E1858, ""en"", ""bg"")"),"Можете ли да ми обясните това? Защо атомите се свързват?")</f>
        <v>Можете ли да ми обясните това? Защо атомите се свързват?</v>
      </c>
      <c r="F1858" s="1" t="str">
        <f ca="1">IFERROR(__xludf.DUMMYFUNCTION("GOOGLETRANSLATE(English!F1858,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1858" s="1" t="str">
        <f ca="1">IFERROR(__xludf.DUMMYFUNCTION("GOOGLETRANSLATE(English!G1858, ""en"", ""bg"")"),"разговор")</f>
        <v>разговор</v>
      </c>
      <c r="H1858" s="1" t="str">
        <f ca="1">IFERROR(__xludf.DUMMYFUNCTION("GOOGLETRANSLATE(English!H1858, ""en"", ""bg"")"),"образователна_помощ")</f>
        <v>образователна_помощ</v>
      </c>
    </row>
    <row r="1859" spans="1:8" ht="13.2" x14ac:dyDescent="0.25">
      <c r="A1859" s="1" t="str">
        <f ca="1">IFERROR(__xludf.DUMMYFUNCTION("GOOGLETRANSLATE(English!A1859, ""en"", ""bg"")"),"conv_15755")</f>
        <v>conv_15755</v>
      </c>
      <c r="B1859" s="1" t="str">
        <f ca="1">IFERROR(__xludf.DUMMYFUNCTION("GOOGLETRANSLATE(English!B1859, ""en"", ""bg"")"),"физика")</f>
        <v>физика</v>
      </c>
      <c r="C1859" s="1" t="str">
        <f ca="1">IFERROR(__xludf.DUMMYFUNCTION("GOOGLETRANSLATE(English!C1859, ""en"", ""bg"")"),"средата")</f>
        <v>средата</v>
      </c>
      <c r="D1859" s="1" t="str">
        <f ca="1">IFERROR(__xludf.DUMMYFUNCTION("GOOGLETRANSLATE(English!D1859, ""en"", ""bg"")"),"състояния на материята")</f>
        <v>състояния на материята</v>
      </c>
      <c r="E1859" s="1" t="str">
        <f ca="1">IFERROR(__xludf.DUMMYFUNCTION("GOOGLETRANSLATE(English!E1859, ""en"", ""bg"")"),"Имам нужда от помощ с домашното. Защо състоянията на материята са важни?")</f>
        <v>Имам нужда от помощ с домашното. Защо състоянията на материята са важни?</v>
      </c>
      <c r="F1859" s="1" t="str">
        <f ca="1">IFERROR(__xludf.DUMMYFUNCTION("GOOGLETRANSLATE(English!F1859,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1859" s="1" t="str">
        <f ca="1">IFERROR(__xludf.DUMMYFUNCTION("GOOGLETRANSLATE(English!G1859, ""en"", ""bg"")"),"разговор")</f>
        <v>разговор</v>
      </c>
      <c r="H1859" s="1" t="str">
        <f ca="1">IFERROR(__xludf.DUMMYFUNCTION("GOOGLETRANSLATE(English!H1859, ""en"", ""bg"")"),"образователна_помощ")</f>
        <v>образователна_помощ</v>
      </c>
    </row>
    <row r="1860" spans="1:8" ht="13.2" x14ac:dyDescent="0.25">
      <c r="A1860" s="1" t="str">
        <f ca="1">IFERROR(__xludf.DUMMYFUNCTION("GOOGLETRANSLATE(English!A1860, ""en"", ""bg"")"),"hw_07004")</f>
        <v>hw_07004</v>
      </c>
      <c r="B1860" s="1" t="str">
        <f ca="1">IFERROR(__xludf.DUMMYFUNCTION("GOOGLETRANSLATE(English!B1860, ""en"", ""bg"")"),"химия")</f>
        <v>химия</v>
      </c>
      <c r="C1860" s="1" t="str">
        <f ca="1">IFERROR(__xludf.DUMMYFUNCTION("GOOGLETRANSLATE(English!C1860, ""en"", ""bg"")"),"средата")</f>
        <v>средата</v>
      </c>
      <c r="D1860" s="1" t="str">
        <f ca="1">IFERROR(__xludf.DUMMYFUNCTION("GOOGLETRANSLATE(English!D1860, ""en"", ""bg"")"),"химични реакции")</f>
        <v>химични реакции</v>
      </c>
      <c r="E1860" s="1" t="str">
        <f ca="1">IFERROR(__xludf.DUMMYFUNCTION("GOOGLETRANSLATE(English!E1860,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1860" s="1" t="str">
        <f ca="1">IFERROR(__xludf.DUMMYFUNCTION("GOOGLETRANSLATE(English!F1860,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1860" s="1" t="str">
        <f ca="1">IFERROR(__xludf.DUMMYFUNCTION("GOOGLETRANSLATE(English!G1860, ""en"", ""bg"")"),"помощ_за_домашно_изпълнение")</f>
        <v>помощ_за_домашно_изпълнение</v>
      </c>
      <c r="H1860" s="1" t="str">
        <f ca="1">IFERROR(__xludf.DUMMYFUNCTION("GOOGLETRANSLATE(English!H1860, ""en"", ""bg"")"),"помощ_за_домашно_задаване")</f>
        <v>помощ_за_домашно_задаване</v>
      </c>
    </row>
    <row r="1861" spans="1:8" ht="13.2" x14ac:dyDescent="0.25">
      <c r="A1861" s="1" t="str">
        <f ca="1">IFERROR(__xludf.DUMMYFUNCTION("GOOGLETRANSLATE(English!A1861, ""en"", ""bg"")"),"hw_13276")</f>
        <v>hw_13276</v>
      </c>
      <c r="B1861" s="1" t="str">
        <f ca="1">IFERROR(__xludf.DUMMYFUNCTION("GOOGLETRANSLATE(English!B1861, ""en"", ""bg"")"),"физика")</f>
        <v>физика</v>
      </c>
      <c r="C1861" s="1" t="str">
        <f ca="1">IFERROR(__xludf.DUMMYFUNCTION("GOOGLETRANSLATE(English!C1861, ""en"", ""bg"")"),"елементарен")</f>
        <v>елементарен</v>
      </c>
      <c r="D1861" s="1" t="str">
        <f ca="1">IFERROR(__xludf.DUMMYFUNCTION("GOOGLETRANSLATE(English!D1861, ""en"", ""bg"")"),"магнити")</f>
        <v>магнити</v>
      </c>
      <c r="E1861" s="1" t="str">
        <f ca="1">IFERROR(__xludf.DUMMYFUNCTION("GOOGLETRANSLATE(English!E1861, ""en"", ""bg"")"),"Можете ли да решите този въпрос с магнитите заедно с мен?")</f>
        <v>Можете ли да решите този въпрос с магнитите заедно с мен?</v>
      </c>
      <c r="F1861" s="1" t="str">
        <f ca="1">IFERROR(__xludf.DUMMYFUNCTION("GOOGLETRANSLATE(English!F1861,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861" s="1" t="str">
        <f ca="1">IFERROR(__xludf.DUMMYFUNCTION("GOOGLETRANSLATE(English!G1861, ""en"", ""bg"")"),"помощ_за_домашно_изпълнение")</f>
        <v>помощ_за_домашно_изпълнение</v>
      </c>
      <c r="H1861" s="1" t="str">
        <f ca="1">IFERROR(__xludf.DUMMYFUNCTION("GOOGLETRANSLATE(English!H1861, ""en"", ""bg"")"),"помощ_за_домашно_задаване")</f>
        <v>помощ_за_домашно_задаване</v>
      </c>
    </row>
    <row r="1862" spans="1:8" ht="13.2" x14ac:dyDescent="0.25">
      <c r="A1862" s="1" t="str">
        <f ca="1">IFERROR(__xludf.DUMMYFUNCTION("GOOGLETRANSLATE(English!A1862, ""en"", ""bg"")"),"conv_19207")</f>
        <v>conv_19207</v>
      </c>
      <c r="B1862" s="1" t="str">
        <f ca="1">IFERROR(__xludf.DUMMYFUNCTION("GOOGLETRANSLATE(English!B1862, ""en"", ""bg"")"),"физика")</f>
        <v>физика</v>
      </c>
      <c r="C1862" s="1" t="str">
        <f ca="1">IFERROR(__xludf.DUMMYFUNCTION("GOOGLETRANSLATE(English!C1862, ""en"", ""bg"")"),"високо")</f>
        <v>високо</v>
      </c>
      <c r="D1862" s="1" t="str">
        <f ca="1">IFERROR(__xludf.DUMMYFUNCTION("GOOGLETRANSLATE(English!D1862, ""en"", ""bg"")"),"атомна структура")</f>
        <v>атомна структура</v>
      </c>
      <c r="E1862" s="1" t="str">
        <f ca="1">IFERROR(__xludf.DUMMYFUNCTION("GOOGLETRANSLATE(English!E1862, ""en"", ""bg"")"),"Здравей, преподавателю! Защо атомната структура е важна?")</f>
        <v>Здравей, преподавателю! Защо атомната структура е важна?</v>
      </c>
      <c r="F1862" s="1" t="str">
        <f ca="1">IFERROR(__xludf.DUMMYFUNCTION("GOOGLETRANSLATE(English!F1862,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1862" s="1" t="str">
        <f ca="1">IFERROR(__xludf.DUMMYFUNCTION("GOOGLETRANSLATE(English!G1862, ""en"", ""bg"")"),"разговор")</f>
        <v>разговор</v>
      </c>
      <c r="H1862" s="1" t="str">
        <f ca="1">IFERROR(__xludf.DUMMYFUNCTION("GOOGLETRANSLATE(English!H1862, ""en"", ""bg"")"),"образователна_помощ")</f>
        <v>образователна_помощ</v>
      </c>
    </row>
    <row r="1863" spans="1:8" ht="13.2" x14ac:dyDescent="0.25">
      <c r="A1863" s="1" t="str">
        <f ca="1">IFERROR(__xludf.DUMMYFUNCTION("GOOGLETRANSLATE(English!A1863, ""en"", ""bg"")"),"hw_14507")</f>
        <v>hw_14507</v>
      </c>
      <c r="B1863" s="1" t="str">
        <f ca="1">IFERROR(__xludf.DUMMYFUNCTION("GOOGLETRANSLATE(English!B1863, ""en"", ""bg"")"),"физика")</f>
        <v>физика</v>
      </c>
      <c r="C1863" s="1" t="str">
        <f ca="1">IFERROR(__xludf.DUMMYFUNCTION("GOOGLETRANSLATE(English!C1863, ""en"", ""bg"")"),"елементарен")</f>
        <v>елементарен</v>
      </c>
      <c r="D1863" s="1" t="str">
        <f ca="1">IFERROR(__xludf.DUMMYFUNCTION("GOOGLETRANSLATE(English!D1863, ""en"", ""bg"")"),"плаващ и потъващ")</f>
        <v>плаващ и потъващ</v>
      </c>
      <c r="E1863" s="1" t="str">
        <f ca="1">IFERROR(__xludf.DUMMYFUNCTION("GOOGLETRANSLATE(English!E1863, ""en"", ""bg"")"),"Можеш ли да решиш този плаващ и потъващ въпрос с мен?")</f>
        <v>Можеш ли да решиш този плаващ и потъващ въпрос с мен?</v>
      </c>
      <c r="F1863" s="1" t="str">
        <f ca="1">IFERROR(__xludf.DUMMYFUNCTION("GOOGLETRANSLATE(English!F1863,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1863" s="1" t="str">
        <f ca="1">IFERROR(__xludf.DUMMYFUNCTION("GOOGLETRANSLATE(English!G1863, ""en"", ""bg"")"),"помощ_за_домашно_изпълнение")</f>
        <v>помощ_за_домашно_изпълнение</v>
      </c>
      <c r="H1863" s="1" t="str">
        <f ca="1">IFERROR(__xludf.DUMMYFUNCTION("GOOGLETRANSLATE(English!H1863, ""en"", ""bg"")"),"помощ_за_домашно_задаване")</f>
        <v>помощ_за_домашно_задаване</v>
      </c>
    </row>
    <row r="1864" spans="1:8" ht="13.2" x14ac:dyDescent="0.25">
      <c r="A1864" s="1" t="str">
        <f ca="1">IFERROR(__xludf.DUMMYFUNCTION("GOOGLETRANSLATE(English!A1864, ""en"", ""bg"")"),"qa_09369")</f>
        <v>qa_09369</v>
      </c>
      <c r="B1864" s="1" t="str">
        <f ca="1">IFERROR(__xludf.DUMMYFUNCTION("GOOGLETRANSLATE(English!B1864, ""en"", ""bg"")"),"физика")</f>
        <v>физика</v>
      </c>
      <c r="C1864" s="1" t="str">
        <f ca="1">IFERROR(__xludf.DUMMYFUNCTION("GOOGLETRANSLATE(English!C1864, ""en"", ""bg"")"),"средата")</f>
        <v>средата</v>
      </c>
      <c r="D1864" s="1" t="str">
        <f ca="1">IFERROR(__xludf.DUMMYFUNCTION("GOOGLETRANSLATE(English!D1864, ""en"", ""bg"")"),"състояния на материята")</f>
        <v>състояния на материята</v>
      </c>
      <c r="E1864" s="1" t="str">
        <f ca="1">IFERROR(__xludf.DUMMYFUNCTION("GOOGLETRANSLATE(English!E1864, ""en"", ""bg"")"),"Какво трябва да знам за състоянията на материята?")</f>
        <v>Какво трябва да знам за състоянията на материята?</v>
      </c>
      <c r="F1864" s="1" t="str">
        <f ca="1">IFERROR(__xludf.DUMMYFUNCTION("GOOGLETRANSLATE(English!F1864,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1864" s="1" t="str">
        <f ca="1">IFERROR(__xludf.DUMMYFUNCTION("GOOGLETRANSLATE(English!G1864, ""en"", ""bg"")"),"direct_qa")</f>
        <v>direct_qa</v>
      </c>
      <c r="H1864" s="1" t="str">
        <f ca="1">IFERROR(__xludf.DUMMYFUNCTION("GOOGLETRANSLATE(English!H1864, ""en"", ""bg"")"),"заявка_за_знание")</f>
        <v>заявка_за_знание</v>
      </c>
    </row>
    <row r="1865" spans="1:8" ht="13.2" x14ac:dyDescent="0.25">
      <c r="A1865" s="1" t="str">
        <f ca="1">IFERROR(__xludf.DUMMYFUNCTION("GOOGLETRANSLATE(English!A1865, ""en"", ""bg"")"),"conv_15069")</f>
        <v>conv_15069</v>
      </c>
      <c r="B1865" s="1" t="str">
        <f ca="1">IFERROR(__xludf.DUMMYFUNCTION("GOOGLETRANSLATE(English!B1865, ""en"", ""bg"")"),"химия")</f>
        <v>химия</v>
      </c>
      <c r="C1865" s="1" t="str">
        <f ca="1">IFERROR(__xludf.DUMMYFUNCTION("GOOGLETRANSLATE(English!C1865, ""en"", ""bg"")"),"средата")</f>
        <v>средата</v>
      </c>
      <c r="D1865" s="1" t="str">
        <f ca="1">IFERROR(__xludf.DUMMYFUNCTION("GOOGLETRANSLATE(English!D1865, ""en"", ""bg"")"),"киселини и основи")</f>
        <v>киселини и основи</v>
      </c>
      <c r="E1865" s="1" t="str">
        <f ca="1">IFERROR(__xludf.DUMMYFUNCTION("GOOGLETRANSLATE(English!E1865, ""en"", ""bg"")"),"Можете ли да ми обясните това? Как действат киселините и основите в химията?")</f>
        <v>Можете ли да ми обясните това? Как действат киселините и основите в химията?</v>
      </c>
      <c r="F1865" s="1" t="str">
        <f ca="1">IFERROR(__xludf.DUMMYFUNCTION("GOOGLETRANSLATE(English!F1865,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1865" s="1" t="str">
        <f ca="1">IFERROR(__xludf.DUMMYFUNCTION("GOOGLETRANSLATE(English!G1865, ""en"", ""bg"")"),"разговор")</f>
        <v>разговор</v>
      </c>
      <c r="H1865" s="1" t="str">
        <f ca="1">IFERROR(__xludf.DUMMYFUNCTION("GOOGLETRANSLATE(English!H1865, ""en"", ""bg"")"),"образователна_помощ")</f>
        <v>образователна_помощ</v>
      </c>
    </row>
    <row r="1866" spans="1:8" ht="13.2" x14ac:dyDescent="0.25">
      <c r="A1866" s="1" t="str">
        <f ca="1">IFERROR(__xludf.DUMMYFUNCTION("GOOGLETRANSLATE(English!A1866, ""en"", ""bg"")"),"hw_06863")</f>
        <v>hw_06863</v>
      </c>
      <c r="B1866" s="1" t="str">
        <f ca="1">IFERROR(__xludf.DUMMYFUNCTION("GOOGLETRANSLATE(English!B1866, ""en"", ""bg"")"),"физика")</f>
        <v>физика</v>
      </c>
      <c r="C1866" s="1" t="str">
        <f ca="1">IFERROR(__xludf.DUMMYFUNCTION("GOOGLETRANSLATE(English!C1866, ""en"", ""bg"")"),"елементарен")</f>
        <v>елементарен</v>
      </c>
      <c r="D1866" s="1" t="str">
        <f ca="1">IFERROR(__xludf.DUMMYFUNCTION("GOOGLETRANSLATE(English!D1866, ""en"", ""bg"")"),"горещо и студено")</f>
        <v>горещо и студено</v>
      </c>
      <c r="E1866" s="1" t="str">
        <f ca="1">IFERROR(__xludf.DUMMYFUNCTION("GOOGLETRANSLATE(English!E1866, ""en"", ""bg"")"),"Заседнал съм с този проблем с горещината и студените. Можете ли да помогнете?")</f>
        <v>Заседнал съм с този проблем с горещината и студените. Можете ли да помогнете?</v>
      </c>
      <c r="F1866" s="1" t="str">
        <f ca="1">IFERROR(__xludf.DUMMYFUNCTION("GOOGLETRANSLATE(English!F1866,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1866" s="1" t="str">
        <f ca="1">IFERROR(__xludf.DUMMYFUNCTION("GOOGLETRANSLATE(English!G1866, ""en"", ""bg"")"),"помощ_за_домашно_изпълнение")</f>
        <v>помощ_за_домашно_изпълнение</v>
      </c>
      <c r="H1866" s="1" t="str">
        <f ca="1">IFERROR(__xludf.DUMMYFUNCTION("GOOGLETRANSLATE(English!H1866, ""en"", ""bg"")"),"помощ_за_домашно_задаване")</f>
        <v>помощ_за_домашно_задаване</v>
      </c>
    </row>
    <row r="1867" spans="1:8" ht="13.2" x14ac:dyDescent="0.25">
      <c r="A1867" s="1" t="str">
        <f ca="1">IFERROR(__xludf.DUMMYFUNCTION("GOOGLETRANSLATE(English!A1867, ""en"", ""bg"")"),"conv_07782")</f>
        <v>conv_07782</v>
      </c>
      <c r="B1867" s="1" t="str">
        <f ca="1">IFERROR(__xludf.DUMMYFUNCTION("GOOGLETRANSLATE(English!B1867, ""en"", ""bg"")"),"биология")</f>
        <v>биология</v>
      </c>
      <c r="C1867" s="1" t="str">
        <f ca="1">IFERROR(__xludf.DUMMYFUNCTION("GOOGLETRANSLATE(English!C1867, ""en"", ""bg"")"),"елементарен")</f>
        <v>елементарен</v>
      </c>
      <c r="D1867" s="1" t="str">
        <f ca="1">IFERROR(__xludf.DUMMYFUNCTION("GOOGLETRANSLATE(English!D1867, ""en"", ""bg"")"),"растения")</f>
        <v>растения</v>
      </c>
      <c r="E1867" s="1" t="str">
        <f ca="1">IFERROR(__xludf.DUMMYFUNCTION("GOOGLETRANSLATE(English!E1867, ""en"", ""bg"")"),"Помогни ми да уча за теста си. Защо листата обикновено са зелени?")</f>
        <v>Помогни ми да уча за теста си. Защо листата обикновено са зелени?</v>
      </c>
      <c r="F1867" s="1" t="str">
        <f ca="1">IFERROR(__xludf.DUMMYFUNCTION("GOOGLETRANSLATE(English!F1867, ""en"", ""bg"")"),"Листата са зелени, защото съдържат хлорофил, специално вещество, което помага на растенията да улавят слънчевата светлина.")</f>
        <v>Листата са зелени, защото съдържат хлорофил, специално вещество, което помага на растенията да улавят слънчевата светлина.</v>
      </c>
      <c r="G1867" s="1" t="str">
        <f ca="1">IFERROR(__xludf.DUMMYFUNCTION("GOOGLETRANSLATE(English!G1867, ""en"", ""bg"")"),"разговор")</f>
        <v>разговор</v>
      </c>
      <c r="H1867" s="1" t="str">
        <f ca="1">IFERROR(__xludf.DUMMYFUNCTION("GOOGLETRANSLATE(English!H1867, ""en"", ""bg"")"),"образователна_помощ")</f>
        <v>образователна_помощ</v>
      </c>
    </row>
    <row r="1868" spans="1:8" ht="13.2" x14ac:dyDescent="0.25">
      <c r="A1868" s="1" t="str">
        <f ca="1">IFERROR(__xludf.DUMMYFUNCTION("GOOGLETRANSLATE(English!A1868, ""en"", ""bg"")"),"conv_12470")</f>
        <v>conv_12470</v>
      </c>
      <c r="B1868" s="1" t="str">
        <f ca="1">IFERROR(__xludf.DUMMYFUNCTION("GOOGLETRANSLATE(English!B1868, ""en"", ""bg"")"),"физика")</f>
        <v>физика</v>
      </c>
      <c r="C1868" s="1" t="str">
        <f ca="1">IFERROR(__xludf.DUMMYFUNCTION("GOOGLETRANSLATE(English!C1868, ""en"", ""bg"")"),"елементарен")</f>
        <v>елементарен</v>
      </c>
      <c r="D1868" s="1" t="str">
        <f ca="1">IFERROR(__xludf.DUMMYFUNCTION("GOOGLETRANSLATE(English!D1868, ""en"", ""bg"")"),"магнити")</f>
        <v>магнити</v>
      </c>
      <c r="E1868" s="1" t="str">
        <f ca="1">IFERROR(__xludf.DUMMYFUNCTION("GOOGLETRANSLATE(English!E1868, ""en"", ""bg"")"),"Помогнете ми да уча за теста си. Кои са полюсите на магнита?")</f>
        <v>Помогнете ми да уча за теста си. Кои са полюсите на магнита?</v>
      </c>
      <c r="F1868" s="1" t="str">
        <f ca="1">IFERROR(__xludf.DUMMYFUNCTION("GOOGLETRANSLATE(English!F1868,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1868" s="1" t="str">
        <f ca="1">IFERROR(__xludf.DUMMYFUNCTION("GOOGLETRANSLATE(English!G1868, ""en"", ""bg"")"),"разговор")</f>
        <v>разговор</v>
      </c>
      <c r="H1868" s="1" t="str">
        <f ca="1">IFERROR(__xludf.DUMMYFUNCTION("GOOGLETRANSLATE(English!H1868, ""en"", ""bg"")"),"образователна_помощ")</f>
        <v>образователна_помощ</v>
      </c>
    </row>
    <row r="1869" spans="1:8" ht="13.2" x14ac:dyDescent="0.25">
      <c r="A1869" s="1" t="str">
        <f ca="1">IFERROR(__xludf.DUMMYFUNCTION("GOOGLETRANSLATE(English!A1869, ""en"", ""bg"")"),"hw_14101")</f>
        <v>hw_14101</v>
      </c>
      <c r="B1869" s="1" t="str">
        <f ca="1">IFERROR(__xludf.DUMMYFUNCTION("GOOGLETRANSLATE(English!B1869, ""en"", ""bg"")"),"химия")</f>
        <v>химия</v>
      </c>
      <c r="C1869" s="1" t="str">
        <f ca="1">IFERROR(__xludf.DUMMYFUNCTION("GOOGLETRANSLATE(English!C1869, ""en"", ""bg"")"),"средата")</f>
        <v>средата</v>
      </c>
      <c r="D1869" s="1" t="str">
        <f ca="1">IFERROR(__xludf.DUMMYFUNCTION("GOOGLETRANSLATE(English!D1869, ""en"", ""bg"")"),"киселини и основи")</f>
        <v>киселини и основи</v>
      </c>
      <c r="E1869" s="1" t="str">
        <f ca="1">IFERROR(__xludf.DUMMYFUNCTION("GOOGLETRANSLATE(English!E1869,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1869" s="1" t="str">
        <f ca="1">IFERROR(__xludf.DUMMYFUNCTION("GOOGLETRANSLATE(English!F1869,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1869" s="1" t="str">
        <f ca="1">IFERROR(__xludf.DUMMYFUNCTION("GOOGLETRANSLATE(English!G1869, ""en"", ""bg"")"),"помощ_за_домашно_изпълнение")</f>
        <v>помощ_за_домашно_изпълнение</v>
      </c>
      <c r="H1869" s="1" t="str">
        <f ca="1">IFERROR(__xludf.DUMMYFUNCTION("GOOGLETRANSLATE(English!H1869, ""en"", ""bg"")"),"помощ_за_домашно_задаване")</f>
        <v>помощ_за_домашно_задаване</v>
      </c>
    </row>
    <row r="1870" spans="1:8" ht="13.2" x14ac:dyDescent="0.25">
      <c r="A1870" s="1" t="str">
        <f ca="1">IFERROR(__xludf.DUMMYFUNCTION("GOOGLETRANSLATE(English!A1870, ""en"", ""bg"")"),"qa_04474")</f>
        <v>qa_04474</v>
      </c>
      <c r="B1870" s="1" t="str">
        <f ca="1">IFERROR(__xludf.DUMMYFUNCTION("GOOGLETRANSLATE(English!B1870, ""en"", ""bg"")"),"биология")</f>
        <v>биология</v>
      </c>
      <c r="C1870" s="1" t="str">
        <f ca="1">IFERROR(__xludf.DUMMYFUNCTION("GOOGLETRANSLATE(English!C1870, ""en"", ""bg"")"),"високо")</f>
        <v>високо</v>
      </c>
      <c r="D1870" s="1" t="str">
        <f ca="1">IFERROR(__xludf.DUMMYFUNCTION("GOOGLETRANSLATE(English!D1870, ""en"", ""bg"")"),"митоза и мейоза")</f>
        <v>митоза и мейоза</v>
      </c>
      <c r="E1870" s="1" t="str">
        <f ca="1">IFERROR(__xludf.DUMMYFUNCTION("GOOGLETRANSLATE(English!E1870, ""en"", ""bg"")"),"Какво е важно да знаем за митозата и мейозата?")</f>
        <v>Какво е важно да знаем за митозата и мейозата?</v>
      </c>
      <c r="F1870" s="1" t="str">
        <f ca="1">IFERROR(__xludf.DUMMYFUNCTION("GOOGLETRANSLATE(English!F1870,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1870" s="1" t="str">
        <f ca="1">IFERROR(__xludf.DUMMYFUNCTION("GOOGLETRANSLATE(English!G1870, ""en"", ""bg"")"),"direct_qa")</f>
        <v>direct_qa</v>
      </c>
      <c r="H1870" s="1" t="str">
        <f ca="1">IFERROR(__xludf.DUMMYFUNCTION("GOOGLETRANSLATE(English!H1870, ""en"", ""bg"")"),"заявка_за_знание")</f>
        <v>заявка_за_знание</v>
      </c>
    </row>
    <row r="1871" spans="1:8" ht="13.2" x14ac:dyDescent="0.25">
      <c r="A1871" s="1" t="str">
        <f ca="1">IFERROR(__xludf.DUMMYFUNCTION("GOOGLETRANSLATE(English!A1871, ""en"", ""bg"")"),"conv_00663")</f>
        <v>conv_00663</v>
      </c>
      <c r="B1871" s="1" t="str">
        <f ca="1">IFERROR(__xludf.DUMMYFUNCTION("GOOGLETRANSLATE(English!B1871, ""en"", ""bg"")"),"химия")</f>
        <v>химия</v>
      </c>
      <c r="C1871" s="1" t="str">
        <f ca="1">IFERROR(__xludf.DUMMYFUNCTION("GOOGLETRANSLATE(English!C1871, ""en"", ""bg"")"),"средата")</f>
        <v>средата</v>
      </c>
      <c r="D1871" s="1" t="str">
        <f ca="1">IFERROR(__xludf.DUMMYFUNCTION("GOOGLETRANSLATE(English!D1871, ""en"", ""bg"")"),"атоми и молекули")</f>
        <v>атоми и молекули</v>
      </c>
      <c r="E1871" s="1" t="str">
        <f ca="1">IFERROR(__xludf.DUMMYFUNCTION("GOOGLETRANSLATE(English!E1871, ""en"", ""bg"")"),"Не разбирам тази тема. Какво е атом?")</f>
        <v>Не разбирам тази тема. Какво е атом?</v>
      </c>
      <c r="F1871" s="1" t="str">
        <f ca="1">IFERROR(__xludf.DUMMYFUNCTION("GOOGLETRANSLATE(English!F1871,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1871" s="1" t="str">
        <f ca="1">IFERROR(__xludf.DUMMYFUNCTION("GOOGLETRANSLATE(English!G1871, ""en"", ""bg"")"),"разговор")</f>
        <v>разговор</v>
      </c>
      <c r="H1871" s="1" t="str">
        <f ca="1">IFERROR(__xludf.DUMMYFUNCTION("GOOGLETRANSLATE(English!H1871, ""en"", ""bg"")"),"образователна_помощ")</f>
        <v>образователна_помощ</v>
      </c>
    </row>
    <row r="1872" spans="1:8" ht="13.2" x14ac:dyDescent="0.25">
      <c r="A1872" s="1" t="str">
        <f ca="1">IFERROR(__xludf.DUMMYFUNCTION("GOOGLETRANSLATE(English!A1872, ""en"", ""bg"")"),"hw_05707")</f>
        <v>hw_05707</v>
      </c>
      <c r="B1872" s="1" t="str">
        <f ca="1">IFERROR(__xludf.DUMMYFUNCTION("GOOGLETRANSLATE(English!B1872, ""en"", ""bg"")"),"физика")</f>
        <v>физика</v>
      </c>
      <c r="C1872" s="1" t="str">
        <f ca="1">IFERROR(__xludf.DUMMYFUNCTION("GOOGLETRANSLATE(English!C1872, ""en"", ""bg"")"),"елементарен")</f>
        <v>елементарен</v>
      </c>
      <c r="D1872" s="1" t="str">
        <f ca="1">IFERROR(__xludf.DUMMYFUNCTION("GOOGLETRANSLATE(English!D1872, ""en"", ""bg"")"),"магнити")</f>
        <v>магнити</v>
      </c>
      <c r="E1872" s="1" t="str">
        <f ca="1">IFERROR(__xludf.DUMMYFUNCTION("GOOGLETRANSLATE(English!E1872, ""en"", ""bg"")"),"Можете ли да решите този въпрос с магнитите заедно с мен?")</f>
        <v>Можете ли да решите този въпрос с магнитите заедно с мен?</v>
      </c>
      <c r="F1872" s="1" t="str">
        <f ca="1">IFERROR(__xludf.DUMMYFUNCTION("GOOGLETRANSLATE(English!F1872,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872" s="1" t="str">
        <f ca="1">IFERROR(__xludf.DUMMYFUNCTION("GOOGLETRANSLATE(English!G1872, ""en"", ""bg"")"),"помощ_за_домашно_изпълнение")</f>
        <v>помощ_за_домашно_изпълнение</v>
      </c>
      <c r="H1872" s="1" t="str">
        <f ca="1">IFERROR(__xludf.DUMMYFUNCTION("GOOGLETRANSLATE(English!H1872, ""en"", ""bg"")"),"помощ_за_домашно_задаване")</f>
        <v>помощ_за_домашно_задаване</v>
      </c>
    </row>
    <row r="1873" spans="1:8" ht="13.2" x14ac:dyDescent="0.25">
      <c r="A1873" s="1" t="str">
        <f ca="1">IFERROR(__xludf.DUMMYFUNCTION("GOOGLETRANSLATE(English!A1873, ""en"", ""bg"")"),"conv_15114")</f>
        <v>conv_15114</v>
      </c>
      <c r="B1873" s="1" t="str">
        <f ca="1">IFERROR(__xludf.DUMMYFUNCTION("GOOGLETRANSLATE(English!B1873, ""en"", ""bg"")"),"физика")</f>
        <v>физика</v>
      </c>
      <c r="C1873" s="1" t="str">
        <f ca="1">IFERROR(__xludf.DUMMYFUNCTION("GOOGLETRANSLATE(English!C1873, ""en"", ""bg"")"),"елементарен")</f>
        <v>елементарен</v>
      </c>
      <c r="D1873" s="1" t="str">
        <f ca="1">IFERROR(__xludf.DUMMYFUNCTION("GOOGLETRANSLATE(English!D1873, ""en"", ""bg"")"),"плаващ и потъващ")</f>
        <v>плаващ и потъващ</v>
      </c>
      <c r="E1873" s="1" t="str">
        <f ca="1">IFERROR(__xludf.DUMMYFUNCTION("GOOGLETRANSLATE(English!E1873, ""en"", ""bg"")"),"Можете ли да ми помогнете? Как функционират плаването и потъването във физиката?")</f>
        <v>Можете ли да ми помогнете? Как функционират плаването и потъването във физиката?</v>
      </c>
      <c r="F1873" s="1" t="str">
        <f ca="1">IFERROR(__xludf.DUMMYFUNCTION("GOOGLETRANSLATE(English!F1873,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1873" s="1" t="str">
        <f ca="1">IFERROR(__xludf.DUMMYFUNCTION("GOOGLETRANSLATE(English!G1873, ""en"", ""bg"")"),"разговор")</f>
        <v>разговор</v>
      </c>
      <c r="H1873" s="1" t="str">
        <f ca="1">IFERROR(__xludf.DUMMYFUNCTION("GOOGLETRANSLATE(English!H1873, ""en"", ""bg"")"),"образователна_помощ")</f>
        <v>образователна_помощ</v>
      </c>
    </row>
    <row r="1874" spans="1:8" ht="13.2" x14ac:dyDescent="0.25">
      <c r="A1874" s="1" t="str">
        <f ca="1">IFERROR(__xludf.DUMMYFUNCTION("GOOGLETRANSLATE(English!A1874, ""en"", ""bg"")"),"hw_07294")</f>
        <v>hw_07294</v>
      </c>
      <c r="B1874" s="1" t="str">
        <f ca="1">IFERROR(__xludf.DUMMYFUNCTION("GOOGLETRANSLATE(English!B1874, ""en"", ""bg"")"),"химия")</f>
        <v>химия</v>
      </c>
      <c r="C1874" s="1" t="str">
        <f ca="1">IFERROR(__xludf.DUMMYFUNCTION("GOOGLETRANSLATE(English!C1874, ""en"", ""bg"")"),"елементарен")</f>
        <v>елементарен</v>
      </c>
      <c r="D1874" s="1" t="str">
        <f ca="1">IFERROR(__xludf.DUMMYFUNCTION("GOOGLETRANSLATE(English!D1874, ""en"", ""bg"")"),"промени в материалите")</f>
        <v>промени в материалите</v>
      </c>
      <c r="E1874" s="1" t="str">
        <f ca="1">IFERROR(__xludf.DUMMYFUNCTION("GOOGLETRANSLATE(English!E1874,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1874" s="1" t="str">
        <f ca="1">IFERROR(__xludf.DUMMYFUNCTION("GOOGLETRANSLATE(English!F1874,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874" s="1" t="str">
        <f ca="1">IFERROR(__xludf.DUMMYFUNCTION("GOOGLETRANSLATE(English!G1874, ""en"", ""bg"")"),"помощ_за_домашно_изпълнение")</f>
        <v>помощ_за_домашно_изпълнение</v>
      </c>
      <c r="H1874" s="1" t="str">
        <f ca="1">IFERROR(__xludf.DUMMYFUNCTION("GOOGLETRANSLATE(English!H1874, ""en"", ""bg"")"),"помощ_за_домашно_задаване")</f>
        <v>помощ_за_домашно_задаване</v>
      </c>
    </row>
    <row r="1875" spans="1:8" ht="13.2" x14ac:dyDescent="0.25">
      <c r="A1875" s="1" t="str">
        <f ca="1">IFERROR(__xludf.DUMMYFUNCTION("GOOGLETRANSLATE(English!A1875, ""en"", ""bg"")"),"conv_00291")</f>
        <v>conv_00291</v>
      </c>
      <c r="B1875" s="1" t="str">
        <f ca="1">IFERROR(__xludf.DUMMYFUNCTION("GOOGLETRANSLATE(English!B1875, ""en"", ""bg"")"),"физика")</f>
        <v>физика</v>
      </c>
      <c r="C1875" s="1" t="str">
        <f ca="1">IFERROR(__xludf.DUMMYFUNCTION("GOOGLETRANSLATE(English!C1875, ""en"", ""bg"")"),"елементарен")</f>
        <v>елементарен</v>
      </c>
      <c r="D1875" s="1" t="str">
        <f ca="1">IFERROR(__xludf.DUMMYFUNCTION("GOOGLETRANSLATE(English!D1875, ""en"", ""bg"")"),"горещо и студено")</f>
        <v>горещо и студено</v>
      </c>
      <c r="E1875" s="1" t="str">
        <f ca="1">IFERROR(__xludf.DUMMYFUNCTION("GOOGLETRANSLATE(English!E1875, ""en"", ""bg"")"),"Можете ли да ми помогнете? Какво трябва да знам за топлото и студеното?")</f>
        <v>Можете ли да ми помогнете? Какво трябва да знам за топлото и студеното?</v>
      </c>
      <c r="F1875" s="1" t="str">
        <f ca="1">IFERROR(__xludf.DUMMYFUNCTION("GOOGLETRANSLATE(English!F1875,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1875" s="1" t="str">
        <f ca="1">IFERROR(__xludf.DUMMYFUNCTION("GOOGLETRANSLATE(English!G1875, ""en"", ""bg"")"),"разговор")</f>
        <v>разговор</v>
      </c>
      <c r="H1875" s="1" t="str">
        <f ca="1">IFERROR(__xludf.DUMMYFUNCTION("GOOGLETRANSLATE(English!H1875, ""en"", ""bg"")"),"образователна_помощ")</f>
        <v>образователна_помощ</v>
      </c>
    </row>
    <row r="1876" spans="1:8" ht="13.2" x14ac:dyDescent="0.25">
      <c r="A1876" s="1" t="str">
        <f ca="1">IFERROR(__xludf.DUMMYFUNCTION("GOOGLETRANSLATE(English!A1876, ""en"", ""bg"")"),"hw_12452")</f>
        <v>hw_12452</v>
      </c>
      <c r="B1876" s="1" t="str">
        <f ca="1">IFERROR(__xludf.DUMMYFUNCTION("GOOGLETRANSLATE(English!B1876, ""en"", ""bg"")"),"биология")</f>
        <v>биология</v>
      </c>
      <c r="C1876" s="1" t="str">
        <f ca="1">IFERROR(__xludf.DUMMYFUNCTION("GOOGLETRANSLATE(English!C1876, ""en"", ""bg"")"),"средата")</f>
        <v>средата</v>
      </c>
      <c r="D1876" s="1" t="str">
        <f ca="1">IFERROR(__xludf.DUMMYFUNCTION("GOOGLETRANSLATE(English!D1876, ""en"", ""bg"")"),"екосистеми")</f>
        <v>екосистеми</v>
      </c>
      <c r="E1876" s="1" t="str">
        <f ca="1">IFERROR(__xludf.DUMMYFUNCTION("GOOGLETRANSLATE(English!E1876, ""en"", ""bg"")"),"Трябва да напиша доклад за екосистемите. Можете ли да ми помогнете да започна?")</f>
        <v>Трябва да напиша доклад за екосистемите. Можете ли да ми помогнете да започна?</v>
      </c>
      <c r="F1876" s="1" t="str">
        <f ca="1">IFERROR(__xludf.DUMMYFUNCTION("GOOGLETRANSLATE(English!F1876,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876" s="1" t="str">
        <f ca="1">IFERROR(__xludf.DUMMYFUNCTION("GOOGLETRANSLATE(English!G1876, ""en"", ""bg"")"),"помощ_за_домашно_изпълнение")</f>
        <v>помощ_за_домашно_изпълнение</v>
      </c>
      <c r="H1876" s="1" t="str">
        <f ca="1">IFERROR(__xludf.DUMMYFUNCTION("GOOGLETRANSLATE(English!H1876, ""en"", ""bg"")"),"помощ_за_домашно_задаване")</f>
        <v>помощ_за_домашно_задаване</v>
      </c>
    </row>
    <row r="1877" spans="1:8" ht="13.2" x14ac:dyDescent="0.25">
      <c r="A1877" s="1" t="str">
        <f ca="1">IFERROR(__xludf.DUMMYFUNCTION("GOOGLETRANSLATE(English!A1877, ""en"", ""bg"")"),"hw_04726")</f>
        <v>hw_04726</v>
      </c>
      <c r="B1877" s="1" t="str">
        <f ca="1">IFERROR(__xludf.DUMMYFUNCTION("GOOGLETRANSLATE(English!B1877, ""en"", ""bg"")"),"химия")</f>
        <v>химия</v>
      </c>
      <c r="C1877" s="1" t="str">
        <f ca="1">IFERROR(__xludf.DUMMYFUNCTION("GOOGLETRANSLATE(English!C1877, ""en"", ""bg"")"),"елементарен")</f>
        <v>елементарен</v>
      </c>
      <c r="D1877" s="1" t="str">
        <f ca="1">IFERROR(__xludf.DUMMYFUNCTION("GOOGLETRANSLATE(English!D1877, ""en"", ""bg"")"),"разтваряне")</f>
        <v>разтваряне</v>
      </c>
      <c r="E1877" s="1" t="str">
        <f ca="1">IFERROR(__xludf.DUMMYFUNCTION("GOOGLETRANSLATE(English!E1877,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1877" s="1" t="str">
        <f ca="1">IFERROR(__xludf.DUMMYFUNCTION("GOOGLETRANSLATE(English!F1877,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1877" s="1" t="str">
        <f ca="1">IFERROR(__xludf.DUMMYFUNCTION("GOOGLETRANSLATE(English!G1877, ""en"", ""bg"")"),"помощ_за_домашно_изпълнение")</f>
        <v>помощ_за_домашно_изпълнение</v>
      </c>
      <c r="H1877" s="1" t="str">
        <f ca="1">IFERROR(__xludf.DUMMYFUNCTION("GOOGLETRANSLATE(English!H1877, ""en"", ""bg"")"),"помощ_за_домашно_задаване")</f>
        <v>помощ_за_домашно_задаване</v>
      </c>
    </row>
    <row r="1878" spans="1:8" ht="13.2" x14ac:dyDescent="0.25">
      <c r="A1878" s="1" t="str">
        <f ca="1">IFERROR(__xludf.DUMMYFUNCTION("GOOGLETRANSLATE(English!A1878, ""en"", ""bg"")"),"qa_02692")</f>
        <v>qa_02692</v>
      </c>
      <c r="B1878" s="1" t="str">
        <f ca="1">IFERROR(__xludf.DUMMYFUNCTION("GOOGLETRANSLATE(English!B1878, ""en"", ""bg"")"),"биология")</f>
        <v>биология</v>
      </c>
      <c r="C1878" s="1" t="str">
        <f ca="1">IFERROR(__xludf.DUMMYFUNCTION("GOOGLETRANSLATE(English!C1878, ""en"", ""bg"")"),"високо")</f>
        <v>високо</v>
      </c>
      <c r="D1878" s="1" t="str">
        <f ca="1">IFERROR(__xludf.DUMMYFUNCTION("GOOGLETRANSLATE(English!D1878, ""en"", ""bg"")"),"модели на наследяване")</f>
        <v>модели на наследяване</v>
      </c>
      <c r="E1878" s="1" t="str">
        <f ca="1">IFERROR(__xludf.DUMMYFUNCTION("GOOGLETRANSLATE(English!E1878, ""en"", ""bg"")"),"Как работят моделите на наследяване?")</f>
        <v>Как работят моделите на наследяване?</v>
      </c>
      <c r="F1878" s="1" t="str">
        <f ca="1">IFERROR(__xludf.DUMMYFUNCTION("GOOGLETRANSLATE(English!F1878,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1878" s="1" t="str">
        <f ca="1">IFERROR(__xludf.DUMMYFUNCTION("GOOGLETRANSLATE(English!G1878, ""en"", ""bg"")"),"direct_qa")</f>
        <v>direct_qa</v>
      </c>
      <c r="H1878" s="1" t="str">
        <f ca="1">IFERROR(__xludf.DUMMYFUNCTION("GOOGLETRANSLATE(English!H1878, ""en"", ""bg"")"),"заявка_за_знание")</f>
        <v>заявка_за_знание</v>
      </c>
    </row>
    <row r="1879" spans="1:8" ht="13.2" x14ac:dyDescent="0.25">
      <c r="A1879" s="1" t="str">
        <f ca="1">IFERROR(__xludf.DUMMYFUNCTION("GOOGLETRANSLATE(English!A1879, ""en"", ""bg"")"),"conv_08944")</f>
        <v>conv_08944</v>
      </c>
      <c r="B1879" s="1" t="str">
        <f ca="1">IFERROR(__xludf.DUMMYFUNCTION("GOOGLETRANSLATE(English!B1879, ""en"", ""bg"")"),"химия")</f>
        <v>химия</v>
      </c>
      <c r="C1879" s="1" t="str">
        <f ca="1">IFERROR(__xludf.DUMMYFUNCTION("GOOGLETRANSLATE(English!C1879, ""en"", ""bg"")"),"високо")</f>
        <v>високо</v>
      </c>
      <c r="D1879" s="1" t="str">
        <f ca="1">IFERROR(__xludf.DUMMYFUNCTION("GOOGLETRANSLATE(English!D1879, ""en"", ""bg"")"),"електрохимия")</f>
        <v>електрохимия</v>
      </c>
      <c r="E1879" s="1" t="str">
        <f ca="1">IFERROR(__xludf.DUMMYFUNCTION("GOOGLETRANSLATE(English!E1879, ""en"", ""bg"")"),"Можете ли да ми помогнете? Какво представлява електрохимията?")</f>
        <v>Можете ли да ми помогнете? Какво представлява електрохимията?</v>
      </c>
      <c r="F1879" s="1" t="str">
        <f ca="1">IFERROR(__xludf.DUMMYFUNCTION("GOOGLETRANSLATE(English!F1879,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1879" s="1" t="str">
        <f ca="1">IFERROR(__xludf.DUMMYFUNCTION("GOOGLETRANSLATE(English!G1879, ""en"", ""bg"")"),"разговор")</f>
        <v>разговор</v>
      </c>
      <c r="H1879" s="1" t="str">
        <f ca="1">IFERROR(__xludf.DUMMYFUNCTION("GOOGLETRANSLATE(English!H1879, ""en"", ""bg"")"),"образователна_помощ")</f>
        <v>образователна_помощ</v>
      </c>
    </row>
    <row r="1880" spans="1:8" ht="13.2" x14ac:dyDescent="0.25">
      <c r="A1880" s="1" t="str">
        <f ca="1">IFERROR(__xludf.DUMMYFUNCTION("GOOGLETRANSLATE(English!A1880, ""en"", ""bg"")"),"qa_07278")</f>
        <v>qa_07278</v>
      </c>
      <c r="B1880" s="1" t="str">
        <f ca="1">IFERROR(__xludf.DUMMYFUNCTION("GOOGLETRANSLATE(English!B1880, ""en"", ""bg"")"),"физика")</f>
        <v>физика</v>
      </c>
      <c r="C1880" s="1" t="str">
        <f ca="1">IFERROR(__xludf.DUMMYFUNCTION("GOOGLETRANSLATE(English!C1880, ""en"", ""bg"")"),"елементарен")</f>
        <v>елементарен</v>
      </c>
      <c r="D1880" s="1" t="str">
        <f ca="1">IFERROR(__xludf.DUMMYFUNCTION("GOOGLETRANSLATE(English!D1880, ""en"", ""bg"")"),"бутане и дърпане")</f>
        <v>бутане и дърпане</v>
      </c>
      <c r="E1880" s="1" t="str">
        <f ca="1">IFERROR(__xludf.DUMMYFUNCTION("GOOGLETRANSLATE(English!E1880, ""en"", ""bg"")"),"Как работят бутането и дърпането във физиката?")</f>
        <v>Как работят бутането и дърпането във физиката?</v>
      </c>
      <c r="F1880" s="1" t="str">
        <f ca="1">IFERROR(__xludf.DUMMYFUNCTION("GOOGLETRANSLATE(English!F1880,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1880" s="1" t="str">
        <f ca="1">IFERROR(__xludf.DUMMYFUNCTION("GOOGLETRANSLATE(English!G1880, ""en"", ""bg"")"),"direct_qa")</f>
        <v>direct_qa</v>
      </c>
      <c r="H1880" s="1" t="str">
        <f ca="1">IFERROR(__xludf.DUMMYFUNCTION("GOOGLETRANSLATE(English!H1880, ""en"", ""bg"")"),"заявка_за_знание")</f>
        <v>заявка_за_знание</v>
      </c>
    </row>
    <row r="1881" spans="1:8" ht="13.2" x14ac:dyDescent="0.25">
      <c r="A1881" s="1" t="str">
        <f ca="1">IFERROR(__xludf.DUMMYFUNCTION("GOOGLETRANSLATE(English!A1881, ""en"", ""bg"")"),"conv_11857")</f>
        <v>conv_11857</v>
      </c>
      <c r="B1881" s="1" t="str">
        <f ca="1">IFERROR(__xludf.DUMMYFUNCTION("GOOGLETRANSLATE(English!B1881, ""en"", ""bg"")"),"физика")</f>
        <v>физика</v>
      </c>
      <c r="C1881" s="1" t="str">
        <f ca="1">IFERROR(__xludf.DUMMYFUNCTION("GOOGLETRANSLATE(English!C1881, ""en"", ""bg"")"),"средата")</f>
        <v>средата</v>
      </c>
      <c r="D1881" s="1" t="str">
        <f ca="1">IFERROR(__xludf.DUMMYFUNCTION("GOOGLETRANSLATE(English!D1881, ""en"", ""bg"")"),"състояния на материята")</f>
        <v>състояния на материята</v>
      </c>
      <c r="E1881" s="1" t="str">
        <f ca="1">IFERROR(__xludf.DUMMYFUNCTION("GOOGLETRANSLATE(English!E1881, ""en"", ""bg"")"),"Помогнете ми да уча за теста си. Какво трябва да знам за състоянията на материята?")</f>
        <v>Помогнете ми да уча за теста си. Какво трябва да знам за състоянията на материята?</v>
      </c>
      <c r="F1881" s="1" t="str">
        <f ca="1">IFERROR(__xludf.DUMMYFUNCTION("GOOGLETRANSLATE(English!F1881,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1881" s="1" t="str">
        <f ca="1">IFERROR(__xludf.DUMMYFUNCTION("GOOGLETRANSLATE(English!G1881, ""en"", ""bg"")"),"разговор")</f>
        <v>разговор</v>
      </c>
      <c r="H1881" s="1" t="str">
        <f ca="1">IFERROR(__xludf.DUMMYFUNCTION("GOOGLETRANSLATE(English!H1881, ""en"", ""bg"")"),"образователна_помощ")</f>
        <v>образователна_помощ</v>
      </c>
    </row>
    <row r="1882" spans="1:8" ht="13.2" x14ac:dyDescent="0.25">
      <c r="A1882" s="1" t="str">
        <f ca="1">IFERROR(__xludf.DUMMYFUNCTION("GOOGLETRANSLATE(English!A1882, ""en"", ""bg"")"),"hw_06719")</f>
        <v>hw_06719</v>
      </c>
      <c r="B1882" s="1" t="str">
        <f ca="1">IFERROR(__xludf.DUMMYFUNCTION("GOOGLETRANSLATE(English!B1882, ""en"", ""bg"")"),"биология")</f>
        <v>биология</v>
      </c>
      <c r="C1882" s="1" t="str">
        <f ca="1">IFERROR(__xludf.DUMMYFUNCTION("GOOGLETRANSLATE(English!C1882, ""en"", ""bg"")"),"високо")</f>
        <v>високо</v>
      </c>
      <c r="D1882" s="1" t="str">
        <f ca="1">IFERROR(__xludf.DUMMYFUNCTION("GOOGLETRANSLATE(English!D1882, ""en"", ""bg"")"),"молекулярна биология")</f>
        <v>молекулярна биология</v>
      </c>
      <c r="E1882" s="1" t="str">
        <f ca="1">IFERROR(__xludf.DUMMYFUNCTION("GOOGLETRANSLATE(English!E1882, ""en"", ""bg"")"),"Трябва да напиша доклад по молекулярна биология. Можете ли да ми помогнете да започна?")</f>
        <v>Трябва да напиша доклад по молекулярна биология. Можете ли да ми помогнете да започна?</v>
      </c>
      <c r="F1882" s="1" t="str">
        <f ca="1">IFERROR(__xludf.DUMMYFUNCTION("GOOGLETRANSLATE(English!F1882,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1882" s="1" t="str">
        <f ca="1">IFERROR(__xludf.DUMMYFUNCTION("GOOGLETRANSLATE(English!G1882, ""en"", ""bg"")"),"помощ_за_домашно_изпълнение")</f>
        <v>помощ_за_домашно_изпълнение</v>
      </c>
      <c r="H1882" s="1" t="str">
        <f ca="1">IFERROR(__xludf.DUMMYFUNCTION("GOOGLETRANSLATE(English!H1882, ""en"", ""bg"")"),"помощ_за_домашно_задаване")</f>
        <v>помощ_за_домашно_задаване</v>
      </c>
    </row>
    <row r="1883" spans="1:8" ht="13.2" x14ac:dyDescent="0.25">
      <c r="A1883" s="1" t="str">
        <f ca="1">IFERROR(__xludf.DUMMYFUNCTION("GOOGLETRANSLATE(English!A1883, ""en"", ""bg"")"),"qa_11741")</f>
        <v>qa_11741</v>
      </c>
      <c r="B1883" s="1" t="str">
        <f ca="1">IFERROR(__xludf.DUMMYFUNCTION("GOOGLETRANSLATE(English!B1883, ""en"", ""bg"")"),"химия")</f>
        <v>химия</v>
      </c>
      <c r="C1883" s="1" t="str">
        <f ca="1">IFERROR(__xludf.DUMMYFUNCTION("GOOGLETRANSLATE(English!C1883, ""en"", ""bg"")"),"средата")</f>
        <v>средата</v>
      </c>
      <c r="D1883" s="1" t="str">
        <f ca="1">IFERROR(__xludf.DUMMYFUNCTION("GOOGLETRANSLATE(English!D1883, ""en"", ""bg"")"),"химични реакции")</f>
        <v>химични реакции</v>
      </c>
      <c r="E1883" s="1" t="str">
        <f ca="1">IFERROR(__xludf.DUMMYFUNCTION("GOOGLETRANSLATE(English!E1883, ""en"", ""bg"")"),"Какво представляват реагентите и продуктите?")</f>
        <v>Какво представляват реагентите и продуктите?</v>
      </c>
      <c r="F1883" s="1" t="str">
        <f ca="1">IFERROR(__xludf.DUMMYFUNCTION("GOOGLETRANSLATE(English!F1883,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1883" s="1" t="str">
        <f ca="1">IFERROR(__xludf.DUMMYFUNCTION("GOOGLETRANSLATE(English!G1883, ""en"", ""bg"")"),"direct_qa")</f>
        <v>direct_qa</v>
      </c>
      <c r="H1883" s="1" t="str">
        <f ca="1">IFERROR(__xludf.DUMMYFUNCTION("GOOGLETRANSLATE(English!H1883, ""en"", ""bg"")"),"заявка_за_знание")</f>
        <v>заявка_за_знание</v>
      </c>
    </row>
    <row r="1884" spans="1:8" ht="13.2" x14ac:dyDescent="0.25">
      <c r="A1884" s="1" t="str">
        <f ca="1">IFERROR(__xludf.DUMMYFUNCTION("GOOGLETRANSLATE(English!A1884, ""en"", ""bg"")"),"hw_11286")</f>
        <v>hw_11286</v>
      </c>
      <c r="B1884" s="1" t="str">
        <f ca="1">IFERROR(__xludf.DUMMYFUNCTION("GOOGLETRANSLATE(English!B1884, ""en"", ""bg"")"),"физика")</f>
        <v>физика</v>
      </c>
      <c r="C1884" s="1" t="str">
        <f ca="1">IFERROR(__xludf.DUMMYFUNCTION("GOOGLETRANSLATE(English!C1884, ""en"", ""bg"")"),"средата")</f>
        <v>средата</v>
      </c>
      <c r="D1884" s="1" t="str">
        <f ca="1">IFERROR(__xludf.DUMMYFUNCTION("GOOGLETRANSLATE(English!D1884, ""en"", ""bg"")"),"основи на електричеството")</f>
        <v>основи на електричеството</v>
      </c>
      <c r="E1884" s="1" t="str">
        <f ca="1">IFERROR(__xludf.DUMMYFUNCTION("GOOGLETRANSLATE(English!E1884, ""en"", ""bg"")"),"Заседнал съм с този проблем с основите на електричеството. Можете ли да помогнете?")</f>
        <v>Заседнал съм с този проблем с основите на електричеството. Можете ли да помогнете?</v>
      </c>
      <c r="F1884" s="1" t="str">
        <f ca="1">IFERROR(__xludf.DUMMYFUNCTION("GOOGLETRANSLATE(English!F1884,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1884" s="1" t="str">
        <f ca="1">IFERROR(__xludf.DUMMYFUNCTION("GOOGLETRANSLATE(English!G1884, ""en"", ""bg"")"),"помощ_за_домашно_изпълнение")</f>
        <v>помощ_за_домашно_изпълнение</v>
      </c>
      <c r="H1884" s="1" t="str">
        <f ca="1">IFERROR(__xludf.DUMMYFUNCTION("GOOGLETRANSLATE(English!H1884, ""en"", ""bg"")"),"помощ_за_домашно_задаване")</f>
        <v>помощ_за_домашно_задаване</v>
      </c>
    </row>
    <row r="1885" spans="1:8" ht="13.2" x14ac:dyDescent="0.25">
      <c r="A1885" s="1" t="str">
        <f ca="1">IFERROR(__xludf.DUMMYFUNCTION("GOOGLETRANSLATE(English!A1885, ""en"", ""bg"")"),"hw_05809")</f>
        <v>hw_05809</v>
      </c>
      <c r="B1885" s="1" t="str">
        <f ca="1">IFERROR(__xludf.DUMMYFUNCTION("GOOGLETRANSLATE(English!B1885, ""en"", ""bg"")"),"химия")</f>
        <v>химия</v>
      </c>
      <c r="C1885" s="1" t="str">
        <f ca="1">IFERROR(__xludf.DUMMYFUNCTION("GOOGLETRANSLATE(English!C1885, ""en"", ""bg"")"),"високо")</f>
        <v>високо</v>
      </c>
      <c r="D1885" s="1" t="str">
        <f ca="1">IFERROR(__xludf.DUMMYFUNCTION("GOOGLETRANSLATE(English!D1885, ""en"", ""bg"")"),"скорости на реакция")</f>
        <v>скорости на реакция</v>
      </c>
      <c r="E1885" s="1" t="str">
        <f ca="1">IFERROR(__xludf.DUMMYFUNCTION("GOOGLETRANSLATE(English!E1885,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1885" s="1" t="str">
        <f ca="1">IFERROR(__xludf.DUMMYFUNCTION("GOOGLETRANSLATE(English!F1885,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1885" s="1" t="str">
        <f ca="1">IFERROR(__xludf.DUMMYFUNCTION("GOOGLETRANSLATE(English!G1885, ""en"", ""bg"")"),"помощ_за_домашно_изпълнение")</f>
        <v>помощ_за_домашно_изпълнение</v>
      </c>
      <c r="H1885" s="1" t="str">
        <f ca="1">IFERROR(__xludf.DUMMYFUNCTION("GOOGLETRANSLATE(English!H1885, ""en"", ""bg"")"),"помощ_за_домашно_задаване")</f>
        <v>помощ_за_домашно_задаване</v>
      </c>
    </row>
    <row r="1886" spans="1:8" ht="13.2" x14ac:dyDescent="0.25">
      <c r="A1886" s="1" t="str">
        <f ca="1">IFERROR(__xludf.DUMMYFUNCTION("GOOGLETRANSLATE(English!A1886, ""en"", ""bg"")"),"hw_04288")</f>
        <v>hw_04288</v>
      </c>
      <c r="B1886" s="1" t="str">
        <f ca="1">IFERROR(__xludf.DUMMYFUNCTION("GOOGLETRANSLATE(English!B1886, ""en"", ""bg"")"),"химия")</f>
        <v>химия</v>
      </c>
      <c r="C1886" s="1" t="str">
        <f ca="1">IFERROR(__xludf.DUMMYFUNCTION("GOOGLETRANSLATE(English!C1886, ""en"", ""bg"")"),"елементарен")</f>
        <v>елементарен</v>
      </c>
      <c r="D1886" s="1" t="str">
        <f ca="1">IFERROR(__xludf.DUMMYFUNCTION("GOOGLETRANSLATE(English!D1886, ""en"", ""bg"")"),"разтваряне")</f>
        <v>разтваряне</v>
      </c>
      <c r="E1886" s="1" t="str">
        <f ca="1">IFERROR(__xludf.DUMMYFUNCTION("GOOGLETRANSLATE(English!E1886, ""en"", ""bg"")"),"Не разбирам тази концепция за разтваряне. Моля, обяснете!")</f>
        <v>Не разбирам тази концепция за разтваряне. Моля, обяснете!</v>
      </c>
      <c r="F1886" s="1" t="str">
        <f ca="1">IFERROR(__xludf.DUMMYFUNCTION("GOOGLETRANSLATE(English!F1886,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1886" s="1" t="str">
        <f ca="1">IFERROR(__xludf.DUMMYFUNCTION("GOOGLETRANSLATE(English!G1886, ""en"", ""bg"")"),"помощ_за_домашно_изпълнение")</f>
        <v>помощ_за_домашно_изпълнение</v>
      </c>
      <c r="H1886" s="1" t="str">
        <f ca="1">IFERROR(__xludf.DUMMYFUNCTION("GOOGLETRANSLATE(English!H1886, ""en"", ""bg"")"),"помощ_за_домашно_задаване")</f>
        <v>помощ_за_домашно_задаване</v>
      </c>
    </row>
    <row r="1887" spans="1:8" ht="13.2" x14ac:dyDescent="0.25">
      <c r="A1887" s="1" t="str">
        <f ca="1">IFERROR(__xludf.DUMMYFUNCTION("GOOGLETRANSLATE(English!A1887, ""en"", ""bg"")"),"conv_17550")</f>
        <v>conv_17550</v>
      </c>
      <c r="B1887" s="1" t="str">
        <f ca="1">IFERROR(__xludf.DUMMYFUNCTION("GOOGLETRANSLATE(English!B1887, ""en"", ""bg"")"),"химия")</f>
        <v>химия</v>
      </c>
      <c r="C1887" s="1" t="str">
        <f ca="1">IFERROR(__xludf.DUMMYFUNCTION("GOOGLETRANSLATE(English!C1887, ""en"", ""bg"")"),"високо")</f>
        <v>високо</v>
      </c>
      <c r="D1887" s="1" t="str">
        <f ca="1">IFERROR(__xludf.DUMMYFUNCTION("GOOGLETRANSLATE(English!D1887, ""en"", ""bg"")"),"стехиометрия")</f>
        <v>стехиометрия</v>
      </c>
      <c r="E1887" s="1" t="str">
        <f ca="1">IFERROR(__xludf.DUMMYFUNCTION("GOOGLETRANSLATE(English!E1887, ""en"", ""bg"")"),"Имам научен въпрос. Можете ли да ми помогнете да разбера стехиометрията?")</f>
        <v>Имам научен въпрос. Можете ли да ми помогнете да разбера стехиометрията?</v>
      </c>
      <c r="F1887" s="1" t="str">
        <f ca="1">IFERROR(__xludf.DUMMYFUNCTION("GOOGLETRANSLATE(English!F1887,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1887" s="1" t="str">
        <f ca="1">IFERROR(__xludf.DUMMYFUNCTION("GOOGLETRANSLATE(English!G1887, ""en"", ""bg"")"),"разговор")</f>
        <v>разговор</v>
      </c>
      <c r="H1887" s="1" t="str">
        <f ca="1">IFERROR(__xludf.DUMMYFUNCTION("GOOGLETRANSLATE(English!H1887, ""en"", ""bg"")"),"образователна_помощ")</f>
        <v>образователна_помощ</v>
      </c>
    </row>
    <row r="1888" spans="1:8" ht="13.2" x14ac:dyDescent="0.25">
      <c r="A1888" s="1" t="str">
        <f ca="1">IFERROR(__xludf.DUMMYFUNCTION("GOOGLETRANSLATE(English!A1888, ""en"", ""bg"")"),"conv_14141")</f>
        <v>conv_14141</v>
      </c>
      <c r="B1888" s="1" t="str">
        <f ca="1">IFERROR(__xludf.DUMMYFUNCTION("GOOGLETRANSLATE(English!B1888, ""en"", ""bg"")"),"биология")</f>
        <v>биология</v>
      </c>
      <c r="C1888" s="1" t="str">
        <f ca="1">IFERROR(__xludf.DUMMYFUNCTION("GOOGLETRANSLATE(English!C1888, ""en"", ""bg"")"),"елементарен")</f>
        <v>елементарен</v>
      </c>
      <c r="D1888" s="1" t="str">
        <f ca="1">IFERROR(__xludf.DUMMYFUNCTION("GOOGLETRANSLATE(English!D1888, ""en"", ""bg"")"),"животни")</f>
        <v>животни</v>
      </c>
      <c r="E1888" s="1" t="str">
        <f ca="1">IFERROR(__xludf.DUMMYFUNCTION("GOOGLETRANSLATE(English!E1888, ""en"", ""bg"")"),"Можете ли да ми помогнете? Защо някои животни живеят на групи?")</f>
        <v>Можете ли да ми помогнете? Защо някои животни живеят на групи?</v>
      </c>
      <c r="F1888" s="1" t="str">
        <f ca="1">IFERROR(__xludf.DUMMYFUNCTION("GOOGLETRANSLATE(English!F1888, ""en"", ""bg"")"),"Животните живеят на групи за защита, за да намират храна по-лесно и за да отглеждат малките си заедно.")</f>
        <v>Животните живеят на групи за защита, за да намират храна по-лесно и за да отглеждат малките си заедно.</v>
      </c>
      <c r="G1888" s="1" t="str">
        <f ca="1">IFERROR(__xludf.DUMMYFUNCTION("GOOGLETRANSLATE(English!G1888, ""en"", ""bg"")"),"разговор")</f>
        <v>разговор</v>
      </c>
      <c r="H1888" s="1" t="str">
        <f ca="1">IFERROR(__xludf.DUMMYFUNCTION("GOOGLETRANSLATE(English!H1888, ""en"", ""bg"")"),"образователна_помощ")</f>
        <v>образователна_помощ</v>
      </c>
    </row>
    <row r="1889" spans="1:8" ht="13.2" x14ac:dyDescent="0.25">
      <c r="A1889" s="1" t="str">
        <f ca="1">IFERROR(__xludf.DUMMYFUNCTION("GOOGLETRANSLATE(English!A1889, ""en"", ""bg"")"),"hw_02514")</f>
        <v>hw_02514</v>
      </c>
      <c r="B1889" s="1" t="str">
        <f ca="1">IFERROR(__xludf.DUMMYFUNCTION("GOOGLETRANSLATE(English!B1889, ""en"", ""bg"")"),"химия")</f>
        <v>химия</v>
      </c>
      <c r="C1889" s="1" t="str">
        <f ca="1">IFERROR(__xludf.DUMMYFUNCTION("GOOGLETRANSLATE(English!C1889, ""en"", ""bg"")"),"средата")</f>
        <v>средата</v>
      </c>
      <c r="D1889" s="1" t="str">
        <f ca="1">IFERROR(__xludf.DUMMYFUNCTION("GOOGLETRANSLATE(English!D1889, ""en"", ""bg"")"),"химични промени")</f>
        <v>химични промени</v>
      </c>
      <c r="E1889" s="1" t="str">
        <f ca="1">IFERROR(__xludf.DUMMYFUNCTION("GOOGLETRANSLATE(English!E1889,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1889" s="1" t="str">
        <f ca="1">IFERROR(__xludf.DUMMYFUNCTION("GOOGLETRANSLATE(English!F1889,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1889" s="1" t="str">
        <f ca="1">IFERROR(__xludf.DUMMYFUNCTION("GOOGLETRANSLATE(English!G1889, ""en"", ""bg"")"),"помощ_за_домашно_изпълнение")</f>
        <v>помощ_за_домашно_изпълнение</v>
      </c>
      <c r="H1889" s="1" t="str">
        <f ca="1">IFERROR(__xludf.DUMMYFUNCTION("GOOGLETRANSLATE(English!H1889, ""en"", ""bg"")"),"помощ_за_домашно_задаване")</f>
        <v>помощ_за_домашно_задаване</v>
      </c>
    </row>
    <row r="1890" spans="1:8" ht="13.2" x14ac:dyDescent="0.25">
      <c r="A1890" s="1" t="str">
        <f ca="1">IFERROR(__xludf.DUMMYFUNCTION("GOOGLETRANSLATE(English!A1890, ""en"", ""bg"")"),"conv_17610")</f>
        <v>conv_17610</v>
      </c>
      <c r="B1890" s="1" t="str">
        <f ca="1">IFERROR(__xludf.DUMMYFUNCTION("GOOGLETRANSLATE(English!B1890, ""en"", ""bg"")"),"физика")</f>
        <v>физика</v>
      </c>
      <c r="C1890" s="1" t="str">
        <f ca="1">IFERROR(__xludf.DUMMYFUNCTION("GOOGLETRANSLATE(English!C1890, ""en"", ""bg"")"),"високо")</f>
        <v>високо</v>
      </c>
      <c r="D1890" s="1" t="str">
        <f ca="1">IFERROR(__xludf.DUMMYFUNCTION("GOOGLETRANSLATE(English!D1890, ""en"", ""bg"")"),"оптика")</f>
        <v>оптика</v>
      </c>
      <c r="E1890" s="1" t="str">
        <f ca="1">IFERROR(__xludf.DUMMYFUNCTION("GOOGLETRANSLATE(English!E1890, ""en"", ""bg"")"),"Можете ли да ми обясните това? Какво трябва да знам за оптиката?")</f>
        <v>Можете ли да ми обясните това? Какво трябва да знам за оптиката?</v>
      </c>
      <c r="F1890" s="1" t="str">
        <f ca="1">IFERROR(__xludf.DUMMYFUNCTION("GOOGLETRANSLATE(English!F1890,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1890" s="1" t="str">
        <f ca="1">IFERROR(__xludf.DUMMYFUNCTION("GOOGLETRANSLATE(English!G1890, ""en"", ""bg"")"),"разговор")</f>
        <v>разговор</v>
      </c>
      <c r="H1890" s="1" t="str">
        <f ca="1">IFERROR(__xludf.DUMMYFUNCTION("GOOGLETRANSLATE(English!H1890, ""en"", ""bg"")"),"образователна_помощ")</f>
        <v>образователна_помощ</v>
      </c>
    </row>
    <row r="1891" spans="1:8" ht="13.2" x14ac:dyDescent="0.25">
      <c r="A1891" s="1" t="str">
        <f ca="1">IFERROR(__xludf.DUMMYFUNCTION("GOOGLETRANSLATE(English!A1891, ""en"", ""bg"")"),"conv_00357")</f>
        <v>conv_00357</v>
      </c>
      <c r="B1891" s="1" t="str">
        <f ca="1">IFERROR(__xludf.DUMMYFUNCTION("GOOGLETRANSLATE(English!B1891, ""en"", ""bg"")"),"физика")</f>
        <v>физика</v>
      </c>
      <c r="C1891" s="1" t="str">
        <f ca="1">IFERROR(__xludf.DUMMYFUNCTION("GOOGLETRANSLATE(English!C1891, ""en"", ""bg"")"),"средата")</f>
        <v>средата</v>
      </c>
      <c r="D1891" s="1" t="str">
        <f ca="1">IFERROR(__xludf.DUMMYFUNCTION("GOOGLETRANSLATE(English!D1891, ""en"", ""bg"")"),"плътност")</f>
        <v>плътност</v>
      </c>
      <c r="E1891" s="1" t="str">
        <f ca="1">IFERROR(__xludf.DUMMYFUNCTION("GOOGLETRANSLATE(English!E1891, ""en"", ""bg"")"),"Имам научен въпрос. Можете ли да ми обясните плътността?")</f>
        <v>Имам научен въпрос. Можете ли да ми обясните плътността?</v>
      </c>
      <c r="F1891" s="1" t="str">
        <f ca="1">IFERROR(__xludf.DUMMYFUNCTION("GOOGLETRANSLATE(English!F1891,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1891" s="1" t="str">
        <f ca="1">IFERROR(__xludf.DUMMYFUNCTION("GOOGLETRANSLATE(English!G1891, ""en"", ""bg"")"),"разговор")</f>
        <v>разговор</v>
      </c>
      <c r="H1891" s="1" t="str">
        <f ca="1">IFERROR(__xludf.DUMMYFUNCTION("GOOGLETRANSLATE(English!H1891, ""en"", ""bg"")"),"образователна_помощ")</f>
        <v>образователна_помощ</v>
      </c>
    </row>
    <row r="1892" spans="1:8" ht="13.2" x14ac:dyDescent="0.25">
      <c r="A1892" s="1" t="str">
        <f ca="1">IFERROR(__xludf.DUMMYFUNCTION("GOOGLETRANSLATE(English!A1892, ""en"", ""bg"")"),"hw_09361")</f>
        <v>hw_09361</v>
      </c>
      <c r="B1892" s="1" t="str">
        <f ca="1">IFERROR(__xludf.DUMMYFUNCTION("GOOGLETRANSLATE(English!B1892, ""en"", ""bg"")"),"химия")</f>
        <v>химия</v>
      </c>
      <c r="C1892" s="1" t="str">
        <f ca="1">IFERROR(__xludf.DUMMYFUNCTION("GOOGLETRANSLATE(English!C1892, ""en"", ""bg"")"),"средата")</f>
        <v>средата</v>
      </c>
      <c r="D1892" s="1" t="str">
        <f ca="1">IFERROR(__xludf.DUMMYFUNCTION("GOOGLETRANSLATE(English!D1892, ""en"", ""bg"")"),"основи на периодичната таблица")</f>
        <v>основи на периодичната таблица</v>
      </c>
      <c r="E1892" s="1" t="str">
        <f ca="1">IFERROR(__xludf.DUMMYFUNCTION("GOOGLETRANSLATE(English!E1892, ""en"", ""bg"")"),"Имам затруднения с основите на периодичната таблица в домашното си.")</f>
        <v>Имам затруднения с основите на периодичната таблица в домашното си.</v>
      </c>
      <c r="F1892" s="1" t="str">
        <f ca="1">IFERROR(__xludf.DUMMYFUNCTION("GOOGLETRANSLATE(English!F1892,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1892" s="1" t="str">
        <f ca="1">IFERROR(__xludf.DUMMYFUNCTION("GOOGLETRANSLATE(English!G1892, ""en"", ""bg"")"),"помощ_за_домашно_изпълнение")</f>
        <v>помощ_за_домашно_изпълнение</v>
      </c>
      <c r="H1892" s="1" t="str">
        <f ca="1">IFERROR(__xludf.DUMMYFUNCTION("GOOGLETRANSLATE(English!H1892, ""en"", ""bg"")"),"помощ_за_домашно_задаване")</f>
        <v>помощ_за_домашно_задаване</v>
      </c>
    </row>
    <row r="1893" spans="1:8" ht="13.2" x14ac:dyDescent="0.25">
      <c r="A1893" s="1" t="str">
        <f ca="1">IFERROR(__xludf.DUMMYFUNCTION("GOOGLETRANSLATE(English!A1893, ""en"", ""bg"")"),"conv_02817")</f>
        <v>conv_02817</v>
      </c>
      <c r="B1893" s="1" t="str">
        <f ca="1">IFERROR(__xludf.DUMMYFUNCTION("GOOGLETRANSLATE(English!B1893, ""en"", ""bg"")"),"химия")</f>
        <v>химия</v>
      </c>
      <c r="C1893" s="1" t="str">
        <f ca="1">IFERROR(__xludf.DUMMYFUNCTION("GOOGLETRANSLATE(English!C1893, ""en"", ""bg"")"),"средата")</f>
        <v>средата</v>
      </c>
      <c r="D1893" s="1" t="str">
        <f ca="1">IFERROR(__xludf.DUMMYFUNCTION("GOOGLETRANSLATE(English!D1893, ""en"", ""bg"")"),"химични реакции")</f>
        <v>химични реакции</v>
      </c>
      <c r="E1893" s="1" t="str">
        <f ca="1">IFERROR(__xludf.DUMMYFUNCTION("GOOGLETRANSLATE(English!E1893, ""en"", ""bg"")"),"Имам научен въпрос. Как разбирате дали е протекла химическа реакция?")</f>
        <v>Имам научен въпрос. Как разбирате дали е протекла химическа реакция?</v>
      </c>
      <c r="F1893" s="1" t="str">
        <f ca="1">IFERROR(__xludf.DUMMYFUNCTION("GOOGLETRANSLATE(English!F1893,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1893" s="1" t="str">
        <f ca="1">IFERROR(__xludf.DUMMYFUNCTION("GOOGLETRANSLATE(English!G1893, ""en"", ""bg"")"),"разговор")</f>
        <v>разговор</v>
      </c>
      <c r="H1893" s="1" t="str">
        <f ca="1">IFERROR(__xludf.DUMMYFUNCTION("GOOGLETRANSLATE(English!H1893, ""en"", ""bg"")"),"образователна_помощ")</f>
        <v>образователна_помощ</v>
      </c>
    </row>
    <row r="1894" spans="1:8" ht="13.2" x14ac:dyDescent="0.25">
      <c r="A1894" s="1" t="str">
        <f ca="1">IFERROR(__xludf.DUMMYFUNCTION("GOOGLETRANSLATE(English!A1894, ""en"", ""bg"")"),"hw_00735")</f>
        <v>hw_00735</v>
      </c>
      <c r="B1894" s="1" t="str">
        <f ca="1">IFERROR(__xludf.DUMMYFUNCTION("GOOGLETRANSLATE(English!B1894, ""en"", ""bg"")"),"химия")</f>
        <v>химия</v>
      </c>
      <c r="C1894" s="1" t="str">
        <f ca="1">IFERROR(__xludf.DUMMYFUNCTION("GOOGLETRANSLATE(English!C1894, ""en"", ""bg"")"),"средата")</f>
        <v>средата</v>
      </c>
      <c r="D1894" s="1" t="str">
        <f ca="1">IFERROR(__xludf.DUMMYFUNCTION("GOOGLETRANSLATE(English!D1894, ""en"", ""bg"")"),"химични реакции")</f>
        <v>химични реакции</v>
      </c>
      <c r="E1894" s="1" t="str">
        <f ca="1">IFERROR(__xludf.DUMMYFUNCTION("GOOGLETRANSLATE(English!E1894,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1894" s="1" t="str">
        <f ca="1">IFERROR(__xludf.DUMMYFUNCTION("GOOGLETRANSLATE(English!F1894,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1894" s="1" t="str">
        <f ca="1">IFERROR(__xludf.DUMMYFUNCTION("GOOGLETRANSLATE(English!G1894, ""en"", ""bg"")"),"помощ_за_домашно_изпълнение")</f>
        <v>помощ_за_домашно_изпълнение</v>
      </c>
      <c r="H1894" s="1" t="str">
        <f ca="1">IFERROR(__xludf.DUMMYFUNCTION("GOOGLETRANSLATE(English!H1894, ""en"", ""bg"")"),"помощ_за_домашно_задаване")</f>
        <v>помощ_за_домашно_задаване</v>
      </c>
    </row>
    <row r="1895" spans="1:8" ht="13.2" x14ac:dyDescent="0.25">
      <c r="A1895" s="1" t="str">
        <f ca="1">IFERROR(__xludf.DUMMYFUNCTION("GOOGLETRANSLATE(English!A1895, ""en"", ""bg"")"),"hw_08656")</f>
        <v>hw_08656</v>
      </c>
      <c r="B1895" s="1" t="str">
        <f ca="1">IFERROR(__xludf.DUMMYFUNCTION("GOOGLETRANSLATE(English!B1895, ""en"", ""bg"")"),"биология")</f>
        <v>биология</v>
      </c>
      <c r="C1895" s="1" t="str">
        <f ca="1">IFERROR(__xludf.DUMMYFUNCTION("GOOGLETRANSLATE(English!C1895, ""en"", ""bg"")"),"високо")</f>
        <v>високо</v>
      </c>
      <c r="D1895" s="1" t="str">
        <f ca="1">IFERROR(__xludf.DUMMYFUNCTION("GOOGLETRANSLATE(English!D1895, ""en"", ""bg"")"),"молекулярна биология")</f>
        <v>молекулярна биология</v>
      </c>
      <c r="E1895" s="1" t="str">
        <f ca="1">IFERROR(__xludf.DUMMYFUNCTION("GOOGLETRANSLATE(English!E1895, ""en"", ""bg"")"),"Домашното ми е за молекулярна биология. Не я разбирам.")</f>
        <v>Домашното ми е за молекулярна биология. Не я разбирам.</v>
      </c>
      <c r="F1895" s="1" t="str">
        <f ca="1">IFERROR(__xludf.DUMMYFUNCTION("GOOGLETRANSLATE(English!F1895,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1895" s="1" t="str">
        <f ca="1">IFERROR(__xludf.DUMMYFUNCTION("GOOGLETRANSLATE(English!G1895, ""en"", ""bg"")"),"помощ_за_домашно_изпълнение")</f>
        <v>помощ_за_домашно_изпълнение</v>
      </c>
      <c r="H1895" s="1" t="str">
        <f ca="1">IFERROR(__xludf.DUMMYFUNCTION("GOOGLETRANSLATE(English!H1895, ""en"", ""bg"")"),"помощ_за_домашно_задаване")</f>
        <v>помощ_за_домашно_задаване</v>
      </c>
    </row>
    <row r="1896" spans="1:8" ht="13.2" x14ac:dyDescent="0.25">
      <c r="A1896" s="1" t="str">
        <f ca="1">IFERROR(__xludf.DUMMYFUNCTION("GOOGLETRANSLATE(English!A1896, ""en"", ""bg"")"),"hw_07037")</f>
        <v>hw_07037</v>
      </c>
      <c r="B1896" s="1" t="str">
        <f ca="1">IFERROR(__xludf.DUMMYFUNCTION("GOOGLETRANSLATE(English!B1896, ""en"", ""bg"")"),"физика")</f>
        <v>физика</v>
      </c>
      <c r="C1896" s="1" t="str">
        <f ca="1">IFERROR(__xludf.DUMMYFUNCTION("GOOGLETRANSLATE(English!C1896, ""en"", ""bg"")"),"средата")</f>
        <v>средата</v>
      </c>
      <c r="D1896" s="1" t="str">
        <f ca="1">IFERROR(__xludf.DUMMYFUNCTION("GOOGLETRANSLATE(English!D1896, ""en"", ""bg"")"),"прости схеми")</f>
        <v>прости схеми</v>
      </c>
      <c r="E1896" s="1" t="str">
        <f ca="1">IFERROR(__xludf.DUMMYFUNCTION("GOOGLETRANSLATE(English!E1896, ""en"", ""bg"")"),"Трябва да разбирам прости електрически схеми за изпита си.")</f>
        <v>Трябва да разбирам прости електрически схеми за изпита си.</v>
      </c>
      <c r="F1896" s="1" t="str">
        <f ca="1">IFERROR(__xludf.DUMMYFUNCTION("GOOGLETRANSLATE(English!F1896,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1896" s="1" t="str">
        <f ca="1">IFERROR(__xludf.DUMMYFUNCTION("GOOGLETRANSLATE(English!G1896, ""en"", ""bg"")"),"помощ_за_домашно_изпълнение")</f>
        <v>помощ_за_домашно_изпълнение</v>
      </c>
      <c r="H1896" s="1" t="str">
        <f ca="1">IFERROR(__xludf.DUMMYFUNCTION("GOOGLETRANSLATE(English!H1896, ""en"", ""bg"")"),"помощ_за_домашно_задаване")</f>
        <v>помощ_за_домашно_задаване</v>
      </c>
    </row>
    <row r="1897" spans="1:8" ht="13.2" x14ac:dyDescent="0.25">
      <c r="A1897" s="1" t="str">
        <f ca="1">IFERROR(__xludf.DUMMYFUNCTION("GOOGLETRANSLATE(English!A1897, ""en"", ""bg"")"),"conv_14919")</f>
        <v>conv_14919</v>
      </c>
      <c r="B1897" s="1" t="str">
        <f ca="1">IFERROR(__xludf.DUMMYFUNCTION("GOOGLETRANSLATE(English!B1897, ""en"", ""bg"")"),"биология")</f>
        <v>биология</v>
      </c>
      <c r="C1897" s="1" t="str">
        <f ca="1">IFERROR(__xludf.DUMMYFUNCTION("GOOGLETRANSLATE(English!C1897, ""en"", ""bg"")"),"елементарен")</f>
        <v>елементарен</v>
      </c>
      <c r="D1897" s="1" t="str">
        <f ca="1">IFERROR(__xludf.DUMMYFUNCTION("GOOGLETRANSLATE(English!D1897, ""en"", ""bg"")"),"хранителни вериги")</f>
        <v>хранителни вериги</v>
      </c>
      <c r="E1897" s="1" t="str">
        <f ca="1">IFERROR(__xludf.DUMMYFUNCTION("GOOGLETRANSLATE(English!E1897, ""en"", ""bg"")"),"Здравей, преподавателю! Можеш ли да ми разкажеш за хранителните вериги?")</f>
        <v>Здравей, преподавателю! Можеш ли да ми разкажеш за хранителните вериги?</v>
      </c>
      <c r="F1897" s="1" t="str">
        <f ca="1">IFERROR(__xludf.DUMMYFUNCTION("GOOGLETRANSLATE(English!F1897,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1897" s="1" t="str">
        <f ca="1">IFERROR(__xludf.DUMMYFUNCTION("GOOGLETRANSLATE(English!G1897, ""en"", ""bg"")"),"разговор")</f>
        <v>разговор</v>
      </c>
      <c r="H1897" s="1" t="str">
        <f ca="1">IFERROR(__xludf.DUMMYFUNCTION("GOOGLETRANSLATE(English!H1897, ""en"", ""bg"")"),"образователна_помощ")</f>
        <v>образователна_помощ</v>
      </c>
    </row>
    <row r="1898" spans="1:8" ht="13.2" x14ac:dyDescent="0.25">
      <c r="A1898" s="1" t="str">
        <f ca="1">IFERROR(__xludf.DUMMYFUNCTION("GOOGLETRANSLATE(English!A1898, ""en"", ""bg"")"),"hw_13002")</f>
        <v>hw_13002</v>
      </c>
      <c r="B1898" s="1" t="str">
        <f ca="1">IFERROR(__xludf.DUMMYFUNCTION("GOOGLETRANSLATE(English!B1898, ""en"", ""bg"")"),"биология")</f>
        <v>биология</v>
      </c>
      <c r="C1898" s="1" t="str">
        <f ca="1">IFERROR(__xludf.DUMMYFUNCTION("GOOGLETRANSLATE(English!C1898, ""en"", ""bg"")"),"високо")</f>
        <v>високо</v>
      </c>
      <c r="D1898" s="1" t="str">
        <f ca="1">IFERROR(__xludf.DUMMYFUNCTION("GOOGLETRANSLATE(English!D1898, ""en"", ""bg"")"),"синтез на протеини")</f>
        <v>синтез на протеини</v>
      </c>
      <c r="E1898" s="1" t="str">
        <f ca="1">IFERROR(__xludf.DUMMYFUNCTION("GOOGLETRANSLATE(English!E1898,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1898" s="1" t="str">
        <f ca="1">IFERROR(__xludf.DUMMYFUNCTION("GOOGLETRANSLATE(English!F1898,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1898" s="1" t="str">
        <f ca="1">IFERROR(__xludf.DUMMYFUNCTION("GOOGLETRANSLATE(English!G1898, ""en"", ""bg"")"),"помощ_за_домашно_изпълнение")</f>
        <v>помощ_за_домашно_изпълнение</v>
      </c>
      <c r="H1898" s="1" t="str">
        <f ca="1">IFERROR(__xludf.DUMMYFUNCTION("GOOGLETRANSLATE(English!H1898, ""en"", ""bg"")"),"помощ_за_домашно_задаване")</f>
        <v>помощ_за_домашно_задаване</v>
      </c>
    </row>
    <row r="1899" spans="1:8" ht="13.2" x14ac:dyDescent="0.25">
      <c r="A1899" s="1" t="str">
        <f ca="1">IFERROR(__xludf.DUMMYFUNCTION("GOOGLETRANSLATE(English!A1899, ""en"", ""bg"")"),"conv_05712")</f>
        <v>conv_05712</v>
      </c>
      <c r="B1899" s="1" t="str">
        <f ca="1">IFERROR(__xludf.DUMMYFUNCTION("GOOGLETRANSLATE(English!B1899, ""en"", ""bg"")"),"биология")</f>
        <v>биология</v>
      </c>
      <c r="C1899" s="1" t="str">
        <f ca="1">IFERROR(__xludf.DUMMYFUNCTION("GOOGLETRANSLATE(English!C1899, ""en"", ""bg"")"),"средата")</f>
        <v>средата</v>
      </c>
      <c r="D1899" s="1" t="str">
        <f ca="1">IFERROR(__xludf.DUMMYFUNCTION("GOOGLETRANSLATE(English!D1899, ""en"", ""bg"")"),"дишане")</f>
        <v>дишане</v>
      </c>
      <c r="E1899" s="1" t="str">
        <f ca="1">IFERROR(__xludf.DUMMYFUNCTION("GOOGLETRANSLATE(English!E1899, ""en"", ""bg"")"),"Имам нужда от помощ с домашното си. Как работи дишането?")</f>
        <v>Имам нужда от помощ с домашното си. Как работи дишането?</v>
      </c>
      <c r="F1899" s="1" t="str">
        <f ca="1">IFERROR(__xludf.DUMMYFUNCTION("GOOGLETRANSLATE(English!F1899,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1899" s="1" t="str">
        <f ca="1">IFERROR(__xludf.DUMMYFUNCTION("GOOGLETRANSLATE(English!G1899, ""en"", ""bg"")"),"разговор")</f>
        <v>разговор</v>
      </c>
      <c r="H1899" s="1" t="str">
        <f ca="1">IFERROR(__xludf.DUMMYFUNCTION("GOOGLETRANSLATE(English!H1899, ""en"", ""bg"")"),"образователна_помощ")</f>
        <v>образователна_помощ</v>
      </c>
    </row>
    <row r="1900" spans="1:8" ht="13.2" x14ac:dyDescent="0.25">
      <c r="A1900" s="1" t="str">
        <f ca="1">IFERROR(__xludf.DUMMYFUNCTION("GOOGLETRANSLATE(English!A1900, ""en"", ""bg"")"),"conv_19898")</f>
        <v>conv_19898</v>
      </c>
      <c r="B1900" s="1" t="str">
        <f ca="1">IFERROR(__xludf.DUMMYFUNCTION("GOOGLETRANSLATE(English!B1900, ""en"", ""bg"")"),"химия")</f>
        <v>химия</v>
      </c>
      <c r="C1900" s="1" t="str">
        <f ca="1">IFERROR(__xludf.DUMMYFUNCTION("GOOGLETRANSLATE(English!C1900, ""en"", ""bg"")"),"елементарен")</f>
        <v>елементарен</v>
      </c>
      <c r="D1900" s="1" t="str">
        <f ca="1">IFERROR(__xludf.DUMMYFUNCTION("GOOGLETRANSLATE(English!D1900, ""en"", ""bg"")"),"разтваряне")</f>
        <v>разтваряне</v>
      </c>
      <c r="E1900" s="1" t="str">
        <f ca="1">IFERROR(__xludf.DUMMYFUNCTION("GOOGLETRANSLATE(English!E1900, ""en"", ""bg"")"),"Имам научен въпрос. Как протича разтварянето в химията?")</f>
        <v>Имам научен въпрос. Как протича разтварянето в химията?</v>
      </c>
      <c r="F1900" s="1" t="str">
        <f ca="1">IFERROR(__xludf.DUMMYFUNCTION("GOOGLETRANSLATE(English!F1900,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1900" s="1" t="str">
        <f ca="1">IFERROR(__xludf.DUMMYFUNCTION("GOOGLETRANSLATE(English!G1900, ""en"", ""bg"")"),"разговор")</f>
        <v>разговор</v>
      </c>
      <c r="H1900" s="1" t="str">
        <f ca="1">IFERROR(__xludf.DUMMYFUNCTION("GOOGLETRANSLATE(English!H1900, ""en"", ""bg"")"),"образователна_помощ")</f>
        <v>образователна_помощ</v>
      </c>
    </row>
    <row r="1901" spans="1:8" ht="13.2" x14ac:dyDescent="0.25">
      <c r="A1901" s="1" t="str">
        <f ca="1">IFERROR(__xludf.DUMMYFUNCTION("GOOGLETRANSLATE(English!A1901, ""en"", ""bg"")"),"hw_04245")</f>
        <v>hw_04245</v>
      </c>
      <c r="B1901" s="1" t="str">
        <f ca="1">IFERROR(__xludf.DUMMYFUNCTION("GOOGLETRANSLATE(English!B1901, ""en"", ""bg"")"),"химия")</f>
        <v>химия</v>
      </c>
      <c r="C1901" s="1" t="str">
        <f ca="1">IFERROR(__xludf.DUMMYFUNCTION("GOOGLETRANSLATE(English!C1901, ""en"", ""bg"")"),"средата")</f>
        <v>средата</v>
      </c>
      <c r="D1901" s="1" t="str">
        <f ca="1">IFERROR(__xludf.DUMMYFUNCTION("GOOGLETRANSLATE(English!D1901, ""en"", ""bg"")"),"съединения срещу елементи")</f>
        <v>съединения срещу елементи</v>
      </c>
      <c r="E1901" s="1" t="str">
        <f ca="1">IFERROR(__xludf.DUMMYFUNCTION("GOOGLETRANSLATE(English!E1901,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1901" s="1" t="str">
        <f ca="1">IFERROR(__xludf.DUMMYFUNCTION("GOOGLETRANSLATE(English!F1901,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1901" s="1" t="str">
        <f ca="1">IFERROR(__xludf.DUMMYFUNCTION("GOOGLETRANSLATE(English!G1901, ""en"", ""bg"")"),"помощ_за_домашно_изпълнение")</f>
        <v>помощ_за_домашно_изпълнение</v>
      </c>
      <c r="H1901" s="1" t="str">
        <f ca="1">IFERROR(__xludf.DUMMYFUNCTION("GOOGLETRANSLATE(English!H1901, ""en"", ""bg"")"),"помощ_за_домашно_задаване")</f>
        <v>помощ_за_домашно_задаване</v>
      </c>
    </row>
    <row r="1902" spans="1:8" ht="13.2" x14ac:dyDescent="0.25">
      <c r="A1902" s="1" t="str">
        <f ca="1">IFERROR(__xludf.DUMMYFUNCTION("GOOGLETRANSLATE(English!A1902, ""en"", ""bg"")"),"conv_10211")</f>
        <v>conv_10211</v>
      </c>
      <c r="B1902" s="1" t="str">
        <f ca="1">IFERROR(__xludf.DUMMYFUNCTION("GOOGLETRANSLATE(English!B1902, ""en"", ""bg"")"),"химия")</f>
        <v>химия</v>
      </c>
      <c r="C1902" s="1" t="str">
        <f ca="1">IFERROR(__xludf.DUMMYFUNCTION("GOOGLETRANSLATE(English!C1902, ""en"", ""bg"")"),"елементарен")</f>
        <v>елементарен</v>
      </c>
      <c r="D1902" s="1" t="str">
        <f ca="1">IFERROR(__xludf.DUMMYFUNCTION("GOOGLETRANSLATE(English!D1902, ""en"", ""bg"")"),"твърди вещества, течности, газове")</f>
        <v>твърди вещества, течности, газове</v>
      </c>
      <c r="E1902" s="1" t="str">
        <f ca="1">IFERROR(__xludf.DUMMYFUNCTION("GOOGLETRANSLATE(English!E1902, ""en"", ""bg"")"),"Можете ли да ми помогнете? Какво се случва, когато нагрявате твърдо вещество?")</f>
        <v>Можете ли да ми помогнете? Какво се случва, когато нагрявате твърдо вещество?</v>
      </c>
      <c r="F1902" s="1" t="str">
        <f ca="1">IFERROR(__xludf.DUMMYFUNCTION("GOOGLETRANSLATE(English!F1902,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1902" s="1" t="str">
        <f ca="1">IFERROR(__xludf.DUMMYFUNCTION("GOOGLETRANSLATE(English!G1902, ""en"", ""bg"")"),"разговор")</f>
        <v>разговор</v>
      </c>
      <c r="H1902" s="1" t="str">
        <f ca="1">IFERROR(__xludf.DUMMYFUNCTION("GOOGLETRANSLATE(English!H1902, ""en"", ""bg"")"),"образователна_помощ")</f>
        <v>образователна_помощ</v>
      </c>
    </row>
    <row r="1903" spans="1:8" ht="13.2" x14ac:dyDescent="0.25">
      <c r="A1903" s="1" t="str">
        <f ca="1">IFERROR(__xludf.DUMMYFUNCTION("GOOGLETRANSLATE(English!A1903, ""en"", ""bg"")"),"hw_12199")</f>
        <v>hw_12199</v>
      </c>
      <c r="B1903" s="1" t="str">
        <f ca="1">IFERROR(__xludf.DUMMYFUNCTION("GOOGLETRANSLATE(English!B1903, ""en"", ""bg"")"),"биология")</f>
        <v>биология</v>
      </c>
      <c r="C1903" s="1" t="str">
        <f ca="1">IFERROR(__xludf.DUMMYFUNCTION("GOOGLETRANSLATE(English!C1903, ""en"", ""bg"")"),"средата")</f>
        <v>средата</v>
      </c>
      <c r="D1903" s="1" t="str">
        <f ca="1">IFERROR(__xludf.DUMMYFUNCTION("GOOGLETRANSLATE(English!D1903, ""en"", ""bg"")"),"основи на еволюцията")</f>
        <v>основи на еволюцията</v>
      </c>
      <c r="E1903" s="1" t="str">
        <f ca="1">IFERROR(__xludf.DUMMYFUNCTION("GOOGLETRANSLATE(English!E1903, ""en"", ""bg"")"),"Домашното ми пита за основите на еволюцията. Не го разбирам.")</f>
        <v>Домашното ми пита за основите на еволюцията. Не го разбирам.</v>
      </c>
      <c r="F1903" s="1" t="str">
        <f ca="1">IFERROR(__xludf.DUMMYFUNCTION("GOOGLETRANSLATE(English!F1903,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1903" s="1" t="str">
        <f ca="1">IFERROR(__xludf.DUMMYFUNCTION("GOOGLETRANSLATE(English!G1903, ""en"", ""bg"")"),"помощ_за_домашно_изпълнение")</f>
        <v>помощ_за_домашно_изпълнение</v>
      </c>
      <c r="H1903" s="1" t="str">
        <f ca="1">IFERROR(__xludf.DUMMYFUNCTION("GOOGLETRANSLATE(English!H1903, ""en"", ""bg"")"),"помощ_за_домашно_задаване")</f>
        <v>помощ_за_домашно_задаване</v>
      </c>
    </row>
    <row r="1904" spans="1:8" ht="13.2" x14ac:dyDescent="0.25">
      <c r="A1904" s="1" t="str">
        <f ca="1">IFERROR(__xludf.DUMMYFUNCTION("GOOGLETRANSLATE(English!A1904, ""en"", ""bg"")"),"hw_08524")</f>
        <v>hw_08524</v>
      </c>
      <c r="B1904" s="1" t="str">
        <f ca="1">IFERROR(__xludf.DUMMYFUNCTION("GOOGLETRANSLATE(English!B1904, ""en"", ""bg"")"),"химия")</f>
        <v>химия</v>
      </c>
      <c r="C1904" s="1" t="str">
        <f ca="1">IFERROR(__xludf.DUMMYFUNCTION("GOOGLETRANSLATE(English!C1904, ""en"", ""bg"")"),"високо")</f>
        <v>високо</v>
      </c>
      <c r="D1904" s="1" t="str">
        <f ca="1">IFERROR(__xludf.DUMMYFUNCTION("GOOGLETRANSLATE(English!D1904, ""en"", ""bg"")"),"равновесие")</f>
        <v>равновесие</v>
      </c>
      <c r="E1904" s="1" t="str">
        <f ca="1">IFERROR(__xludf.DUMMYFUNCTION("GOOGLETRANSLATE(English!E1904, ""en"", ""bg"")"),"Не разбирам тази концепция за равновесие. Моля, обяснете!")</f>
        <v>Не разбирам тази концепция за равновесие. Моля, обяснете!</v>
      </c>
      <c r="F1904" s="1" t="str">
        <f ca="1">IFERROR(__xludf.DUMMYFUNCTION("GOOGLETRANSLATE(English!F1904,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904" s="1" t="str">
        <f ca="1">IFERROR(__xludf.DUMMYFUNCTION("GOOGLETRANSLATE(English!G1904, ""en"", ""bg"")"),"помощ_за_домашно_изпълнение")</f>
        <v>помощ_за_домашно_изпълнение</v>
      </c>
      <c r="H1904" s="1" t="str">
        <f ca="1">IFERROR(__xludf.DUMMYFUNCTION("GOOGLETRANSLATE(English!H1904, ""en"", ""bg"")"),"помощ_за_домашно_задаване")</f>
        <v>помощ_за_домашно_задаване</v>
      </c>
    </row>
    <row r="1905" spans="1:8" ht="13.2" x14ac:dyDescent="0.25">
      <c r="A1905" s="1" t="str">
        <f ca="1">IFERROR(__xludf.DUMMYFUNCTION("GOOGLETRANSLATE(English!A1905, ""en"", ""bg"")"),"qa_14280")</f>
        <v>qa_14280</v>
      </c>
      <c r="B1905" s="1" t="str">
        <f ca="1">IFERROR(__xludf.DUMMYFUNCTION("GOOGLETRANSLATE(English!B1905, ""en"", ""bg"")"),"биология")</f>
        <v>биология</v>
      </c>
      <c r="C1905" s="1" t="str">
        <f ca="1">IFERROR(__xludf.DUMMYFUNCTION("GOOGLETRANSLATE(English!C1905, ""en"", ""bg"")"),"елементарен")</f>
        <v>елементарен</v>
      </c>
      <c r="D1905" s="1" t="str">
        <f ca="1">IFERROR(__xludf.DUMMYFUNCTION("GOOGLETRANSLATE(English!D1905, ""en"", ""bg"")"),"домашни любимци срещу диви животни")</f>
        <v>домашни любимци срещу диви животни</v>
      </c>
      <c r="E1905" s="1" t="str">
        <f ca="1">IFERROR(__xludf.DUMMYFUNCTION("GOOGLETRANSLATE(English!E1905,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1905" s="1" t="str">
        <f ca="1">IFERROR(__xludf.DUMMYFUNCTION("GOOGLETRANSLATE(English!F1905,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1905" s="1" t="str">
        <f ca="1">IFERROR(__xludf.DUMMYFUNCTION("GOOGLETRANSLATE(English!G1905, ""en"", ""bg"")"),"direct_qa")</f>
        <v>direct_qa</v>
      </c>
      <c r="H1905" s="1" t="str">
        <f ca="1">IFERROR(__xludf.DUMMYFUNCTION("GOOGLETRANSLATE(English!H1905, ""en"", ""bg"")"),"заявка_за_знание")</f>
        <v>заявка_за_знание</v>
      </c>
    </row>
    <row r="1906" spans="1:8" ht="13.2" x14ac:dyDescent="0.25">
      <c r="A1906" s="1" t="str">
        <f ca="1">IFERROR(__xludf.DUMMYFUNCTION("GOOGLETRANSLATE(English!A1906, ""en"", ""bg"")"),"qa_00853")</f>
        <v>qa_00853</v>
      </c>
      <c r="B1906" s="1" t="str">
        <f ca="1">IFERROR(__xludf.DUMMYFUNCTION("GOOGLETRANSLATE(English!B1906, ""en"", ""bg"")"),"химия")</f>
        <v>химия</v>
      </c>
      <c r="C1906" s="1" t="str">
        <f ca="1">IFERROR(__xludf.DUMMYFUNCTION("GOOGLETRANSLATE(English!C1906, ""en"", ""bg"")"),"средата")</f>
        <v>средата</v>
      </c>
      <c r="D1906" s="1" t="str">
        <f ca="1">IFERROR(__xludf.DUMMYFUNCTION("GOOGLETRANSLATE(English!D1906, ""en"", ""bg"")"),"химични реакции")</f>
        <v>химични реакции</v>
      </c>
      <c r="E1906" s="1" t="str">
        <f ca="1">IFERROR(__xludf.DUMMYFUNCTION("GOOGLETRANSLATE(English!E1906, ""en"", ""bg"")"),"Какво представляват реагентите и продуктите?")</f>
        <v>Какво представляват реагентите и продуктите?</v>
      </c>
      <c r="F1906" s="1" t="str">
        <f ca="1">IFERROR(__xludf.DUMMYFUNCTION("GOOGLETRANSLATE(English!F1906,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1906" s="1" t="str">
        <f ca="1">IFERROR(__xludf.DUMMYFUNCTION("GOOGLETRANSLATE(English!G1906, ""en"", ""bg"")"),"direct_qa")</f>
        <v>direct_qa</v>
      </c>
      <c r="H1906" s="1" t="str">
        <f ca="1">IFERROR(__xludf.DUMMYFUNCTION("GOOGLETRANSLATE(English!H1906, ""en"", ""bg"")"),"заявка_за_знание")</f>
        <v>заявка_за_знание</v>
      </c>
    </row>
    <row r="1907" spans="1:8" ht="13.2" x14ac:dyDescent="0.25">
      <c r="A1907" s="1" t="str">
        <f ca="1">IFERROR(__xludf.DUMMYFUNCTION("GOOGLETRANSLATE(English!A1907, ""en"", ""bg"")"),"hw_12999")</f>
        <v>hw_12999</v>
      </c>
      <c r="B1907" s="1" t="str">
        <f ca="1">IFERROR(__xludf.DUMMYFUNCTION("GOOGLETRANSLATE(English!B1907, ""en"", ""bg"")"),"биология")</f>
        <v>биология</v>
      </c>
      <c r="C1907" s="1" t="str">
        <f ca="1">IFERROR(__xludf.DUMMYFUNCTION("GOOGLETRANSLATE(English!C1907, ""en"", ""bg"")"),"елементарен")</f>
        <v>елементарен</v>
      </c>
      <c r="D1907" s="1" t="str">
        <f ca="1">IFERROR(__xludf.DUMMYFUNCTION("GOOGLETRANSLATE(English!D1907, ""en"", ""bg"")"),"растения")</f>
        <v>растения</v>
      </c>
      <c r="E1907" s="1" t="str">
        <f ca="1">IFERROR(__xludf.DUMMYFUNCTION("GOOGLETRANSLATE(English!E1907, ""en"", ""bg"")"),"Домашното ми пита за растенията. Не го разбирам.")</f>
        <v>Домашното ми пита за растенията. Не го разбирам.</v>
      </c>
      <c r="F1907" s="1" t="str">
        <f ca="1">IFERROR(__xludf.DUMMYFUNCTION("GOOGLETRANSLATE(English!F1907,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1907" s="1" t="str">
        <f ca="1">IFERROR(__xludf.DUMMYFUNCTION("GOOGLETRANSLATE(English!G1907, ""en"", ""bg"")"),"помощ_за_домашно_изпълнение")</f>
        <v>помощ_за_домашно_изпълнение</v>
      </c>
      <c r="H1907" s="1" t="str">
        <f ca="1">IFERROR(__xludf.DUMMYFUNCTION("GOOGLETRANSLATE(English!H1907, ""en"", ""bg"")"),"помощ_за_домашно_задаване")</f>
        <v>помощ_за_домашно_задаване</v>
      </c>
    </row>
    <row r="1908" spans="1:8" ht="13.2" x14ac:dyDescent="0.25">
      <c r="A1908" s="1" t="str">
        <f ca="1">IFERROR(__xludf.DUMMYFUNCTION("GOOGLETRANSLATE(English!A1908, ""en"", ""bg"")"),"conv_03061")</f>
        <v>conv_03061</v>
      </c>
      <c r="B1908" s="1" t="str">
        <f ca="1">IFERROR(__xludf.DUMMYFUNCTION("GOOGLETRANSLATE(English!B1908, ""en"", ""bg"")"),"химия")</f>
        <v>химия</v>
      </c>
      <c r="C1908" s="1" t="str">
        <f ca="1">IFERROR(__xludf.DUMMYFUNCTION("GOOGLETRANSLATE(English!C1908, ""en"", ""bg"")"),"високо")</f>
        <v>високо</v>
      </c>
      <c r="D1908" s="1" t="str">
        <f ca="1">IFERROR(__xludf.DUMMYFUNCTION("GOOGLETRANSLATE(English!D1908, ""en"", ""bg"")"),"химическо свързване")</f>
        <v>химическо свързване</v>
      </c>
      <c r="E1908" s="1" t="str">
        <f ca="1">IFERROR(__xludf.DUMMYFUNCTION("GOOGLETRANSLATE(English!E1908, ""en"", ""bg"")"),"Имам научен въпрос. Защо е важно да се учи химичното свързване?")</f>
        <v>Имам научен въпрос. Защо е важно да се учи химичното свързване?</v>
      </c>
      <c r="F1908" s="1" t="str">
        <f ca="1">IFERROR(__xludf.DUMMYFUNCTION("GOOGLETRANSLATE(English!F1908,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1908" s="1" t="str">
        <f ca="1">IFERROR(__xludf.DUMMYFUNCTION("GOOGLETRANSLATE(English!G1908, ""en"", ""bg"")"),"разговор")</f>
        <v>разговор</v>
      </c>
      <c r="H1908" s="1" t="str">
        <f ca="1">IFERROR(__xludf.DUMMYFUNCTION("GOOGLETRANSLATE(English!H1908, ""en"", ""bg"")"),"образователна_помощ")</f>
        <v>образователна_помощ</v>
      </c>
    </row>
    <row r="1909" spans="1:8" ht="13.2" x14ac:dyDescent="0.25">
      <c r="A1909" s="1" t="str">
        <f ca="1">IFERROR(__xludf.DUMMYFUNCTION("GOOGLETRANSLATE(English!A1909, ""en"", ""bg"")"),"qa_10794")</f>
        <v>qa_10794</v>
      </c>
      <c r="B1909" s="1" t="str">
        <f ca="1">IFERROR(__xludf.DUMMYFUNCTION("GOOGLETRANSLATE(English!B1909, ""en"", ""bg"")"),"биология")</f>
        <v>биология</v>
      </c>
      <c r="C1909" s="1" t="str">
        <f ca="1">IFERROR(__xludf.DUMMYFUNCTION("GOOGLETRANSLATE(English!C1909, ""en"", ""bg"")"),"високо")</f>
        <v>високо</v>
      </c>
      <c r="D1909" s="1" t="str">
        <f ca="1">IFERROR(__xludf.DUMMYFUNCTION("GOOGLETRANSLATE(English!D1909, ""en"", ""bg"")"),"синтез на протеини")</f>
        <v>синтез на протеини</v>
      </c>
      <c r="E1909" s="1" t="str">
        <f ca="1">IFERROR(__xludf.DUMMYFUNCTION("GOOGLETRANSLATE(English!E1909, ""en"", ""bg"")"),"Как работи синтезът на протеини?")</f>
        <v>Как работи синтезът на протеини?</v>
      </c>
      <c r="F1909" s="1" t="str">
        <f ca="1">IFERROR(__xludf.DUMMYFUNCTION("GOOGLETRANSLATE(English!F1909,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1909" s="1" t="str">
        <f ca="1">IFERROR(__xludf.DUMMYFUNCTION("GOOGLETRANSLATE(English!G1909, ""en"", ""bg"")"),"direct_qa")</f>
        <v>direct_qa</v>
      </c>
      <c r="H1909" s="1" t="str">
        <f ca="1">IFERROR(__xludf.DUMMYFUNCTION("GOOGLETRANSLATE(English!H1909, ""en"", ""bg"")"),"заявка_за_знание")</f>
        <v>заявка_за_знание</v>
      </c>
    </row>
    <row r="1910" spans="1:8" ht="13.2" x14ac:dyDescent="0.25">
      <c r="A1910" s="1" t="str">
        <f ca="1">IFERROR(__xludf.DUMMYFUNCTION("GOOGLETRANSLATE(English!A1910, ""en"", ""bg"")"),"conv_08044")</f>
        <v>conv_08044</v>
      </c>
      <c r="B1910" s="1" t="str">
        <f ca="1">IFERROR(__xludf.DUMMYFUNCTION("GOOGLETRANSLATE(English!B1910, ""en"", ""bg"")"),"физика")</f>
        <v>физика</v>
      </c>
      <c r="C1910" s="1" t="str">
        <f ca="1">IFERROR(__xludf.DUMMYFUNCTION("GOOGLETRANSLATE(English!C1910, ""en"", ""bg"")"),"елементарен")</f>
        <v>елементарен</v>
      </c>
      <c r="D1910" s="1" t="str">
        <f ca="1">IFERROR(__xludf.DUMMYFUNCTION("GOOGLETRANSLATE(English!D1910, ""en"", ""bg"")"),"плаващ и потъващ")</f>
        <v>плаващ и потъващ</v>
      </c>
      <c r="E1910" s="1" t="str">
        <f ca="1">IFERROR(__xludf.DUMMYFUNCTION("GOOGLETRANSLATE(English!E1910, ""en"", ""bg"")"),"Не разбирам тази тема. Можете ли да ми обясните какво е плаване и потъване?")</f>
        <v>Не разбирам тази тема. Можете ли да ми обясните какво е плаване и потъване?</v>
      </c>
      <c r="F1910" s="1" t="str">
        <f ca="1">IFERROR(__xludf.DUMMYFUNCTION("GOOGLETRANSLATE(English!F1910,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1910" s="1" t="str">
        <f ca="1">IFERROR(__xludf.DUMMYFUNCTION("GOOGLETRANSLATE(English!G1910, ""en"", ""bg"")"),"разговор")</f>
        <v>разговор</v>
      </c>
      <c r="H1910" s="1" t="str">
        <f ca="1">IFERROR(__xludf.DUMMYFUNCTION("GOOGLETRANSLATE(English!H1910, ""en"", ""bg"")"),"образователна_помощ")</f>
        <v>образователна_помощ</v>
      </c>
    </row>
    <row r="1911" spans="1:8" ht="13.2" x14ac:dyDescent="0.25">
      <c r="A1911" s="1" t="str">
        <f ca="1">IFERROR(__xludf.DUMMYFUNCTION("GOOGLETRANSLATE(English!A1911, ""en"", ""bg"")"),"qa_03917")</f>
        <v>qa_03917</v>
      </c>
      <c r="B1911" s="1" t="str">
        <f ca="1">IFERROR(__xludf.DUMMYFUNCTION("GOOGLETRANSLATE(English!B1911, ""en"", ""bg"")"),"биология")</f>
        <v>биология</v>
      </c>
      <c r="C1911" s="1" t="str">
        <f ca="1">IFERROR(__xludf.DUMMYFUNCTION("GOOGLETRANSLATE(English!C1911, ""en"", ""bg"")"),"високо")</f>
        <v>високо</v>
      </c>
      <c r="D1911" s="1" t="str">
        <f ca="1">IFERROR(__xludf.DUMMYFUNCTION("GOOGLETRANSLATE(English!D1911, ""en"", ""bg"")"),"клетъчно дишане")</f>
        <v>клетъчно дишане</v>
      </c>
      <c r="E1911" s="1" t="str">
        <f ca="1">IFERROR(__xludf.DUMMYFUNCTION("GOOGLETRANSLATE(English!E1911, ""en"", ""bg"")"),"Какво е важно да знаем за клетъчното дишане?")</f>
        <v>Какво е важно да знаем за клетъчното дишане?</v>
      </c>
      <c r="F1911" s="1" t="str">
        <f ca="1">IFERROR(__xludf.DUMMYFUNCTION("GOOGLETRANSLATE(English!F1911,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1911" s="1" t="str">
        <f ca="1">IFERROR(__xludf.DUMMYFUNCTION("GOOGLETRANSLATE(English!G1911, ""en"", ""bg"")"),"direct_qa")</f>
        <v>direct_qa</v>
      </c>
      <c r="H1911" s="1" t="str">
        <f ca="1">IFERROR(__xludf.DUMMYFUNCTION("GOOGLETRANSLATE(English!H1911, ""en"", ""bg"")"),"заявка_за_знание")</f>
        <v>заявка_за_знание</v>
      </c>
    </row>
    <row r="1912" spans="1:8" ht="13.2" x14ac:dyDescent="0.25">
      <c r="A1912" s="1" t="str">
        <f ca="1">IFERROR(__xludf.DUMMYFUNCTION("GOOGLETRANSLATE(English!A1912, ""en"", ""bg"")"),"conv_01219")</f>
        <v>conv_01219</v>
      </c>
      <c r="B1912" s="1" t="str">
        <f ca="1">IFERROR(__xludf.DUMMYFUNCTION("GOOGLETRANSLATE(English!B1912, ""en"", ""bg"")"),"химия")</f>
        <v>химия</v>
      </c>
      <c r="C1912" s="1" t="str">
        <f ca="1">IFERROR(__xludf.DUMMYFUNCTION("GOOGLETRANSLATE(English!C1912, ""en"", ""bg"")"),"средата")</f>
        <v>средата</v>
      </c>
      <c r="D1912" s="1" t="str">
        <f ca="1">IFERROR(__xludf.DUMMYFUNCTION("GOOGLETRANSLATE(English!D1912, ""en"", ""bg"")"),"съединения срещу елементи")</f>
        <v>съединения срещу елементи</v>
      </c>
      <c r="E1912" s="1" t="str">
        <f ca="1">IFERROR(__xludf.DUMMYFUNCTION("GOOGLETRANSLATE(English!E1912, ""en"", ""bg"")"),"Можете ли да ми обясните това? Защо е важно да се изучават съединенията спрямо елементите?")</f>
        <v>Можете ли да ми обясните това? Защо е важно да се изучават съединенията спрямо елементите?</v>
      </c>
      <c r="F1912" s="1" t="str">
        <f ca="1">IFERROR(__xludf.DUMMYFUNCTION("GOOGLETRANSLATE(English!F1912,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1912" s="1" t="str">
        <f ca="1">IFERROR(__xludf.DUMMYFUNCTION("GOOGLETRANSLATE(English!G1912, ""en"", ""bg"")"),"разговор")</f>
        <v>разговор</v>
      </c>
      <c r="H1912" s="1" t="str">
        <f ca="1">IFERROR(__xludf.DUMMYFUNCTION("GOOGLETRANSLATE(English!H1912, ""en"", ""bg"")"),"образователна_помощ")</f>
        <v>образователна_помощ</v>
      </c>
    </row>
    <row r="1913" spans="1:8" ht="13.2" x14ac:dyDescent="0.25">
      <c r="A1913" s="1" t="str">
        <f ca="1">IFERROR(__xludf.DUMMYFUNCTION("GOOGLETRANSLATE(English!A1913, ""en"", ""bg"")"),"qa_14366")</f>
        <v>qa_14366</v>
      </c>
      <c r="B1913" s="1" t="str">
        <f ca="1">IFERROR(__xludf.DUMMYFUNCTION("GOOGLETRANSLATE(English!B1913, ""en"", ""bg"")"),"физика")</f>
        <v>физика</v>
      </c>
      <c r="C1913" s="1" t="str">
        <f ca="1">IFERROR(__xludf.DUMMYFUNCTION("GOOGLETRANSLATE(English!C1913, ""en"", ""bg"")"),"елементарен")</f>
        <v>елементарен</v>
      </c>
      <c r="D1913" s="1" t="str">
        <f ca="1">IFERROR(__xludf.DUMMYFUNCTION("GOOGLETRANSLATE(English!D1913, ""en"", ""bg"")"),"светлина и сянка")</f>
        <v>светлина и сянка</v>
      </c>
      <c r="E1913" s="1" t="str">
        <f ca="1">IFERROR(__xludf.DUMMYFUNCTION("GOOGLETRANSLATE(English!E1913, ""en"", ""bg"")"),"Как се правят сенките?")</f>
        <v>Как се правят сенките?</v>
      </c>
      <c r="F1913" s="1" t="str">
        <f ca="1">IFERROR(__xludf.DUMMYFUNCTION("GOOGLETRANSLATE(English!F1913,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1913" s="1" t="str">
        <f ca="1">IFERROR(__xludf.DUMMYFUNCTION("GOOGLETRANSLATE(English!G1913, ""en"", ""bg"")"),"direct_qa")</f>
        <v>direct_qa</v>
      </c>
      <c r="H1913" s="1" t="str">
        <f ca="1">IFERROR(__xludf.DUMMYFUNCTION("GOOGLETRANSLATE(English!H1913, ""en"", ""bg"")"),"заявка_за_знание")</f>
        <v>заявка_за_знание</v>
      </c>
    </row>
    <row r="1914" spans="1:8" ht="13.2" x14ac:dyDescent="0.25">
      <c r="A1914" s="1" t="str">
        <f ca="1">IFERROR(__xludf.DUMMYFUNCTION("GOOGLETRANSLATE(English!A1914, ""en"", ""bg"")"),"hw_00713")</f>
        <v>hw_00713</v>
      </c>
      <c r="B1914" s="1" t="str">
        <f ca="1">IFERROR(__xludf.DUMMYFUNCTION("GOOGLETRANSLATE(English!B1914, ""en"", ""bg"")"),"физика")</f>
        <v>физика</v>
      </c>
      <c r="C1914" s="1" t="str">
        <f ca="1">IFERROR(__xludf.DUMMYFUNCTION("GOOGLETRANSLATE(English!C1914, ""en"", ""bg"")"),"високо")</f>
        <v>високо</v>
      </c>
      <c r="D1914" s="1" t="str">
        <f ca="1">IFERROR(__xludf.DUMMYFUNCTION("GOOGLETRANSLATE(English!D1914, ""en"", ""bg"")"),"радиоактивност")</f>
        <v>радиоактивност</v>
      </c>
      <c r="E1914" s="1" t="str">
        <f ca="1">IFERROR(__xludf.DUMMYFUNCTION("GOOGLETRANSLATE(English!E1914, ""en"", ""bg"")"),"Заседнал съм с този проблем с радиоактивността. Можете ли да помогнете?")</f>
        <v>Заседнал съм с този проблем с радиоактивността. Можете ли да помогнете?</v>
      </c>
      <c r="F1914" s="1" t="str">
        <f ca="1">IFERROR(__xludf.DUMMYFUNCTION("GOOGLETRANSLATE(English!F1914,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914" s="1" t="str">
        <f ca="1">IFERROR(__xludf.DUMMYFUNCTION("GOOGLETRANSLATE(English!G1914, ""en"", ""bg"")"),"помощ_за_домашно_изпълнение")</f>
        <v>помощ_за_домашно_изпълнение</v>
      </c>
      <c r="H1914" s="1" t="str">
        <f ca="1">IFERROR(__xludf.DUMMYFUNCTION("GOOGLETRANSLATE(English!H1914, ""en"", ""bg"")"),"помощ_за_домашно_задаване")</f>
        <v>помощ_за_домашно_задаване</v>
      </c>
    </row>
    <row r="1915" spans="1:8" ht="13.2" x14ac:dyDescent="0.25">
      <c r="A1915" s="1" t="str">
        <f ca="1">IFERROR(__xludf.DUMMYFUNCTION("GOOGLETRANSLATE(English!A1915, ""en"", ""bg"")"),"conv_09558")</f>
        <v>conv_09558</v>
      </c>
      <c r="B1915" s="1" t="str">
        <f ca="1">IFERROR(__xludf.DUMMYFUNCTION("GOOGLETRANSLATE(English!B1915, ""en"", ""bg"")"),"химия")</f>
        <v>химия</v>
      </c>
      <c r="C1915" s="1" t="str">
        <f ca="1">IFERROR(__xludf.DUMMYFUNCTION("GOOGLETRANSLATE(English!C1915, ""en"", ""bg"")"),"високо")</f>
        <v>високо</v>
      </c>
      <c r="D1915" s="1" t="str">
        <f ca="1">IFERROR(__xludf.DUMMYFUNCTION("GOOGLETRANSLATE(English!D1915, ""en"", ""bg"")"),"равновесие")</f>
        <v>равновесие</v>
      </c>
      <c r="E1915" s="1" t="str">
        <f ca="1">IFERROR(__xludf.DUMMYFUNCTION("GOOGLETRANSLATE(English!E1915, ""en"", ""bg"")"),"Можете ли да ми обясните това? Защо е важно да се учи равновесие?")</f>
        <v>Можете ли да ми обясните това? Защо е важно да се учи равновесие?</v>
      </c>
      <c r="F1915" s="1" t="str">
        <f ca="1">IFERROR(__xludf.DUMMYFUNCTION("GOOGLETRANSLATE(English!F1915,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1915" s="1" t="str">
        <f ca="1">IFERROR(__xludf.DUMMYFUNCTION("GOOGLETRANSLATE(English!G1915, ""en"", ""bg"")"),"разговор")</f>
        <v>разговор</v>
      </c>
      <c r="H1915" s="1" t="str">
        <f ca="1">IFERROR(__xludf.DUMMYFUNCTION("GOOGLETRANSLATE(English!H1915, ""en"", ""bg"")"),"образователна_помощ")</f>
        <v>образователна_помощ</v>
      </c>
    </row>
    <row r="1916" spans="1:8" ht="13.2" x14ac:dyDescent="0.25">
      <c r="A1916" s="1" t="str">
        <f ca="1">IFERROR(__xludf.DUMMYFUNCTION("GOOGLETRANSLATE(English!A1916, ""en"", ""bg"")"),"qa_03554")</f>
        <v>qa_03554</v>
      </c>
      <c r="B1916" s="1" t="str">
        <f ca="1">IFERROR(__xludf.DUMMYFUNCTION("GOOGLETRANSLATE(English!B1916, ""en"", ""bg"")"),"химия")</f>
        <v>химия</v>
      </c>
      <c r="C1916" s="1" t="str">
        <f ca="1">IFERROR(__xludf.DUMMYFUNCTION("GOOGLETRANSLATE(English!C1916, ""en"", ""bg"")"),"високо")</f>
        <v>високо</v>
      </c>
      <c r="D1916" s="1" t="str">
        <f ca="1">IFERROR(__xludf.DUMMYFUNCTION("GOOGLETRANSLATE(English!D1916, ""en"", ""bg"")"),"стехиометрия")</f>
        <v>стехиометрия</v>
      </c>
      <c r="E1916" s="1" t="str">
        <f ca="1">IFERROR(__xludf.DUMMYFUNCTION("GOOGLETRANSLATE(English!E1916, ""en"", ""bg"")"),"Защо е важно да се учи стехиометрията?")</f>
        <v>Защо е важно да се учи стехиометрията?</v>
      </c>
      <c r="F1916" s="1" t="str">
        <f ca="1">IFERROR(__xludf.DUMMYFUNCTION("GOOGLETRANSLATE(English!F1916,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1916" s="1" t="str">
        <f ca="1">IFERROR(__xludf.DUMMYFUNCTION("GOOGLETRANSLATE(English!G1916, ""en"", ""bg"")"),"direct_qa")</f>
        <v>direct_qa</v>
      </c>
      <c r="H1916" s="1" t="str">
        <f ca="1">IFERROR(__xludf.DUMMYFUNCTION("GOOGLETRANSLATE(English!H1916, ""en"", ""bg"")"),"заявка_за_знание")</f>
        <v>заявка_за_знание</v>
      </c>
    </row>
    <row r="1917" spans="1:8" ht="13.2" x14ac:dyDescent="0.25">
      <c r="A1917" s="1" t="str">
        <f ca="1">IFERROR(__xludf.DUMMYFUNCTION("GOOGLETRANSLATE(English!A1917, ""en"", ""bg"")"),"conv_06143")</f>
        <v>conv_06143</v>
      </c>
      <c r="B1917" s="1" t="str">
        <f ca="1">IFERROR(__xludf.DUMMYFUNCTION("GOOGLETRANSLATE(English!B1917, ""en"", ""bg"")"),"биология")</f>
        <v>биология</v>
      </c>
      <c r="C1917" s="1" t="str">
        <f ca="1">IFERROR(__xludf.DUMMYFUNCTION("GOOGLETRANSLATE(English!C1917, ""en"", ""bg"")"),"средата")</f>
        <v>средата</v>
      </c>
      <c r="D1917" s="1" t="str">
        <f ca="1">IFERROR(__xludf.DUMMYFUNCTION("GOOGLETRANSLATE(English!D1917, ""en"", ""bg"")"),"класификация")</f>
        <v>класификация</v>
      </c>
      <c r="E1917" s="1" t="str">
        <f ca="1">IFERROR(__xludf.DUMMYFUNCTION("GOOGLETRANSLATE(English!E1917, ""en"", ""bg"")"),"Можете ли да ми помогнете? Защо класификацията е важна в биологията?")</f>
        <v>Можете ли да ми помогнете? Защо класификацията е важна в биологията?</v>
      </c>
      <c r="F1917" s="1" t="str">
        <f ca="1">IFERROR(__xludf.DUMMYFUNCTION("GOOGLETRANSLATE(English!F1917,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1917" s="1" t="str">
        <f ca="1">IFERROR(__xludf.DUMMYFUNCTION("GOOGLETRANSLATE(English!G1917, ""en"", ""bg"")"),"разговор")</f>
        <v>разговор</v>
      </c>
      <c r="H1917" s="1" t="str">
        <f ca="1">IFERROR(__xludf.DUMMYFUNCTION("GOOGLETRANSLATE(English!H1917, ""en"", ""bg"")"),"образователна_помощ")</f>
        <v>образователна_помощ</v>
      </c>
    </row>
    <row r="1918" spans="1:8" ht="13.2" x14ac:dyDescent="0.25">
      <c r="A1918" s="1" t="str">
        <f ca="1">IFERROR(__xludf.DUMMYFUNCTION("GOOGLETRANSLATE(English!A1918, ""en"", ""bg"")"),"conv_15761")</f>
        <v>conv_15761</v>
      </c>
      <c r="B1918" s="1" t="str">
        <f ca="1">IFERROR(__xludf.DUMMYFUNCTION("GOOGLETRANSLATE(English!B1918, ""en"", ""bg"")"),"физика")</f>
        <v>физика</v>
      </c>
      <c r="C1918" s="1" t="str">
        <f ca="1">IFERROR(__xludf.DUMMYFUNCTION("GOOGLETRANSLATE(English!C1918, ""en"", ""bg"")"),"високо")</f>
        <v>високо</v>
      </c>
      <c r="D1918" s="1" t="str">
        <f ca="1">IFERROR(__xludf.DUMMYFUNCTION("GOOGLETRANSLATE(English!D1918, ""en"", ""bg"")"),"атомна структура")</f>
        <v>атомна структура</v>
      </c>
      <c r="E1918" s="1" t="str">
        <f ca="1">IFERROR(__xludf.DUMMYFUNCTION("GOOGLETRANSLATE(English!E1918, ""en"", ""bg"")"),"Помогнете ми да уча за теста си. Какво трябва да знам за атомната структура?")</f>
        <v>Помогнете ми да уча за теста си. Какво трябва да знам за атомната структура?</v>
      </c>
      <c r="F1918" s="1" t="str">
        <f ca="1">IFERROR(__xludf.DUMMYFUNCTION("GOOGLETRANSLATE(English!F1918,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1918" s="1" t="str">
        <f ca="1">IFERROR(__xludf.DUMMYFUNCTION("GOOGLETRANSLATE(English!G1918, ""en"", ""bg"")"),"разговор")</f>
        <v>разговор</v>
      </c>
      <c r="H1918" s="1" t="str">
        <f ca="1">IFERROR(__xludf.DUMMYFUNCTION("GOOGLETRANSLATE(English!H1918, ""en"", ""bg"")"),"образователна_помощ")</f>
        <v>образователна_помощ</v>
      </c>
    </row>
    <row r="1919" spans="1:8" ht="13.2" x14ac:dyDescent="0.25">
      <c r="A1919" s="1" t="str">
        <f ca="1">IFERROR(__xludf.DUMMYFUNCTION("GOOGLETRANSLATE(English!A1919, ""en"", ""bg"")"),"qa_11140")</f>
        <v>qa_11140</v>
      </c>
      <c r="B1919" s="1" t="str">
        <f ca="1">IFERROR(__xludf.DUMMYFUNCTION("GOOGLETRANSLATE(English!B1919, ""en"", ""bg"")"),"физика")</f>
        <v>физика</v>
      </c>
      <c r="C1919" s="1" t="str">
        <f ca="1">IFERROR(__xludf.DUMMYFUNCTION("GOOGLETRANSLATE(English!C1919, ""en"", ""bg"")"),"високо")</f>
        <v>високо</v>
      </c>
      <c r="D1919" s="1" t="str">
        <f ca="1">IFERROR(__xludf.DUMMYFUNCTION("GOOGLETRANSLATE(English!D1919, ""en"", ""bg"")"),"радиоактивност")</f>
        <v>радиоактивност</v>
      </c>
      <c r="E1919" s="1" t="str">
        <f ca="1">IFERROR(__xludf.DUMMYFUNCTION("GOOGLETRANSLATE(English!E1919, ""en"", ""bg"")"),"Как работи радиоактивността във физиката?")</f>
        <v>Как работи радиоактивността във физиката?</v>
      </c>
      <c r="F1919" s="1" t="str">
        <f ca="1">IFERROR(__xludf.DUMMYFUNCTION("GOOGLETRANSLATE(English!F1919,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1919" s="1" t="str">
        <f ca="1">IFERROR(__xludf.DUMMYFUNCTION("GOOGLETRANSLATE(English!G1919, ""en"", ""bg"")"),"direct_qa")</f>
        <v>direct_qa</v>
      </c>
      <c r="H1919" s="1" t="str">
        <f ca="1">IFERROR(__xludf.DUMMYFUNCTION("GOOGLETRANSLATE(English!H1919, ""en"", ""bg"")"),"заявка_за_знание")</f>
        <v>заявка_за_знание</v>
      </c>
    </row>
    <row r="1920" spans="1:8" ht="13.2" x14ac:dyDescent="0.25">
      <c r="A1920" s="1" t="str">
        <f ca="1">IFERROR(__xludf.DUMMYFUNCTION("GOOGLETRANSLATE(English!A1920, ""en"", ""bg"")"),"hw_08568")</f>
        <v>hw_08568</v>
      </c>
      <c r="B1920" s="1" t="str">
        <f ca="1">IFERROR(__xludf.DUMMYFUNCTION("GOOGLETRANSLATE(English!B1920, ""en"", ""bg"")"),"физика")</f>
        <v>физика</v>
      </c>
      <c r="C1920" s="1" t="str">
        <f ca="1">IFERROR(__xludf.DUMMYFUNCTION("GOOGLETRANSLATE(English!C1920, ""en"", ""bg"")"),"елементарен")</f>
        <v>елементарен</v>
      </c>
      <c r="D1920" s="1" t="str">
        <f ca="1">IFERROR(__xludf.DUMMYFUNCTION("GOOGLETRANSLATE(English!D1920, ""en"", ""bg"")"),"магнити")</f>
        <v>магнити</v>
      </c>
      <c r="E1920" s="1" t="str">
        <f ca="1">IFERROR(__xludf.DUMMYFUNCTION("GOOGLETRANSLATE(English!E1920, ""en"", ""bg"")"),"Заседнал съм с този проблем с магнитите. Можете ли да помогнете?")</f>
        <v>Заседнал съм с този проблем с магнитите. Можете ли да помогнете?</v>
      </c>
      <c r="F1920" s="1" t="str">
        <f ca="1">IFERROR(__xludf.DUMMYFUNCTION("GOOGLETRANSLATE(English!F1920,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1920" s="1" t="str">
        <f ca="1">IFERROR(__xludf.DUMMYFUNCTION("GOOGLETRANSLATE(English!G1920, ""en"", ""bg"")"),"помощ_за_домашно_изпълнение")</f>
        <v>помощ_за_домашно_изпълнение</v>
      </c>
      <c r="H1920" s="1" t="str">
        <f ca="1">IFERROR(__xludf.DUMMYFUNCTION("GOOGLETRANSLATE(English!H1920, ""en"", ""bg"")"),"помощ_за_домашно_задаване")</f>
        <v>помощ_за_домашно_задаване</v>
      </c>
    </row>
    <row r="1921" spans="1:8" ht="13.2" x14ac:dyDescent="0.25">
      <c r="A1921" s="1" t="str">
        <f ca="1">IFERROR(__xludf.DUMMYFUNCTION("GOOGLETRANSLATE(English!A1921, ""en"", ""bg"")"),"hw_05159")</f>
        <v>hw_05159</v>
      </c>
      <c r="B1921" s="1" t="str">
        <f ca="1">IFERROR(__xludf.DUMMYFUNCTION("GOOGLETRANSLATE(English!B1921, ""en"", ""bg"")"),"химия")</f>
        <v>химия</v>
      </c>
      <c r="C1921" s="1" t="str">
        <f ca="1">IFERROR(__xludf.DUMMYFUNCTION("GOOGLETRANSLATE(English!C1921, ""en"", ""bg"")"),"високо")</f>
        <v>високо</v>
      </c>
      <c r="D1921" s="1" t="str">
        <f ca="1">IFERROR(__xludf.DUMMYFUNCTION("GOOGLETRANSLATE(English!D1921, ""en"", ""bg"")"),"равновесие")</f>
        <v>равновесие</v>
      </c>
      <c r="E1921" s="1" t="str">
        <f ca="1">IFERROR(__xludf.DUMMYFUNCTION("GOOGLETRANSLATE(English!E1921,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1921" s="1" t="str">
        <f ca="1">IFERROR(__xludf.DUMMYFUNCTION("GOOGLETRANSLATE(English!F1921,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921" s="1" t="str">
        <f ca="1">IFERROR(__xludf.DUMMYFUNCTION("GOOGLETRANSLATE(English!G1921, ""en"", ""bg"")"),"помощ_за_домашно_изпълнение")</f>
        <v>помощ_за_домашно_изпълнение</v>
      </c>
      <c r="H1921" s="1" t="str">
        <f ca="1">IFERROR(__xludf.DUMMYFUNCTION("GOOGLETRANSLATE(English!H1921, ""en"", ""bg"")"),"помощ_за_домашно_задаване")</f>
        <v>помощ_за_домашно_задаване</v>
      </c>
    </row>
    <row r="1922" spans="1:8" ht="13.2" x14ac:dyDescent="0.25">
      <c r="A1922" s="1" t="str">
        <f ca="1">IFERROR(__xludf.DUMMYFUNCTION("GOOGLETRANSLATE(English!A1922, ""en"", ""bg"")"),"hw_04083")</f>
        <v>hw_04083</v>
      </c>
      <c r="B1922" s="1" t="str">
        <f ca="1">IFERROR(__xludf.DUMMYFUNCTION("GOOGLETRANSLATE(English!B1922, ""en"", ""bg"")"),"химия")</f>
        <v>химия</v>
      </c>
      <c r="C1922" s="1" t="str">
        <f ca="1">IFERROR(__xludf.DUMMYFUNCTION("GOOGLETRANSLATE(English!C1922, ""en"", ""bg"")"),"средата")</f>
        <v>средата</v>
      </c>
      <c r="D1922" s="1" t="str">
        <f ca="1">IFERROR(__xludf.DUMMYFUNCTION("GOOGLETRANSLATE(English!D1922, ""en"", ""bg"")"),"основи на периодичната таблица")</f>
        <v>основи на периодичната таблица</v>
      </c>
      <c r="E1922" s="1" t="str">
        <f ca="1">IFERROR(__xludf.DUMMYFUNCTION("GOOGLETRANSLATE(English!E1922,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1922" s="1" t="str">
        <f ca="1">IFERROR(__xludf.DUMMYFUNCTION("GOOGLETRANSLATE(English!F1922,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1922" s="1" t="str">
        <f ca="1">IFERROR(__xludf.DUMMYFUNCTION("GOOGLETRANSLATE(English!G1922, ""en"", ""bg"")"),"помощ_за_домашно_изпълнение")</f>
        <v>помощ_за_домашно_изпълнение</v>
      </c>
      <c r="H1922" s="1" t="str">
        <f ca="1">IFERROR(__xludf.DUMMYFUNCTION("GOOGLETRANSLATE(English!H1922, ""en"", ""bg"")"),"помощ_за_домашно_задаване")</f>
        <v>помощ_за_домашно_задаване</v>
      </c>
    </row>
    <row r="1923" spans="1:8" ht="13.2" x14ac:dyDescent="0.25">
      <c r="A1923" s="1" t="str">
        <f ca="1">IFERROR(__xludf.DUMMYFUNCTION("GOOGLETRANSLATE(English!A1923, ""en"", ""bg"")"),"conv_01035")</f>
        <v>conv_01035</v>
      </c>
      <c r="B1923" s="1" t="str">
        <f ca="1">IFERROR(__xludf.DUMMYFUNCTION("GOOGLETRANSLATE(English!B1923, ""en"", ""bg"")"),"биология")</f>
        <v>биология</v>
      </c>
      <c r="C1923" s="1" t="str">
        <f ca="1">IFERROR(__xludf.DUMMYFUNCTION("GOOGLETRANSLATE(English!C1923, ""en"", ""bg"")"),"високо")</f>
        <v>високо</v>
      </c>
      <c r="D1923" s="1" t="str">
        <f ca="1">IFERROR(__xludf.DUMMYFUNCTION("GOOGLETRANSLATE(English!D1923, ""en"", ""bg"")"),"митоза и мейоза")</f>
        <v>митоза и мейоза</v>
      </c>
      <c r="E1923" s="1" t="str">
        <f ca="1">IFERROR(__xludf.DUMMYFUNCTION("GOOGLETRANSLATE(English!E1923, ""en"", ""bg"")"),"Можете ли да ми обясните това? Какво е важно да знаем за митозата и мейозата?")</f>
        <v>Можете ли да ми обясните това? Какво е важно да знаем за митозата и мейозата?</v>
      </c>
      <c r="F1923" s="1" t="str">
        <f ca="1">IFERROR(__xludf.DUMMYFUNCTION("GOOGLETRANSLATE(English!F1923,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1923" s="1" t="str">
        <f ca="1">IFERROR(__xludf.DUMMYFUNCTION("GOOGLETRANSLATE(English!G1923, ""en"", ""bg"")"),"разговор")</f>
        <v>разговор</v>
      </c>
      <c r="H1923" s="1" t="str">
        <f ca="1">IFERROR(__xludf.DUMMYFUNCTION("GOOGLETRANSLATE(English!H1923, ""en"", ""bg"")"),"образователна_помощ")</f>
        <v>образователна_помощ</v>
      </c>
    </row>
    <row r="1924" spans="1:8" ht="13.2" x14ac:dyDescent="0.25">
      <c r="A1924" s="1" t="str">
        <f ca="1">IFERROR(__xludf.DUMMYFUNCTION("GOOGLETRANSLATE(English!A1924, ""en"", ""bg"")"),"hw_08854")</f>
        <v>hw_08854</v>
      </c>
      <c r="B1924" s="1" t="str">
        <f ca="1">IFERROR(__xludf.DUMMYFUNCTION("GOOGLETRANSLATE(English!B1924, ""en"", ""bg"")"),"химия")</f>
        <v>химия</v>
      </c>
      <c r="C1924" s="1" t="str">
        <f ca="1">IFERROR(__xludf.DUMMYFUNCTION("GOOGLETRANSLATE(English!C1924, ""en"", ""bg"")"),"високо")</f>
        <v>високо</v>
      </c>
      <c r="D1924" s="1" t="str">
        <f ca="1">IFERROR(__xludf.DUMMYFUNCTION("GOOGLETRANSLATE(English!D1924, ""en"", ""bg"")"),"органична химия")</f>
        <v>органична химия</v>
      </c>
      <c r="E1924" s="1" t="str">
        <f ca="1">IFERROR(__xludf.DUMMYFUNCTION("GOOGLETRANSLATE(English!E1924, ""en"", ""bg"")"),"Моят доклад по химия е за органична химия. Помогнете ми да разбера.")</f>
        <v>Моят доклад по химия е за органична химия. Помогнете ми да разбера.</v>
      </c>
      <c r="F1924" s="1" t="str">
        <f ca="1">IFERROR(__xludf.DUMMYFUNCTION("GOOGLETRANSLATE(English!F1924,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1924" s="1" t="str">
        <f ca="1">IFERROR(__xludf.DUMMYFUNCTION("GOOGLETRANSLATE(English!G1924, ""en"", ""bg"")"),"помощ_за_домашно_изпълнение")</f>
        <v>помощ_за_домашно_изпълнение</v>
      </c>
      <c r="H1924" s="1" t="str">
        <f ca="1">IFERROR(__xludf.DUMMYFUNCTION("GOOGLETRANSLATE(English!H1924, ""en"", ""bg"")"),"помощ_за_домашно_задаване")</f>
        <v>помощ_за_домашно_задаване</v>
      </c>
    </row>
    <row r="1925" spans="1:8" ht="13.2" x14ac:dyDescent="0.25">
      <c r="A1925" s="1" t="str">
        <f ca="1">IFERROR(__xludf.DUMMYFUNCTION("GOOGLETRANSLATE(English!A1925, ""en"", ""bg"")"),"conv_03895")</f>
        <v>conv_03895</v>
      </c>
      <c r="B1925" s="1" t="str">
        <f ca="1">IFERROR(__xludf.DUMMYFUNCTION("GOOGLETRANSLATE(English!B1925, ""en"", ""bg"")"),"биология")</f>
        <v>биология</v>
      </c>
      <c r="C1925" s="1" t="str">
        <f ca="1">IFERROR(__xludf.DUMMYFUNCTION("GOOGLETRANSLATE(English!C1925, ""en"", ""bg"")"),"средата")</f>
        <v>средата</v>
      </c>
      <c r="D1925" s="1" t="str">
        <f ca="1">IFERROR(__xludf.DUMMYFUNCTION("GOOGLETRANSLATE(English!D1925, ""en"", ""bg"")"),"размножаване")</f>
        <v>размножаване</v>
      </c>
      <c r="E1925" s="1" t="str">
        <f ca="1">IFERROR(__xludf.DUMMYFUNCTION("GOOGLETRANSLATE(English!E1925, ""en"", ""bg"")"),"Не разбирам тази тема. Какво е важно да се знае за размножаването?")</f>
        <v>Не разбирам тази тема. Какво е важно да се знае за размножаването?</v>
      </c>
      <c r="F1925" s="1" t="str">
        <f ca="1">IFERROR(__xludf.DUMMYFUNCTION("GOOGLETRANSLATE(English!F1925,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1925" s="1" t="str">
        <f ca="1">IFERROR(__xludf.DUMMYFUNCTION("GOOGLETRANSLATE(English!G1925, ""en"", ""bg"")"),"разговор")</f>
        <v>разговор</v>
      </c>
      <c r="H1925" s="1" t="str">
        <f ca="1">IFERROR(__xludf.DUMMYFUNCTION("GOOGLETRANSLATE(English!H1925, ""en"", ""bg"")"),"образователна_помощ")</f>
        <v>образователна_помощ</v>
      </c>
    </row>
    <row r="1926" spans="1:8" ht="13.2" x14ac:dyDescent="0.25">
      <c r="A1926" s="1" t="str">
        <f ca="1">IFERROR(__xludf.DUMMYFUNCTION("GOOGLETRANSLATE(English!A1926, ""en"", ""bg"")"),"conv_02851")</f>
        <v>conv_02851</v>
      </c>
      <c r="B1926" s="1" t="str">
        <f ca="1">IFERROR(__xludf.DUMMYFUNCTION("GOOGLETRANSLATE(English!B1926, ""en"", ""bg"")"),"химия")</f>
        <v>химия</v>
      </c>
      <c r="C1926" s="1" t="str">
        <f ca="1">IFERROR(__xludf.DUMMYFUNCTION("GOOGLETRANSLATE(English!C1926, ""en"", ""bg"")"),"елементарен")</f>
        <v>елементарен</v>
      </c>
      <c r="D1926" s="1" t="str">
        <f ca="1">IFERROR(__xludf.DUMMYFUNCTION("GOOGLETRANSLATE(English!D1926, ""en"", ""bg"")"),"ежедневни химикали")</f>
        <v>ежедневни химикали</v>
      </c>
      <c r="E1926" s="1" t="str">
        <f ca="1">IFERROR(__xludf.DUMMYFUNCTION("GOOGLETRANSLATE(English!E1926, ""en"", ""bg"")"),"Можете ли да ми обясните това? Можете ли да ми помогнете да разбера ежедневните химикали?")</f>
        <v>Можете ли да ми обясните това? Можете ли да ми помогнете да разбера ежедневните химикали?</v>
      </c>
      <c r="F1926" s="1" t="str">
        <f ca="1">IFERROR(__xludf.DUMMYFUNCTION("GOOGLETRANSLATE(English!F1926,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1926" s="1" t="str">
        <f ca="1">IFERROR(__xludf.DUMMYFUNCTION("GOOGLETRANSLATE(English!G1926, ""en"", ""bg"")"),"разговор")</f>
        <v>разговор</v>
      </c>
      <c r="H1926" s="1" t="str">
        <f ca="1">IFERROR(__xludf.DUMMYFUNCTION("GOOGLETRANSLATE(English!H1926, ""en"", ""bg"")"),"образователна_помощ")</f>
        <v>образователна_помощ</v>
      </c>
    </row>
    <row r="1927" spans="1:8" ht="13.2" x14ac:dyDescent="0.25">
      <c r="A1927" s="1" t="str">
        <f ca="1">IFERROR(__xludf.DUMMYFUNCTION("GOOGLETRANSLATE(English!A1927, ""en"", ""bg"")"),"qa_05228")</f>
        <v>qa_05228</v>
      </c>
      <c r="B1927" s="1" t="str">
        <f ca="1">IFERROR(__xludf.DUMMYFUNCTION("GOOGLETRANSLATE(English!B1927, ""en"", ""bg"")"),"химия")</f>
        <v>химия</v>
      </c>
      <c r="C1927" s="1" t="str">
        <f ca="1">IFERROR(__xludf.DUMMYFUNCTION("GOOGLETRANSLATE(English!C1927, ""en"", ""bg"")"),"елементарен")</f>
        <v>елементарен</v>
      </c>
      <c r="D1927" s="1" t="str">
        <f ca="1">IFERROR(__xludf.DUMMYFUNCTION("GOOGLETRANSLATE(English!D1927, ""en"", ""bg"")"),"ежедневни химикали")</f>
        <v>ежедневни химикали</v>
      </c>
      <c r="E1927" s="1" t="str">
        <f ca="1">IFERROR(__xludf.DUMMYFUNCTION("GOOGLETRANSLATE(English!E1927, ""en"", ""bg"")"),"Защо е важно да се изучават ежедневните химикали?")</f>
        <v>Защо е важно да се изучават ежедневните химикали?</v>
      </c>
      <c r="F1927" s="1" t="str">
        <f ca="1">IFERROR(__xludf.DUMMYFUNCTION("GOOGLETRANSLATE(English!F1927,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1927" s="1" t="str">
        <f ca="1">IFERROR(__xludf.DUMMYFUNCTION("GOOGLETRANSLATE(English!G1927, ""en"", ""bg"")"),"direct_qa")</f>
        <v>direct_qa</v>
      </c>
      <c r="H1927" s="1" t="str">
        <f ca="1">IFERROR(__xludf.DUMMYFUNCTION("GOOGLETRANSLATE(English!H1927, ""en"", ""bg"")"),"заявка_за_знание")</f>
        <v>заявка_за_знание</v>
      </c>
    </row>
    <row r="1928" spans="1:8" ht="13.2" x14ac:dyDescent="0.25">
      <c r="A1928" s="1" t="str">
        <f ca="1">IFERROR(__xludf.DUMMYFUNCTION("GOOGLETRANSLATE(English!A1928, ""en"", ""bg"")"),"qa_12271")</f>
        <v>qa_12271</v>
      </c>
      <c r="B1928" s="1" t="str">
        <f ca="1">IFERROR(__xludf.DUMMYFUNCTION("GOOGLETRANSLATE(English!B1928, ""en"", ""bg"")"),"биология")</f>
        <v>биология</v>
      </c>
      <c r="C1928" s="1" t="str">
        <f ca="1">IFERROR(__xludf.DUMMYFUNCTION("GOOGLETRANSLATE(English!C1928, ""en"", ""bg"")"),"средата")</f>
        <v>средата</v>
      </c>
      <c r="D1928" s="1" t="str">
        <f ca="1">IFERROR(__xludf.DUMMYFUNCTION("GOOGLETRANSLATE(English!D1928, ""en"", ""bg"")"),"фотосинтеза")</f>
        <v>фотосинтеза</v>
      </c>
      <c r="E1928" s="1" t="str">
        <f ca="1">IFERROR(__xludf.DUMMYFUNCTION("GOOGLETRANSLATE(English!E1928, ""en"", ""bg"")"),"Какво е важно да знаем за фотосинтезата?")</f>
        <v>Какво е важно да знаем за фотосинтезата?</v>
      </c>
      <c r="F1928" s="1" t="str">
        <f ca="1">IFERROR(__xludf.DUMMYFUNCTION("GOOGLETRANSLATE(English!F1928,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1928" s="1" t="str">
        <f ca="1">IFERROR(__xludf.DUMMYFUNCTION("GOOGLETRANSLATE(English!G1928, ""en"", ""bg"")"),"direct_qa")</f>
        <v>direct_qa</v>
      </c>
      <c r="H1928" s="1" t="str">
        <f ca="1">IFERROR(__xludf.DUMMYFUNCTION("GOOGLETRANSLATE(English!H1928, ""en"", ""bg"")"),"заявка_за_знание")</f>
        <v>заявка_за_знание</v>
      </c>
    </row>
    <row r="1929" spans="1:8" ht="13.2" x14ac:dyDescent="0.25">
      <c r="A1929" s="1" t="str">
        <f ca="1">IFERROR(__xludf.DUMMYFUNCTION("GOOGLETRANSLATE(English!A1929, ""en"", ""bg"")"),"hw_03010")</f>
        <v>hw_03010</v>
      </c>
      <c r="B1929" s="1" t="str">
        <f ca="1">IFERROR(__xludf.DUMMYFUNCTION("GOOGLETRANSLATE(English!B1929, ""en"", ""bg"")"),"химия")</f>
        <v>химия</v>
      </c>
      <c r="C1929" s="1" t="str">
        <f ca="1">IFERROR(__xludf.DUMMYFUNCTION("GOOGLETRANSLATE(English!C1929, ""en"", ""bg"")"),"елементарен")</f>
        <v>елементарен</v>
      </c>
      <c r="D1929" s="1" t="str">
        <f ca="1">IFERROR(__xludf.DUMMYFUNCTION("GOOGLETRANSLATE(English!D1929, ""en"", ""bg"")"),"безопасност")</f>
        <v>безопасност</v>
      </c>
      <c r="E1929" s="1" t="str">
        <f ca="1">IFERROR(__xludf.DUMMYFUNCTION("GOOGLETRANSLATE(English!E1929,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1929" s="1" t="str">
        <f ca="1">IFERROR(__xludf.DUMMYFUNCTION("GOOGLETRANSLATE(English!F1929,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1929" s="1" t="str">
        <f ca="1">IFERROR(__xludf.DUMMYFUNCTION("GOOGLETRANSLATE(English!G1929, ""en"", ""bg"")"),"помощ_за_домашно_изпълнение")</f>
        <v>помощ_за_домашно_изпълнение</v>
      </c>
      <c r="H1929" s="1" t="str">
        <f ca="1">IFERROR(__xludf.DUMMYFUNCTION("GOOGLETRANSLATE(English!H1929, ""en"", ""bg"")"),"помощ_за_домашно_задаване")</f>
        <v>помощ_за_домашно_задаване</v>
      </c>
    </row>
    <row r="1930" spans="1:8" ht="13.2" x14ac:dyDescent="0.25">
      <c r="A1930" s="1" t="str">
        <f ca="1">IFERROR(__xludf.DUMMYFUNCTION("GOOGLETRANSLATE(English!A1930, ""en"", ""bg"")"),"hw_04873")</f>
        <v>hw_04873</v>
      </c>
      <c r="B1930" s="1" t="str">
        <f ca="1">IFERROR(__xludf.DUMMYFUNCTION("GOOGLETRANSLATE(English!B1930, ""en"", ""bg"")"),"биология")</f>
        <v>биология</v>
      </c>
      <c r="C1930" s="1" t="str">
        <f ca="1">IFERROR(__xludf.DUMMYFUNCTION("GOOGLETRANSLATE(English!C1930, ""en"", ""bg"")"),"средата")</f>
        <v>средата</v>
      </c>
      <c r="D1930" s="1" t="str">
        <f ca="1">IFERROR(__xludf.DUMMYFUNCTION("GOOGLETRANSLATE(English!D1930, ""en"", ""bg"")"),"основи на генетиката")</f>
        <v>основи на генетиката</v>
      </c>
      <c r="E1930" s="1" t="str">
        <f ca="1">IFERROR(__xludf.DUMMYFUNCTION("GOOGLETRANSLATE(English!E1930, ""en"", ""bg"")"),"Можете ли да обясните основите на генетиката за моя научен проект?")</f>
        <v>Можете ли да обясните основите на генетиката за моя научен проект?</v>
      </c>
      <c r="F1930" s="1" t="str">
        <f ca="1">IFERROR(__xludf.DUMMYFUNCTION("GOOGLETRANSLATE(English!F1930,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930" s="1" t="str">
        <f ca="1">IFERROR(__xludf.DUMMYFUNCTION("GOOGLETRANSLATE(English!G1930, ""en"", ""bg"")"),"помощ_за_домашно_изпълнение")</f>
        <v>помощ_за_домашно_изпълнение</v>
      </c>
      <c r="H1930" s="1" t="str">
        <f ca="1">IFERROR(__xludf.DUMMYFUNCTION("GOOGLETRANSLATE(English!H1930, ""en"", ""bg"")"),"помощ_за_домашно_задаване")</f>
        <v>помощ_за_домашно_задаване</v>
      </c>
    </row>
    <row r="1931" spans="1:8" ht="13.2" x14ac:dyDescent="0.25">
      <c r="A1931" s="1" t="str">
        <f ca="1">IFERROR(__xludf.DUMMYFUNCTION("GOOGLETRANSLATE(English!A1931, ""en"", ""bg"")"),"hw_05255")</f>
        <v>hw_05255</v>
      </c>
      <c r="B1931" s="1" t="str">
        <f ca="1">IFERROR(__xludf.DUMMYFUNCTION("GOOGLETRANSLATE(English!B1931, ""en"", ""bg"")"),"химия")</f>
        <v>химия</v>
      </c>
      <c r="C1931" s="1" t="str">
        <f ca="1">IFERROR(__xludf.DUMMYFUNCTION("GOOGLETRANSLATE(English!C1931, ""en"", ""bg"")"),"елементарен")</f>
        <v>елементарен</v>
      </c>
      <c r="D1931" s="1" t="str">
        <f ca="1">IFERROR(__xludf.DUMMYFUNCTION("GOOGLETRANSLATE(English!D1931, ""en"", ""bg"")"),"промени в материалите")</f>
        <v>промени в материалите</v>
      </c>
      <c r="E1931" s="1" t="str">
        <f ca="1">IFERROR(__xludf.DUMMYFUNCTION("GOOGLETRANSLATE(English!E1931,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1931" s="1" t="str">
        <f ca="1">IFERROR(__xludf.DUMMYFUNCTION("GOOGLETRANSLATE(English!F1931,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1931" s="1" t="str">
        <f ca="1">IFERROR(__xludf.DUMMYFUNCTION("GOOGLETRANSLATE(English!G1931, ""en"", ""bg"")"),"помощ_за_домашно_изпълнение")</f>
        <v>помощ_за_домашно_изпълнение</v>
      </c>
      <c r="H1931" s="1" t="str">
        <f ca="1">IFERROR(__xludf.DUMMYFUNCTION("GOOGLETRANSLATE(English!H1931, ""en"", ""bg"")"),"помощ_за_домашно_задаване")</f>
        <v>помощ_за_домашно_задаване</v>
      </c>
    </row>
    <row r="1932" spans="1:8" ht="13.2" x14ac:dyDescent="0.25">
      <c r="A1932" s="1" t="str">
        <f ca="1">IFERROR(__xludf.DUMMYFUNCTION("GOOGLETRANSLATE(English!A1932, ""en"", ""bg"")"),"qa_11652")</f>
        <v>qa_11652</v>
      </c>
      <c r="B1932" s="1" t="str">
        <f ca="1">IFERROR(__xludf.DUMMYFUNCTION("GOOGLETRANSLATE(English!B1932, ""en"", ""bg"")"),"физика")</f>
        <v>физика</v>
      </c>
      <c r="C1932" s="1" t="str">
        <f ca="1">IFERROR(__xludf.DUMMYFUNCTION("GOOGLETRANSLATE(English!C1932, ""en"", ""bg"")"),"елементарен")</f>
        <v>елементарен</v>
      </c>
      <c r="D1932" s="1" t="str">
        <f ca="1">IFERROR(__xludf.DUMMYFUNCTION("GOOGLETRANSLATE(English!D1932, ""en"", ""bg"")"),"светлина и сянка")</f>
        <v>светлина и сянка</v>
      </c>
      <c r="E1932" s="1" t="str">
        <f ca="1">IFERROR(__xludf.DUMMYFUNCTION("GOOGLETRANSLATE(English!E1932, ""en"", ""bg"")"),"Как се правят сенките?")</f>
        <v>Как се правят сенките?</v>
      </c>
      <c r="F1932" s="1" t="str">
        <f ca="1">IFERROR(__xludf.DUMMYFUNCTION("GOOGLETRANSLATE(English!F1932,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1932" s="1" t="str">
        <f ca="1">IFERROR(__xludf.DUMMYFUNCTION("GOOGLETRANSLATE(English!G1932, ""en"", ""bg"")"),"direct_qa")</f>
        <v>direct_qa</v>
      </c>
      <c r="H1932" s="1" t="str">
        <f ca="1">IFERROR(__xludf.DUMMYFUNCTION("GOOGLETRANSLATE(English!H1932, ""en"", ""bg"")"),"заявка_за_знание")</f>
        <v>заявка_за_знание</v>
      </c>
    </row>
    <row r="1933" spans="1:8" ht="13.2" x14ac:dyDescent="0.25">
      <c r="A1933" s="1" t="str">
        <f ca="1">IFERROR(__xludf.DUMMYFUNCTION("GOOGLETRANSLATE(English!A1933, ""en"", ""bg"")"),"conv_16768")</f>
        <v>conv_16768</v>
      </c>
      <c r="B1933" s="1" t="str">
        <f ca="1">IFERROR(__xludf.DUMMYFUNCTION("GOOGLETRANSLATE(English!B1933, ""en"", ""bg"")"),"химия")</f>
        <v>химия</v>
      </c>
      <c r="C1933" s="1" t="str">
        <f ca="1">IFERROR(__xludf.DUMMYFUNCTION("GOOGLETRANSLATE(English!C1933, ""en"", ""bg"")"),"елементарен")</f>
        <v>елементарен</v>
      </c>
      <c r="D1933" s="1" t="str">
        <f ca="1">IFERROR(__xludf.DUMMYFUNCTION("GOOGLETRANSLATE(English!D1933, ""en"", ""bg"")"),"безопасност")</f>
        <v>безопасност</v>
      </c>
      <c r="E1933" s="1" t="str">
        <f ca="1">IFERROR(__xludf.DUMMYFUNCTION("GOOGLETRANSLATE(English!E1933, ""en"", ""bg"")"),"Имам нужда от помощ с домашното. Можете ли да ми помогнете да разбера безопасността?")</f>
        <v>Имам нужда от помощ с домашното. Можете ли да ми помогнете да разбера безопасността?</v>
      </c>
      <c r="F1933" s="1" t="str">
        <f ca="1">IFERROR(__xludf.DUMMYFUNCTION("GOOGLETRANSLATE(English!F1933,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1933" s="1" t="str">
        <f ca="1">IFERROR(__xludf.DUMMYFUNCTION("GOOGLETRANSLATE(English!G1933, ""en"", ""bg"")"),"разговор")</f>
        <v>разговор</v>
      </c>
      <c r="H1933" s="1" t="str">
        <f ca="1">IFERROR(__xludf.DUMMYFUNCTION("GOOGLETRANSLATE(English!H1933, ""en"", ""bg"")"),"образователна_помощ")</f>
        <v>образователна_помощ</v>
      </c>
    </row>
    <row r="1934" spans="1:8" ht="13.2" x14ac:dyDescent="0.25">
      <c r="A1934" s="1" t="str">
        <f ca="1">IFERROR(__xludf.DUMMYFUNCTION("GOOGLETRANSLATE(English!A1934, ""en"", ""bg"")"),"qa_07549")</f>
        <v>qa_07549</v>
      </c>
      <c r="B1934" s="1" t="str">
        <f ca="1">IFERROR(__xludf.DUMMYFUNCTION("GOOGLETRANSLATE(English!B1934, ""en"", ""bg"")"),"биология")</f>
        <v>биология</v>
      </c>
      <c r="C1934" s="1" t="str">
        <f ca="1">IFERROR(__xludf.DUMMYFUNCTION("GOOGLETRANSLATE(English!C1934, ""en"", ""bg"")"),"елементарен")</f>
        <v>елементарен</v>
      </c>
      <c r="D1934" s="1" t="str">
        <f ca="1">IFERROR(__xludf.DUMMYFUNCTION("GOOGLETRANSLATE(English!D1934, ""en"", ""bg"")"),"домашни любимци срещу диви животни")</f>
        <v>домашни любимци срещу диви животни</v>
      </c>
      <c r="E1934" s="1" t="str">
        <f ca="1">IFERROR(__xludf.DUMMYFUNCTION("GOOGLETRANSLATE(English!E1934,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1934" s="1" t="str">
        <f ca="1">IFERROR(__xludf.DUMMYFUNCTION("GOOGLETRANSLATE(English!F1934,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1934" s="1" t="str">
        <f ca="1">IFERROR(__xludf.DUMMYFUNCTION("GOOGLETRANSLATE(English!G1934, ""en"", ""bg"")"),"direct_qa")</f>
        <v>direct_qa</v>
      </c>
      <c r="H1934" s="1" t="str">
        <f ca="1">IFERROR(__xludf.DUMMYFUNCTION("GOOGLETRANSLATE(English!H1934, ""en"", ""bg"")"),"заявка_за_знание")</f>
        <v>заявка_за_знание</v>
      </c>
    </row>
    <row r="1935" spans="1:8" ht="13.2" x14ac:dyDescent="0.25">
      <c r="A1935" s="1" t="str">
        <f ca="1">IFERROR(__xludf.DUMMYFUNCTION("GOOGLETRANSLATE(English!A1935, ""en"", ""bg"")"),"qa_07619")</f>
        <v>qa_07619</v>
      </c>
      <c r="B1935" s="1" t="str">
        <f ca="1">IFERROR(__xludf.DUMMYFUNCTION("GOOGLETRANSLATE(English!B1935, ""en"", ""bg"")"),"химия")</f>
        <v>химия</v>
      </c>
      <c r="C1935" s="1" t="str">
        <f ca="1">IFERROR(__xludf.DUMMYFUNCTION("GOOGLETRANSLATE(English!C1935, ""en"", ""bg"")"),"елементарен")</f>
        <v>елементарен</v>
      </c>
      <c r="D1935" s="1" t="str">
        <f ca="1">IFERROR(__xludf.DUMMYFUNCTION("GOOGLETRANSLATE(English!D1935, ""en"", ""bg"")"),"промени в материалите")</f>
        <v>промени в материалите</v>
      </c>
      <c r="E1935" s="1" t="str">
        <f ca="1">IFERROR(__xludf.DUMMYFUNCTION("GOOGLETRANSLATE(English!E1935, ""en"", ""bg"")"),"Защо е важно да се изучават промените в материалите?")</f>
        <v>Защо е важно да се изучават промените в материалите?</v>
      </c>
      <c r="F1935" s="1" t="str">
        <f ca="1">IFERROR(__xludf.DUMMYFUNCTION("GOOGLETRANSLATE(English!F1935,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1935" s="1" t="str">
        <f ca="1">IFERROR(__xludf.DUMMYFUNCTION("GOOGLETRANSLATE(English!G1935, ""en"", ""bg"")"),"direct_qa")</f>
        <v>direct_qa</v>
      </c>
      <c r="H1935" s="1" t="str">
        <f ca="1">IFERROR(__xludf.DUMMYFUNCTION("GOOGLETRANSLATE(English!H1935, ""en"", ""bg"")"),"заявка_за_знание")</f>
        <v>заявка_за_знание</v>
      </c>
    </row>
    <row r="1936" spans="1:8" ht="13.2" x14ac:dyDescent="0.25">
      <c r="A1936" s="1" t="str">
        <f ca="1">IFERROR(__xludf.DUMMYFUNCTION("GOOGLETRANSLATE(English!A1936, ""en"", ""bg"")"),"qa_14126")</f>
        <v>qa_14126</v>
      </c>
      <c r="B1936" s="1" t="str">
        <f ca="1">IFERROR(__xludf.DUMMYFUNCTION("GOOGLETRANSLATE(English!B1936, ""en"", ""bg"")"),"химия")</f>
        <v>химия</v>
      </c>
      <c r="C1936" s="1" t="str">
        <f ca="1">IFERROR(__xludf.DUMMYFUNCTION("GOOGLETRANSLATE(English!C1936, ""en"", ""bg"")"),"високо")</f>
        <v>високо</v>
      </c>
      <c r="D1936" s="1" t="str">
        <f ca="1">IFERROR(__xludf.DUMMYFUNCTION("GOOGLETRANSLATE(English!D1936, ""en"", ""bg"")"),"стехиометрия")</f>
        <v>стехиометрия</v>
      </c>
      <c r="E1936" s="1" t="str">
        <f ca="1">IFERROR(__xludf.DUMMYFUNCTION("GOOGLETRANSLATE(English!E1936, ""en"", ""bg"")"),"Как работи стехиометрията в химията?")</f>
        <v>Как работи стехиометрията в химията?</v>
      </c>
      <c r="F1936" s="1" t="str">
        <f ca="1">IFERROR(__xludf.DUMMYFUNCTION("GOOGLETRANSLATE(English!F1936,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1936" s="1" t="str">
        <f ca="1">IFERROR(__xludf.DUMMYFUNCTION("GOOGLETRANSLATE(English!G1936, ""en"", ""bg"")"),"direct_qa")</f>
        <v>direct_qa</v>
      </c>
      <c r="H1936" s="1" t="str">
        <f ca="1">IFERROR(__xludf.DUMMYFUNCTION("GOOGLETRANSLATE(English!H1936, ""en"", ""bg"")"),"заявка_за_знание")</f>
        <v>заявка_за_знание</v>
      </c>
    </row>
    <row r="1937" spans="1:8" ht="13.2" x14ac:dyDescent="0.25">
      <c r="A1937" s="1" t="str">
        <f ca="1">IFERROR(__xludf.DUMMYFUNCTION("GOOGLETRANSLATE(English!A1937, ""en"", ""bg"")"),"qa_08843")</f>
        <v>qa_08843</v>
      </c>
      <c r="B1937" s="1" t="str">
        <f ca="1">IFERROR(__xludf.DUMMYFUNCTION("GOOGLETRANSLATE(English!B1937, ""en"", ""bg"")"),"физика")</f>
        <v>физика</v>
      </c>
      <c r="C1937" s="1" t="str">
        <f ca="1">IFERROR(__xludf.DUMMYFUNCTION("GOOGLETRANSLATE(English!C1937, ""en"", ""bg"")"),"високо")</f>
        <v>високо</v>
      </c>
      <c r="D1937" s="1" t="str">
        <f ca="1">IFERROR(__xludf.DUMMYFUNCTION("GOOGLETRANSLATE(English!D1937, ""en"", ""bg"")"),"електромагнетизъм")</f>
        <v>електромагнетизъм</v>
      </c>
      <c r="E1937" s="1" t="str">
        <f ca="1">IFERROR(__xludf.DUMMYFUNCTION("GOOGLETRANSLATE(English!E1937, ""en"", ""bg"")"),"Можете ли да ми обясните електромагнетизма?")</f>
        <v>Можете ли да ми обясните електромагнетизма?</v>
      </c>
      <c r="F1937" s="1" t="str">
        <f ca="1">IFERROR(__xludf.DUMMYFUNCTION("GOOGLETRANSLATE(English!F1937,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1937" s="1" t="str">
        <f ca="1">IFERROR(__xludf.DUMMYFUNCTION("GOOGLETRANSLATE(English!G1937, ""en"", ""bg"")"),"direct_qa")</f>
        <v>direct_qa</v>
      </c>
      <c r="H1937" s="1" t="str">
        <f ca="1">IFERROR(__xludf.DUMMYFUNCTION("GOOGLETRANSLATE(English!H1937, ""en"", ""bg"")"),"заявка_за_знание")</f>
        <v>заявка_за_знание</v>
      </c>
    </row>
    <row r="1938" spans="1:8" ht="13.2" x14ac:dyDescent="0.25">
      <c r="A1938" s="1" t="str">
        <f ca="1">IFERROR(__xludf.DUMMYFUNCTION("GOOGLETRANSLATE(English!A1938, ""en"", ""bg"")"),"conv_09237")</f>
        <v>conv_09237</v>
      </c>
      <c r="B1938" s="1" t="str">
        <f ca="1">IFERROR(__xludf.DUMMYFUNCTION("GOOGLETRANSLATE(English!B1938, ""en"", ""bg"")"),"физика")</f>
        <v>физика</v>
      </c>
      <c r="C1938" s="1" t="str">
        <f ca="1">IFERROR(__xludf.DUMMYFUNCTION("GOOGLETRANSLATE(English!C1938, ""en"", ""bg"")"),"елементарен")</f>
        <v>елементарен</v>
      </c>
      <c r="D1938" s="1" t="str">
        <f ca="1">IFERROR(__xludf.DUMMYFUNCTION("GOOGLETRANSLATE(English!D1938, ""en"", ""bg"")"),"звук")</f>
        <v>звук</v>
      </c>
      <c r="E1938" s="1" t="str">
        <f ca="1">IFERROR(__xludf.DUMMYFUNCTION("GOOGLETRANSLATE(English!E1938, ""en"", ""bg"")"),"Не разбирам тази тема. Какво трябва да знам за звука?")</f>
        <v>Не разбирам тази тема. Какво трябва да знам за звука?</v>
      </c>
      <c r="F1938" s="1" t="str">
        <f ca="1">IFERROR(__xludf.DUMMYFUNCTION("GOOGLETRANSLATE(English!F1938,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1938" s="1" t="str">
        <f ca="1">IFERROR(__xludf.DUMMYFUNCTION("GOOGLETRANSLATE(English!G1938, ""en"", ""bg"")"),"разговор")</f>
        <v>разговор</v>
      </c>
      <c r="H1938" s="1" t="str">
        <f ca="1">IFERROR(__xludf.DUMMYFUNCTION("GOOGLETRANSLATE(English!H1938, ""en"", ""bg"")"),"образователна_помощ")</f>
        <v>образователна_помощ</v>
      </c>
    </row>
    <row r="1939" spans="1:8" ht="13.2" x14ac:dyDescent="0.25">
      <c r="A1939" s="1" t="str">
        <f ca="1">IFERROR(__xludf.DUMMYFUNCTION("GOOGLETRANSLATE(English!A1939, ""en"", ""bg"")"),"qa_00265")</f>
        <v>qa_00265</v>
      </c>
      <c r="B1939" s="1" t="str">
        <f ca="1">IFERROR(__xludf.DUMMYFUNCTION("GOOGLETRANSLATE(English!B1939, ""en"", ""bg"")"),"физика")</f>
        <v>физика</v>
      </c>
      <c r="C1939" s="1" t="str">
        <f ca="1">IFERROR(__xludf.DUMMYFUNCTION("GOOGLETRANSLATE(English!C1939, ""en"", ""bg"")"),"високо")</f>
        <v>високо</v>
      </c>
      <c r="D1939" s="1" t="str">
        <f ca="1">IFERROR(__xludf.DUMMYFUNCTION("GOOGLETRANSLATE(English!D1939, ""en"", ""bg"")"),"радиоактивност")</f>
        <v>радиоактивност</v>
      </c>
      <c r="E1939" s="1" t="str">
        <f ca="1">IFERROR(__xludf.DUMMYFUNCTION("GOOGLETRANSLATE(English!E1939, ""en"", ""bg"")"),"Какво трябва да знам за радиоактивността?")</f>
        <v>Какво трябва да знам за радиоактивността?</v>
      </c>
      <c r="F1939" s="1" t="str">
        <f ca="1">IFERROR(__xludf.DUMMYFUNCTION("GOOGLETRANSLATE(English!F1939,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1939" s="1" t="str">
        <f ca="1">IFERROR(__xludf.DUMMYFUNCTION("GOOGLETRANSLATE(English!G1939, ""en"", ""bg"")"),"direct_qa")</f>
        <v>direct_qa</v>
      </c>
      <c r="H1939" s="1" t="str">
        <f ca="1">IFERROR(__xludf.DUMMYFUNCTION("GOOGLETRANSLATE(English!H1939, ""en"", ""bg"")"),"заявка_за_знание")</f>
        <v>заявка_за_знание</v>
      </c>
    </row>
    <row r="1940" spans="1:8" ht="13.2" x14ac:dyDescent="0.25">
      <c r="A1940" s="1" t="str">
        <f ca="1">IFERROR(__xludf.DUMMYFUNCTION("GOOGLETRANSLATE(English!A1940, ""en"", ""bg"")"),"conv_17603")</f>
        <v>conv_17603</v>
      </c>
      <c r="B1940" s="1" t="str">
        <f ca="1">IFERROR(__xludf.DUMMYFUNCTION("GOOGLETRANSLATE(English!B1940, ""en"", ""bg"")"),"биология")</f>
        <v>биология</v>
      </c>
      <c r="C1940" s="1" t="str">
        <f ca="1">IFERROR(__xludf.DUMMYFUNCTION("GOOGLETRANSLATE(English!C1940, ""en"", ""bg"")"),"високо")</f>
        <v>високо</v>
      </c>
      <c r="D1940" s="1" t="str">
        <f ca="1">IFERROR(__xludf.DUMMYFUNCTION("GOOGLETRANSLATE(English!D1940, ""en"", ""bg"")"),"синтез на протеини")</f>
        <v>синтез на протеини</v>
      </c>
      <c r="E1940" s="1" t="str">
        <f ca="1">IFERROR(__xludf.DUMMYFUNCTION("GOOGLETRANSLATE(English!E1940, ""en"", ""bg"")"),"Можете ли да ми помогнете? Можете ли да ми разкажете за синтеза на протеини?")</f>
        <v>Можете ли да ми помогнете? Можете ли да ми разкажете за синтеза на протеини?</v>
      </c>
      <c r="F1940" s="1" t="str">
        <f ca="1">IFERROR(__xludf.DUMMYFUNCTION("GOOGLETRANSLATE(English!F1940,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1940" s="1" t="str">
        <f ca="1">IFERROR(__xludf.DUMMYFUNCTION("GOOGLETRANSLATE(English!G1940, ""en"", ""bg"")"),"разговор")</f>
        <v>разговор</v>
      </c>
      <c r="H1940" s="1" t="str">
        <f ca="1">IFERROR(__xludf.DUMMYFUNCTION("GOOGLETRANSLATE(English!H1940, ""en"", ""bg"")"),"образователна_помощ")</f>
        <v>образователна_помощ</v>
      </c>
    </row>
    <row r="1941" spans="1:8" ht="13.2" x14ac:dyDescent="0.25">
      <c r="A1941" s="1" t="str">
        <f ca="1">IFERROR(__xludf.DUMMYFUNCTION("GOOGLETRANSLATE(English!A1941, ""en"", ""bg"")"),"conv_15328")</f>
        <v>conv_15328</v>
      </c>
      <c r="B1941" s="1" t="str">
        <f ca="1">IFERROR(__xludf.DUMMYFUNCTION("GOOGLETRANSLATE(English!B1941, ""en"", ""bg"")"),"биология")</f>
        <v>биология</v>
      </c>
      <c r="C1941" s="1" t="str">
        <f ca="1">IFERROR(__xludf.DUMMYFUNCTION("GOOGLETRANSLATE(English!C1941, ""en"", ""bg"")"),"средата")</f>
        <v>средата</v>
      </c>
      <c r="D1941" s="1" t="str">
        <f ca="1">IFERROR(__xludf.DUMMYFUNCTION("GOOGLETRANSLATE(English!D1941, ""en"", ""bg"")"),"фотосинтеза")</f>
        <v>фотосинтеза</v>
      </c>
      <c r="E1941" s="1" t="str">
        <f ca="1">IFERROR(__xludf.DUMMYFUNCTION("GOOGLETRANSLATE(English!E1941, ""en"", ""bg"")"),"Можете ли да ми помогнете? Как работи фотосинтезата?")</f>
        <v>Можете ли да ми помогнете? Как работи фотосинтезата?</v>
      </c>
      <c r="F1941" s="1" t="str">
        <f ca="1">IFERROR(__xludf.DUMMYFUNCTION("GOOGLETRANSLATE(English!F1941,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1941" s="1" t="str">
        <f ca="1">IFERROR(__xludf.DUMMYFUNCTION("GOOGLETRANSLATE(English!G1941, ""en"", ""bg"")"),"разговор")</f>
        <v>разговор</v>
      </c>
      <c r="H1941" s="1" t="str">
        <f ca="1">IFERROR(__xludf.DUMMYFUNCTION("GOOGLETRANSLATE(English!H1941, ""en"", ""bg"")"),"образователна_помощ")</f>
        <v>образователна_помощ</v>
      </c>
    </row>
    <row r="1942" spans="1:8" ht="13.2" x14ac:dyDescent="0.25">
      <c r="A1942" s="1" t="str">
        <f ca="1">IFERROR(__xludf.DUMMYFUNCTION("GOOGLETRANSLATE(English!A1942, ""en"", ""bg"")"),"qa_05402")</f>
        <v>qa_05402</v>
      </c>
      <c r="B1942" s="1" t="str">
        <f ca="1">IFERROR(__xludf.DUMMYFUNCTION("GOOGLETRANSLATE(English!B1942, ""en"", ""bg"")"),"физика")</f>
        <v>физика</v>
      </c>
      <c r="C1942" s="1" t="str">
        <f ca="1">IFERROR(__xludf.DUMMYFUNCTION("GOOGLETRANSLATE(English!C1942, ""en"", ""bg"")"),"високо")</f>
        <v>високо</v>
      </c>
      <c r="D1942" s="1" t="str">
        <f ca="1">IFERROR(__xludf.DUMMYFUNCTION("GOOGLETRANSLATE(English!D1942, ""en"", ""bg"")"),"радиоактивност")</f>
        <v>радиоактивност</v>
      </c>
      <c r="E1942" s="1" t="str">
        <f ca="1">IFERROR(__xludf.DUMMYFUNCTION("GOOGLETRANSLATE(English!E1942, ""en"", ""bg"")"),"Какво трябва да знам за радиоактивността?")</f>
        <v>Какво трябва да знам за радиоактивността?</v>
      </c>
      <c r="F1942" s="1" t="str">
        <f ca="1">IFERROR(__xludf.DUMMYFUNCTION("GOOGLETRANSLATE(English!F1942,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1942" s="1" t="str">
        <f ca="1">IFERROR(__xludf.DUMMYFUNCTION("GOOGLETRANSLATE(English!G1942, ""en"", ""bg"")"),"direct_qa")</f>
        <v>direct_qa</v>
      </c>
      <c r="H1942" s="1" t="str">
        <f ca="1">IFERROR(__xludf.DUMMYFUNCTION("GOOGLETRANSLATE(English!H1942, ""en"", ""bg"")"),"заявка_за_знание")</f>
        <v>заявка_за_знание</v>
      </c>
    </row>
    <row r="1943" spans="1:8" ht="13.2" x14ac:dyDescent="0.25">
      <c r="A1943" s="1" t="str">
        <f ca="1">IFERROR(__xludf.DUMMYFUNCTION("GOOGLETRANSLATE(English!A1943, ""en"", ""bg"")"),"conv_10158")</f>
        <v>conv_10158</v>
      </c>
      <c r="B1943" s="1" t="str">
        <f ca="1">IFERROR(__xludf.DUMMYFUNCTION("GOOGLETRANSLATE(English!B1943, ""en"", ""bg"")"),"биология")</f>
        <v>биология</v>
      </c>
      <c r="C1943" s="1" t="str">
        <f ca="1">IFERROR(__xludf.DUMMYFUNCTION("GOOGLETRANSLATE(English!C1943, ""en"", ""bg"")"),"средата")</f>
        <v>средата</v>
      </c>
      <c r="D1943" s="1" t="str">
        <f ca="1">IFERROR(__xludf.DUMMYFUNCTION("GOOGLETRANSLATE(English!D1943, ""en"", ""bg"")"),"клетки")</f>
        <v>клетки</v>
      </c>
      <c r="E1943" s="1" t="str">
        <f ca="1">IFERROR(__xludf.DUMMYFUNCTION("GOOGLETRANSLATE(English!E1943, ""en"", ""bg"")"),"Не разбирам тази тема. Кои са основните части на клетката?")</f>
        <v>Не разбирам тази тема. Кои са основните части на клетката?</v>
      </c>
      <c r="F1943" s="1" t="str">
        <f ca="1">IFERROR(__xludf.DUMMYFUNCTION("GOOGLETRANSLATE(English!F1943,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1943" s="1" t="str">
        <f ca="1">IFERROR(__xludf.DUMMYFUNCTION("GOOGLETRANSLATE(English!G1943, ""en"", ""bg"")"),"разговор")</f>
        <v>разговор</v>
      </c>
      <c r="H1943" s="1" t="str">
        <f ca="1">IFERROR(__xludf.DUMMYFUNCTION("GOOGLETRANSLATE(English!H1943, ""en"", ""bg"")"),"образователна_помощ")</f>
        <v>образователна_помощ</v>
      </c>
    </row>
    <row r="1944" spans="1:8" ht="13.2" x14ac:dyDescent="0.25">
      <c r="A1944" s="1" t="str">
        <f ca="1">IFERROR(__xludf.DUMMYFUNCTION("GOOGLETRANSLATE(English!A1944, ""en"", ""bg"")"),"hw_10593")</f>
        <v>hw_10593</v>
      </c>
      <c r="B1944" s="1" t="str">
        <f ca="1">IFERROR(__xludf.DUMMYFUNCTION("GOOGLETRANSLATE(English!B1944, ""en"", ""bg"")"),"химия")</f>
        <v>химия</v>
      </c>
      <c r="C1944" s="1" t="str">
        <f ca="1">IFERROR(__xludf.DUMMYFUNCTION("GOOGLETRANSLATE(English!C1944, ""en"", ""bg"")"),"високо")</f>
        <v>високо</v>
      </c>
      <c r="D1944" s="1" t="str">
        <f ca="1">IFERROR(__xludf.DUMMYFUNCTION("GOOGLETRANSLATE(English!D1944, ""en"", ""bg"")"),"химическо свързване")</f>
        <v>химическо свързване</v>
      </c>
      <c r="E1944" s="1" t="str">
        <f ca="1">IFERROR(__xludf.DUMMYFUNCTION("GOOGLETRANSLATE(English!E1944, ""en"", ""bg"")"),"Не разбирам тази концепция за химическа връзка. Моля, обяснете!")</f>
        <v>Не разбирам тази концепция за химическа връзка. Моля, обяснете!</v>
      </c>
      <c r="F1944" s="1" t="str">
        <f ca="1">IFERROR(__xludf.DUMMYFUNCTION("GOOGLETRANSLATE(English!F1944,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1944" s="1" t="str">
        <f ca="1">IFERROR(__xludf.DUMMYFUNCTION("GOOGLETRANSLATE(English!G1944, ""en"", ""bg"")"),"помощ_за_домашно_изпълнение")</f>
        <v>помощ_за_домашно_изпълнение</v>
      </c>
      <c r="H1944" s="1" t="str">
        <f ca="1">IFERROR(__xludf.DUMMYFUNCTION("GOOGLETRANSLATE(English!H1944, ""en"", ""bg"")"),"помощ_за_домашно_задаване")</f>
        <v>помощ_за_домашно_задаване</v>
      </c>
    </row>
    <row r="1945" spans="1:8" ht="13.2" x14ac:dyDescent="0.25">
      <c r="A1945" s="1" t="str">
        <f ca="1">IFERROR(__xludf.DUMMYFUNCTION("GOOGLETRANSLATE(English!A1945, ""en"", ""bg"")"),"conv_02571")</f>
        <v>conv_02571</v>
      </c>
      <c r="B1945" s="1" t="str">
        <f ca="1">IFERROR(__xludf.DUMMYFUNCTION("GOOGLETRANSLATE(English!B1945, ""en"", ""bg"")"),"физика")</f>
        <v>физика</v>
      </c>
      <c r="C1945" s="1" t="str">
        <f ca="1">IFERROR(__xludf.DUMMYFUNCTION("GOOGLETRANSLATE(English!C1945, ""en"", ""bg"")"),"елементарен")</f>
        <v>елементарен</v>
      </c>
      <c r="D1945" s="1" t="str">
        <f ca="1">IFERROR(__xludf.DUMMYFUNCTION("GOOGLETRANSLATE(English!D1945, ""en"", ""bg"")"),"горещо и студено")</f>
        <v>горещо и студено</v>
      </c>
      <c r="E1945" s="1" t="str">
        <f ca="1">IFERROR(__xludf.DUMMYFUNCTION("GOOGLETRANSLATE(English!E1945, ""en"", ""bg"")"),"Не разбирам тази тема. Защо топлото и студеното са важни?")</f>
        <v>Не разбирам тази тема. Защо топлото и студеното са важни?</v>
      </c>
      <c r="F1945" s="1" t="str">
        <f ca="1">IFERROR(__xludf.DUMMYFUNCTION("GOOGLETRANSLATE(English!F1945,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1945" s="1" t="str">
        <f ca="1">IFERROR(__xludf.DUMMYFUNCTION("GOOGLETRANSLATE(English!G1945, ""en"", ""bg"")"),"разговор")</f>
        <v>разговор</v>
      </c>
      <c r="H1945" s="1" t="str">
        <f ca="1">IFERROR(__xludf.DUMMYFUNCTION("GOOGLETRANSLATE(English!H1945, ""en"", ""bg"")"),"образователна_помощ")</f>
        <v>образователна_помощ</v>
      </c>
    </row>
    <row r="1946" spans="1:8" ht="13.2" x14ac:dyDescent="0.25">
      <c r="A1946" s="1" t="str">
        <f ca="1">IFERROR(__xludf.DUMMYFUNCTION("GOOGLETRANSLATE(English!A1946, ""en"", ""bg"")"),"conv_19559")</f>
        <v>conv_19559</v>
      </c>
      <c r="B1946" s="1" t="str">
        <f ca="1">IFERROR(__xludf.DUMMYFUNCTION("GOOGLETRANSLATE(English!B1946, ""en"", ""bg"")"),"химия")</f>
        <v>химия</v>
      </c>
      <c r="C1946" s="1" t="str">
        <f ca="1">IFERROR(__xludf.DUMMYFUNCTION("GOOGLETRANSLATE(English!C1946, ""en"", ""bg"")"),"елементарен")</f>
        <v>елементарен</v>
      </c>
      <c r="D1946" s="1" t="str">
        <f ca="1">IFERROR(__xludf.DUMMYFUNCTION("GOOGLETRANSLATE(English!D1946, ""en"", ""bg"")"),"разтваряне")</f>
        <v>разтваряне</v>
      </c>
      <c r="E1946" s="1" t="str">
        <f ca="1">IFERROR(__xludf.DUMMYFUNCTION("GOOGLETRANSLATE(English!E1946, ""en"", ""bg"")"),"Здравей, преподавателю! Защо е важно да се учи разтварянето?")</f>
        <v>Здравей, преподавателю! Защо е важно да се учи разтварянето?</v>
      </c>
      <c r="F1946" s="1" t="str">
        <f ca="1">IFERROR(__xludf.DUMMYFUNCTION("GOOGLETRANSLATE(English!F1946,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1946" s="1" t="str">
        <f ca="1">IFERROR(__xludf.DUMMYFUNCTION("GOOGLETRANSLATE(English!G1946, ""en"", ""bg"")"),"разговор")</f>
        <v>разговор</v>
      </c>
      <c r="H1946" s="1" t="str">
        <f ca="1">IFERROR(__xludf.DUMMYFUNCTION("GOOGLETRANSLATE(English!H1946, ""en"", ""bg"")"),"образователна_помощ")</f>
        <v>образователна_помощ</v>
      </c>
    </row>
    <row r="1947" spans="1:8" ht="13.2" x14ac:dyDescent="0.25">
      <c r="A1947" s="1" t="str">
        <f ca="1">IFERROR(__xludf.DUMMYFUNCTION("GOOGLETRANSLATE(English!A1947, ""en"", ""bg"")"),"conv_05797")</f>
        <v>conv_05797</v>
      </c>
      <c r="B1947" s="1" t="str">
        <f ca="1">IFERROR(__xludf.DUMMYFUNCTION("GOOGLETRANSLATE(English!B1947, ""en"", ""bg"")"),"химия")</f>
        <v>химия</v>
      </c>
      <c r="C1947" s="1" t="str">
        <f ca="1">IFERROR(__xludf.DUMMYFUNCTION("GOOGLETRANSLATE(English!C1947, ""en"", ""bg"")"),"високо")</f>
        <v>високо</v>
      </c>
      <c r="D1947" s="1" t="str">
        <f ca="1">IFERROR(__xludf.DUMMYFUNCTION("GOOGLETRANSLATE(English!D1947, ""en"", ""bg"")"),"равновесие")</f>
        <v>равновесие</v>
      </c>
      <c r="E1947" s="1" t="str">
        <f ca="1">IFERROR(__xludf.DUMMYFUNCTION("GOOGLETRANSLATE(English!E1947, ""en"", ""bg"")"),"Можете ли да ми обясните това? Защо е важно да се учи равновесие?")</f>
        <v>Можете ли да ми обясните това? Защо е важно да се учи равновесие?</v>
      </c>
      <c r="F1947" s="1" t="str">
        <f ca="1">IFERROR(__xludf.DUMMYFUNCTION("GOOGLETRANSLATE(English!F1947,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1947" s="1" t="str">
        <f ca="1">IFERROR(__xludf.DUMMYFUNCTION("GOOGLETRANSLATE(English!G1947, ""en"", ""bg"")"),"разговор")</f>
        <v>разговор</v>
      </c>
      <c r="H1947" s="1" t="str">
        <f ca="1">IFERROR(__xludf.DUMMYFUNCTION("GOOGLETRANSLATE(English!H1947, ""en"", ""bg"")"),"образователна_помощ")</f>
        <v>образователна_помощ</v>
      </c>
    </row>
    <row r="1948" spans="1:8" ht="13.2" x14ac:dyDescent="0.25">
      <c r="A1948" s="1" t="str">
        <f ca="1">IFERROR(__xludf.DUMMYFUNCTION("GOOGLETRANSLATE(English!A1948, ""en"", ""bg"")"),"conv_02935")</f>
        <v>conv_02935</v>
      </c>
      <c r="B1948" s="1" t="str">
        <f ca="1">IFERROR(__xludf.DUMMYFUNCTION("GOOGLETRANSLATE(English!B1948, ""en"", ""bg"")"),"биология")</f>
        <v>биология</v>
      </c>
      <c r="C1948" s="1" t="str">
        <f ca="1">IFERROR(__xludf.DUMMYFUNCTION("GOOGLETRANSLATE(English!C1948, ""en"", ""bg"")"),"средата")</f>
        <v>средата</v>
      </c>
      <c r="D1948" s="1" t="str">
        <f ca="1">IFERROR(__xludf.DUMMYFUNCTION("GOOGLETRANSLATE(English!D1948, ""en"", ""bg"")"),"размножаване")</f>
        <v>размножаване</v>
      </c>
      <c r="E1948" s="1" t="str">
        <f ca="1">IFERROR(__xludf.DUMMYFUNCTION("GOOGLETRANSLATE(English!E1948, ""en"", ""bg"")"),"Не разбирам тази тема. Защо размножаването е важно в биологията?")</f>
        <v>Не разбирам тази тема. Защо размножаването е важно в биологията?</v>
      </c>
      <c r="F1948" s="1" t="str">
        <f ca="1">IFERROR(__xludf.DUMMYFUNCTION("GOOGLETRANSLATE(English!F1948,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1948" s="1" t="str">
        <f ca="1">IFERROR(__xludf.DUMMYFUNCTION("GOOGLETRANSLATE(English!G1948, ""en"", ""bg"")"),"разговор")</f>
        <v>разговор</v>
      </c>
      <c r="H1948" s="1" t="str">
        <f ca="1">IFERROR(__xludf.DUMMYFUNCTION("GOOGLETRANSLATE(English!H1948, ""en"", ""bg"")"),"образователна_помощ")</f>
        <v>образователна_помощ</v>
      </c>
    </row>
    <row r="1949" spans="1:8" ht="13.2" x14ac:dyDescent="0.25">
      <c r="A1949" s="1" t="str">
        <f ca="1">IFERROR(__xludf.DUMMYFUNCTION("GOOGLETRANSLATE(English!A1949, ""en"", ""bg"")"),"conv_03218")</f>
        <v>conv_03218</v>
      </c>
      <c r="B1949" s="1" t="str">
        <f ca="1">IFERROR(__xludf.DUMMYFUNCTION("GOOGLETRANSLATE(English!B1949, ""en"", ""bg"")"),"физика")</f>
        <v>физика</v>
      </c>
      <c r="C1949" s="1" t="str">
        <f ca="1">IFERROR(__xludf.DUMMYFUNCTION("GOOGLETRANSLATE(English!C1949, ""en"", ""bg"")"),"елементарен")</f>
        <v>елементарен</v>
      </c>
      <c r="D1949" s="1" t="str">
        <f ca="1">IFERROR(__xludf.DUMMYFUNCTION("GOOGLETRANSLATE(English!D1949, ""en"", ""bg"")"),"прости машини")</f>
        <v>прости машини</v>
      </c>
      <c r="E1949" s="1" t="str">
        <f ca="1">IFERROR(__xludf.DUMMYFUNCTION("GOOGLETRANSLATE(English!E1949, ""en"", ""bg"")"),"Имам нужда от помощ с домашното си. Как работят прости машини във физиката?")</f>
        <v>Имам нужда от помощ с домашното си. Как работят прости машини във физиката?</v>
      </c>
      <c r="F1949" s="1" t="str">
        <f ca="1">IFERROR(__xludf.DUMMYFUNCTION("GOOGLETRANSLATE(English!F1949,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1949" s="1" t="str">
        <f ca="1">IFERROR(__xludf.DUMMYFUNCTION("GOOGLETRANSLATE(English!G1949, ""en"", ""bg"")"),"разговор")</f>
        <v>разговор</v>
      </c>
      <c r="H1949" s="1" t="str">
        <f ca="1">IFERROR(__xludf.DUMMYFUNCTION("GOOGLETRANSLATE(English!H1949, ""en"", ""bg"")"),"образователна_помощ")</f>
        <v>образователна_помощ</v>
      </c>
    </row>
    <row r="1950" spans="1:8" ht="13.2" x14ac:dyDescent="0.25">
      <c r="A1950" s="1" t="str">
        <f ca="1">IFERROR(__xludf.DUMMYFUNCTION("GOOGLETRANSLATE(English!A1950, ""en"", ""bg"")"),"conv_16611")</f>
        <v>conv_16611</v>
      </c>
      <c r="B1950" s="1" t="str">
        <f ca="1">IFERROR(__xludf.DUMMYFUNCTION("GOOGLETRANSLATE(English!B1950, ""en"", ""bg"")"),"биология")</f>
        <v>биология</v>
      </c>
      <c r="C1950" s="1" t="str">
        <f ca="1">IFERROR(__xludf.DUMMYFUNCTION("GOOGLETRANSLATE(English!C1950, ""en"", ""bg"")"),"високо")</f>
        <v>високо</v>
      </c>
      <c r="D1950" s="1" t="str">
        <f ca="1">IFERROR(__xludf.DUMMYFUNCTION("GOOGLETRANSLATE(English!D1950, ""en"", ""bg"")"),"клетъчно дишане")</f>
        <v>клетъчно дишане</v>
      </c>
      <c r="E1950" s="1" t="str">
        <f ca="1">IFERROR(__xludf.DUMMYFUNCTION("GOOGLETRANSLATE(English!E1950, ""en"", ""bg"")"),"Здравей, преподавателю! Какво е важно да знаеш за клетъчното дишане?")</f>
        <v>Здравей, преподавателю! Какво е важно да знаеш за клетъчното дишане?</v>
      </c>
      <c r="F1950" s="1" t="str">
        <f ca="1">IFERROR(__xludf.DUMMYFUNCTION("GOOGLETRANSLATE(English!F1950,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1950" s="1" t="str">
        <f ca="1">IFERROR(__xludf.DUMMYFUNCTION("GOOGLETRANSLATE(English!G1950, ""en"", ""bg"")"),"разговор")</f>
        <v>разговор</v>
      </c>
      <c r="H1950" s="1" t="str">
        <f ca="1">IFERROR(__xludf.DUMMYFUNCTION("GOOGLETRANSLATE(English!H1950, ""en"", ""bg"")"),"образователна_помощ")</f>
        <v>образователна_помощ</v>
      </c>
    </row>
    <row r="1951" spans="1:8" ht="13.2" x14ac:dyDescent="0.25">
      <c r="A1951" s="1" t="str">
        <f ca="1">IFERROR(__xludf.DUMMYFUNCTION("GOOGLETRANSLATE(English!A1951, ""en"", ""bg"")"),"hw_02501")</f>
        <v>hw_02501</v>
      </c>
      <c r="B1951" s="1" t="str">
        <f ca="1">IFERROR(__xludf.DUMMYFUNCTION("GOOGLETRANSLATE(English!B1951, ""en"", ""bg"")"),"химия")</f>
        <v>химия</v>
      </c>
      <c r="C1951" s="1" t="str">
        <f ca="1">IFERROR(__xludf.DUMMYFUNCTION("GOOGLETRANSLATE(English!C1951, ""en"", ""bg"")"),"високо")</f>
        <v>високо</v>
      </c>
      <c r="D1951" s="1" t="str">
        <f ca="1">IFERROR(__xludf.DUMMYFUNCTION("GOOGLETRANSLATE(English!D1951, ""en"", ""bg"")"),"равновесие")</f>
        <v>равновесие</v>
      </c>
      <c r="E1951" s="1" t="str">
        <f ca="1">IFERROR(__xludf.DUMMYFUNCTION("GOOGLETRANSLATE(English!E1951,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1951" s="1" t="str">
        <f ca="1">IFERROR(__xludf.DUMMYFUNCTION("GOOGLETRANSLATE(English!F1951,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1951" s="1" t="str">
        <f ca="1">IFERROR(__xludf.DUMMYFUNCTION("GOOGLETRANSLATE(English!G1951, ""en"", ""bg"")"),"помощ_за_домашно_изпълнение")</f>
        <v>помощ_за_домашно_изпълнение</v>
      </c>
      <c r="H1951" s="1" t="str">
        <f ca="1">IFERROR(__xludf.DUMMYFUNCTION("GOOGLETRANSLATE(English!H1951, ""en"", ""bg"")"),"помощ_за_домашно_задаване")</f>
        <v>помощ_за_домашно_задаване</v>
      </c>
    </row>
    <row r="1952" spans="1:8" ht="13.2" x14ac:dyDescent="0.25">
      <c r="A1952" s="1" t="str">
        <f ca="1">IFERROR(__xludf.DUMMYFUNCTION("GOOGLETRANSLATE(English!A1952, ""en"", ""bg"")"),"qa_06599")</f>
        <v>qa_06599</v>
      </c>
      <c r="B1952" s="1" t="str">
        <f ca="1">IFERROR(__xludf.DUMMYFUNCTION("GOOGLETRANSLATE(English!B1952, ""en"", ""bg"")"),"биология")</f>
        <v>биология</v>
      </c>
      <c r="C1952" s="1" t="str">
        <f ca="1">IFERROR(__xludf.DUMMYFUNCTION("GOOGLETRANSLATE(English!C1952, ""en"", ""bg"")"),"високо")</f>
        <v>високо</v>
      </c>
      <c r="D1952" s="1" t="str">
        <f ca="1">IFERROR(__xludf.DUMMYFUNCTION("GOOGLETRANSLATE(English!D1952, ""en"", ""bg"")"),"митоза и мейоза")</f>
        <v>митоза и мейоза</v>
      </c>
      <c r="E1952" s="1" t="str">
        <f ca="1">IFERROR(__xludf.DUMMYFUNCTION("GOOGLETRANSLATE(English!E1952, ""en"", ""bg"")"),"Какво е важно да знаем за митозата и мейозата?")</f>
        <v>Какво е важно да знаем за митозата и мейозата?</v>
      </c>
      <c r="F1952" s="1" t="str">
        <f ca="1">IFERROR(__xludf.DUMMYFUNCTION("GOOGLETRANSLATE(English!F1952,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1952" s="1" t="str">
        <f ca="1">IFERROR(__xludf.DUMMYFUNCTION("GOOGLETRANSLATE(English!G1952, ""en"", ""bg"")"),"direct_qa")</f>
        <v>direct_qa</v>
      </c>
      <c r="H1952" s="1" t="str">
        <f ca="1">IFERROR(__xludf.DUMMYFUNCTION("GOOGLETRANSLATE(English!H1952, ""en"", ""bg"")"),"заявка_за_знание")</f>
        <v>заявка_за_знание</v>
      </c>
    </row>
    <row r="1953" spans="1:8" ht="13.2" x14ac:dyDescent="0.25">
      <c r="A1953" s="1" t="str">
        <f ca="1">IFERROR(__xludf.DUMMYFUNCTION("GOOGLETRANSLATE(English!A1953, ""en"", ""bg"")"),"qa_03895")</f>
        <v>qa_03895</v>
      </c>
      <c r="B1953" s="1" t="str">
        <f ca="1">IFERROR(__xludf.DUMMYFUNCTION("GOOGLETRANSLATE(English!B1953, ""en"", ""bg"")"),"биология")</f>
        <v>биология</v>
      </c>
      <c r="C1953" s="1" t="str">
        <f ca="1">IFERROR(__xludf.DUMMYFUNCTION("GOOGLETRANSLATE(English!C1953, ""en"", ""bg"")"),"високо")</f>
        <v>високо</v>
      </c>
      <c r="D1953" s="1" t="str">
        <f ca="1">IFERROR(__xludf.DUMMYFUNCTION("GOOGLETRANSLATE(English!D1953, ""en"", ""bg"")"),"митоза и мейоза")</f>
        <v>митоза и мейоза</v>
      </c>
      <c r="E1953" s="1" t="str">
        <f ca="1">IFERROR(__xludf.DUMMYFUNCTION("GOOGLETRANSLATE(English!E1953, ""en"", ""bg"")"),"Можете ли да ми разкажете за митозата и мейозата?")</f>
        <v>Можете ли да ми разкажете за митозата и мейозата?</v>
      </c>
      <c r="F1953" s="1" t="str">
        <f ca="1">IFERROR(__xludf.DUMMYFUNCTION("GOOGLETRANSLATE(English!F1953,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1953" s="1" t="str">
        <f ca="1">IFERROR(__xludf.DUMMYFUNCTION("GOOGLETRANSLATE(English!G1953, ""en"", ""bg"")"),"direct_qa")</f>
        <v>direct_qa</v>
      </c>
      <c r="H1953" s="1" t="str">
        <f ca="1">IFERROR(__xludf.DUMMYFUNCTION("GOOGLETRANSLATE(English!H1953, ""en"", ""bg"")"),"заявка_за_знание")</f>
        <v>заявка_за_знание</v>
      </c>
    </row>
    <row r="1954" spans="1:8" ht="13.2" x14ac:dyDescent="0.25">
      <c r="A1954" s="1" t="str">
        <f ca="1">IFERROR(__xludf.DUMMYFUNCTION("GOOGLETRANSLATE(English!A1954, ""en"", ""bg"")"),"qa_12897")</f>
        <v>qa_12897</v>
      </c>
      <c r="B1954" s="1" t="str">
        <f ca="1">IFERROR(__xludf.DUMMYFUNCTION("GOOGLETRANSLATE(English!B1954, ""en"", ""bg"")"),"биология")</f>
        <v>биология</v>
      </c>
      <c r="C1954" s="1" t="str">
        <f ca="1">IFERROR(__xludf.DUMMYFUNCTION("GOOGLETRANSLATE(English!C1954, ""en"", ""bg"")"),"елементарен")</f>
        <v>елементарен</v>
      </c>
      <c r="D1954" s="1" t="str">
        <f ca="1">IFERROR(__xludf.DUMMYFUNCTION("GOOGLETRANSLATE(English!D1954, ""en"", ""bg"")"),"основни нужди")</f>
        <v>основни нужди</v>
      </c>
      <c r="E1954" s="1" t="str">
        <f ca="1">IFERROR(__xludf.DUMMYFUNCTION("GOOGLETRANSLATE(English!E1954, ""en"", ""bg"")"),"Какво е важно да знаем за основните потребности?")</f>
        <v>Какво е важно да знаем за основните потребности?</v>
      </c>
      <c r="F1954" s="1" t="str">
        <f ca="1">IFERROR(__xludf.DUMMYFUNCTION("GOOGLETRANSLATE(English!F1954, ""en"", ""bg"")"),"Най-важното нещо за основните потребности е как те се свързват с други части от живота и природата.")</f>
        <v>Най-важното нещо за основните потребности е как те се свързват с други части от живота и природата.</v>
      </c>
      <c r="G1954" s="1" t="str">
        <f ca="1">IFERROR(__xludf.DUMMYFUNCTION("GOOGLETRANSLATE(English!G1954, ""en"", ""bg"")"),"direct_qa")</f>
        <v>direct_qa</v>
      </c>
      <c r="H1954" s="1" t="str">
        <f ca="1">IFERROR(__xludf.DUMMYFUNCTION("GOOGLETRANSLATE(English!H1954, ""en"", ""bg"")"),"заявка_за_знание")</f>
        <v>заявка_за_знание</v>
      </c>
    </row>
    <row r="1955" spans="1:8" ht="13.2" x14ac:dyDescent="0.25">
      <c r="A1955" s="1" t="str">
        <f ca="1">IFERROR(__xludf.DUMMYFUNCTION("GOOGLETRANSLATE(English!A1955, ""en"", ""bg"")"),"hw_13732")</f>
        <v>hw_13732</v>
      </c>
      <c r="B1955" s="1" t="str">
        <f ca="1">IFERROR(__xludf.DUMMYFUNCTION("GOOGLETRANSLATE(English!B1955, ""en"", ""bg"")"),"химия")</f>
        <v>химия</v>
      </c>
      <c r="C1955" s="1" t="str">
        <f ca="1">IFERROR(__xludf.DUMMYFUNCTION("GOOGLETRANSLATE(English!C1955, ""en"", ""bg"")"),"елементарен")</f>
        <v>елементарен</v>
      </c>
      <c r="D1955" s="1" t="str">
        <f ca="1">IFERROR(__xludf.DUMMYFUNCTION("GOOGLETRANSLATE(English!D1955, ""en"", ""bg"")"),"ежедневни химикали")</f>
        <v>ежедневни химикали</v>
      </c>
      <c r="E1955" s="1" t="str">
        <f ca="1">IFERROR(__xludf.DUMMYFUNCTION("GOOGLETRANSLATE(English!E1955, ""en"", ""bg"")"),"Трудя се с ежедневните химикали в домашните си.")</f>
        <v>Трудя се с ежедневните химикали в домашните си.</v>
      </c>
      <c r="F1955" s="1" t="str">
        <f ca="1">IFERROR(__xludf.DUMMYFUNCTION("GOOGLETRANSLATE(English!F1955,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1955" s="1" t="str">
        <f ca="1">IFERROR(__xludf.DUMMYFUNCTION("GOOGLETRANSLATE(English!G1955, ""en"", ""bg"")"),"помощ_за_домашно_изпълнение")</f>
        <v>помощ_за_домашно_изпълнение</v>
      </c>
      <c r="H1955" s="1" t="str">
        <f ca="1">IFERROR(__xludf.DUMMYFUNCTION("GOOGLETRANSLATE(English!H1955, ""en"", ""bg"")"),"помощ_за_домашно_задаване")</f>
        <v>помощ_за_домашно_задаване</v>
      </c>
    </row>
    <row r="1956" spans="1:8" ht="13.2" x14ac:dyDescent="0.25">
      <c r="A1956" s="1" t="str">
        <f ca="1">IFERROR(__xludf.DUMMYFUNCTION("GOOGLETRANSLATE(English!A1956, ""en"", ""bg"")"),"conv_17637")</f>
        <v>conv_17637</v>
      </c>
      <c r="B1956" s="1" t="str">
        <f ca="1">IFERROR(__xludf.DUMMYFUNCTION("GOOGLETRANSLATE(English!B1956, ""en"", ""bg"")"),"физика")</f>
        <v>физика</v>
      </c>
      <c r="C1956" s="1" t="str">
        <f ca="1">IFERROR(__xludf.DUMMYFUNCTION("GOOGLETRANSLATE(English!C1956, ""en"", ""bg"")"),"средата")</f>
        <v>средата</v>
      </c>
      <c r="D1956" s="1" t="str">
        <f ca="1">IFERROR(__xludf.DUMMYFUNCTION("GOOGLETRANSLATE(English!D1956, ""en"", ""bg"")"),"видове енергия")</f>
        <v>видове енергия</v>
      </c>
      <c r="E1956" s="1" t="str">
        <f ca="1">IFERROR(__xludf.DUMMYFUNCTION("GOOGLETRANSLATE(English!E1956, ""en"", ""bg"")"),"Имам нужда от помощ с домашното си. Какви са различните видове енергия?")</f>
        <v>Имам нужда от помощ с домашното си. Какви са различните видове енергия?</v>
      </c>
      <c r="F1956" s="1" t="str">
        <f ca="1">IFERROR(__xludf.DUMMYFUNCTION("GOOGLETRANSLATE(English!F1956,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1956" s="1" t="str">
        <f ca="1">IFERROR(__xludf.DUMMYFUNCTION("GOOGLETRANSLATE(English!G1956, ""en"", ""bg"")"),"разговор")</f>
        <v>разговор</v>
      </c>
      <c r="H1956" s="1" t="str">
        <f ca="1">IFERROR(__xludf.DUMMYFUNCTION("GOOGLETRANSLATE(English!H1956, ""en"", ""bg"")"),"образователна_помощ")</f>
        <v>образователна_помощ</v>
      </c>
    </row>
    <row r="1957" spans="1:8" ht="13.2" x14ac:dyDescent="0.25">
      <c r="A1957" s="1" t="str">
        <f ca="1">IFERROR(__xludf.DUMMYFUNCTION("GOOGLETRANSLATE(English!A1957, ""en"", ""bg"")"),"qa_04571")</f>
        <v>qa_04571</v>
      </c>
      <c r="B1957" s="1" t="str">
        <f ca="1">IFERROR(__xludf.DUMMYFUNCTION("GOOGLETRANSLATE(English!B1957, ""en"", ""bg"")"),"химия")</f>
        <v>химия</v>
      </c>
      <c r="C1957" s="1" t="str">
        <f ca="1">IFERROR(__xludf.DUMMYFUNCTION("GOOGLETRANSLATE(English!C1957, ""en"", ""bg"")"),"високо")</f>
        <v>високо</v>
      </c>
      <c r="D1957" s="1" t="str">
        <f ca="1">IFERROR(__xludf.DUMMYFUNCTION("GOOGLETRANSLATE(English!D1957, ""en"", ""bg"")"),"равновесие")</f>
        <v>равновесие</v>
      </c>
      <c r="E1957" s="1" t="str">
        <f ca="1">IFERROR(__xludf.DUMMYFUNCTION("GOOGLETRANSLATE(English!E1957, ""en"", ""bg"")"),"Защо е важно да се учи равновесие?")</f>
        <v>Защо е важно да се учи равновесие?</v>
      </c>
      <c r="F1957" s="1" t="str">
        <f ca="1">IFERROR(__xludf.DUMMYFUNCTION("GOOGLETRANSLATE(English!F1957,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1957" s="1" t="str">
        <f ca="1">IFERROR(__xludf.DUMMYFUNCTION("GOOGLETRANSLATE(English!G1957, ""en"", ""bg"")"),"direct_qa")</f>
        <v>direct_qa</v>
      </c>
      <c r="H1957" s="1" t="str">
        <f ca="1">IFERROR(__xludf.DUMMYFUNCTION("GOOGLETRANSLATE(English!H1957, ""en"", ""bg"")"),"заявка_за_знание")</f>
        <v>заявка_за_знание</v>
      </c>
    </row>
    <row r="1958" spans="1:8" ht="13.2" x14ac:dyDescent="0.25">
      <c r="A1958" s="1" t="str">
        <f ca="1">IFERROR(__xludf.DUMMYFUNCTION("GOOGLETRANSLATE(English!A1958, ""en"", ""bg"")"),"hw_12552")</f>
        <v>hw_12552</v>
      </c>
      <c r="B1958" s="1" t="str">
        <f ca="1">IFERROR(__xludf.DUMMYFUNCTION("GOOGLETRANSLATE(English!B1958, ""en"", ""bg"")"),"биология")</f>
        <v>биология</v>
      </c>
      <c r="C1958" s="1" t="str">
        <f ca="1">IFERROR(__xludf.DUMMYFUNCTION("GOOGLETRANSLATE(English!C1958, ""en"", ""bg"")"),"средата")</f>
        <v>средата</v>
      </c>
      <c r="D1958" s="1" t="str">
        <f ca="1">IFERROR(__xludf.DUMMYFUNCTION("GOOGLETRANSLATE(English!D1958, ""en"", ""bg"")"),"фотосинтеза")</f>
        <v>фотосинтеза</v>
      </c>
      <c r="E1958" s="1" t="str">
        <f ca="1">IFERROR(__xludf.DUMMYFUNCTION("GOOGLETRANSLATE(English!E1958, ""en"", ""bg"")"),"Можете ли да обясните фотосинтезата за моя научен проект?")</f>
        <v>Можете ли да обясните фотосинтезата за моя научен проект?</v>
      </c>
      <c r="F1958" s="1" t="str">
        <f ca="1">IFERROR(__xludf.DUMMYFUNCTION("GOOGLETRANSLATE(English!F1958,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1958" s="1" t="str">
        <f ca="1">IFERROR(__xludf.DUMMYFUNCTION("GOOGLETRANSLATE(English!G1958, ""en"", ""bg"")"),"помощ_за_домашно_изпълнение")</f>
        <v>помощ_за_домашно_изпълнение</v>
      </c>
      <c r="H1958" s="1" t="str">
        <f ca="1">IFERROR(__xludf.DUMMYFUNCTION("GOOGLETRANSLATE(English!H1958, ""en"", ""bg"")"),"помощ_за_домашно_задаване")</f>
        <v>помощ_за_домашно_задаване</v>
      </c>
    </row>
    <row r="1959" spans="1:8" ht="13.2" x14ac:dyDescent="0.25">
      <c r="A1959" s="1" t="str">
        <f ca="1">IFERROR(__xludf.DUMMYFUNCTION("GOOGLETRANSLATE(English!A1959, ""en"", ""bg"")"),"conv_05683")</f>
        <v>conv_05683</v>
      </c>
      <c r="B1959" s="1" t="str">
        <f ca="1">IFERROR(__xludf.DUMMYFUNCTION("GOOGLETRANSLATE(English!B1959, ""en"", ""bg"")"),"биология")</f>
        <v>биология</v>
      </c>
      <c r="C1959" s="1" t="str">
        <f ca="1">IFERROR(__xludf.DUMMYFUNCTION("GOOGLETRANSLATE(English!C1959, ""en"", ""bg"")"),"високо")</f>
        <v>високо</v>
      </c>
      <c r="D1959" s="1" t="str">
        <f ca="1">IFERROR(__xludf.DUMMYFUNCTION("GOOGLETRANSLATE(English!D1959, ""en"", ""bg"")"),"молекулярна биология")</f>
        <v>молекулярна биология</v>
      </c>
      <c r="E1959" s="1" t="str">
        <f ca="1">IFERROR(__xludf.DUMMYFUNCTION("GOOGLETRANSLATE(English!E1959, ""en"", ""bg"")"),"Не разбирам тази тема. Защо молекулярната биология е важна в биологията?")</f>
        <v>Не разбирам тази тема. Защо молекулярната биология е важна в биологията?</v>
      </c>
      <c r="F1959" s="1" t="str">
        <f ca="1">IFERROR(__xludf.DUMMYFUNCTION("GOOGLETRANSLATE(English!F1959,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1959" s="1" t="str">
        <f ca="1">IFERROR(__xludf.DUMMYFUNCTION("GOOGLETRANSLATE(English!G1959, ""en"", ""bg"")"),"разговор")</f>
        <v>разговор</v>
      </c>
      <c r="H1959" s="1" t="str">
        <f ca="1">IFERROR(__xludf.DUMMYFUNCTION("GOOGLETRANSLATE(English!H1959, ""en"", ""bg"")"),"образователна_помощ")</f>
        <v>образователна_помощ</v>
      </c>
    </row>
    <row r="1960" spans="1:8" ht="13.2" x14ac:dyDescent="0.25">
      <c r="A1960" s="1" t="str">
        <f ca="1">IFERROR(__xludf.DUMMYFUNCTION("GOOGLETRANSLATE(English!A1960, ""en"", ""bg"")"),"hw_03478")</f>
        <v>hw_03478</v>
      </c>
      <c r="B1960" s="1" t="str">
        <f ca="1">IFERROR(__xludf.DUMMYFUNCTION("GOOGLETRANSLATE(English!B1960, ""en"", ""bg"")"),"биология")</f>
        <v>биология</v>
      </c>
      <c r="C1960" s="1" t="str">
        <f ca="1">IFERROR(__xludf.DUMMYFUNCTION("GOOGLETRANSLATE(English!C1960, ""en"", ""bg"")"),"средата")</f>
        <v>средата</v>
      </c>
      <c r="D1960" s="1" t="str">
        <f ca="1">IFERROR(__xludf.DUMMYFUNCTION("GOOGLETRANSLATE(English!D1960, ""en"", ""bg"")"),"дишане")</f>
        <v>дишане</v>
      </c>
      <c r="E1960" s="1" t="str">
        <f ca="1">IFERROR(__xludf.DUMMYFUNCTION("GOOGLETRANSLATE(English!E1960, ""en"", ""bg"")"),"Трябва да напиша доклад за дишането. Можете ли да ми помогнете да започна?")</f>
        <v>Трябва да напиша доклад за дишането. Можете ли да ми помогнете да започна?</v>
      </c>
      <c r="F1960" s="1" t="str">
        <f ca="1">IFERROR(__xludf.DUMMYFUNCTION("GOOGLETRANSLATE(English!F1960,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1960" s="1" t="str">
        <f ca="1">IFERROR(__xludf.DUMMYFUNCTION("GOOGLETRANSLATE(English!G1960, ""en"", ""bg"")"),"помощ_за_домашно_изпълнение")</f>
        <v>помощ_за_домашно_изпълнение</v>
      </c>
      <c r="H1960" s="1" t="str">
        <f ca="1">IFERROR(__xludf.DUMMYFUNCTION("GOOGLETRANSLATE(English!H1960, ""en"", ""bg"")"),"помощ_за_домашно_задаване")</f>
        <v>помощ_за_домашно_задаване</v>
      </c>
    </row>
    <row r="1961" spans="1:8" ht="13.2" x14ac:dyDescent="0.25">
      <c r="A1961" s="1" t="str">
        <f ca="1">IFERROR(__xludf.DUMMYFUNCTION("GOOGLETRANSLATE(English!A1961, ""en"", ""bg"")"),"conv_12410")</f>
        <v>conv_12410</v>
      </c>
      <c r="B1961" s="1" t="str">
        <f ca="1">IFERROR(__xludf.DUMMYFUNCTION("GOOGLETRANSLATE(English!B1961, ""en"", ""bg"")"),"физика")</f>
        <v>физика</v>
      </c>
      <c r="C1961" s="1" t="str">
        <f ca="1">IFERROR(__xludf.DUMMYFUNCTION("GOOGLETRANSLATE(English!C1961, ""en"", ""bg"")"),"високо")</f>
        <v>високо</v>
      </c>
      <c r="D1961" s="1" t="str">
        <f ca="1">IFERROR(__xludf.DUMMYFUNCTION("GOOGLETRANSLATE(English!D1961, ""en"", ""bg"")"),"атомна структура")</f>
        <v>атомна структура</v>
      </c>
      <c r="E1961" s="1" t="str">
        <f ca="1">IFERROR(__xludf.DUMMYFUNCTION("GOOGLETRANSLATE(English!E1961, ""en"", ""bg"")"),"Можете ли да ми помогнете? Как работи атомната структура във физиката?")</f>
        <v>Можете ли да ми помогнете? Как работи атомната структура във физиката?</v>
      </c>
      <c r="F1961" s="1" t="str">
        <f ca="1">IFERROR(__xludf.DUMMYFUNCTION("GOOGLETRANSLATE(English!F1961,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1961" s="1" t="str">
        <f ca="1">IFERROR(__xludf.DUMMYFUNCTION("GOOGLETRANSLATE(English!G1961, ""en"", ""bg"")"),"разговор")</f>
        <v>разговор</v>
      </c>
      <c r="H1961" s="1" t="str">
        <f ca="1">IFERROR(__xludf.DUMMYFUNCTION("GOOGLETRANSLATE(English!H1961, ""en"", ""bg"")"),"образователна_помощ")</f>
        <v>образователна_помощ</v>
      </c>
    </row>
    <row r="1962" spans="1:8" ht="13.2" x14ac:dyDescent="0.25">
      <c r="A1962" s="1" t="str">
        <f ca="1">IFERROR(__xludf.DUMMYFUNCTION("GOOGLETRANSLATE(English!A1962, ""en"", ""bg"")"),"qa_11028")</f>
        <v>qa_11028</v>
      </c>
      <c r="B1962" s="1" t="str">
        <f ca="1">IFERROR(__xludf.DUMMYFUNCTION("GOOGLETRANSLATE(English!B1962, ""en"", ""bg"")"),"биология")</f>
        <v>биология</v>
      </c>
      <c r="C1962" s="1" t="str">
        <f ca="1">IFERROR(__xludf.DUMMYFUNCTION("GOOGLETRANSLATE(English!C1962, ""en"", ""bg"")"),"средата")</f>
        <v>средата</v>
      </c>
      <c r="D1962" s="1" t="str">
        <f ca="1">IFERROR(__xludf.DUMMYFUNCTION("GOOGLETRANSLATE(English!D1962, ""en"", ""bg"")"),"екосистеми")</f>
        <v>екосистеми</v>
      </c>
      <c r="E1962" s="1" t="str">
        <f ca="1">IFERROR(__xludf.DUMMYFUNCTION("GOOGLETRANSLATE(English!E1962, ""en"", ""bg"")"),"Защо екосистемите са важни в биологията?")</f>
        <v>Защо екосистемите са важни в биологията?</v>
      </c>
      <c r="F1962" s="1" t="str">
        <f ca="1">IFERROR(__xludf.DUMMYFUNCTION("GOOGLETRANSLATE(English!F1962,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1962" s="1" t="str">
        <f ca="1">IFERROR(__xludf.DUMMYFUNCTION("GOOGLETRANSLATE(English!G1962, ""en"", ""bg"")"),"direct_qa")</f>
        <v>direct_qa</v>
      </c>
      <c r="H1962" s="1" t="str">
        <f ca="1">IFERROR(__xludf.DUMMYFUNCTION("GOOGLETRANSLATE(English!H1962, ""en"", ""bg"")"),"заявка_за_знание")</f>
        <v>заявка_за_знание</v>
      </c>
    </row>
    <row r="1963" spans="1:8" ht="13.2" x14ac:dyDescent="0.25">
      <c r="A1963" s="1" t="str">
        <f ca="1">IFERROR(__xludf.DUMMYFUNCTION("GOOGLETRANSLATE(English!A1963, ""en"", ""bg"")"),"hw_03943")</f>
        <v>hw_03943</v>
      </c>
      <c r="B1963" s="1" t="str">
        <f ca="1">IFERROR(__xludf.DUMMYFUNCTION("GOOGLETRANSLATE(English!B1963, ""en"", ""bg"")"),"физика")</f>
        <v>физика</v>
      </c>
      <c r="C1963" s="1" t="str">
        <f ca="1">IFERROR(__xludf.DUMMYFUNCTION("GOOGLETRANSLATE(English!C1963, ""en"", ""bg"")"),"високо")</f>
        <v>високо</v>
      </c>
      <c r="D1963" s="1" t="str">
        <f ca="1">IFERROR(__xludf.DUMMYFUNCTION("GOOGLETRANSLATE(English!D1963, ""en"", ""bg"")"),"механика")</f>
        <v>механика</v>
      </c>
      <c r="E1963" s="1" t="str">
        <f ca="1">IFERROR(__xludf.DUMMYFUNCTION("GOOGLETRANSLATE(English!E1963, ""en"", ""bg"")"),"Домашното ми по физика е за механика. Объркващо е!")</f>
        <v>Домашното ми по физика е за механика. Объркващо е!</v>
      </c>
      <c r="F1963" s="1" t="str">
        <f ca="1">IFERROR(__xludf.DUMMYFUNCTION("GOOGLETRANSLATE(English!F1963,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1963" s="1" t="str">
        <f ca="1">IFERROR(__xludf.DUMMYFUNCTION("GOOGLETRANSLATE(English!G1963, ""en"", ""bg"")"),"помощ_за_домашно_изпълнение")</f>
        <v>помощ_за_домашно_изпълнение</v>
      </c>
      <c r="H1963" s="1" t="str">
        <f ca="1">IFERROR(__xludf.DUMMYFUNCTION("GOOGLETRANSLATE(English!H1963, ""en"", ""bg"")"),"помощ_за_домашно_задаване")</f>
        <v>помощ_за_домашно_задаване</v>
      </c>
    </row>
    <row r="1964" spans="1:8" ht="13.2" x14ac:dyDescent="0.25">
      <c r="A1964" s="1" t="str">
        <f ca="1">IFERROR(__xludf.DUMMYFUNCTION("GOOGLETRANSLATE(English!A1964, ""en"", ""bg"")"),"conv_10952")</f>
        <v>conv_10952</v>
      </c>
      <c r="B1964" s="1" t="str">
        <f ca="1">IFERROR(__xludf.DUMMYFUNCTION("GOOGLETRANSLATE(English!B1964, ""en"", ""bg"")"),"физика")</f>
        <v>физика</v>
      </c>
      <c r="C1964" s="1" t="str">
        <f ca="1">IFERROR(__xludf.DUMMYFUNCTION("GOOGLETRANSLATE(English!C1964, ""en"", ""bg"")"),"елементарен")</f>
        <v>елементарен</v>
      </c>
      <c r="D1964" s="1" t="str">
        <f ca="1">IFERROR(__xludf.DUMMYFUNCTION("GOOGLETRANSLATE(English!D1964, ""en"", ""bg"")"),"звук")</f>
        <v>звук</v>
      </c>
      <c r="E1964" s="1" t="str">
        <f ca="1">IFERROR(__xludf.DUMMYFUNCTION("GOOGLETRANSLATE(English!E1964, ""en"", ""bg"")"),"Имам нужда от помощ с домашното. Какво трябва да знам за звука?")</f>
        <v>Имам нужда от помощ с домашното. Какво трябва да знам за звука?</v>
      </c>
      <c r="F1964" s="1" t="str">
        <f ca="1">IFERROR(__xludf.DUMMYFUNCTION("GOOGLETRANSLATE(English!F1964,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1964" s="1" t="str">
        <f ca="1">IFERROR(__xludf.DUMMYFUNCTION("GOOGLETRANSLATE(English!G1964, ""en"", ""bg"")"),"разговор")</f>
        <v>разговор</v>
      </c>
      <c r="H1964" s="1" t="str">
        <f ca="1">IFERROR(__xludf.DUMMYFUNCTION("GOOGLETRANSLATE(English!H1964, ""en"", ""bg"")"),"образователна_помощ")</f>
        <v>образователна_помощ</v>
      </c>
    </row>
    <row r="1965" spans="1:8" ht="13.2" x14ac:dyDescent="0.25">
      <c r="A1965" s="1" t="str">
        <f ca="1">IFERROR(__xludf.DUMMYFUNCTION("GOOGLETRANSLATE(English!A1965, ""en"", ""bg"")"),"conv_00070")</f>
        <v>conv_00070</v>
      </c>
      <c r="B1965" s="1" t="str">
        <f ca="1">IFERROR(__xludf.DUMMYFUNCTION("GOOGLETRANSLATE(English!B1965, ""en"", ""bg"")"),"физика")</f>
        <v>физика</v>
      </c>
      <c r="C1965" s="1" t="str">
        <f ca="1">IFERROR(__xludf.DUMMYFUNCTION("GOOGLETRANSLATE(English!C1965, ""en"", ""bg"")"),"високо")</f>
        <v>високо</v>
      </c>
      <c r="D1965" s="1" t="str">
        <f ca="1">IFERROR(__xludf.DUMMYFUNCTION("GOOGLETRANSLATE(English!D1965, ""en"", ""bg"")"),"термодинамика")</f>
        <v>термодинамика</v>
      </c>
      <c r="E1965" s="1" t="str">
        <f ca="1">IFERROR(__xludf.DUMMYFUNCTION("GOOGLETRANSLATE(English!E1965, ""en"", ""bg"")"),"Можете ли да ми помогнете? Как работи термодинамиката във физиката?")</f>
        <v>Можете ли да ми помогнете? Как работи термодинамиката във физиката?</v>
      </c>
      <c r="F1965" s="1" t="str">
        <f ca="1">IFERROR(__xludf.DUMMYFUNCTION("GOOGLETRANSLATE(English!F1965,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1965" s="1" t="str">
        <f ca="1">IFERROR(__xludf.DUMMYFUNCTION("GOOGLETRANSLATE(English!G1965, ""en"", ""bg"")"),"разговор")</f>
        <v>разговор</v>
      </c>
      <c r="H1965" s="1" t="str">
        <f ca="1">IFERROR(__xludf.DUMMYFUNCTION("GOOGLETRANSLATE(English!H1965, ""en"", ""bg"")"),"образователна_помощ")</f>
        <v>образователна_помощ</v>
      </c>
    </row>
    <row r="1966" spans="1:8" ht="13.2" x14ac:dyDescent="0.25">
      <c r="A1966" s="1" t="str">
        <f ca="1">IFERROR(__xludf.DUMMYFUNCTION("GOOGLETRANSLATE(English!A1966, ""en"", ""bg"")"),"conv_03254")</f>
        <v>conv_03254</v>
      </c>
      <c r="B1966" s="1" t="str">
        <f ca="1">IFERROR(__xludf.DUMMYFUNCTION("GOOGLETRANSLATE(English!B1966, ""en"", ""bg"")"),"физика")</f>
        <v>физика</v>
      </c>
      <c r="C1966" s="1" t="str">
        <f ca="1">IFERROR(__xludf.DUMMYFUNCTION("GOOGLETRANSLATE(English!C1966, ""en"", ""bg"")"),"средата")</f>
        <v>средата</v>
      </c>
      <c r="D1966" s="1" t="str">
        <f ca="1">IFERROR(__xludf.DUMMYFUNCTION("GOOGLETRANSLATE(English!D1966, ""en"", ""bg"")"),"основи на електричеството")</f>
        <v>основи на електричеството</v>
      </c>
      <c r="E1966" s="1" t="str">
        <f ca="1">IFERROR(__xludf.DUMMYFUNCTION("GOOGLETRANSLATE(English!E1966, ""en"", ""bg"")"),"Здравей, преподавателю! Как се прилагат основите на електричеството във физиката?")</f>
        <v>Здравей, преподавателю! Как се прилагат основите на електричеството във физиката?</v>
      </c>
      <c r="F1966" s="1" t="str">
        <f ca="1">IFERROR(__xludf.DUMMYFUNCTION("GOOGLETRANSLATE(English!F1966,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1966" s="1" t="str">
        <f ca="1">IFERROR(__xludf.DUMMYFUNCTION("GOOGLETRANSLATE(English!G1966, ""en"", ""bg"")"),"разговор")</f>
        <v>разговор</v>
      </c>
      <c r="H1966" s="1" t="str">
        <f ca="1">IFERROR(__xludf.DUMMYFUNCTION("GOOGLETRANSLATE(English!H1966, ""en"", ""bg"")"),"образователна_помощ")</f>
        <v>образователна_помощ</v>
      </c>
    </row>
    <row r="1967" spans="1:8" ht="13.2" x14ac:dyDescent="0.25">
      <c r="A1967" s="1" t="str">
        <f ca="1">IFERROR(__xludf.DUMMYFUNCTION("GOOGLETRANSLATE(English!A1967, ""en"", ""bg"")"),"hw_07034")</f>
        <v>hw_07034</v>
      </c>
      <c r="B1967" s="1" t="str">
        <f ca="1">IFERROR(__xludf.DUMMYFUNCTION("GOOGLETRANSLATE(English!B1967, ""en"", ""bg"")"),"физика")</f>
        <v>физика</v>
      </c>
      <c r="C1967" s="1" t="str">
        <f ca="1">IFERROR(__xludf.DUMMYFUNCTION("GOOGLETRANSLATE(English!C1967, ""en"", ""bg"")"),"високо")</f>
        <v>високо</v>
      </c>
      <c r="D1967" s="1" t="str">
        <f ca="1">IFERROR(__xludf.DUMMYFUNCTION("GOOGLETRANSLATE(English!D1967, ""en"", ""bg"")"),"оптика")</f>
        <v>оптика</v>
      </c>
      <c r="E1967" s="1" t="str">
        <f ca="1">IFERROR(__xludf.DUMMYFUNCTION("GOOGLETRANSLATE(English!E1967, ""en"", ""bg"")"),"Трябва да разбирам оптиката за изпита си.")</f>
        <v>Трябва да разбирам оптиката за изпита си.</v>
      </c>
      <c r="F1967" s="1" t="str">
        <f ca="1">IFERROR(__xludf.DUMMYFUNCTION("GOOGLETRANSLATE(English!F1967,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1967" s="1" t="str">
        <f ca="1">IFERROR(__xludf.DUMMYFUNCTION("GOOGLETRANSLATE(English!G1967, ""en"", ""bg"")"),"помощ_за_домашно_изпълнение")</f>
        <v>помощ_за_домашно_изпълнение</v>
      </c>
      <c r="H1967" s="1" t="str">
        <f ca="1">IFERROR(__xludf.DUMMYFUNCTION("GOOGLETRANSLATE(English!H1967, ""en"", ""bg"")"),"помощ_за_домашно_задаване")</f>
        <v>помощ_за_домашно_задаване</v>
      </c>
    </row>
    <row r="1968" spans="1:8" ht="13.2" x14ac:dyDescent="0.25">
      <c r="A1968" s="1" t="str">
        <f ca="1">IFERROR(__xludf.DUMMYFUNCTION("GOOGLETRANSLATE(English!A1968, ""en"", ""bg"")"),"hw_02864")</f>
        <v>hw_02864</v>
      </c>
      <c r="B1968" s="1" t="str">
        <f ca="1">IFERROR(__xludf.DUMMYFUNCTION("GOOGLETRANSLATE(English!B1968, ""en"", ""bg"")"),"химия")</f>
        <v>химия</v>
      </c>
      <c r="C1968" s="1" t="str">
        <f ca="1">IFERROR(__xludf.DUMMYFUNCTION("GOOGLETRANSLATE(English!C1968, ""en"", ""bg"")"),"средата")</f>
        <v>средата</v>
      </c>
      <c r="D1968" s="1" t="str">
        <f ca="1">IFERROR(__xludf.DUMMYFUNCTION("GOOGLETRANSLATE(English!D1968, ""en"", ""bg"")"),"основи на периодичната таблица")</f>
        <v>основи на периодичната таблица</v>
      </c>
      <c r="E1968" s="1" t="str">
        <f ca="1">IFERROR(__xludf.DUMMYFUNCTION("GOOGLETRANSLATE(English!E1968,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1968" s="1" t="str">
        <f ca="1">IFERROR(__xludf.DUMMYFUNCTION("GOOGLETRANSLATE(English!F1968,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1968" s="1" t="str">
        <f ca="1">IFERROR(__xludf.DUMMYFUNCTION("GOOGLETRANSLATE(English!G1968, ""en"", ""bg"")"),"помощ_за_домашно_изпълнение")</f>
        <v>помощ_за_домашно_изпълнение</v>
      </c>
      <c r="H1968" s="1" t="str">
        <f ca="1">IFERROR(__xludf.DUMMYFUNCTION("GOOGLETRANSLATE(English!H1968, ""en"", ""bg"")"),"помощ_за_домашно_задаване")</f>
        <v>помощ_за_домашно_задаване</v>
      </c>
    </row>
    <row r="1969" spans="1:8" ht="13.2" x14ac:dyDescent="0.25">
      <c r="A1969" s="1" t="str">
        <f ca="1">IFERROR(__xludf.DUMMYFUNCTION("GOOGLETRANSLATE(English!A1969, ""en"", ""bg"")"),"conv_12414")</f>
        <v>conv_12414</v>
      </c>
      <c r="B1969" s="1" t="str">
        <f ca="1">IFERROR(__xludf.DUMMYFUNCTION("GOOGLETRANSLATE(English!B1969, ""en"", ""bg"")"),"химия")</f>
        <v>химия</v>
      </c>
      <c r="C1969" s="1" t="str">
        <f ca="1">IFERROR(__xludf.DUMMYFUNCTION("GOOGLETRANSLATE(English!C1969, ""en"", ""bg"")"),"елементарен")</f>
        <v>елементарен</v>
      </c>
      <c r="D1969" s="1" t="str">
        <f ca="1">IFERROR(__xludf.DUMMYFUNCTION("GOOGLETRANSLATE(English!D1969, ""en"", ""bg"")"),"безопасност")</f>
        <v>безопасност</v>
      </c>
      <c r="E1969" s="1" t="str">
        <f ca="1">IFERROR(__xludf.DUMMYFUNCTION("GOOGLETRANSLATE(English!E1969, ""en"", ""bg"")"),"Имам нужда от помощ с домашното. Как работи безопасността в химията?")</f>
        <v>Имам нужда от помощ с домашното. Как работи безопасността в химията?</v>
      </c>
      <c r="F1969" s="1" t="str">
        <f ca="1">IFERROR(__xludf.DUMMYFUNCTION("GOOGLETRANSLATE(English!F1969,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1969" s="1" t="str">
        <f ca="1">IFERROR(__xludf.DUMMYFUNCTION("GOOGLETRANSLATE(English!G1969, ""en"", ""bg"")"),"разговор")</f>
        <v>разговор</v>
      </c>
      <c r="H1969" s="1" t="str">
        <f ca="1">IFERROR(__xludf.DUMMYFUNCTION("GOOGLETRANSLATE(English!H1969, ""en"", ""bg"")"),"образователна_помощ")</f>
        <v>образователна_помощ</v>
      </c>
    </row>
    <row r="1970" spans="1:8" ht="13.2" x14ac:dyDescent="0.25">
      <c r="A1970" s="1" t="str">
        <f ca="1">IFERROR(__xludf.DUMMYFUNCTION("GOOGLETRANSLATE(English!A1970, ""en"", ""bg"")"),"conv_02112")</f>
        <v>conv_02112</v>
      </c>
      <c r="B1970" s="1" t="str">
        <f ca="1">IFERROR(__xludf.DUMMYFUNCTION("GOOGLETRANSLATE(English!B1970, ""en"", ""bg"")"),"химия")</f>
        <v>химия</v>
      </c>
      <c r="C1970" s="1" t="str">
        <f ca="1">IFERROR(__xludf.DUMMYFUNCTION("GOOGLETRANSLATE(English!C1970, ""en"", ""bg"")"),"средата")</f>
        <v>средата</v>
      </c>
      <c r="D1970" s="1" t="str">
        <f ca="1">IFERROR(__xludf.DUMMYFUNCTION("GOOGLETRANSLATE(English!D1970, ""en"", ""bg"")"),"киселини и основи")</f>
        <v>киселини и основи</v>
      </c>
      <c r="E1970" s="1" t="str">
        <f ca="1">IFERROR(__xludf.DUMMYFUNCTION("GOOGLETRANSLATE(English!E1970, ""en"", ""bg"")"),"Имам нужда от помощ с домашното. Защо е важно да се изучават киселини и основи?")</f>
        <v>Имам нужда от помощ с домашното. Защо е важно да се изучават киселини и основи?</v>
      </c>
      <c r="F1970" s="1" t="str">
        <f ca="1">IFERROR(__xludf.DUMMYFUNCTION("GOOGLETRANSLATE(English!F1970,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1970" s="1" t="str">
        <f ca="1">IFERROR(__xludf.DUMMYFUNCTION("GOOGLETRANSLATE(English!G1970, ""en"", ""bg"")"),"разговор")</f>
        <v>разговор</v>
      </c>
      <c r="H1970" s="1" t="str">
        <f ca="1">IFERROR(__xludf.DUMMYFUNCTION("GOOGLETRANSLATE(English!H1970, ""en"", ""bg"")"),"образователна_помощ")</f>
        <v>образователна_помощ</v>
      </c>
    </row>
    <row r="1971" spans="1:8" ht="13.2" x14ac:dyDescent="0.25">
      <c r="A1971" s="1" t="str">
        <f ca="1">IFERROR(__xludf.DUMMYFUNCTION("GOOGLETRANSLATE(English!A1971, ""en"", ""bg"")"),"qa_09971")</f>
        <v>qa_09971</v>
      </c>
      <c r="B1971" s="1" t="str">
        <f ca="1">IFERROR(__xludf.DUMMYFUNCTION("GOOGLETRANSLATE(English!B1971, ""en"", ""bg"")"),"биология")</f>
        <v>биология</v>
      </c>
      <c r="C1971" s="1" t="str">
        <f ca="1">IFERROR(__xludf.DUMMYFUNCTION("GOOGLETRANSLATE(English!C1971, ""en"", ""bg"")"),"високо")</f>
        <v>високо</v>
      </c>
      <c r="D1971" s="1" t="str">
        <f ca="1">IFERROR(__xludf.DUMMYFUNCTION("GOOGLETRANSLATE(English!D1971, ""en"", ""bg"")"),"модели на наследяване")</f>
        <v>модели на наследяване</v>
      </c>
      <c r="E1971" s="1" t="str">
        <f ca="1">IFERROR(__xludf.DUMMYFUNCTION("GOOGLETRANSLATE(English!E1971, ""en"", ""bg"")"),"Как работят моделите на наследяване?")</f>
        <v>Как работят моделите на наследяване?</v>
      </c>
      <c r="F1971" s="1" t="str">
        <f ca="1">IFERROR(__xludf.DUMMYFUNCTION("GOOGLETRANSLATE(English!F1971,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1971" s="1" t="str">
        <f ca="1">IFERROR(__xludf.DUMMYFUNCTION("GOOGLETRANSLATE(English!G1971, ""en"", ""bg"")"),"direct_qa")</f>
        <v>direct_qa</v>
      </c>
      <c r="H1971" s="1" t="str">
        <f ca="1">IFERROR(__xludf.DUMMYFUNCTION("GOOGLETRANSLATE(English!H1971, ""en"", ""bg"")"),"заявка_за_знание")</f>
        <v>заявка_за_знание</v>
      </c>
    </row>
    <row r="1972" spans="1:8" ht="13.2" x14ac:dyDescent="0.25">
      <c r="A1972" s="1" t="str">
        <f ca="1">IFERROR(__xludf.DUMMYFUNCTION("GOOGLETRANSLATE(English!A1972, ""en"", ""bg"")"),"hw_09383")</f>
        <v>hw_09383</v>
      </c>
      <c r="B1972" s="1" t="str">
        <f ca="1">IFERROR(__xludf.DUMMYFUNCTION("GOOGLETRANSLATE(English!B1972, ""en"", ""bg"")"),"физика")</f>
        <v>физика</v>
      </c>
      <c r="C1972" s="1" t="str">
        <f ca="1">IFERROR(__xludf.DUMMYFUNCTION("GOOGLETRANSLATE(English!C1972, ""en"", ""bg"")"),"високо")</f>
        <v>високо</v>
      </c>
      <c r="D1972" s="1" t="str">
        <f ca="1">IFERROR(__xludf.DUMMYFUNCTION("GOOGLETRANSLATE(English!D1972, ""en"", ""bg"")"),"радиоактивност")</f>
        <v>радиоактивност</v>
      </c>
      <c r="E1972" s="1" t="str">
        <f ca="1">IFERROR(__xludf.DUMMYFUNCTION("GOOGLETRANSLATE(English!E1972,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1972" s="1" t="str">
        <f ca="1">IFERROR(__xludf.DUMMYFUNCTION("GOOGLETRANSLATE(English!F1972,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1972" s="1" t="str">
        <f ca="1">IFERROR(__xludf.DUMMYFUNCTION("GOOGLETRANSLATE(English!G1972, ""en"", ""bg"")"),"помощ_за_домашно_изпълнение")</f>
        <v>помощ_за_домашно_изпълнение</v>
      </c>
      <c r="H1972" s="1" t="str">
        <f ca="1">IFERROR(__xludf.DUMMYFUNCTION("GOOGLETRANSLATE(English!H1972, ""en"", ""bg"")"),"помощ_за_домашно_задаване")</f>
        <v>помощ_за_домашно_задаване</v>
      </c>
    </row>
    <row r="1973" spans="1:8" ht="13.2" x14ac:dyDescent="0.25">
      <c r="A1973" s="1" t="str">
        <f ca="1">IFERROR(__xludf.DUMMYFUNCTION("GOOGLETRANSLATE(English!A1973, ""en"", ""bg"")"),"hw_08011")</f>
        <v>hw_08011</v>
      </c>
      <c r="B1973" s="1" t="str">
        <f ca="1">IFERROR(__xludf.DUMMYFUNCTION("GOOGLETRANSLATE(English!B1973, ""en"", ""bg"")"),"биология")</f>
        <v>биология</v>
      </c>
      <c r="C1973" s="1" t="str">
        <f ca="1">IFERROR(__xludf.DUMMYFUNCTION("GOOGLETRANSLATE(English!C1973, ""en"", ""bg"")"),"средата")</f>
        <v>средата</v>
      </c>
      <c r="D1973" s="1" t="str">
        <f ca="1">IFERROR(__xludf.DUMMYFUNCTION("GOOGLETRANSLATE(English!D1973, ""en"", ""bg"")"),"екосистеми")</f>
        <v>екосистеми</v>
      </c>
      <c r="E1973" s="1" t="str">
        <f ca="1">IFERROR(__xludf.DUMMYFUNCTION("GOOGLETRANSLATE(English!E1973, ""en"", ""bg"")"),"Можете ли да обясните екосистемите за моя научен проект?")</f>
        <v>Можете ли да обясните екосистемите за моя научен проект?</v>
      </c>
      <c r="F1973" s="1" t="str">
        <f ca="1">IFERROR(__xludf.DUMMYFUNCTION("GOOGLETRANSLATE(English!F1973,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1973" s="1" t="str">
        <f ca="1">IFERROR(__xludf.DUMMYFUNCTION("GOOGLETRANSLATE(English!G1973, ""en"", ""bg"")"),"помощ_за_домашно_изпълнение")</f>
        <v>помощ_за_домашно_изпълнение</v>
      </c>
      <c r="H1973" s="1" t="str">
        <f ca="1">IFERROR(__xludf.DUMMYFUNCTION("GOOGLETRANSLATE(English!H1973, ""en"", ""bg"")"),"помощ_за_домашно_задаване")</f>
        <v>помощ_за_домашно_задаване</v>
      </c>
    </row>
    <row r="1974" spans="1:8" ht="13.2" x14ac:dyDescent="0.25">
      <c r="A1974" s="1" t="str">
        <f ca="1">IFERROR(__xludf.DUMMYFUNCTION("GOOGLETRANSLATE(English!A1974, ""en"", ""bg"")"),"conv_06535")</f>
        <v>conv_06535</v>
      </c>
      <c r="B1974" s="1" t="str">
        <f ca="1">IFERROR(__xludf.DUMMYFUNCTION("GOOGLETRANSLATE(English!B1974, ""en"", ""bg"")"),"физика")</f>
        <v>физика</v>
      </c>
      <c r="C1974" s="1" t="str">
        <f ca="1">IFERROR(__xludf.DUMMYFUNCTION("GOOGLETRANSLATE(English!C1974, ""en"", ""bg"")"),"елементарен")</f>
        <v>елементарен</v>
      </c>
      <c r="D1974" s="1" t="str">
        <f ca="1">IFERROR(__xludf.DUMMYFUNCTION("GOOGLETRANSLATE(English!D1974, ""en"", ""bg"")"),"горещо и студено")</f>
        <v>горещо и студено</v>
      </c>
      <c r="E1974" s="1" t="str">
        <f ca="1">IFERROR(__xludf.DUMMYFUNCTION("GOOGLETRANSLATE(English!E1974, ""en"", ""bg"")"),"Имам научен въпрос. Как работят топлото и студеното във физиката?")</f>
        <v>Имам научен въпрос. Как работят топлото и студеното във физиката?</v>
      </c>
      <c r="F1974" s="1" t="str">
        <f ca="1">IFERROR(__xludf.DUMMYFUNCTION("GOOGLETRANSLATE(English!F1974,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1974" s="1" t="str">
        <f ca="1">IFERROR(__xludf.DUMMYFUNCTION("GOOGLETRANSLATE(English!G1974, ""en"", ""bg"")"),"разговор")</f>
        <v>разговор</v>
      </c>
      <c r="H1974" s="1" t="str">
        <f ca="1">IFERROR(__xludf.DUMMYFUNCTION("GOOGLETRANSLATE(English!H1974, ""en"", ""bg"")"),"образователна_помощ")</f>
        <v>образователна_помощ</v>
      </c>
    </row>
    <row r="1975" spans="1:8" ht="13.2" x14ac:dyDescent="0.25">
      <c r="A1975" s="1" t="str">
        <f ca="1">IFERROR(__xludf.DUMMYFUNCTION("GOOGLETRANSLATE(English!A1975, ""en"", ""bg"")"),"hw_12881")</f>
        <v>hw_12881</v>
      </c>
      <c r="B1975" s="1" t="str">
        <f ca="1">IFERROR(__xludf.DUMMYFUNCTION("GOOGLETRANSLATE(English!B1975, ""en"", ""bg"")"),"физика")</f>
        <v>физика</v>
      </c>
      <c r="C1975" s="1" t="str">
        <f ca="1">IFERROR(__xludf.DUMMYFUNCTION("GOOGLETRANSLATE(English!C1975, ""en"", ""bg"")"),"средата")</f>
        <v>средата</v>
      </c>
      <c r="D1975" s="1" t="str">
        <f ca="1">IFERROR(__xludf.DUMMYFUNCTION("GOOGLETRANSLATE(English!D1975, ""en"", ""bg"")"),"сили и движение")</f>
        <v>сили и движение</v>
      </c>
      <c r="E1975" s="1" t="str">
        <f ca="1">IFERROR(__xludf.DUMMYFUNCTION("GOOGLETRANSLATE(English!E1975, ""en"", ""bg"")"),"Трябва да разбера силите и движението за изпита си.")</f>
        <v>Трябва да разбера силите и движението за изпита си.</v>
      </c>
      <c r="F1975" s="1" t="str">
        <f ca="1">IFERROR(__xludf.DUMMYFUNCTION("GOOGLETRANSLATE(English!F1975,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1975" s="1" t="str">
        <f ca="1">IFERROR(__xludf.DUMMYFUNCTION("GOOGLETRANSLATE(English!G1975, ""en"", ""bg"")"),"помощ_за_домашно_изпълнение")</f>
        <v>помощ_за_домашно_изпълнение</v>
      </c>
      <c r="H1975" s="1" t="str">
        <f ca="1">IFERROR(__xludf.DUMMYFUNCTION("GOOGLETRANSLATE(English!H1975, ""en"", ""bg"")"),"помощ_за_домашно_задаване")</f>
        <v>помощ_за_домашно_задаване</v>
      </c>
    </row>
    <row r="1976" spans="1:8" ht="13.2" x14ac:dyDescent="0.25">
      <c r="A1976" s="1" t="str">
        <f ca="1">IFERROR(__xludf.DUMMYFUNCTION("GOOGLETRANSLATE(English!A1976, ""en"", ""bg"")"),"qa_09775")</f>
        <v>qa_09775</v>
      </c>
      <c r="B1976" s="1" t="str">
        <f ca="1">IFERROR(__xludf.DUMMYFUNCTION("GOOGLETRANSLATE(English!B1976, ""en"", ""bg"")"),"биология")</f>
        <v>биология</v>
      </c>
      <c r="C1976" s="1" t="str">
        <f ca="1">IFERROR(__xludf.DUMMYFUNCTION("GOOGLETRANSLATE(English!C1976, ""en"", ""bg"")"),"средата")</f>
        <v>средата</v>
      </c>
      <c r="D1976" s="1" t="str">
        <f ca="1">IFERROR(__xludf.DUMMYFUNCTION("GOOGLETRANSLATE(English!D1976, ""en"", ""bg"")"),"екосистеми")</f>
        <v>екосистеми</v>
      </c>
      <c r="E1976" s="1" t="str">
        <f ca="1">IFERROR(__xludf.DUMMYFUNCTION("GOOGLETRANSLATE(English!E1976, ""en"", ""bg"")"),"Можете ли да ми разкажете за екосистемите?")</f>
        <v>Можете ли да ми разкажете за екосистемите?</v>
      </c>
      <c r="F1976" s="1" t="str">
        <f ca="1">IFERROR(__xludf.DUMMYFUNCTION("GOOGLETRANSLATE(English!F1976,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1976" s="1" t="str">
        <f ca="1">IFERROR(__xludf.DUMMYFUNCTION("GOOGLETRANSLATE(English!G1976, ""en"", ""bg"")"),"direct_qa")</f>
        <v>direct_qa</v>
      </c>
      <c r="H1976" s="1" t="str">
        <f ca="1">IFERROR(__xludf.DUMMYFUNCTION("GOOGLETRANSLATE(English!H1976, ""en"", ""bg"")"),"заявка_за_знание")</f>
        <v>заявка_за_знание</v>
      </c>
    </row>
    <row r="1977" spans="1:8" ht="13.2" x14ac:dyDescent="0.25">
      <c r="A1977" s="1" t="str">
        <f ca="1">IFERROR(__xludf.DUMMYFUNCTION("GOOGLETRANSLATE(English!A1977, ""en"", ""bg"")"),"conv_17540")</f>
        <v>conv_17540</v>
      </c>
      <c r="B1977" s="1" t="str">
        <f ca="1">IFERROR(__xludf.DUMMYFUNCTION("GOOGLETRANSLATE(English!B1977, ""en"", ""bg"")"),"биология")</f>
        <v>биология</v>
      </c>
      <c r="C1977" s="1" t="str">
        <f ca="1">IFERROR(__xludf.DUMMYFUNCTION("GOOGLETRANSLATE(English!C1977, ""en"", ""bg"")"),"елементарен")</f>
        <v>елементарен</v>
      </c>
      <c r="D1977" s="1" t="str">
        <f ca="1">IFERROR(__xludf.DUMMYFUNCTION("GOOGLETRANSLATE(English!D1977, ""en"", ""bg"")"),"местообитания")</f>
        <v>местообитания</v>
      </c>
      <c r="E1977" s="1" t="str">
        <f ca="1">IFERROR(__xludf.DUMMYFUNCTION("GOOGLETRANSLATE(English!E1977, ""en"", ""bg"")"),"Имам нужда от помощ с домашното. Можете ли да ми разкажете за местообитанията?")</f>
        <v>Имам нужда от помощ с домашното. Можете ли да ми разкажете за местообитанията?</v>
      </c>
      <c r="F1977" s="1" t="str">
        <f ca="1">IFERROR(__xludf.DUMMYFUNCTION("GOOGLETRANSLATE(English!F1977,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1977" s="1" t="str">
        <f ca="1">IFERROR(__xludf.DUMMYFUNCTION("GOOGLETRANSLATE(English!G1977, ""en"", ""bg"")"),"разговор")</f>
        <v>разговор</v>
      </c>
      <c r="H1977" s="1" t="str">
        <f ca="1">IFERROR(__xludf.DUMMYFUNCTION("GOOGLETRANSLATE(English!H1977, ""en"", ""bg"")"),"образователна_помощ")</f>
        <v>образователна_помощ</v>
      </c>
    </row>
    <row r="1978" spans="1:8" ht="13.2" x14ac:dyDescent="0.25">
      <c r="A1978" s="1" t="str">
        <f ca="1">IFERROR(__xludf.DUMMYFUNCTION("GOOGLETRANSLATE(English!A1978, ""en"", ""bg"")"),"qa_09925")</f>
        <v>qa_09925</v>
      </c>
      <c r="B1978" s="1" t="str">
        <f ca="1">IFERROR(__xludf.DUMMYFUNCTION("GOOGLETRANSLATE(English!B1978, ""en"", ""bg"")"),"биология")</f>
        <v>биология</v>
      </c>
      <c r="C1978" s="1" t="str">
        <f ca="1">IFERROR(__xludf.DUMMYFUNCTION("GOOGLETRANSLATE(English!C1978, ""en"", ""bg"")"),"високо")</f>
        <v>високо</v>
      </c>
      <c r="D1978" s="1" t="str">
        <f ca="1">IFERROR(__xludf.DUMMYFUNCTION("GOOGLETRANSLATE(English!D1978, ""en"", ""bg"")"),"синтез на протеини")</f>
        <v>синтез на протеини</v>
      </c>
      <c r="E1978" s="1" t="str">
        <f ca="1">IFERROR(__xludf.DUMMYFUNCTION("GOOGLETRANSLATE(English!E1978, ""en"", ""bg"")"),"Можете ли да ми разкажете за синтеза на протеини?")</f>
        <v>Можете ли да ми разкажете за синтеза на протеини?</v>
      </c>
      <c r="F1978" s="1" t="str">
        <f ca="1">IFERROR(__xludf.DUMMYFUNCTION("GOOGLETRANSLATE(English!F1978,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1978" s="1" t="str">
        <f ca="1">IFERROR(__xludf.DUMMYFUNCTION("GOOGLETRANSLATE(English!G1978, ""en"", ""bg"")"),"direct_qa")</f>
        <v>direct_qa</v>
      </c>
      <c r="H1978" s="1" t="str">
        <f ca="1">IFERROR(__xludf.DUMMYFUNCTION("GOOGLETRANSLATE(English!H1978, ""en"", ""bg"")"),"заявка_за_знание")</f>
        <v>заявка_за_знание</v>
      </c>
    </row>
    <row r="1979" spans="1:8" ht="13.2" x14ac:dyDescent="0.25">
      <c r="A1979" s="1" t="str">
        <f ca="1">IFERROR(__xludf.DUMMYFUNCTION("GOOGLETRANSLATE(English!A1979, ""en"", ""bg"")"),"conv_10065")</f>
        <v>conv_10065</v>
      </c>
      <c r="B1979" s="1" t="str">
        <f ca="1">IFERROR(__xludf.DUMMYFUNCTION("GOOGLETRANSLATE(English!B1979, ""en"", ""bg"")"),"биология")</f>
        <v>биология</v>
      </c>
      <c r="C1979" s="1" t="str">
        <f ca="1">IFERROR(__xludf.DUMMYFUNCTION("GOOGLETRANSLATE(English!C1979, ""en"", ""bg"")"),"високо")</f>
        <v>високо</v>
      </c>
      <c r="D1979" s="1" t="str">
        <f ca="1">IFERROR(__xludf.DUMMYFUNCTION("GOOGLETRANSLATE(English!D1979, ""en"", ""bg"")"),"Структура на ДНК")</f>
        <v>Структура на ДНК</v>
      </c>
      <c r="E1979" s="1" t="str">
        <f ca="1">IFERROR(__xludf.DUMMYFUNCTION("GOOGLETRANSLATE(English!E1979, ""en"", ""bg"")"),"Здравей, преподавателю! Защо структурата на ДНК е важна в биологията?")</f>
        <v>Здравей, преподавателю! Защо структурата на ДНК е важна в биологията?</v>
      </c>
      <c r="F1979" s="1" t="str">
        <f ca="1">IFERROR(__xludf.DUMMYFUNCTION("GOOGLETRANSLATE(English!F1979,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1979" s="1" t="str">
        <f ca="1">IFERROR(__xludf.DUMMYFUNCTION("GOOGLETRANSLATE(English!G1979, ""en"", ""bg"")"),"разговор")</f>
        <v>разговор</v>
      </c>
      <c r="H1979" s="1" t="str">
        <f ca="1">IFERROR(__xludf.DUMMYFUNCTION("GOOGLETRANSLATE(English!H1979, ""en"", ""bg"")"),"образователна_помощ")</f>
        <v>образователна_помощ</v>
      </c>
    </row>
    <row r="1980" spans="1:8" ht="13.2" x14ac:dyDescent="0.25">
      <c r="A1980" s="1" t="str">
        <f ca="1">IFERROR(__xludf.DUMMYFUNCTION("GOOGLETRANSLATE(English!A1980, ""en"", ""bg"")"),"conv_12627")</f>
        <v>conv_12627</v>
      </c>
      <c r="B1980" s="1" t="str">
        <f ca="1">IFERROR(__xludf.DUMMYFUNCTION("GOOGLETRANSLATE(English!B1980, ""en"", ""bg"")"),"химия")</f>
        <v>химия</v>
      </c>
      <c r="C1980" s="1" t="str">
        <f ca="1">IFERROR(__xludf.DUMMYFUNCTION("GOOGLETRANSLATE(English!C1980, ""en"", ""bg"")"),"средата")</f>
        <v>средата</v>
      </c>
      <c r="D1980" s="1" t="str">
        <f ca="1">IFERROR(__xludf.DUMMYFUNCTION("GOOGLETRANSLATE(English!D1980, ""en"", ""bg"")"),"химични реакции")</f>
        <v>химични реакции</v>
      </c>
      <c r="E1980" s="1" t="str">
        <f ca="1">IFERROR(__xludf.DUMMYFUNCTION("GOOGLETRANSLATE(English!E1980, ""en"", ""bg"")"),"Имам нужда от помощ с домашното. Могат ли химичните реакции да бъдат обратими?")</f>
        <v>Имам нужда от помощ с домашното. Могат ли химичните реакции да бъдат обратими?</v>
      </c>
      <c r="F1980" s="1" t="str">
        <f ca="1">IFERROR(__xludf.DUMMYFUNCTION("GOOGLETRANSLATE(English!F1980,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1980" s="1" t="str">
        <f ca="1">IFERROR(__xludf.DUMMYFUNCTION("GOOGLETRANSLATE(English!G1980, ""en"", ""bg"")"),"разговор")</f>
        <v>разговор</v>
      </c>
      <c r="H1980" s="1" t="str">
        <f ca="1">IFERROR(__xludf.DUMMYFUNCTION("GOOGLETRANSLATE(English!H1980, ""en"", ""bg"")"),"образователна_помощ")</f>
        <v>образователна_помощ</v>
      </c>
    </row>
    <row r="1981" spans="1:8" ht="13.2" x14ac:dyDescent="0.25">
      <c r="A1981" s="1" t="str">
        <f ca="1">IFERROR(__xludf.DUMMYFUNCTION("GOOGLETRANSLATE(English!A1981, ""en"", ""bg"")"),"qa_03396")</f>
        <v>qa_03396</v>
      </c>
      <c r="B1981" s="1" t="str">
        <f ca="1">IFERROR(__xludf.DUMMYFUNCTION("GOOGLETRANSLATE(English!B1981, ""en"", ""bg"")"),"биология")</f>
        <v>биология</v>
      </c>
      <c r="C1981" s="1" t="str">
        <f ca="1">IFERROR(__xludf.DUMMYFUNCTION("GOOGLETRANSLATE(English!C1981, ""en"", ""bg"")"),"елементарен")</f>
        <v>елементарен</v>
      </c>
      <c r="D1981" s="1" t="str">
        <f ca="1">IFERROR(__xludf.DUMMYFUNCTION("GOOGLETRANSLATE(English!D1981, ""en"", ""bg"")"),"местообитания")</f>
        <v>местообитания</v>
      </c>
      <c r="E1981" s="1" t="str">
        <f ca="1">IFERROR(__xludf.DUMMYFUNCTION("GOOGLETRANSLATE(English!E1981, ""en"", ""bg"")"),"Какво е важно да знаем за местообитанията?")</f>
        <v>Какво е важно да знаем за местообитанията?</v>
      </c>
      <c r="F1981" s="1" t="str">
        <f ca="1">IFERROR(__xludf.DUMMYFUNCTION("GOOGLETRANSLATE(English!F1981, ""en"", ""bg"")"),"Най-важното нещо за местообитанията е как те се свързват с други части на живота и природата.")</f>
        <v>Най-важното нещо за местообитанията е как те се свързват с други части на живота и природата.</v>
      </c>
      <c r="G1981" s="1" t="str">
        <f ca="1">IFERROR(__xludf.DUMMYFUNCTION("GOOGLETRANSLATE(English!G1981, ""en"", ""bg"")"),"direct_qa")</f>
        <v>direct_qa</v>
      </c>
      <c r="H1981" s="1" t="str">
        <f ca="1">IFERROR(__xludf.DUMMYFUNCTION("GOOGLETRANSLATE(English!H1981, ""en"", ""bg"")"),"заявка_за_знание")</f>
        <v>заявка_за_знание</v>
      </c>
    </row>
    <row r="1982" spans="1:8" ht="13.2" x14ac:dyDescent="0.25">
      <c r="A1982" s="1" t="str">
        <f ca="1">IFERROR(__xludf.DUMMYFUNCTION("GOOGLETRANSLATE(English!A1982, ""en"", ""bg"")"),"hw_13081")</f>
        <v>hw_13081</v>
      </c>
      <c r="B1982" s="1" t="str">
        <f ca="1">IFERROR(__xludf.DUMMYFUNCTION("GOOGLETRANSLATE(English!B1982, ""en"", ""bg"")"),"биология")</f>
        <v>биология</v>
      </c>
      <c r="C1982" s="1" t="str">
        <f ca="1">IFERROR(__xludf.DUMMYFUNCTION("GOOGLETRANSLATE(English!C1982, ""en"", ""bg"")"),"високо")</f>
        <v>високо</v>
      </c>
      <c r="D1982" s="1" t="str">
        <f ca="1">IFERROR(__xludf.DUMMYFUNCTION("GOOGLETRANSLATE(English!D1982, ""en"", ""bg"")"),"синтез на протеини")</f>
        <v>синтез на протеини</v>
      </c>
      <c r="E1982" s="1" t="str">
        <f ca="1">IFERROR(__xludf.DUMMYFUNCTION("GOOGLETRANSLATE(English!E1982,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1982" s="1" t="str">
        <f ca="1">IFERROR(__xludf.DUMMYFUNCTION("GOOGLETRANSLATE(English!F1982,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1982" s="1" t="str">
        <f ca="1">IFERROR(__xludf.DUMMYFUNCTION("GOOGLETRANSLATE(English!G1982, ""en"", ""bg"")"),"помощ_за_домашно_изпълнение")</f>
        <v>помощ_за_домашно_изпълнение</v>
      </c>
      <c r="H1982" s="1" t="str">
        <f ca="1">IFERROR(__xludf.DUMMYFUNCTION("GOOGLETRANSLATE(English!H1982, ""en"", ""bg"")"),"помощ_за_домашно_задаване")</f>
        <v>помощ_за_домашно_задаване</v>
      </c>
    </row>
    <row r="1983" spans="1:8" ht="13.2" x14ac:dyDescent="0.25">
      <c r="A1983" s="1" t="str">
        <f ca="1">IFERROR(__xludf.DUMMYFUNCTION("GOOGLETRANSLATE(English!A1983, ""en"", ""bg"")"),"hw_13871")</f>
        <v>hw_13871</v>
      </c>
      <c r="B1983" s="1" t="str">
        <f ca="1">IFERROR(__xludf.DUMMYFUNCTION("GOOGLETRANSLATE(English!B1983, ""en"", ""bg"")"),"биология")</f>
        <v>биология</v>
      </c>
      <c r="C1983" s="1" t="str">
        <f ca="1">IFERROR(__xludf.DUMMYFUNCTION("GOOGLETRANSLATE(English!C1983, ""en"", ""bg"")"),"елементарен")</f>
        <v>елементарен</v>
      </c>
      <c r="D1983" s="1" t="str">
        <f ca="1">IFERROR(__xludf.DUMMYFUNCTION("GOOGLETRANSLATE(English!D1983, ""en"", ""bg"")"),"хранителни вериги")</f>
        <v>хранителни вериги</v>
      </c>
      <c r="E1983" s="1" t="str">
        <f ca="1">IFERROR(__xludf.DUMMYFUNCTION("GOOGLETRANSLATE(English!E1983,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1983" s="1" t="str">
        <f ca="1">IFERROR(__xludf.DUMMYFUNCTION("GOOGLETRANSLATE(English!F1983,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1983" s="1" t="str">
        <f ca="1">IFERROR(__xludf.DUMMYFUNCTION("GOOGLETRANSLATE(English!G1983, ""en"", ""bg"")"),"помощ_за_домашно_изпълнение")</f>
        <v>помощ_за_домашно_изпълнение</v>
      </c>
      <c r="H1983" s="1" t="str">
        <f ca="1">IFERROR(__xludf.DUMMYFUNCTION("GOOGLETRANSLATE(English!H1983, ""en"", ""bg"")"),"помощ_за_домашно_задаване")</f>
        <v>помощ_за_домашно_задаване</v>
      </c>
    </row>
    <row r="1984" spans="1:8" ht="13.2" x14ac:dyDescent="0.25">
      <c r="A1984" s="1" t="str">
        <f ca="1">IFERROR(__xludf.DUMMYFUNCTION("GOOGLETRANSLATE(English!A1984, ""en"", ""bg"")"),"hw_00928")</f>
        <v>hw_00928</v>
      </c>
      <c r="B1984" s="1" t="str">
        <f ca="1">IFERROR(__xludf.DUMMYFUNCTION("GOOGLETRANSLATE(English!B1984, ""en"", ""bg"")"),"биология")</f>
        <v>биология</v>
      </c>
      <c r="C1984" s="1" t="str">
        <f ca="1">IFERROR(__xludf.DUMMYFUNCTION("GOOGLETRANSLATE(English!C1984, ""en"", ""bg"")"),"средата")</f>
        <v>средата</v>
      </c>
      <c r="D1984" s="1" t="str">
        <f ca="1">IFERROR(__xludf.DUMMYFUNCTION("GOOGLETRANSLATE(English!D1984, ""en"", ""bg"")"),"основи на генетиката")</f>
        <v>основи на генетиката</v>
      </c>
      <c r="E1984" s="1" t="str">
        <f ca="1">IFERROR(__xludf.DUMMYFUNCTION("GOOGLETRANSLATE(English!E1984, ""en"", ""bg"")"),"Трябва да напиша доклад за основите на генетиката. Можете ли да ми помогнете да започна?")</f>
        <v>Трябва да напиша доклад за основите на генетиката. Можете ли да ми помогнете да започна?</v>
      </c>
      <c r="F1984" s="1" t="str">
        <f ca="1">IFERROR(__xludf.DUMMYFUNCTION("GOOGLETRANSLATE(English!F1984,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1984" s="1" t="str">
        <f ca="1">IFERROR(__xludf.DUMMYFUNCTION("GOOGLETRANSLATE(English!G1984, ""en"", ""bg"")"),"помощ_за_домашно_изпълнение")</f>
        <v>помощ_за_домашно_изпълнение</v>
      </c>
      <c r="H1984" s="1" t="str">
        <f ca="1">IFERROR(__xludf.DUMMYFUNCTION("GOOGLETRANSLATE(English!H1984, ""en"", ""bg"")"),"помощ_за_домашно_задаване")</f>
        <v>помощ_за_домашно_задаване</v>
      </c>
    </row>
    <row r="1985" spans="1:8" ht="13.2" x14ac:dyDescent="0.25">
      <c r="A1985" s="1" t="str">
        <f ca="1">IFERROR(__xludf.DUMMYFUNCTION("GOOGLETRANSLATE(English!A1985, ""en"", ""bg"")"),"hw_02264")</f>
        <v>hw_02264</v>
      </c>
      <c r="B1985" s="1" t="str">
        <f ca="1">IFERROR(__xludf.DUMMYFUNCTION("GOOGLETRANSLATE(English!B1985, ""en"", ""bg"")"),"биология")</f>
        <v>биология</v>
      </c>
      <c r="C1985" s="1" t="str">
        <f ca="1">IFERROR(__xludf.DUMMYFUNCTION("GOOGLETRANSLATE(English!C1985, ""en"", ""bg"")"),"елементарен")</f>
        <v>елементарен</v>
      </c>
      <c r="D1985" s="1" t="str">
        <f ca="1">IFERROR(__xludf.DUMMYFUNCTION("GOOGLETRANSLATE(English!D1985, ""en"", ""bg"")"),"животни")</f>
        <v>животни</v>
      </c>
      <c r="E1985" s="1" t="str">
        <f ca="1">IFERROR(__xludf.DUMMYFUNCTION("GOOGLETRANSLATE(English!E1985, ""en"", ""bg"")"),"Трябва да напиша доклад за животни. Можете ли да ми помогнете да започна?")</f>
        <v>Трябва да напиша доклад за животни. Можете ли да ми помогнете да започна?</v>
      </c>
      <c r="F1985" s="1" t="str">
        <f ca="1">IFERROR(__xludf.DUMMYFUNCTION("GOOGLETRANSLATE(English!F1985,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1985" s="1" t="str">
        <f ca="1">IFERROR(__xludf.DUMMYFUNCTION("GOOGLETRANSLATE(English!G1985, ""en"", ""bg"")"),"помощ_за_домашно_изпълнение")</f>
        <v>помощ_за_домашно_изпълнение</v>
      </c>
      <c r="H1985" s="1" t="str">
        <f ca="1">IFERROR(__xludf.DUMMYFUNCTION("GOOGLETRANSLATE(English!H1985, ""en"", ""bg"")"),"помощ_за_домашно_задаване")</f>
        <v>помощ_за_домашно_задаване</v>
      </c>
    </row>
    <row r="1986" spans="1:8" ht="13.2" x14ac:dyDescent="0.25">
      <c r="A1986" s="1" t="str">
        <f ca="1">IFERROR(__xludf.DUMMYFUNCTION("GOOGLETRANSLATE(English!A1986, ""en"", ""bg"")"),"hw_03313")</f>
        <v>hw_03313</v>
      </c>
      <c r="B1986" s="1" t="str">
        <f ca="1">IFERROR(__xludf.DUMMYFUNCTION("GOOGLETRANSLATE(English!B1986, ""en"", ""bg"")"),"химия")</f>
        <v>химия</v>
      </c>
      <c r="C1986" s="1" t="str">
        <f ca="1">IFERROR(__xludf.DUMMYFUNCTION("GOOGLETRANSLATE(English!C1986, ""en"", ""bg"")"),"елементарен")</f>
        <v>елементарен</v>
      </c>
      <c r="D1986" s="1" t="str">
        <f ca="1">IFERROR(__xludf.DUMMYFUNCTION("GOOGLETRANSLATE(English!D1986, ""en"", ""bg"")"),"твърди вещества, течности, газове")</f>
        <v>твърди вещества, течности, газове</v>
      </c>
      <c r="E1986" s="1" t="str">
        <f ca="1">IFERROR(__xludf.DUMMYFUNCTION("GOOGLETRANSLATE(English!E1986, ""en"", ""bg"")"),"Можете ли да ми помогнете с изчисленията за твърди вещества, течности и газове?")</f>
        <v>Можете ли да ми помогнете с изчисленията за твърди вещества, течности и газове?</v>
      </c>
      <c r="F1986" s="1" t="str">
        <f ca="1">IFERROR(__xludf.DUMMYFUNCTION("GOOGLETRANSLATE(English!F1986,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1986" s="1" t="str">
        <f ca="1">IFERROR(__xludf.DUMMYFUNCTION("GOOGLETRANSLATE(English!G1986, ""en"", ""bg"")"),"помощ_за_домашно_изпълнение")</f>
        <v>помощ_за_домашно_изпълнение</v>
      </c>
      <c r="H1986" s="1" t="str">
        <f ca="1">IFERROR(__xludf.DUMMYFUNCTION("GOOGLETRANSLATE(English!H1986, ""en"", ""bg"")"),"помощ_за_домашно_задаване")</f>
        <v>помощ_за_домашно_задаване</v>
      </c>
    </row>
    <row r="1987" spans="1:8" ht="13.2" x14ac:dyDescent="0.25">
      <c r="A1987" s="1" t="str">
        <f ca="1">IFERROR(__xludf.DUMMYFUNCTION("GOOGLETRANSLATE(English!A1987, ""en"", ""bg"")"),"conv_13622")</f>
        <v>conv_13622</v>
      </c>
      <c r="B1987" s="1" t="str">
        <f ca="1">IFERROR(__xludf.DUMMYFUNCTION("GOOGLETRANSLATE(English!B1987, ""en"", ""bg"")"),"биология")</f>
        <v>биология</v>
      </c>
      <c r="C1987" s="1" t="str">
        <f ca="1">IFERROR(__xludf.DUMMYFUNCTION("GOOGLETRANSLATE(English!C1987, ""en"", ""bg"")"),"средата")</f>
        <v>средата</v>
      </c>
      <c r="D1987" s="1" t="str">
        <f ca="1">IFERROR(__xludf.DUMMYFUNCTION("GOOGLETRANSLATE(English!D1987, ""en"", ""bg"")"),"екосистеми")</f>
        <v>екосистеми</v>
      </c>
      <c r="E1987" s="1" t="str">
        <f ca="1">IFERROR(__xludf.DUMMYFUNCTION("GOOGLETRANSLATE(English!E1987, ""en"", ""bg"")"),"Имам научен въпрос. Какво е важно да знаем за екосистемите?")</f>
        <v>Имам научен въпрос. Какво е важно да знаем за екосистемите?</v>
      </c>
      <c r="F1987" s="1" t="str">
        <f ca="1">IFERROR(__xludf.DUMMYFUNCTION("GOOGLETRANSLATE(English!F1987,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1987" s="1" t="str">
        <f ca="1">IFERROR(__xludf.DUMMYFUNCTION("GOOGLETRANSLATE(English!G1987, ""en"", ""bg"")"),"разговор")</f>
        <v>разговор</v>
      </c>
      <c r="H1987" s="1" t="str">
        <f ca="1">IFERROR(__xludf.DUMMYFUNCTION("GOOGLETRANSLATE(English!H1987, ""en"", ""bg"")"),"образователна_помощ")</f>
        <v>образователна_помощ</v>
      </c>
    </row>
    <row r="1988" spans="1:8" ht="13.2" x14ac:dyDescent="0.25">
      <c r="A1988" s="1" t="str">
        <f ca="1">IFERROR(__xludf.DUMMYFUNCTION("GOOGLETRANSLATE(English!A1988, ""en"", ""bg"")"),"qa_01605")</f>
        <v>qa_01605</v>
      </c>
      <c r="B1988" s="1" t="str">
        <f ca="1">IFERROR(__xludf.DUMMYFUNCTION("GOOGLETRANSLATE(English!B1988, ""en"", ""bg"")"),"физика")</f>
        <v>физика</v>
      </c>
      <c r="C1988" s="1" t="str">
        <f ca="1">IFERROR(__xludf.DUMMYFUNCTION("GOOGLETRANSLATE(English!C1988, ""en"", ""bg"")"),"високо")</f>
        <v>високо</v>
      </c>
      <c r="D1988" s="1" t="str">
        <f ca="1">IFERROR(__xludf.DUMMYFUNCTION("GOOGLETRANSLATE(English!D1988, ""en"", ""bg"")"),"оптика")</f>
        <v>оптика</v>
      </c>
      <c r="E1988" s="1" t="str">
        <f ca="1">IFERROR(__xludf.DUMMYFUNCTION("GOOGLETRANSLATE(English!E1988, ""en"", ""bg"")"),"Как работи оптиката във физиката?")</f>
        <v>Как работи оптиката във физиката?</v>
      </c>
      <c r="F1988" s="1" t="str">
        <f ca="1">IFERROR(__xludf.DUMMYFUNCTION("GOOGLETRANSLATE(English!F1988,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1988" s="1" t="str">
        <f ca="1">IFERROR(__xludf.DUMMYFUNCTION("GOOGLETRANSLATE(English!G1988, ""en"", ""bg"")"),"direct_qa")</f>
        <v>direct_qa</v>
      </c>
      <c r="H1988" s="1" t="str">
        <f ca="1">IFERROR(__xludf.DUMMYFUNCTION("GOOGLETRANSLATE(English!H1988, ""en"", ""bg"")"),"заявка_за_знание")</f>
        <v>заявка_за_знание</v>
      </c>
    </row>
    <row r="1989" spans="1:8" ht="13.2" x14ac:dyDescent="0.25">
      <c r="A1989" s="1" t="str">
        <f ca="1">IFERROR(__xludf.DUMMYFUNCTION("GOOGLETRANSLATE(English!A1989, ""en"", ""bg"")"),"conv_01572")</f>
        <v>conv_01572</v>
      </c>
      <c r="B1989" s="1" t="str">
        <f ca="1">IFERROR(__xludf.DUMMYFUNCTION("GOOGLETRANSLATE(English!B1989, ""en"", ""bg"")"),"физика")</f>
        <v>физика</v>
      </c>
      <c r="C1989" s="1" t="str">
        <f ca="1">IFERROR(__xludf.DUMMYFUNCTION("GOOGLETRANSLATE(English!C1989, ""en"", ""bg"")"),"високо")</f>
        <v>високо</v>
      </c>
      <c r="D1989" s="1" t="str">
        <f ca="1">IFERROR(__xludf.DUMMYFUNCTION("GOOGLETRANSLATE(English!D1989, ""en"", ""bg"")"),"оптика")</f>
        <v>оптика</v>
      </c>
      <c r="E1989" s="1" t="str">
        <f ca="1">IFERROR(__xludf.DUMMYFUNCTION("GOOGLETRANSLATE(English!E1989, ""en"", ""bg"")"),"Здравей, преподавателю! Как работи оптиката във физиката?")</f>
        <v>Здравей, преподавателю! Как работи оптиката във физиката?</v>
      </c>
      <c r="F1989" s="1" t="str">
        <f ca="1">IFERROR(__xludf.DUMMYFUNCTION("GOOGLETRANSLATE(English!F1989,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1989" s="1" t="str">
        <f ca="1">IFERROR(__xludf.DUMMYFUNCTION("GOOGLETRANSLATE(English!G1989, ""en"", ""bg"")"),"разговор")</f>
        <v>разговор</v>
      </c>
      <c r="H1989" s="1" t="str">
        <f ca="1">IFERROR(__xludf.DUMMYFUNCTION("GOOGLETRANSLATE(English!H1989, ""en"", ""bg"")"),"образователна_помощ")</f>
        <v>образователна_помощ</v>
      </c>
    </row>
    <row r="1990" spans="1:8" ht="13.2" x14ac:dyDescent="0.25">
      <c r="A1990" s="1" t="str">
        <f ca="1">IFERROR(__xludf.DUMMYFUNCTION("GOOGLETRANSLATE(English!A1990, ""en"", ""bg"")"),"conv_10210")</f>
        <v>conv_10210</v>
      </c>
      <c r="B1990" s="1" t="str">
        <f ca="1">IFERROR(__xludf.DUMMYFUNCTION("GOOGLETRANSLATE(English!B1990, ""en"", ""bg"")"),"биология")</f>
        <v>биология</v>
      </c>
      <c r="C1990" s="1" t="str">
        <f ca="1">IFERROR(__xludf.DUMMYFUNCTION("GOOGLETRANSLATE(English!C1990, ""en"", ""bg"")"),"високо")</f>
        <v>високо</v>
      </c>
      <c r="D1990" s="1" t="str">
        <f ca="1">IFERROR(__xludf.DUMMYFUNCTION("GOOGLETRANSLATE(English!D1990, ""en"", ""bg"")"),"Структура на ДНК")</f>
        <v>Структура на ДНК</v>
      </c>
      <c r="E1990" s="1" t="str">
        <f ca="1">IFERROR(__xludf.DUMMYFUNCTION("GOOGLETRANSLATE(English!E1990, ""en"", ""bg"")"),"Здравей, преподавателю! Какво е важно да знаем за структурата на ДНК?")</f>
        <v>Здравей, преподавателю! Какво е важно да знаем за структурата на ДНК?</v>
      </c>
      <c r="F1990" s="1" t="str">
        <f ca="1">IFERROR(__xludf.DUMMYFUNCTION("GOOGLETRANSLATE(English!F1990,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1990" s="1" t="str">
        <f ca="1">IFERROR(__xludf.DUMMYFUNCTION("GOOGLETRANSLATE(English!G1990, ""en"", ""bg"")"),"разговор")</f>
        <v>разговор</v>
      </c>
      <c r="H1990" s="1" t="str">
        <f ca="1">IFERROR(__xludf.DUMMYFUNCTION("GOOGLETRANSLATE(English!H1990, ""en"", ""bg"")"),"образователна_помощ")</f>
        <v>образователна_помощ</v>
      </c>
    </row>
    <row r="1991" spans="1:8" ht="13.2" x14ac:dyDescent="0.25">
      <c r="A1991" s="1" t="str">
        <f ca="1">IFERROR(__xludf.DUMMYFUNCTION("GOOGLETRANSLATE(English!A1991, ""en"", ""bg"")"),"qa_01359")</f>
        <v>qa_01359</v>
      </c>
      <c r="B1991" s="1" t="str">
        <f ca="1">IFERROR(__xludf.DUMMYFUNCTION("GOOGLETRANSLATE(English!B1991, ""en"", ""bg"")"),"физика")</f>
        <v>физика</v>
      </c>
      <c r="C1991" s="1" t="str">
        <f ca="1">IFERROR(__xludf.DUMMYFUNCTION("GOOGLETRANSLATE(English!C1991, ""en"", ""bg"")"),"високо")</f>
        <v>високо</v>
      </c>
      <c r="D1991" s="1" t="str">
        <f ca="1">IFERROR(__xludf.DUMMYFUNCTION("GOOGLETRANSLATE(English!D1991, ""en"", ""bg"")"),"радиоактивност")</f>
        <v>радиоактивност</v>
      </c>
      <c r="E1991" s="1" t="str">
        <f ca="1">IFERROR(__xludf.DUMMYFUNCTION("GOOGLETRANSLATE(English!E1991, ""en"", ""bg"")"),"Защо радиоактивността е важна?")</f>
        <v>Защо радиоактивността е важна?</v>
      </c>
      <c r="F1991" s="1" t="str">
        <f ca="1">IFERROR(__xludf.DUMMYFUNCTION("GOOGLETRANSLATE(English!F1991,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1991" s="1" t="str">
        <f ca="1">IFERROR(__xludf.DUMMYFUNCTION("GOOGLETRANSLATE(English!G1991, ""en"", ""bg"")"),"direct_qa")</f>
        <v>direct_qa</v>
      </c>
      <c r="H1991" s="1" t="str">
        <f ca="1">IFERROR(__xludf.DUMMYFUNCTION("GOOGLETRANSLATE(English!H1991, ""en"", ""bg"")"),"заявка_за_знание")</f>
        <v>заявка_за_знание</v>
      </c>
    </row>
    <row r="1992" spans="1:8" ht="13.2" x14ac:dyDescent="0.25">
      <c r="A1992" s="1" t="str">
        <f ca="1">IFERROR(__xludf.DUMMYFUNCTION("GOOGLETRANSLATE(English!A1992, ""en"", ""bg"")"),"qa_06094")</f>
        <v>qa_06094</v>
      </c>
      <c r="B1992" s="1" t="str">
        <f ca="1">IFERROR(__xludf.DUMMYFUNCTION("GOOGLETRANSLATE(English!B1992, ""en"", ""bg"")"),"биология")</f>
        <v>биология</v>
      </c>
      <c r="C1992" s="1" t="str">
        <f ca="1">IFERROR(__xludf.DUMMYFUNCTION("GOOGLETRANSLATE(English!C1992, ""en"", ""bg"")"),"елементарен")</f>
        <v>елементарен</v>
      </c>
      <c r="D1992" s="1" t="str">
        <f ca="1">IFERROR(__xludf.DUMMYFUNCTION("GOOGLETRANSLATE(English!D1992, ""en"", ""bg"")"),"хранителни вериги")</f>
        <v>хранителни вериги</v>
      </c>
      <c r="E1992" s="1" t="str">
        <f ca="1">IFERROR(__xludf.DUMMYFUNCTION("GOOGLETRANSLATE(English!E1992, ""en"", ""bg"")"),"Какво е важно да знаем за хранителните вериги?")</f>
        <v>Какво е важно да знаем за хранителните вериги?</v>
      </c>
      <c r="F1992" s="1" t="str">
        <f ca="1">IFERROR(__xludf.DUMMYFUNCTION("GOOGLETRANSLATE(English!F1992,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1992" s="1" t="str">
        <f ca="1">IFERROR(__xludf.DUMMYFUNCTION("GOOGLETRANSLATE(English!G1992, ""en"", ""bg"")"),"direct_qa")</f>
        <v>direct_qa</v>
      </c>
      <c r="H1992" s="1" t="str">
        <f ca="1">IFERROR(__xludf.DUMMYFUNCTION("GOOGLETRANSLATE(English!H1992, ""en"", ""bg"")"),"заявка_за_знание")</f>
        <v>заявка_за_знание</v>
      </c>
    </row>
    <row r="1993" spans="1:8" ht="13.2" x14ac:dyDescent="0.25">
      <c r="A1993" s="1" t="str">
        <f ca="1">IFERROR(__xludf.DUMMYFUNCTION("GOOGLETRANSLATE(English!A1993, ""en"", ""bg"")"),"conv_02645")</f>
        <v>conv_02645</v>
      </c>
      <c r="B1993" s="1" t="str">
        <f ca="1">IFERROR(__xludf.DUMMYFUNCTION("GOOGLETRANSLATE(English!B1993, ""en"", ""bg"")"),"физика")</f>
        <v>физика</v>
      </c>
      <c r="C1993" s="1" t="str">
        <f ca="1">IFERROR(__xludf.DUMMYFUNCTION("GOOGLETRANSLATE(English!C1993, ""en"", ""bg"")"),"високо")</f>
        <v>високо</v>
      </c>
      <c r="D1993" s="1" t="str">
        <f ca="1">IFERROR(__xludf.DUMMYFUNCTION("GOOGLETRANSLATE(English!D1993, ""en"", ""bg"")"),"механика")</f>
        <v>механика</v>
      </c>
      <c r="E1993" s="1" t="str">
        <f ca="1">IFERROR(__xludf.DUMMYFUNCTION("GOOGLETRANSLATE(English!E1993, ""en"", ""bg"")"),"Не разбирам тази тема. Как работи механиката във физиката?")</f>
        <v>Не разбирам тази тема. Как работи механиката във физиката?</v>
      </c>
      <c r="F1993" s="1" t="str">
        <f ca="1">IFERROR(__xludf.DUMMYFUNCTION("GOOGLETRANSLATE(English!F1993,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1993" s="1" t="str">
        <f ca="1">IFERROR(__xludf.DUMMYFUNCTION("GOOGLETRANSLATE(English!G1993, ""en"", ""bg"")"),"разговор")</f>
        <v>разговор</v>
      </c>
      <c r="H1993" s="1" t="str">
        <f ca="1">IFERROR(__xludf.DUMMYFUNCTION("GOOGLETRANSLATE(English!H1993, ""en"", ""bg"")"),"образователна_помощ")</f>
        <v>образователна_помощ</v>
      </c>
    </row>
    <row r="1994" spans="1:8" ht="13.2" x14ac:dyDescent="0.25">
      <c r="A1994" s="1" t="str">
        <f ca="1">IFERROR(__xludf.DUMMYFUNCTION("GOOGLETRANSLATE(English!A1994, ""en"", ""bg"")"),"hw_13114")</f>
        <v>hw_13114</v>
      </c>
      <c r="B1994" s="1" t="str">
        <f ca="1">IFERROR(__xludf.DUMMYFUNCTION("GOOGLETRANSLATE(English!B1994, ""en"", ""bg"")"),"биология")</f>
        <v>биология</v>
      </c>
      <c r="C1994" s="1" t="str">
        <f ca="1">IFERROR(__xludf.DUMMYFUNCTION("GOOGLETRANSLATE(English!C1994, ""en"", ""bg"")"),"високо")</f>
        <v>високо</v>
      </c>
      <c r="D1994" s="1" t="str">
        <f ca="1">IFERROR(__xludf.DUMMYFUNCTION("GOOGLETRANSLATE(English!D1994, ""en"", ""bg"")"),"Структура на ДНК")</f>
        <v>Структура на ДНК</v>
      </c>
      <c r="E1994" s="1" t="str">
        <f ca="1">IFERROR(__xludf.DUMMYFUNCTION("GOOGLETRANSLATE(English!E1994,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1994" s="1" t="str">
        <f ca="1">IFERROR(__xludf.DUMMYFUNCTION("GOOGLETRANSLATE(English!F1994,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1994" s="1" t="str">
        <f ca="1">IFERROR(__xludf.DUMMYFUNCTION("GOOGLETRANSLATE(English!G1994, ""en"", ""bg"")"),"помощ_за_домашно_изпълнение")</f>
        <v>помощ_за_домашно_изпълнение</v>
      </c>
      <c r="H1994" s="1" t="str">
        <f ca="1">IFERROR(__xludf.DUMMYFUNCTION("GOOGLETRANSLATE(English!H1994, ""en"", ""bg"")"),"помощ_за_домашно_задаване")</f>
        <v>помощ_за_домашно_задаване</v>
      </c>
    </row>
    <row r="1995" spans="1:8" ht="13.2" x14ac:dyDescent="0.25">
      <c r="A1995" s="1" t="str">
        <f ca="1">IFERROR(__xludf.DUMMYFUNCTION("GOOGLETRANSLATE(English!A1995, ""en"", ""bg"")"),"conv_15746")</f>
        <v>conv_15746</v>
      </c>
      <c r="B1995" s="1" t="str">
        <f ca="1">IFERROR(__xludf.DUMMYFUNCTION("GOOGLETRANSLATE(English!B1995, ""en"", ""bg"")"),"химия")</f>
        <v>химия</v>
      </c>
      <c r="C1995" s="1" t="str">
        <f ca="1">IFERROR(__xludf.DUMMYFUNCTION("GOOGLETRANSLATE(English!C1995, ""en"", ""bg"")"),"високо")</f>
        <v>високо</v>
      </c>
      <c r="D1995" s="1" t="str">
        <f ca="1">IFERROR(__xludf.DUMMYFUNCTION("GOOGLETRANSLATE(English!D1995, ""en"", ""bg"")"),"скорости на реакция")</f>
        <v>скорости на реакция</v>
      </c>
      <c r="E1995" s="1" t="str">
        <f ca="1">IFERROR(__xludf.DUMMYFUNCTION("GOOGLETRANSLATE(English!E1995, ""en"", ""bg"")"),"Имам нужда от помощ с домашното. Какво представляват скоростите на реакция?")</f>
        <v>Имам нужда от помощ с домашното. Какво представляват скоростите на реакция?</v>
      </c>
      <c r="F1995" s="1" t="str">
        <f ca="1">IFERROR(__xludf.DUMMYFUNCTION("GOOGLETRANSLATE(English!F1995,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1995" s="1" t="str">
        <f ca="1">IFERROR(__xludf.DUMMYFUNCTION("GOOGLETRANSLATE(English!G1995, ""en"", ""bg"")"),"разговор")</f>
        <v>разговор</v>
      </c>
      <c r="H1995" s="1" t="str">
        <f ca="1">IFERROR(__xludf.DUMMYFUNCTION("GOOGLETRANSLATE(English!H1995, ""en"", ""bg"")"),"образователна_помощ")</f>
        <v>образователна_помощ</v>
      </c>
    </row>
    <row r="1996" spans="1:8" ht="13.2" x14ac:dyDescent="0.25">
      <c r="A1996" s="1" t="str">
        <f ca="1">IFERROR(__xludf.DUMMYFUNCTION("GOOGLETRANSLATE(English!A1996, ""en"", ""bg"")"),"conv_10669")</f>
        <v>conv_10669</v>
      </c>
      <c r="B1996" s="1" t="str">
        <f ca="1">IFERROR(__xludf.DUMMYFUNCTION("GOOGLETRANSLATE(English!B1996, ""en"", ""bg"")"),"химия")</f>
        <v>химия</v>
      </c>
      <c r="C1996" s="1" t="str">
        <f ca="1">IFERROR(__xludf.DUMMYFUNCTION("GOOGLETRANSLATE(English!C1996, ""en"", ""bg"")"),"средата")</f>
        <v>средата</v>
      </c>
      <c r="D1996" s="1" t="str">
        <f ca="1">IFERROR(__xludf.DUMMYFUNCTION("GOOGLETRANSLATE(English!D1996, ""en"", ""bg"")"),"основи на периодичната таблица")</f>
        <v>основи на периодичната таблица</v>
      </c>
      <c r="E1996" s="1" t="str">
        <f ca="1">IFERROR(__xludf.DUMMYFUNCTION("GOOGLETRANSLATE(English!E1996, ""en"", ""bg"")"),"Можете ли да ми обясните това? Защо е важно да се изучат основите на периодичната таблица?")</f>
        <v>Можете ли да ми обясните това? Защо е важно да се изучат основите на периодичната таблица?</v>
      </c>
      <c r="F1996" s="1" t="str">
        <f ca="1">IFERROR(__xludf.DUMMYFUNCTION("GOOGLETRANSLATE(English!F1996,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1996" s="1" t="str">
        <f ca="1">IFERROR(__xludf.DUMMYFUNCTION("GOOGLETRANSLATE(English!G1996, ""en"", ""bg"")"),"разговор")</f>
        <v>разговор</v>
      </c>
      <c r="H1996" s="1" t="str">
        <f ca="1">IFERROR(__xludf.DUMMYFUNCTION("GOOGLETRANSLATE(English!H1996, ""en"", ""bg"")"),"образователна_помощ")</f>
        <v>образователна_помощ</v>
      </c>
    </row>
    <row r="1997" spans="1:8" ht="13.2" x14ac:dyDescent="0.25">
      <c r="A1997" s="1" t="str">
        <f ca="1">IFERROR(__xludf.DUMMYFUNCTION("GOOGLETRANSLATE(English!A1997, ""en"", ""bg"")"),"hw_04951")</f>
        <v>hw_04951</v>
      </c>
      <c r="B1997" s="1" t="str">
        <f ca="1">IFERROR(__xludf.DUMMYFUNCTION("GOOGLETRANSLATE(English!B1997, ""en"", ""bg"")"),"биология")</f>
        <v>биология</v>
      </c>
      <c r="C1997" s="1" t="str">
        <f ca="1">IFERROR(__xludf.DUMMYFUNCTION("GOOGLETRANSLATE(English!C1997, ""en"", ""bg"")"),"елементарен")</f>
        <v>елементарен</v>
      </c>
      <c r="D1997" s="1" t="str">
        <f ca="1">IFERROR(__xludf.DUMMYFUNCTION("GOOGLETRANSLATE(English!D1997, ""en"", ""bg"")"),"сетива")</f>
        <v>сетива</v>
      </c>
      <c r="E1997" s="1" t="str">
        <f ca="1">IFERROR(__xludf.DUMMYFUNCTION("GOOGLETRANSLATE(English!E1997, ""en"", ""bg"")"),"Домашното ми пита за сетивата. Не го разбирам.")</f>
        <v>Домашното ми пита за сетивата. Не го разбирам.</v>
      </c>
      <c r="F1997" s="1" t="str">
        <f ca="1">IFERROR(__xludf.DUMMYFUNCTION("GOOGLETRANSLATE(English!F1997,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1997" s="1" t="str">
        <f ca="1">IFERROR(__xludf.DUMMYFUNCTION("GOOGLETRANSLATE(English!G1997, ""en"", ""bg"")"),"помощ_за_домашно_изпълнение")</f>
        <v>помощ_за_домашно_изпълнение</v>
      </c>
      <c r="H1997" s="1" t="str">
        <f ca="1">IFERROR(__xludf.DUMMYFUNCTION("GOOGLETRANSLATE(English!H1997, ""en"", ""bg"")"),"помощ_за_домашно_задаване")</f>
        <v>помощ_за_домашно_задаване</v>
      </c>
    </row>
    <row r="1998" spans="1:8" ht="13.2" x14ac:dyDescent="0.25">
      <c r="A1998" s="1" t="str">
        <f ca="1">IFERROR(__xludf.DUMMYFUNCTION("GOOGLETRANSLATE(English!A1998, ""en"", ""bg"")"),"qa_07690")</f>
        <v>qa_07690</v>
      </c>
      <c r="B1998" s="1" t="str">
        <f ca="1">IFERROR(__xludf.DUMMYFUNCTION("GOOGLETRANSLATE(English!B1998, ""en"", ""bg"")"),"физика")</f>
        <v>физика</v>
      </c>
      <c r="C1998" s="1" t="str">
        <f ca="1">IFERROR(__xludf.DUMMYFUNCTION("GOOGLETRANSLATE(English!C1998, ""en"", ""bg"")"),"средата")</f>
        <v>средата</v>
      </c>
      <c r="D1998" s="1" t="str">
        <f ca="1">IFERROR(__xludf.DUMMYFUNCTION("GOOGLETRANSLATE(English!D1998, ""en"", ""bg"")"),"прости схеми")</f>
        <v>прости схеми</v>
      </c>
      <c r="E1998" s="1" t="str">
        <f ca="1">IFERROR(__xludf.DUMMYFUNCTION("GOOGLETRANSLATE(English!E1998, ""en"", ""bg"")"),"Защо простите електрически вериги са важни?")</f>
        <v>Защо простите електрически вериги са важни?</v>
      </c>
      <c r="F1998" s="1" t="str">
        <f ca="1">IFERROR(__xludf.DUMMYFUNCTION("GOOGLETRANSLATE(English!F1998,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1998" s="1" t="str">
        <f ca="1">IFERROR(__xludf.DUMMYFUNCTION("GOOGLETRANSLATE(English!G1998, ""en"", ""bg"")"),"direct_qa")</f>
        <v>direct_qa</v>
      </c>
      <c r="H1998" s="1" t="str">
        <f ca="1">IFERROR(__xludf.DUMMYFUNCTION("GOOGLETRANSLATE(English!H1998, ""en"", ""bg"")"),"заявка_за_знание")</f>
        <v>заявка_за_знание</v>
      </c>
    </row>
    <row r="1999" spans="1:8" ht="13.2" x14ac:dyDescent="0.25">
      <c r="A1999" s="1" t="str">
        <f ca="1">IFERROR(__xludf.DUMMYFUNCTION("GOOGLETRANSLATE(English!A1999, ""en"", ""bg"")"),"hw_01375")</f>
        <v>hw_01375</v>
      </c>
      <c r="B1999" s="1" t="str">
        <f ca="1">IFERROR(__xludf.DUMMYFUNCTION("GOOGLETRANSLATE(English!B1999, ""en"", ""bg"")"),"физика")</f>
        <v>физика</v>
      </c>
      <c r="C1999" s="1" t="str">
        <f ca="1">IFERROR(__xludf.DUMMYFUNCTION("GOOGLETRANSLATE(English!C1999, ""en"", ""bg"")"),"елементарен")</f>
        <v>елементарен</v>
      </c>
      <c r="D1999" s="1" t="str">
        <f ca="1">IFERROR(__xludf.DUMMYFUNCTION("GOOGLETRANSLATE(English!D1999, ""en"", ""bg"")"),"горещо и студено")</f>
        <v>горещо и студено</v>
      </c>
      <c r="E1999" s="1" t="str">
        <f ca="1">IFERROR(__xludf.DUMMYFUNCTION("GOOGLETRANSLATE(English!E1999, ""en"", ""bg"")"),"Домашното ми по физика е за горещо и студено. Объркващо е!")</f>
        <v>Домашното ми по физика е за горещо и студено. Объркващо е!</v>
      </c>
      <c r="F1999" s="1" t="str">
        <f ca="1">IFERROR(__xludf.DUMMYFUNCTION("GOOGLETRANSLATE(English!F1999,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1999" s="1" t="str">
        <f ca="1">IFERROR(__xludf.DUMMYFUNCTION("GOOGLETRANSLATE(English!G1999, ""en"", ""bg"")"),"помощ_за_домашно_изпълнение")</f>
        <v>помощ_за_домашно_изпълнение</v>
      </c>
      <c r="H1999" s="1" t="str">
        <f ca="1">IFERROR(__xludf.DUMMYFUNCTION("GOOGLETRANSLATE(English!H1999, ""en"", ""bg"")"),"помощ_за_домашно_задаване")</f>
        <v>помощ_за_домашно_задаване</v>
      </c>
    </row>
    <row r="2000" spans="1:8" ht="13.2" x14ac:dyDescent="0.25">
      <c r="A2000" s="1" t="str">
        <f ca="1">IFERROR(__xludf.DUMMYFUNCTION("GOOGLETRANSLATE(English!A2000, ""en"", ""bg"")"),"hw_00895")</f>
        <v>hw_00895</v>
      </c>
      <c r="B2000" s="1" t="str">
        <f ca="1">IFERROR(__xludf.DUMMYFUNCTION("GOOGLETRANSLATE(English!B2000, ""en"", ""bg"")"),"химия")</f>
        <v>химия</v>
      </c>
      <c r="C2000" s="1" t="str">
        <f ca="1">IFERROR(__xludf.DUMMYFUNCTION("GOOGLETRANSLATE(English!C2000, ""en"", ""bg"")"),"елементарен")</f>
        <v>елементарен</v>
      </c>
      <c r="D2000" s="1" t="str">
        <f ca="1">IFERROR(__xludf.DUMMYFUNCTION("GOOGLETRANSLATE(English!D2000, ""en"", ""bg"")"),"ежедневни химикали")</f>
        <v>ежедневни химикали</v>
      </c>
      <c r="E2000" s="1" t="str">
        <f ca="1">IFERROR(__xludf.DUMMYFUNCTION("GOOGLETRANSLATE(English!E2000, ""en"", ""bg"")"),"Моят доклад по химия е за ежедневни химикали. Помогнете ми да разбера.")</f>
        <v>Моят доклад по химия е за ежедневни химикали. Помогнете ми да разбера.</v>
      </c>
      <c r="F2000" s="1" t="str">
        <f ca="1">IFERROR(__xludf.DUMMYFUNCTION("GOOGLETRANSLATE(English!F2000,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2000" s="1" t="str">
        <f ca="1">IFERROR(__xludf.DUMMYFUNCTION("GOOGLETRANSLATE(English!G2000, ""en"", ""bg"")"),"помощ_за_домашно_изпълнение")</f>
        <v>помощ_за_домашно_изпълнение</v>
      </c>
      <c r="H2000" s="1" t="str">
        <f ca="1">IFERROR(__xludf.DUMMYFUNCTION("GOOGLETRANSLATE(English!H2000, ""en"", ""bg"")"),"помощ_за_домашно_задаване")</f>
        <v>помощ_за_домашно_задаване</v>
      </c>
    </row>
    <row r="2001" spans="1:8" ht="13.2" x14ac:dyDescent="0.25">
      <c r="A2001" s="1" t="str">
        <f ca="1">IFERROR(__xludf.DUMMYFUNCTION("GOOGLETRANSLATE(English!A2001, ""en"", ""bg"")"),"qa_12364")</f>
        <v>qa_12364</v>
      </c>
      <c r="B2001" s="1" t="str">
        <f ca="1">IFERROR(__xludf.DUMMYFUNCTION("GOOGLETRANSLATE(English!B2001, ""en"", ""bg"")"),"физика")</f>
        <v>физика</v>
      </c>
      <c r="C2001" s="1" t="str">
        <f ca="1">IFERROR(__xludf.DUMMYFUNCTION("GOOGLETRANSLATE(English!C2001, ""en"", ""bg"")"),"високо")</f>
        <v>високо</v>
      </c>
      <c r="D2001" s="1" t="str">
        <f ca="1">IFERROR(__xludf.DUMMYFUNCTION("GOOGLETRANSLATE(English!D2001, ""en"", ""bg"")"),"оптика")</f>
        <v>оптика</v>
      </c>
      <c r="E2001" s="1" t="str">
        <f ca="1">IFERROR(__xludf.DUMMYFUNCTION("GOOGLETRANSLATE(English!E2001, ""en"", ""bg"")"),"Защо е важна оптиката?")</f>
        <v>Защо е важна оптиката?</v>
      </c>
      <c r="F2001" s="1" t="str">
        <f ca="1">IFERROR(__xludf.DUMMYFUNCTION("GOOGLETRANSLATE(English!F2001,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2001" s="1" t="str">
        <f ca="1">IFERROR(__xludf.DUMMYFUNCTION("GOOGLETRANSLATE(English!G2001, ""en"", ""bg"")"),"direct_qa")</f>
        <v>direct_qa</v>
      </c>
      <c r="H2001" s="1" t="str">
        <f ca="1">IFERROR(__xludf.DUMMYFUNCTION("GOOGLETRANSLATE(English!H2001, ""en"", ""bg"")"),"заявка_за_знание")</f>
        <v>заявка_за_знание</v>
      </c>
    </row>
    <row r="2002" spans="1:8" ht="13.2" x14ac:dyDescent="0.25">
      <c r="A2002" s="1" t="str">
        <f ca="1">IFERROR(__xludf.DUMMYFUNCTION("GOOGLETRANSLATE(English!A2002, ""en"", ""bg"")"),"conv_07334")</f>
        <v>conv_07334</v>
      </c>
      <c r="B2002" s="1" t="str">
        <f ca="1">IFERROR(__xludf.DUMMYFUNCTION("GOOGLETRANSLATE(English!B2002, ""en"", ""bg"")"),"химия")</f>
        <v>химия</v>
      </c>
      <c r="C2002" s="1" t="str">
        <f ca="1">IFERROR(__xludf.DUMMYFUNCTION("GOOGLETRANSLATE(English!C2002, ""en"", ""bg"")"),"високо")</f>
        <v>високо</v>
      </c>
      <c r="D2002" s="1" t="str">
        <f ca="1">IFERROR(__xludf.DUMMYFUNCTION("GOOGLETRANSLATE(English!D2002, ""en"", ""bg"")"),"електрохимия")</f>
        <v>електрохимия</v>
      </c>
      <c r="E2002" s="1" t="str">
        <f ca="1">IFERROR(__xludf.DUMMYFUNCTION("GOOGLETRANSLATE(English!E2002, ""en"", ""bg"")"),"Имам научен въпрос. Какво представлява електрохимията?")</f>
        <v>Имам научен въпрос. Какво представлява електрохимията?</v>
      </c>
      <c r="F2002" s="1" t="str">
        <f ca="1">IFERROR(__xludf.DUMMYFUNCTION("GOOGLETRANSLATE(English!F2002,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2002" s="1" t="str">
        <f ca="1">IFERROR(__xludf.DUMMYFUNCTION("GOOGLETRANSLATE(English!G2002, ""en"", ""bg"")"),"разговор")</f>
        <v>разговор</v>
      </c>
      <c r="H2002" s="1" t="str">
        <f ca="1">IFERROR(__xludf.DUMMYFUNCTION("GOOGLETRANSLATE(English!H2002, ""en"", ""bg"")"),"образователна_помощ")</f>
        <v>образователна_помощ</v>
      </c>
    </row>
    <row r="2003" spans="1:8" ht="13.2" x14ac:dyDescent="0.25">
      <c r="A2003" s="1" t="str">
        <f ca="1">IFERROR(__xludf.DUMMYFUNCTION("GOOGLETRANSLATE(English!A2003, ""en"", ""bg"")"),"hw_13711")</f>
        <v>hw_13711</v>
      </c>
      <c r="B2003" s="1" t="str">
        <f ca="1">IFERROR(__xludf.DUMMYFUNCTION("GOOGLETRANSLATE(English!B2003, ""en"", ""bg"")"),"биология")</f>
        <v>биология</v>
      </c>
      <c r="C2003" s="1" t="str">
        <f ca="1">IFERROR(__xludf.DUMMYFUNCTION("GOOGLETRANSLATE(English!C2003, ""en"", ""bg"")"),"елементарен")</f>
        <v>елементарен</v>
      </c>
      <c r="D2003" s="1" t="str">
        <f ca="1">IFERROR(__xludf.DUMMYFUNCTION("GOOGLETRANSLATE(English!D2003, ""en"", ""bg"")"),"човешкото тяло")</f>
        <v>човешкото тяло</v>
      </c>
      <c r="E2003" s="1" t="str">
        <f ca="1">IFERROR(__xludf.DUMMYFUNCTION("GOOGLETRANSLATE(English!E2003, ""en"", ""bg"")"),"Утре имам тест по човешко тяло. Помогни ми да уча!")</f>
        <v>Утре имам тест по човешко тяло. Помогни ми да уча!</v>
      </c>
      <c r="F2003" s="1" t="str">
        <f ca="1">IFERROR(__xludf.DUMMYFUNCTION("GOOGLETRANSLATE(English!F2003,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2003" s="1" t="str">
        <f ca="1">IFERROR(__xludf.DUMMYFUNCTION("GOOGLETRANSLATE(English!G2003, ""en"", ""bg"")"),"помощ_за_домашно_изпълнение")</f>
        <v>помощ_за_домашно_изпълнение</v>
      </c>
      <c r="H2003" s="1" t="str">
        <f ca="1">IFERROR(__xludf.DUMMYFUNCTION("GOOGLETRANSLATE(English!H2003, ""en"", ""bg"")"),"помощ_за_домашно_задаване")</f>
        <v>помощ_за_домашно_задаване</v>
      </c>
    </row>
    <row r="2004" spans="1:8" ht="13.2" x14ac:dyDescent="0.25">
      <c r="A2004" s="1" t="str">
        <f ca="1">IFERROR(__xludf.DUMMYFUNCTION("GOOGLETRANSLATE(English!A2004, ""en"", ""bg"")"),"qa_11225")</f>
        <v>qa_11225</v>
      </c>
      <c r="B2004" s="1" t="str">
        <f ca="1">IFERROR(__xludf.DUMMYFUNCTION("GOOGLETRANSLATE(English!B2004, ""en"", ""bg"")"),"химия")</f>
        <v>химия</v>
      </c>
      <c r="C2004" s="1" t="str">
        <f ca="1">IFERROR(__xludf.DUMMYFUNCTION("GOOGLETRANSLATE(English!C2004, ""en"", ""bg"")"),"средата")</f>
        <v>средата</v>
      </c>
      <c r="D2004" s="1" t="str">
        <f ca="1">IFERROR(__xludf.DUMMYFUNCTION("GOOGLETRANSLATE(English!D2004, ""en"", ""bg"")"),"химични промени")</f>
        <v>химични промени</v>
      </c>
      <c r="E2004" s="1" t="str">
        <f ca="1">IFERROR(__xludf.DUMMYFUNCTION("GOOGLETRANSLATE(English!E2004, ""en"", ""bg"")"),"Как протичат химичните промени в химията?")</f>
        <v>Как протичат химичните промени в химията?</v>
      </c>
      <c r="F2004" s="1" t="str">
        <f ca="1">IFERROR(__xludf.DUMMYFUNCTION("GOOGLETRANSLATE(English!F2004,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2004" s="1" t="str">
        <f ca="1">IFERROR(__xludf.DUMMYFUNCTION("GOOGLETRANSLATE(English!G2004, ""en"", ""bg"")"),"direct_qa")</f>
        <v>direct_qa</v>
      </c>
      <c r="H2004" s="1" t="str">
        <f ca="1">IFERROR(__xludf.DUMMYFUNCTION("GOOGLETRANSLATE(English!H2004, ""en"", ""bg"")"),"заявка_за_знание")</f>
        <v>заявка_за_знание</v>
      </c>
    </row>
    <row r="2005" spans="1:8" ht="13.2" x14ac:dyDescent="0.25">
      <c r="A2005" s="1" t="str">
        <f ca="1">IFERROR(__xludf.DUMMYFUNCTION("GOOGLETRANSLATE(English!A2005, ""en"", ""bg"")"),"hw_06004")</f>
        <v>hw_06004</v>
      </c>
      <c r="B2005" s="1" t="str">
        <f ca="1">IFERROR(__xludf.DUMMYFUNCTION("GOOGLETRANSLATE(English!B2005, ""en"", ""bg"")"),"биология")</f>
        <v>биология</v>
      </c>
      <c r="C2005" s="1" t="str">
        <f ca="1">IFERROR(__xludf.DUMMYFUNCTION("GOOGLETRANSLATE(English!C2005, ""en"", ""bg"")"),"средата")</f>
        <v>средата</v>
      </c>
      <c r="D2005" s="1" t="str">
        <f ca="1">IFERROR(__xludf.DUMMYFUNCTION("GOOGLETRANSLATE(English!D2005, ""en"", ""bg"")"),"дишане")</f>
        <v>дишане</v>
      </c>
      <c r="E2005" s="1" t="str">
        <f ca="1">IFERROR(__xludf.DUMMYFUNCTION("GOOGLETRANSLATE(English!E2005, ""en"", ""bg"")"),"Можете ли да обясните дишането за моя научен проект?")</f>
        <v>Можете ли да обясните дишането за моя научен проект?</v>
      </c>
      <c r="F2005" s="1" t="str">
        <f ca="1">IFERROR(__xludf.DUMMYFUNCTION("GOOGLETRANSLATE(English!F2005,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2005" s="1" t="str">
        <f ca="1">IFERROR(__xludf.DUMMYFUNCTION("GOOGLETRANSLATE(English!G2005, ""en"", ""bg"")"),"помощ_за_домашно_изпълнение")</f>
        <v>помощ_за_домашно_изпълнение</v>
      </c>
      <c r="H2005" s="1" t="str">
        <f ca="1">IFERROR(__xludf.DUMMYFUNCTION("GOOGLETRANSLATE(English!H2005, ""en"", ""bg"")"),"помощ_за_домашно_задаване")</f>
        <v>помощ_за_домашно_задаване</v>
      </c>
    </row>
    <row r="2006" spans="1:8" ht="13.2" x14ac:dyDescent="0.25">
      <c r="A2006" s="1" t="str">
        <f ca="1">IFERROR(__xludf.DUMMYFUNCTION("GOOGLETRANSLATE(English!A2006, ""en"", ""bg"")"),"conv_01241")</f>
        <v>conv_01241</v>
      </c>
      <c r="B2006" s="1" t="str">
        <f ca="1">IFERROR(__xludf.DUMMYFUNCTION("GOOGLETRANSLATE(English!B2006, ""en"", ""bg"")"),"биология")</f>
        <v>биология</v>
      </c>
      <c r="C2006" s="1" t="str">
        <f ca="1">IFERROR(__xludf.DUMMYFUNCTION("GOOGLETRANSLATE(English!C2006, ""en"", ""bg"")"),"високо")</f>
        <v>високо</v>
      </c>
      <c r="D2006" s="1" t="str">
        <f ca="1">IFERROR(__xludf.DUMMYFUNCTION("GOOGLETRANSLATE(English!D2006, ""en"", ""bg"")"),"клетъчно дишане")</f>
        <v>клетъчно дишане</v>
      </c>
      <c r="E2006" s="1" t="str">
        <f ca="1">IFERROR(__xludf.DUMMYFUNCTION("GOOGLETRANSLATE(English!E2006, ""en"", ""bg"")"),"Здравей, преподавателю! Защо клетъчното дишане е важно в биологията?")</f>
        <v>Здравей, преподавателю! Защо клетъчното дишане е важно в биологията?</v>
      </c>
      <c r="F2006" s="1" t="str">
        <f ca="1">IFERROR(__xludf.DUMMYFUNCTION("GOOGLETRANSLATE(English!F2006,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2006" s="1" t="str">
        <f ca="1">IFERROR(__xludf.DUMMYFUNCTION("GOOGLETRANSLATE(English!G2006, ""en"", ""bg"")"),"разговор")</f>
        <v>разговор</v>
      </c>
      <c r="H2006" s="1" t="str">
        <f ca="1">IFERROR(__xludf.DUMMYFUNCTION("GOOGLETRANSLATE(English!H2006, ""en"", ""bg"")"),"образователна_помощ")</f>
        <v>образователна_помощ</v>
      </c>
    </row>
    <row r="2007" spans="1:8" ht="13.2" x14ac:dyDescent="0.25">
      <c r="A2007" s="1" t="str">
        <f ca="1">IFERROR(__xludf.DUMMYFUNCTION("GOOGLETRANSLATE(English!A2007, ""en"", ""bg"")"),"qa_09280")</f>
        <v>qa_09280</v>
      </c>
      <c r="B2007" s="1" t="str">
        <f ca="1">IFERROR(__xludf.DUMMYFUNCTION("GOOGLETRANSLATE(English!B2007, ""en"", ""bg"")"),"физика")</f>
        <v>физика</v>
      </c>
      <c r="C2007" s="1" t="str">
        <f ca="1">IFERROR(__xludf.DUMMYFUNCTION("GOOGLETRANSLATE(English!C2007, ""en"", ""bg"")"),"високо")</f>
        <v>високо</v>
      </c>
      <c r="D2007" s="1" t="str">
        <f ca="1">IFERROR(__xludf.DUMMYFUNCTION("GOOGLETRANSLATE(English!D2007, ""en"", ""bg"")"),"атомна структура")</f>
        <v>атомна структура</v>
      </c>
      <c r="E2007" s="1" t="str">
        <f ca="1">IFERROR(__xludf.DUMMYFUNCTION("GOOGLETRANSLATE(English!E2007, ""en"", ""bg"")"),"Какво трябва да знам за атомната структура?")</f>
        <v>Какво трябва да знам за атомната структура?</v>
      </c>
      <c r="F2007" s="1" t="str">
        <f ca="1">IFERROR(__xludf.DUMMYFUNCTION("GOOGLETRANSLATE(English!F2007,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2007" s="1" t="str">
        <f ca="1">IFERROR(__xludf.DUMMYFUNCTION("GOOGLETRANSLATE(English!G2007, ""en"", ""bg"")"),"direct_qa")</f>
        <v>direct_qa</v>
      </c>
      <c r="H2007" s="1" t="str">
        <f ca="1">IFERROR(__xludf.DUMMYFUNCTION("GOOGLETRANSLATE(English!H2007, ""en"", ""bg"")"),"заявка_за_знание")</f>
        <v>заявка_за_знание</v>
      </c>
    </row>
    <row r="2008" spans="1:8" ht="13.2" x14ac:dyDescent="0.25">
      <c r="A2008" s="1" t="str">
        <f ca="1">IFERROR(__xludf.DUMMYFUNCTION("GOOGLETRANSLATE(English!A2008, ""en"", ""bg"")"),"hw_14423")</f>
        <v>hw_14423</v>
      </c>
      <c r="B2008" s="1" t="str">
        <f ca="1">IFERROR(__xludf.DUMMYFUNCTION("GOOGLETRANSLATE(English!B2008, ""en"", ""bg"")"),"химия")</f>
        <v>химия</v>
      </c>
      <c r="C2008" s="1" t="str">
        <f ca="1">IFERROR(__xludf.DUMMYFUNCTION("GOOGLETRANSLATE(English!C2008, ""en"", ""bg"")"),"елементарен")</f>
        <v>елементарен</v>
      </c>
      <c r="D2008" s="1" t="str">
        <f ca="1">IFERROR(__xludf.DUMMYFUNCTION("GOOGLETRANSLATE(English!D2008, ""en"", ""bg"")"),"ежедневни химикали")</f>
        <v>ежедневни химикали</v>
      </c>
      <c r="E2008" s="1" t="str">
        <f ca="1">IFERROR(__xludf.DUMMYFUNCTION("GOOGLETRANSLATE(English!E2008, ""en"", ""bg"")"),"Моят доклад по химия е за ежедневни химикали. Помогнете ми да разбера.")</f>
        <v>Моят доклад по химия е за ежедневни химикали. Помогнете ми да разбера.</v>
      </c>
      <c r="F2008" s="1" t="str">
        <f ca="1">IFERROR(__xludf.DUMMYFUNCTION("GOOGLETRANSLATE(English!F2008,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2008" s="1" t="str">
        <f ca="1">IFERROR(__xludf.DUMMYFUNCTION("GOOGLETRANSLATE(English!G2008, ""en"", ""bg"")"),"помощ_за_домашно_изпълнение")</f>
        <v>помощ_за_домашно_изпълнение</v>
      </c>
      <c r="H2008" s="1" t="str">
        <f ca="1">IFERROR(__xludf.DUMMYFUNCTION("GOOGLETRANSLATE(English!H2008, ""en"", ""bg"")"),"помощ_за_домашно_задаване")</f>
        <v>помощ_за_домашно_задаване</v>
      </c>
    </row>
    <row r="2009" spans="1:8" ht="13.2" x14ac:dyDescent="0.25">
      <c r="A2009" s="1" t="str">
        <f ca="1">IFERROR(__xludf.DUMMYFUNCTION("GOOGLETRANSLATE(English!A2009, ""en"", ""bg"")"),"qa_10773")</f>
        <v>qa_10773</v>
      </c>
      <c r="B2009" s="1" t="str">
        <f ca="1">IFERROR(__xludf.DUMMYFUNCTION("GOOGLETRANSLATE(English!B2009, ""en"", ""bg"")"),"химия")</f>
        <v>химия</v>
      </c>
      <c r="C2009" s="1" t="str">
        <f ca="1">IFERROR(__xludf.DUMMYFUNCTION("GOOGLETRANSLATE(English!C2009, ""en"", ""bg"")"),"високо")</f>
        <v>високо</v>
      </c>
      <c r="D2009" s="1" t="str">
        <f ca="1">IFERROR(__xludf.DUMMYFUNCTION("GOOGLETRANSLATE(English!D2009, ""en"", ""bg"")"),"равновесие")</f>
        <v>равновесие</v>
      </c>
      <c r="E2009" s="1" t="str">
        <f ca="1">IFERROR(__xludf.DUMMYFUNCTION("GOOGLETRANSLATE(English!E2009, ""en"", ""bg"")"),"Защо е важно да се учи равновесие?")</f>
        <v>Защо е важно да се учи равновесие?</v>
      </c>
      <c r="F2009" s="1" t="str">
        <f ca="1">IFERROR(__xludf.DUMMYFUNCTION("GOOGLETRANSLATE(English!F2009,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2009" s="1" t="str">
        <f ca="1">IFERROR(__xludf.DUMMYFUNCTION("GOOGLETRANSLATE(English!G2009, ""en"", ""bg"")"),"direct_qa")</f>
        <v>direct_qa</v>
      </c>
      <c r="H2009" s="1" t="str">
        <f ca="1">IFERROR(__xludf.DUMMYFUNCTION("GOOGLETRANSLATE(English!H2009, ""en"", ""bg"")"),"заявка_за_знание")</f>
        <v>заявка_за_знание</v>
      </c>
    </row>
    <row r="2010" spans="1:8" ht="13.2" x14ac:dyDescent="0.25">
      <c r="A2010" s="1" t="str">
        <f ca="1">IFERROR(__xludf.DUMMYFUNCTION("GOOGLETRANSLATE(English!A2010, ""en"", ""bg"")"),"conv_19516")</f>
        <v>conv_19516</v>
      </c>
      <c r="B2010" s="1" t="str">
        <f ca="1">IFERROR(__xludf.DUMMYFUNCTION("GOOGLETRANSLATE(English!B2010, ""en"", ""bg"")"),"химия")</f>
        <v>химия</v>
      </c>
      <c r="C2010" s="1" t="str">
        <f ca="1">IFERROR(__xludf.DUMMYFUNCTION("GOOGLETRANSLATE(English!C2010, ""en"", ""bg"")"),"високо")</f>
        <v>високо</v>
      </c>
      <c r="D2010" s="1" t="str">
        <f ca="1">IFERROR(__xludf.DUMMYFUNCTION("GOOGLETRANSLATE(English!D2010, ""en"", ""bg"")"),"скорости на реакция")</f>
        <v>скорости на реакция</v>
      </c>
      <c r="E2010" s="1" t="str">
        <f ca="1">IFERROR(__xludf.DUMMYFUNCTION("GOOGLETRANSLATE(English!E2010,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2010" s="1" t="str">
        <f ca="1">IFERROR(__xludf.DUMMYFUNCTION("GOOGLETRANSLATE(English!F2010,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2010" s="1" t="str">
        <f ca="1">IFERROR(__xludf.DUMMYFUNCTION("GOOGLETRANSLATE(English!G2010, ""en"", ""bg"")"),"разговор")</f>
        <v>разговор</v>
      </c>
      <c r="H2010" s="1" t="str">
        <f ca="1">IFERROR(__xludf.DUMMYFUNCTION("GOOGLETRANSLATE(English!H2010, ""en"", ""bg"")"),"образователна_помощ")</f>
        <v>образователна_помощ</v>
      </c>
    </row>
    <row r="2011" spans="1:8" ht="13.2" x14ac:dyDescent="0.25">
      <c r="A2011" s="1" t="str">
        <f ca="1">IFERROR(__xludf.DUMMYFUNCTION("GOOGLETRANSLATE(English!A2011, ""en"", ""bg"")"),"conv_04477")</f>
        <v>conv_04477</v>
      </c>
      <c r="B2011" s="1" t="str">
        <f ca="1">IFERROR(__xludf.DUMMYFUNCTION("GOOGLETRANSLATE(English!B2011, ""en"", ""bg"")"),"биология")</f>
        <v>биология</v>
      </c>
      <c r="C2011" s="1" t="str">
        <f ca="1">IFERROR(__xludf.DUMMYFUNCTION("GOOGLETRANSLATE(English!C2011, ""en"", ""bg"")"),"средата")</f>
        <v>средата</v>
      </c>
      <c r="D2011" s="1" t="str">
        <f ca="1">IFERROR(__xludf.DUMMYFUNCTION("GOOGLETRANSLATE(English!D2011, ""en"", ""bg"")"),"основи на еволюцията")</f>
        <v>основи на еволюцията</v>
      </c>
      <c r="E2011" s="1" t="str">
        <f ca="1">IFERROR(__xludf.DUMMYFUNCTION("GOOGLETRANSLATE(English!E2011, ""en"", ""bg"")"),"Имам нужда от помощ с домашното. Защо основите на еволюцията са важни в биологията?")</f>
        <v>Имам нужда от помощ с домашното. Защо основите на еволюцията са важни в биологията?</v>
      </c>
      <c r="F2011" s="1" t="str">
        <f ca="1">IFERROR(__xludf.DUMMYFUNCTION("GOOGLETRANSLATE(English!F2011,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2011" s="1" t="str">
        <f ca="1">IFERROR(__xludf.DUMMYFUNCTION("GOOGLETRANSLATE(English!G2011, ""en"", ""bg"")"),"разговор")</f>
        <v>разговор</v>
      </c>
      <c r="H2011" s="1" t="str">
        <f ca="1">IFERROR(__xludf.DUMMYFUNCTION("GOOGLETRANSLATE(English!H2011, ""en"", ""bg"")"),"образователна_помощ")</f>
        <v>образователна_помощ</v>
      </c>
    </row>
    <row r="2012" spans="1:8" ht="13.2" x14ac:dyDescent="0.25">
      <c r="A2012" s="1" t="str">
        <f ca="1">IFERROR(__xludf.DUMMYFUNCTION("GOOGLETRANSLATE(English!A2012, ""en"", ""bg"")"),"qa_12146")</f>
        <v>qa_12146</v>
      </c>
      <c r="B2012" s="1" t="str">
        <f ca="1">IFERROR(__xludf.DUMMYFUNCTION("GOOGLETRANSLATE(English!B2012, ""en"", ""bg"")"),"химия")</f>
        <v>химия</v>
      </c>
      <c r="C2012" s="1" t="str">
        <f ca="1">IFERROR(__xludf.DUMMYFUNCTION("GOOGLETRANSLATE(English!C2012, ""en"", ""bg"")"),"високо")</f>
        <v>високо</v>
      </c>
      <c r="D2012" s="1" t="str">
        <f ca="1">IFERROR(__xludf.DUMMYFUNCTION("GOOGLETRANSLATE(English!D2012, ""en"", ""bg"")"),"електрохимия")</f>
        <v>електрохимия</v>
      </c>
      <c r="E2012" s="1" t="str">
        <f ca="1">IFERROR(__xludf.DUMMYFUNCTION("GOOGLETRANSLATE(English!E2012, ""en"", ""bg"")"),"Защо е важно да се учи електрохимия?")</f>
        <v>Защо е важно да се учи електрохимия?</v>
      </c>
      <c r="F2012" s="1" t="str">
        <f ca="1">IFERROR(__xludf.DUMMYFUNCTION("GOOGLETRANSLATE(English!F2012,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2012" s="1" t="str">
        <f ca="1">IFERROR(__xludf.DUMMYFUNCTION("GOOGLETRANSLATE(English!G2012, ""en"", ""bg"")"),"direct_qa")</f>
        <v>direct_qa</v>
      </c>
      <c r="H2012" s="1" t="str">
        <f ca="1">IFERROR(__xludf.DUMMYFUNCTION("GOOGLETRANSLATE(English!H2012, ""en"", ""bg"")"),"заявка_за_знание")</f>
        <v>заявка_за_знание</v>
      </c>
    </row>
    <row r="2013" spans="1:8" ht="13.2" x14ac:dyDescent="0.25">
      <c r="A2013" s="1" t="str">
        <f ca="1">IFERROR(__xludf.DUMMYFUNCTION("GOOGLETRANSLATE(English!A2013, ""en"", ""bg"")"),"qa_00191")</f>
        <v>qa_00191</v>
      </c>
      <c r="B2013" s="1" t="str">
        <f ca="1">IFERROR(__xludf.DUMMYFUNCTION("GOOGLETRANSLATE(English!B2013, ""en"", ""bg"")"),"биология")</f>
        <v>биология</v>
      </c>
      <c r="C2013" s="1" t="str">
        <f ca="1">IFERROR(__xludf.DUMMYFUNCTION("GOOGLETRANSLATE(English!C2013, ""en"", ""bg"")"),"високо")</f>
        <v>високо</v>
      </c>
      <c r="D2013" s="1" t="str">
        <f ca="1">IFERROR(__xludf.DUMMYFUNCTION("GOOGLETRANSLATE(English!D2013, ""en"", ""bg"")"),"клетъчно дишане")</f>
        <v>клетъчно дишане</v>
      </c>
      <c r="E2013" s="1" t="str">
        <f ca="1">IFERROR(__xludf.DUMMYFUNCTION("GOOGLETRANSLATE(English!E2013, ""en"", ""bg"")"),"Защо клетъчното дишане е важно в биологията?")</f>
        <v>Защо клетъчното дишане е важно в биологията?</v>
      </c>
      <c r="F2013" s="1" t="str">
        <f ca="1">IFERROR(__xludf.DUMMYFUNCTION("GOOGLETRANSLATE(English!F2013,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2013" s="1" t="str">
        <f ca="1">IFERROR(__xludf.DUMMYFUNCTION("GOOGLETRANSLATE(English!G2013, ""en"", ""bg"")"),"direct_qa")</f>
        <v>direct_qa</v>
      </c>
      <c r="H2013" s="1" t="str">
        <f ca="1">IFERROR(__xludf.DUMMYFUNCTION("GOOGLETRANSLATE(English!H2013, ""en"", ""bg"")"),"заявка_за_знание")</f>
        <v>заявка_за_знание</v>
      </c>
    </row>
    <row r="2014" spans="1:8" ht="13.2" x14ac:dyDescent="0.25">
      <c r="A2014" s="1" t="str">
        <f ca="1">IFERROR(__xludf.DUMMYFUNCTION("GOOGLETRANSLATE(English!A2014, ""en"", ""bg"")"),"qa_08938")</f>
        <v>qa_08938</v>
      </c>
      <c r="B2014" s="1" t="str">
        <f ca="1">IFERROR(__xludf.DUMMYFUNCTION("GOOGLETRANSLATE(English!B2014, ""en"", ""bg"")"),"химия")</f>
        <v>химия</v>
      </c>
      <c r="C2014" s="1" t="str">
        <f ca="1">IFERROR(__xludf.DUMMYFUNCTION("GOOGLETRANSLATE(English!C2014, ""en"", ""bg"")"),"елементарен")</f>
        <v>елементарен</v>
      </c>
      <c r="D2014" s="1" t="str">
        <f ca="1">IFERROR(__xludf.DUMMYFUNCTION("GOOGLETRANSLATE(English!D2014, ""en"", ""bg"")"),"промени в материалите")</f>
        <v>промени в материалите</v>
      </c>
      <c r="E2014" s="1" t="str">
        <f ca="1">IFERROR(__xludf.DUMMYFUNCTION("GOOGLETRANSLATE(English!E2014, ""en"", ""bg"")"),"Как протичат промените в материалите в химията?")</f>
        <v>Как протичат промените в материалите в химията?</v>
      </c>
      <c r="F2014" s="1" t="str">
        <f ca="1">IFERROR(__xludf.DUMMYFUNCTION("GOOGLETRANSLATE(English!F2014,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2014" s="1" t="str">
        <f ca="1">IFERROR(__xludf.DUMMYFUNCTION("GOOGLETRANSLATE(English!G2014, ""en"", ""bg"")"),"direct_qa")</f>
        <v>direct_qa</v>
      </c>
      <c r="H2014" s="1" t="str">
        <f ca="1">IFERROR(__xludf.DUMMYFUNCTION("GOOGLETRANSLATE(English!H2014, ""en"", ""bg"")"),"заявка_за_знание")</f>
        <v>заявка_за_знание</v>
      </c>
    </row>
    <row r="2015" spans="1:8" ht="13.2" x14ac:dyDescent="0.25">
      <c r="A2015" s="1" t="str">
        <f ca="1">IFERROR(__xludf.DUMMYFUNCTION("GOOGLETRANSLATE(English!A2015, ""en"", ""bg"")"),"qa_03135")</f>
        <v>qa_03135</v>
      </c>
      <c r="B2015" s="1" t="str">
        <f ca="1">IFERROR(__xludf.DUMMYFUNCTION("GOOGLETRANSLATE(English!B2015, ""en"", ""bg"")"),"биология")</f>
        <v>биология</v>
      </c>
      <c r="C2015" s="1" t="str">
        <f ca="1">IFERROR(__xludf.DUMMYFUNCTION("GOOGLETRANSLATE(English!C2015, ""en"", ""bg"")"),"средата")</f>
        <v>средата</v>
      </c>
      <c r="D2015" s="1" t="str">
        <f ca="1">IFERROR(__xludf.DUMMYFUNCTION("GOOGLETRANSLATE(English!D2015, ""en"", ""bg"")"),"основи на генетиката")</f>
        <v>основи на генетиката</v>
      </c>
      <c r="E2015" s="1" t="str">
        <f ca="1">IFERROR(__xludf.DUMMYFUNCTION("GOOGLETRANSLATE(English!E2015, ""en"", ""bg"")"),"Можете ли да ми разкажете за основите на генетиката?")</f>
        <v>Можете ли да ми разкажете за основите на генетиката?</v>
      </c>
      <c r="F2015" s="1" t="str">
        <f ca="1">IFERROR(__xludf.DUMMYFUNCTION("GOOGLETRANSLATE(English!F2015,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2015" s="1" t="str">
        <f ca="1">IFERROR(__xludf.DUMMYFUNCTION("GOOGLETRANSLATE(English!G2015, ""en"", ""bg"")"),"direct_qa")</f>
        <v>direct_qa</v>
      </c>
      <c r="H2015" s="1" t="str">
        <f ca="1">IFERROR(__xludf.DUMMYFUNCTION("GOOGLETRANSLATE(English!H2015, ""en"", ""bg"")"),"заявка_за_знание")</f>
        <v>заявка_за_знание</v>
      </c>
    </row>
    <row r="2016" spans="1:8" ht="13.2" x14ac:dyDescent="0.25">
      <c r="A2016" s="1" t="str">
        <f ca="1">IFERROR(__xludf.DUMMYFUNCTION("GOOGLETRANSLATE(English!A2016, ""en"", ""bg"")"),"conv_19490")</f>
        <v>conv_19490</v>
      </c>
      <c r="B2016" s="1" t="str">
        <f ca="1">IFERROR(__xludf.DUMMYFUNCTION("GOOGLETRANSLATE(English!B2016, ""en"", ""bg"")"),"физика")</f>
        <v>физика</v>
      </c>
      <c r="C2016" s="1" t="str">
        <f ca="1">IFERROR(__xludf.DUMMYFUNCTION("GOOGLETRANSLATE(English!C2016, ""en"", ""bg"")"),"високо")</f>
        <v>високо</v>
      </c>
      <c r="D2016" s="1" t="str">
        <f ca="1">IFERROR(__xludf.DUMMYFUNCTION("GOOGLETRANSLATE(English!D2016, ""en"", ""bg"")"),"термодинамика")</f>
        <v>термодинамика</v>
      </c>
      <c r="E2016" s="1" t="str">
        <f ca="1">IFERROR(__xludf.DUMMYFUNCTION("GOOGLETRANSLATE(English!E2016, ""en"", ""bg"")"),"Можете ли да ми помогнете? Защо термодинамиката е важна?")</f>
        <v>Можете ли да ми помогнете? Защо термодинамиката е важна?</v>
      </c>
      <c r="F2016" s="1" t="str">
        <f ca="1">IFERROR(__xludf.DUMMYFUNCTION("GOOGLETRANSLATE(English!F2016,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2016" s="1" t="str">
        <f ca="1">IFERROR(__xludf.DUMMYFUNCTION("GOOGLETRANSLATE(English!G2016, ""en"", ""bg"")"),"разговор")</f>
        <v>разговор</v>
      </c>
      <c r="H2016" s="1" t="str">
        <f ca="1">IFERROR(__xludf.DUMMYFUNCTION("GOOGLETRANSLATE(English!H2016, ""en"", ""bg"")"),"образователна_помощ")</f>
        <v>образователна_помощ</v>
      </c>
    </row>
    <row r="2017" spans="1:8" ht="13.2" x14ac:dyDescent="0.25">
      <c r="A2017" s="1" t="str">
        <f ca="1">IFERROR(__xludf.DUMMYFUNCTION("GOOGLETRANSLATE(English!A2017, ""en"", ""bg"")"),"conv_14110")</f>
        <v>conv_14110</v>
      </c>
      <c r="B2017" s="1" t="str">
        <f ca="1">IFERROR(__xludf.DUMMYFUNCTION("GOOGLETRANSLATE(English!B2017, ""en"", ""bg"")"),"физика")</f>
        <v>физика</v>
      </c>
      <c r="C2017" s="1" t="str">
        <f ca="1">IFERROR(__xludf.DUMMYFUNCTION("GOOGLETRANSLATE(English!C2017, ""en"", ""bg"")"),"средата")</f>
        <v>средата</v>
      </c>
      <c r="D2017" s="1" t="str">
        <f ca="1">IFERROR(__xludf.DUMMYFUNCTION("GOOGLETRANSLATE(English!D2017, ""en"", ""bg"")"),"прости схеми")</f>
        <v>прости схеми</v>
      </c>
      <c r="E2017" s="1" t="str">
        <f ca="1">IFERROR(__xludf.DUMMYFUNCTION("GOOGLETRANSLATE(English!E2017, ""en"", ""bg"")"),"Здравей, преподавателю! Какво трябва да знам за простите електрически вериги?")</f>
        <v>Здравей, преподавателю! Какво трябва да знам за простите електрически вериги?</v>
      </c>
      <c r="F2017" s="1" t="str">
        <f ca="1">IFERROR(__xludf.DUMMYFUNCTION("GOOGLETRANSLATE(English!F2017,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2017" s="1" t="str">
        <f ca="1">IFERROR(__xludf.DUMMYFUNCTION("GOOGLETRANSLATE(English!G2017, ""en"", ""bg"")"),"разговор")</f>
        <v>разговор</v>
      </c>
      <c r="H2017" s="1" t="str">
        <f ca="1">IFERROR(__xludf.DUMMYFUNCTION("GOOGLETRANSLATE(English!H2017, ""en"", ""bg"")"),"образователна_помощ")</f>
        <v>образователна_помощ</v>
      </c>
    </row>
    <row r="2018" spans="1:8" ht="13.2" x14ac:dyDescent="0.25">
      <c r="A2018" s="1" t="str">
        <f ca="1">IFERROR(__xludf.DUMMYFUNCTION("GOOGLETRANSLATE(English!A2018, ""en"", ""bg"")"),"conv_03036")</f>
        <v>conv_03036</v>
      </c>
      <c r="B2018" s="1" t="str">
        <f ca="1">IFERROR(__xludf.DUMMYFUNCTION("GOOGLETRANSLATE(English!B2018, ""en"", ""bg"")"),"химия")</f>
        <v>химия</v>
      </c>
      <c r="C2018" s="1" t="str">
        <f ca="1">IFERROR(__xludf.DUMMYFUNCTION("GOOGLETRANSLATE(English!C2018, ""en"", ""bg"")"),"високо")</f>
        <v>високо</v>
      </c>
      <c r="D2018" s="1" t="str">
        <f ca="1">IFERROR(__xludf.DUMMYFUNCTION("GOOGLETRANSLATE(English!D2018, ""en"", ""bg"")"),"химическо свързване")</f>
        <v>химическо свързване</v>
      </c>
      <c r="E2018" s="1" t="str">
        <f ca="1">IFERROR(__xludf.DUMMYFUNCTION("GOOGLETRANSLATE(English!E2018, ""en"", ""bg"")"),"Можете ли да ми обясните това? Защо е важно да се учи химичната връзка?")</f>
        <v>Можете ли да ми обясните това? Защо е важно да се учи химичната връзка?</v>
      </c>
      <c r="F2018" s="1" t="str">
        <f ca="1">IFERROR(__xludf.DUMMYFUNCTION("GOOGLETRANSLATE(English!F2018,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2018" s="1" t="str">
        <f ca="1">IFERROR(__xludf.DUMMYFUNCTION("GOOGLETRANSLATE(English!G2018, ""en"", ""bg"")"),"разговор")</f>
        <v>разговор</v>
      </c>
      <c r="H2018" s="1" t="str">
        <f ca="1">IFERROR(__xludf.DUMMYFUNCTION("GOOGLETRANSLATE(English!H2018, ""en"", ""bg"")"),"образователна_помощ")</f>
        <v>образователна_помощ</v>
      </c>
    </row>
    <row r="2019" spans="1:8" ht="13.2" x14ac:dyDescent="0.25">
      <c r="A2019" s="1" t="str">
        <f ca="1">IFERROR(__xludf.DUMMYFUNCTION("GOOGLETRANSLATE(English!A2019, ""en"", ""bg"")"),"qa_01786")</f>
        <v>qa_01786</v>
      </c>
      <c r="B2019" s="1" t="str">
        <f ca="1">IFERROR(__xludf.DUMMYFUNCTION("GOOGLETRANSLATE(English!B2019, ""en"", ""bg"")"),"физика")</f>
        <v>физика</v>
      </c>
      <c r="C2019" s="1" t="str">
        <f ca="1">IFERROR(__xludf.DUMMYFUNCTION("GOOGLETRANSLATE(English!C2019, ""en"", ""bg"")"),"средата")</f>
        <v>средата</v>
      </c>
      <c r="D2019" s="1" t="str">
        <f ca="1">IFERROR(__xludf.DUMMYFUNCTION("GOOGLETRANSLATE(English!D2019, ""en"", ""bg"")"),"прости схеми")</f>
        <v>прости схеми</v>
      </c>
      <c r="E2019" s="1" t="str">
        <f ca="1">IFERROR(__xludf.DUMMYFUNCTION("GOOGLETRANSLATE(English!E2019, ""en"", ""bg"")"),"Как работят прости електрически вериги във физиката?")</f>
        <v>Как работят прости електрически вериги във физиката?</v>
      </c>
      <c r="F2019" s="1" t="str">
        <f ca="1">IFERROR(__xludf.DUMMYFUNCTION("GOOGLETRANSLATE(English!F2019,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2019" s="1" t="str">
        <f ca="1">IFERROR(__xludf.DUMMYFUNCTION("GOOGLETRANSLATE(English!G2019, ""en"", ""bg"")"),"direct_qa")</f>
        <v>direct_qa</v>
      </c>
      <c r="H2019" s="1" t="str">
        <f ca="1">IFERROR(__xludf.DUMMYFUNCTION("GOOGLETRANSLATE(English!H2019, ""en"", ""bg"")"),"заявка_за_знание")</f>
        <v>заявка_за_знание</v>
      </c>
    </row>
    <row r="2020" spans="1:8" ht="13.2" x14ac:dyDescent="0.25">
      <c r="A2020" s="1" t="str">
        <f ca="1">IFERROR(__xludf.DUMMYFUNCTION("GOOGLETRANSLATE(English!A2020, ""en"", ""bg"")"),"conv_00833")</f>
        <v>conv_00833</v>
      </c>
      <c r="B2020" s="1" t="str">
        <f ca="1">IFERROR(__xludf.DUMMYFUNCTION("GOOGLETRANSLATE(English!B2020, ""en"", ""bg"")"),"физика")</f>
        <v>физика</v>
      </c>
      <c r="C2020" s="1" t="str">
        <f ca="1">IFERROR(__xludf.DUMMYFUNCTION("GOOGLETRANSLATE(English!C2020, ""en"", ""bg"")"),"високо")</f>
        <v>високо</v>
      </c>
      <c r="D2020" s="1" t="str">
        <f ca="1">IFERROR(__xludf.DUMMYFUNCTION("GOOGLETRANSLATE(English!D2020, ""en"", ""bg"")"),"механика")</f>
        <v>механика</v>
      </c>
      <c r="E2020" s="1" t="str">
        <f ca="1">IFERROR(__xludf.DUMMYFUNCTION("GOOGLETRANSLATE(English!E2020, ""en"", ""bg"")"),"Здравей, преподавателю! Как механиката работи във физиката?")</f>
        <v>Здравей, преподавателю! Как механиката работи във физиката?</v>
      </c>
      <c r="F2020" s="1" t="str">
        <f ca="1">IFERROR(__xludf.DUMMYFUNCTION("GOOGLETRANSLATE(English!F2020,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2020" s="1" t="str">
        <f ca="1">IFERROR(__xludf.DUMMYFUNCTION("GOOGLETRANSLATE(English!G2020, ""en"", ""bg"")"),"разговор")</f>
        <v>разговор</v>
      </c>
      <c r="H2020" s="1" t="str">
        <f ca="1">IFERROR(__xludf.DUMMYFUNCTION("GOOGLETRANSLATE(English!H2020, ""en"", ""bg"")"),"образователна_помощ")</f>
        <v>образователна_помощ</v>
      </c>
    </row>
    <row r="2021" spans="1:8" ht="13.2" x14ac:dyDescent="0.25">
      <c r="A2021" s="1" t="str">
        <f ca="1">IFERROR(__xludf.DUMMYFUNCTION("GOOGLETRANSLATE(English!A2021, ""en"", ""bg"")"),"conv_18848")</f>
        <v>conv_18848</v>
      </c>
      <c r="B2021" s="1" t="str">
        <f ca="1">IFERROR(__xludf.DUMMYFUNCTION("GOOGLETRANSLATE(English!B2021, ""en"", ""bg"")"),"химия")</f>
        <v>химия</v>
      </c>
      <c r="C2021" s="1" t="str">
        <f ca="1">IFERROR(__xludf.DUMMYFUNCTION("GOOGLETRANSLATE(English!C2021, ""en"", ""bg"")"),"високо")</f>
        <v>високо</v>
      </c>
      <c r="D2021" s="1" t="str">
        <f ca="1">IFERROR(__xludf.DUMMYFUNCTION("GOOGLETRANSLATE(English!D2021, ""en"", ""bg"")"),"равновесие")</f>
        <v>равновесие</v>
      </c>
      <c r="E2021" s="1" t="str">
        <f ca="1">IFERROR(__xludf.DUMMYFUNCTION("GOOGLETRANSLATE(English!E2021, ""en"", ""bg"")"),"Можете ли да ми обясните това? Какво е равновесие?")</f>
        <v>Можете ли да ми обясните това? Какво е равновесие?</v>
      </c>
      <c r="F2021" s="1" t="str">
        <f ca="1">IFERROR(__xludf.DUMMYFUNCTION("GOOGLETRANSLATE(English!F2021,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2021" s="1" t="str">
        <f ca="1">IFERROR(__xludf.DUMMYFUNCTION("GOOGLETRANSLATE(English!G2021, ""en"", ""bg"")"),"разговор")</f>
        <v>разговор</v>
      </c>
      <c r="H2021" s="1" t="str">
        <f ca="1">IFERROR(__xludf.DUMMYFUNCTION("GOOGLETRANSLATE(English!H2021, ""en"", ""bg"")"),"образователна_помощ")</f>
        <v>образователна_помощ</v>
      </c>
    </row>
    <row r="2022" spans="1:8" ht="13.2" x14ac:dyDescent="0.25">
      <c r="A2022" s="1" t="str">
        <f ca="1">IFERROR(__xludf.DUMMYFUNCTION("GOOGLETRANSLATE(English!A2022, ""en"", ""bg"")"),"qa_10024")</f>
        <v>qa_10024</v>
      </c>
      <c r="B2022" s="1" t="str">
        <f ca="1">IFERROR(__xludf.DUMMYFUNCTION("GOOGLETRANSLATE(English!B2022, ""en"", ""bg"")"),"физика")</f>
        <v>физика</v>
      </c>
      <c r="C2022" s="1" t="str">
        <f ca="1">IFERROR(__xludf.DUMMYFUNCTION("GOOGLETRANSLATE(English!C2022, ""en"", ""bg"")"),"средата")</f>
        <v>средата</v>
      </c>
      <c r="D2022" s="1" t="str">
        <f ca="1">IFERROR(__xludf.DUMMYFUNCTION("GOOGLETRANSLATE(English!D2022, ""en"", ""bg"")"),"основи на електричеството")</f>
        <v>основи на електричеството</v>
      </c>
      <c r="E2022" s="1" t="str">
        <f ca="1">IFERROR(__xludf.DUMMYFUNCTION("GOOGLETRANSLATE(English!E2022, ""en"", ""bg"")"),"Как работят основите на електричеството във физиката?")</f>
        <v>Как работят основите на електричеството във физиката?</v>
      </c>
      <c r="F2022" s="1" t="str">
        <f ca="1">IFERROR(__xludf.DUMMYFUNCTION("GOOGLETRANSLATE(English!F2022,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2022" s="1" t="str">
        <f ca="1">IFERROR(__xludf.DUMMYFUNCTION("GOOGLETRANSLATE(English!G2022, ""en"", ""bg"")"),"direct_qa")</f>
        <v>direct_qa</v>
      </c>
      <c r="H2022" s="1" t="str">
        <f ca="1">IFERROR(__xludf.DUMMYFUNCTION("GOOGLETRANSLATE(English!H2022, ""en"", ""bg"")"),"заявка_за_знание")</f>
        <v>заявка_за_знание</v>
      </c>
    </row>
    <row r="2023" spans="1:8" ht="13.2" x14ac:dyDescent="0.25">
      <c r="A2023" s="1" t="str">
        <f ca="1">IFERROR(__xludf.DUMMYFUNCTION("GOOGLETRANSLATE(English!A2023, ""en"", ""bg"")"),"conv_19513")</f>
        <v>conv_19513</v>
      </c>
      <c r="B2023" s="1" t="str">
        <f ca="1">IFERROR(__xludf.DUMMYFUNCTION("GOOGLETRANSLATE(English!B2023, ""en"", ""bg"")"),"физика")</f>
        <v>физика</v>
      </c>
      <c r="C2023" s="1" t="str">
        <f ca="1">IFERROR(__xludf.DUMMYFUNCTION("GOOGLETRANSLATE(English!C2023, ""en"", ""bg"")"),"средата")</f>
        <v>средата</v>
      </c>
      <c r="D2023" s="1" t="str">
        <f ca="1">IFERROR(__xludf.DUMMYFUNCTION("GOOGLETRANSLATE(English!D2023, ""en"", ""bg"")"),"основи на електричеството")</f>
        <v>основи на електричеството</v>
      </c>
      <c r="E2023" s="1" t="str">
        <f ca="1">IFERROR(__xludf.DUMMYFUNCTION("GOOGLETRANSLATE(English!E2023, ""en"", ""bg"")"),"Помогнете ми да уча за теста си. Защо основите на електричеството са важни?")</f>
        <v>Помогнете ми да уча за теста си. Защо основите на електричеството са важни?</v>
      </c>
      <c r="F2023" s="1" t="str">
        <f ca="1">IFERROR(__xludf.DUMMYFUNCTION("GOOGLETRANSLATE(English!F2023,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2023" s="1" t="str">
        <f ca="1">IFERROR(__xludf.DUMMYFUNCTION("GOOGLETRANSLATE(English!G2023, ""en"", ""bg"")"),"разговор")</f>
        <v>разговор</v>
      </c>
      <c r="H2023" s="1" t="str">
        <f ca="1">IFERROR(__xludf.DUMMYFUNCTION("GOOGLETRANSLATE(English!H2023, ""en"", ""bg"")"),"образователна_помощ")</f>
        <v>образователна_помощ</v>
      </c>
    </row>
    <row r="2024" spans="1:8" ht="13.2" x14ac:dyDescent="0.25">
      <c r="A2024" s="1" t="str">
        <f ca="1">IFERROR(__xludf.DUMMYFUNCTION("GOOGLETRANSLATE(English!A2024, ""en"", ""bg"")"),"hw_02647")</f>
        <v>hw_02647</v>
      </c>
      <c r="B2024" s="1" t="str">
        <f ca="1">IFERROR(__xludf.DUMMYFUNCTION("GOOGLETRANSLATE(English!B2024, ""en"", ""bg"")"),"физика")</f>
        <v>физика</v>
      </c>
      <c r="C2024" s="1" t="str">
        <f ca="1">IFERROR(__xludf.DUMMYFUNCTION("GOOGLETRANSLATE(English!C2024, ""en"", ""bg"")"),"средата")</f>
        <v>средата</v>
      </c>
      <c r="D2024" s="1" t="str">
        <f ca="1">IFERROR(__xludf.DUMMYFUNCTION("GOOGLETRANSLATE(English!D2024, ""en"", ""bg"")"),"плътност")</f>
        <v>плътност</v>
      </c>
      <c r="E2024" s="1" t="str">
        <f ca="1">IFERROR(__xludf.DUMMYFUNCTION("GOOGLETRANSLATE(English!E2024, ""en"", ""bg"")"),"Можете ли да решите тази задача за плътност с мен?")</f>
        <v>Можете ли да решите тази задача за плътност с мен?</v>
      </c>
      <c r="F2024" s="1" t="str">
        <f ca="1">IFERROR(__xludf.DUMMYFUNCTION("GOOGLETRANSLATE(English!F2024,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024" s="1" t="str">
        <f ca="1">IFERROR(__xludf.DUMMYFUNCTION("GOOGLETRANSLATE(English!G2024, ""en"", ""bg"")"),"помощ_за_домашно_изпълнение")</f>
        <v>помощ_за_домашно_изпълнение</v>
      </c>
      <c r="H2024" s="1" t="str">
        <f ca="1">IFERROR(__xludf.DUMMYFUNCTION("GOOGLETRANSLATE(English!H2024, ""en"", ""bg"")"),"помощ_за_домашно_задаване")</f>
        <v>помощ_за_домашно_задаване</v>
      </c>
    </row>
    <row r="2025" spans="1:8" ht="13.2" x14ac:dyDescent="0.25">
      <c r="A2025" s="1" t="str">
        <f ca="1">IFERROR(__xludf.DUMMYFUNCTION("GOOGLETRANSLATE(English!A2025, ""en"", ""bg"")"),"qa_07763")</f>
        <v>qa_07763</v>
      </c>
      <c r="B2025" s="1" t="str">
        <f ca="1">IFERROR(__xludf.DUMMYFUNCTION("GOOGLETRANSLATE(English!B2025, ""en"", ""bg"")"),"химия")</f>
        <v>химия</v>
      </c>
      <c r="C2025" s="1" t="str">
        <f ca="1">IFERROR(__xludf.DUMMYFUNCTION("GOOGLETRANSLATE(English!C2025, ""en"", ""bg"")"),"средата")</f>
        <v>средата</v>
      </c>
      <c r="D2025" s="1" t="str">
        <f ca="1">IFERROR(__xludf.DUMMYFUNCTION("GOOGLETRANSLATE(English!D2025, ""en"", ""bg"")"),"киселини и основи")</f>
        <v>киселини и основи</v>
      </c>
      <c r="E2025" s="1" t="str">
        <f ca="1">IFERROR(__xludf.DUMMYFUNCTION("GOOGLETRANSLATE(English!E2025, ""en"", ""bg"")"),"Как действат киселините и основите в химията?")</f>
        <v>Как действат киселините и основите в химията?</v>
      </c>
      <c r="F2025" s="1" t="str">
        <f ca="1">IFERROR(__xludf.DUMMYFUNCTION("GOOGLETRANSLATE(English!F2025,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2025" s="1" t="str">
        <f ca="1">IFERROR(__xludf.DUMMYFUNCTION("GOOGLETRANSLATE(English!G2025, ""en"", ""bg"")"),"direct_qa")</f>
        <v>direct_qa</v>
      </c>
      <c r="H2025" s="1" t="str">
        <f ca="1">IFERROR(__xludf.DUMMYFUNCTION("GOOGLETRANSLATE(English!H2025, ""en"", ""bg"")"),"заявка_за_знание")</f>
        <v>заявка_за_знание</v>
      </c>
    </row>
    <row r="2026" spans="1:8" ht="13.2" x14ac:dyDescent="0.25">
      <c r="A2026" s="1" t="str">
        <f ca="1">IFERROR(__xludf.DUMMYFUNCTION("GOOGLETRANSLATE(English!A2026, ""en"", ""bg"")"),"qa_04959")</f>
        <v>qa_04959</v>
      </c>
      <c r="B2026" s="1" t="str">
        <f ca="1">IFERROR(__xludf.DUMMYFUNCTION("GOOGLETRANSLATE(English!B2026, ""en"", ""bg"")"),"биология")</f>
        <v>биология</v>
      </c>
      <c r="C2026" s="1" t="str">
        <f ca="1">IFERROR(__xludf.DUMMYFUNCTION("GOOGLETRANSLATE(English!C2026, ""en"", ""bg"")"),"елементарен")</f>
        <v>елементарен</v>
      </c>
      <c r="D2026" s="1" t="str">
        <f ca="1">IFERROR(__xludf.DUMMYFUNCTION("GOOGLETRANSLATE(English!D2026, ""en"", ""bg"")"),"местообитания")</f>
        <v>местообитания</v>
      </c>
      <c r="E2026" s="1" t="str">
        <f ca="1">IFERROR(__xludf.DUMMYFUNCTION("GOOGLETRANSLATE(English!E2026, ""en"", ""bg"")"),"Защо местообитанията са важни в биологията?")</f>
        <v>Защо местообитанията са важни в биологията?</v>
      </c>
      <c r="F2026" s="1" t="str">
        <f ca="1">IFERROR(__xludf.DUMMYFUNCTION("GOOGLETRANSLATE(English!F2026,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2026" s="1" t="str">
        <f ca="1">IFERROR(__xludf.DUMMYFUNCTION("GOOGLETRANSLATE(English!G2026, ""en"", ""bg"")"),"direct_qa")</f>
        <v>direct_qa</v>
      </c>
      <c r="H2026" s="1" t="str">
        <f ca="1">IFERROR(__xludf.DUMMYFUNCTION("GOOGLETRANSLATE(English!H2026, ""en"", ""bg"")"),"заявка_за_знание")</f>
        <v>заявка_за_знание</v>
      </c>
    </row>
    <row r="2027" spans="1:8" ht="13.2" x14ac:dyDescent="0.25">
      <c r="A2027" s="1" t="str">
        <f ca="1">IFERROR(__xludf.DUMMYFUNCTION("GOOGLETRANSLATE(English!A2027, ""en"", ""bg"")"),"qa_14704")</f>
        <v>qa_14704</v>
      </c>
      <c r="B2027" s="1" t="str">
        <f ca="1">IFERROR(__xludf.DUMMYFUNCTION("GOOGLETRANSLATE(English!B2027, ""en"", ""bg"")"),"физика")</f>
        <v>физика</v>
      </c>
      <c r="C2027" s="1" t="str">
        <f ca="1">IFERROR(__xludf.DUMMYFUNCTION("GOOGLETRANSLATE(English!C2027, ""en"", ""bg"")"),"елементарен")</f>
        <v>елементарен</v>
      </c>
      <c r="D2027" s="1" t="str">
        <f ca="1">IFERROR(__xludf.DUMMYFUNCTION("GOOGLETRANSLATE(English!D2027, ""en"", ""bg"")"),"звук")</f>
        <v>звук</v>
      </c>
      <c r="E2027" s="1" t="str">
        <f ca="1">IFERROR(__xludf.DUMMYFUNCTION("GOOGLETRANSLATE(English!E2027, ""en"", ""bg"")"),"Защо звукът е важен?")</f>
        <v>Защо звукът е важен?</v>
      </c>
      <c r="F2027" s="1" t="str">
        <f ca="1">IFERROR(__xludf.DUMMYFUNCTION("GOOGLETRANSLATE(English!F2027,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2027" s="1" t="str">
        <f ca="1">IFERROR(__xludf.DUMMYFUNCTION("GOOGLETRANSLATE(English!G2027, ""en"", ""bg"")"),"direct_qa")</f>
        <v>direct_qa</v>
      </c>
      <c r="H2027" s="1" t="str">
        <f ca="1">IFERROR(__xludf.DUMMYFUNCTION("GOOGLETRANSLATE(English!H2027, ""en"", ""bg"")"),"заявка_за_знание")</f>
        <v>заявка_за_знание</v>
      </c>
    </row>
    <row r="2028" spans="1:8" ht="13.2" x14ac:dyDescent="0.25">
      <c r="A2028" s="1" t="str">
        <f ca="1">IFERROR(__xludf.DUMMYFUNCTION("GOOGLETRANSLATE(English!A2028, ""en"", ""bg"")"),"conv_11239")</f>
        <v>conv_11239</v>
      </c>
      <c r="B2028" s="1" t="str">
        <f ca="1">IFERROR(__xludf.DUMMYFUNCTION("GOOGLETRANSLATE(English!B2028, ""en"", ""bg"")"),"химия")</f>
        <v>химия</v>
      </c>
      <c r="C2028" s="1" t="str">
        <f ca="1">IFERROR(__xludf.DUMMYFUNCTION("GOOGLETRANSLATE(English!C2028, ""en"", ""bg"")"),"високо")</f>
        <v>високо</v>
      </c>
      <c r="D2028" s="1" t="str">
        <f ca="1">IFERROR(__xludf.DUMMYFUNCTION("GOOGLETRANSLATE(English!D2028, ""en"", ""bg"")"),"химическо свързване")</f>
        <v>химическо свързване</v>
      </c>
      <c r="E2028" s="1" t="str">
        <f ca="1">IFERROR(__xludf.DUMMYFUNCTION("GOOGLETRANSLATE(English!E2028, ""en"", ""bg"")"),"Помогнете ми да уча за теста. Можете ли да ми помогнете да разбера химичните връзки?")</f>
        <v>Помогнете ми да уча за теста. Можете ли да ми помогнете да разбера химичните връзки?</v>
      </c>
      <c r="F2028" s="1" t="str">
        <f ca="1">IFERROR(__xludf.DUMMYFUNCTION("GOOGLETRANSLATE(English!F2028,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2028" s="1" t="str">
        <f ca="1">IFERROR(__xludf.DUMMYFUNCTION("GOOGLETRANSLATE(English!G2028, ""en"", ""bg"")"),"разговор")</f>
        <v>разговор</v>
      </c>
      <c r="H2028" s="1" t="str">
        <f ca="1">IFERROR(__xludf.DUMMYFUNCTION("GOOGLETRANSLATE(English!H2028, ""en"", ""bg"")"),"образователна_помощ")</f>
        <v>образователна_помощ</v>
      </c>
    </row>
    <row r="2029" spans="1:8" ht="13.2" x14ac:dyDescent="0.25">
      <c r="A2029" s="1" t="str">
        <f ca="1">IFERROR(__xludf.DUMMYFUNCTION("GOOGLETRANSLATE(English!A2029, ""en"", ""bg"")"),"conv_02146")</f>
        <v>conv_02146</v>
      </c>
      <c r="B2029" s="1" t="str">
        <f ca="1">IFERROR(__xludf.DUMMYFUNCTION("GOOGLETRANSLATE(English!B2029, ""en"", ""bg"")"),"химия")</f>
        <v>химия</v>
      </c>
      <c r="C2029" s="1" t="str">
        <f ca="1">IFERROR(__xludf.DUMMYFUNCTION("GOOGLETRANSLATE(English!C2029, ""en"", ""bg"")"),"елементарен")</f>
        <v>елементарен</v>
      </c>
      <c r="D2029" s="1" t="str">
        <f ca="1">IFERROR(__xludf.DUMMYFUNCTION("GOOGLETRANSLATE(English!D2029, ""en"", ""bg"")"),"ежедневни химикали")</f>
        <v>ежедневни химикали</v>
      </c>
      <c r="E2029" s="1" t="str">
        <f ca="1">IFERROR(__xludf.DUMMYFUNCTION("GOOGLETRANSLATE(English!E2029, ""en"", ""bg"")"),"Имам научен въпрос. Можете ли да ми помогнете да разбера ежедневните химикали?")</f>
        <v>Имам научен въпрос. Можете ли да ми помогнете да разбера ежедневните химикали?</v>
      </c>
      <c r="F2029" s="1" t="str">
        <f ca="1">IFERROR(__xludf.DUMMYFUNCTION("GOOGLETRANSLATE(English!F2029,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2029" s="1" t="str">
        <f ca="1">IFERROR(__xludf.DUMMYFUNCTION("GOOGLETRANSLATE(English!G2029, ""en"", ""bg"")"),"разговор")</f>
        <v>разговор</v>
      </c>
      <c r="H2029" s="1" t="str">
        <f ca="1">IFERROR(__xludf.DUMMYFUNCTION("GOOGLETRANSLATE(English!H2029, ""en"", ""bg"")"),"образователна_помощ")</f>
        <v>образователна_помощ</v>
      </c>
    </row>
    <row r="2030" spans="1:8" ht="13.2" x14ac:dyDescent="0.25">
      <c r="A2030" s="1" t="str">
        <f ca="1">IFERROR(__xludf.DUMMYFUNCTION("GOOGLETRANSLATE(English!A2030, ""en"", ""bg"")"),"hw_06973")</f>
        <v>hw_06973</v>
      </c>
      <c r="B2030" s="1" t="str">
        <f ca="1">IFERROR(__xludf.DUMMYFUNCTION("GOOGLETRANSLATE(English!B2030, ""en"", ""bg"")"),"физика")</f>
        <v>физика</v>
      </c>
      <c r="C2030" s="1" t="str">
        <f ca="1">IFERROR(__xludf.DUMMYFUNCTION("GOOGLETRANSLATE(English!C2030, ""en"", ""bg"")"),"високо")</f>
        <v>високо</v>
      </c>
      <c r="D2030" s="1" t="str">
        <f ca="1">IFERROR(__xludf.DUMMYFUNCTION("GOOGLETRANSLATE(English!D2030, ""en"", ""bg"")"),"атомна структура")</f>
        <v>атомна структура</v>
      </c>
      <c r="E2030" s="1" t="str">
        <f ca="1">IFERROR(__xludf.DUMMYFUNCTION("GOOGLETRANSLATE(English!E2030, ""en"", ""bg"")"),"Домашното ми по физика е за атомната структура. Объркващо е!")</f>
        <v>Домашното ми по физика е за атомната структура. Объркващо е!</v>
      </c>
      <c r="F2030" s="1" t="str">
        <f ca="1">IFERROR(__xludf.DUMMYFUNCTION("GOOGLETRANSLATE(English!F2030,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030" s="1" t="str">
        <f ca="1">IFERROR(__xludf.DUMMYFUNCTION("GOOGLETRANSLATE(English!G2030, ""en"", ""bg"")"),"помощ_за_домашно_изпълнение")</f>
        <v>помощ_за_домашно_изпълнение</v>
      </c>
      <c r="H2030" s="1" t="str">
        <f ca="1">IFERROR(__xludf.DUMMYFUNCTION("GOOGLETRANSLATE(English!H2030, ""en"", ""bg"")"),"помощ_за_домашно_задаване")</f>
        <v>помощ_за_домашно_задаване</v>
      </c>
    </row>
    <row r="2031" spans="1:8" ht="13.2" x14ac:dyDescent="0.25">
      <c r="A2031" s="1" t="str">
        <f ca="1">IFERROR(__xludf.DUMMYFUNCTION("GOOGLETRANSLATE(English!A2031, ""en"", ""bg"")"),"conv_02233")</f>
        <v>conv_02233</v>
      </c>
      <c r="B2031" s="1" t="str">
        <f ca="1">IFERROR(__xludf.DUMMYFUNCTION("GOOGLETRANSLATE(English!B2031, ""en"", ""bg"")"),"физика")</f>
        <v>физика</v>
      </c>
      <c r="C2031" s="1" t="str">
        <f ca="1">IFERROR(__xludf.DUMMYFUNCTION("GOOGLETRANSLATE(English!C2031, ""en"", ""bg"")"),"елементарен")</f>
        <v>елементарен</v>
      </c>
      <c r="D2031" s="1" t="str">
        <f ca="1">IFERROR(__xludf.DUMMYFUNCTION("GOOGLETRANSLATE(English!D2031, ""en"", ""bg"")"),"горещо и студено")</f>
        <v>горещо и студено</v>
      </c>
      <c r="E2031" s="1" t="str">
        <f ca="1">IFERROR(__xludf.DUMMYFUNCTION("GOOGLETRANSLATE(English!E2031, ""en"", ""bg"")"),"Не разбирам тази тема. Как работят топлото и студеното във физиката?")</f>
        <v>Не разбирам тази тема. Как работят топлото и студеното във физиката?</v>
      </c>
      <c r="F2031" s="1" t="str">
        <f ca="1">IFERROR(__xludf.DUMMYFUNCTION("GOOGLETRANSLATE(English!F2031,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2031" s="1" t="str">
        <f ca="1">IFERROR(__xludf.DUMMYFUNCTION("GOOGLETRANSLATE(English!G2031, ""en"", ""bg"")"),"разговор")</f>
        <v>разговор</v>
      </c>
      <c r="H2031" s="1" t="str">
        <f ca="1">IFERROR(__xludf.DUMMYFUNCTION("GOOGLETRANSLATE(English!H2031, ""en"", ""bg"")"),"образователна_помощ")</f>
        <v>образователна_помощ</v>
      </c>
    </row>
    <row r="2032" spans="1:8" ht="13.2" x14ac:dyDescent="0.25">
      <c r="A2032" s="1" t="str">
        <f ca="1">IFERROR(__xludf.DUMMYFUNCTION("GOOGLETRANSLATE(English!A2032, ""en"", ""bg"")"),"conv_07675")</f>
        <v>conv_07675</v>
      </c>
      <c r="B2032" s="1" t="str">
        <f ca="1">IFERROR(__xludf.DUMMYFUNCTION("GOOGLETRANSLATE(English!B2032, ""en"", ""bg"")"),"химия")</f>
        <v>химия</v>
      </c>
      <c r="C2032" s="1" t="str">
        <f ca="1">IFERROR(__xludf.DUMMYFUNCTION("GOOGLETRANSLATE(English!C2032, ""en"", ""bg"")"),"високо")</f>
        <v>високо</v>
      </c>
      <c r="D2032" s="1" t="str">
        <f ca="1">IFERROR(__xludf.DUMMYFUNCTION("GOOGLETRANSLATE(English!D2032, ""en"", ""bg"")"),"стехиометрия")</f>
        <v>стехиометрия</v>
      </c>
      <c r="E2032" s="1" t="str">
        <f ca="1">IFERROR(__xludf.DUMMYFUNCTION("GOOGLETRANSLATE(English!E2032, ""en"", ""bg"")"),"Здравей, преподавателю! Как работи стехиометрията в химията?")</f>
        <v>Здравей, преподавателю! Как работи стехиометрията в химията?</v>
      </c>
      <c r="F2032" s="1" t="str">
        <f ca="1">IFERROR(__xludf.DUMMYFUNCTION("GOOGLETRANSLATE(English!F2032,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2032" s="1" t="str">
        <f ca="1">IFERROR(__xludf.DUMMYFUNCTION("GOOGLETRANSLATE(English!G2032, ""en"", ""bg"")"),"разговор")</f>
        <v>разговор</v>
      </c>
      <c r="H2032" s="1" t="str">
        <f ca="1">IFERROR(__xludf.DUMMYFUNCTION("GOOGLETRANSLATE(English!H2032, ""en"", ""bg"")"),"образователна_помощ")</f>
        <v>образователна_помощ</v>
      </c>
    </row>
    <row r="2033" spans="1:8" ht="13.2" x14ac:dyDescent="0.25">
      <c r="A2033" s="1" t="str">
        <f ca="1">IFERROR(__xludf.DUMMYFUNCTION("GOOGLETRANSLATE(English!A2033, ""en"", ""bg"")"),"qa_02548")</f>
        <v>qa_02548</v>
      </c>
      <c r="B2033" s="1" t="str">
        <f ca="1">IFERROR(__xludf.DUMMYFUNCTION("GOOGLETRANSLATE(English!B2033, ""en"", ""bg"")"),"физика")</f>
        <v>физика</v>
      </c>
      <c r="C2033" s="1" t="str">
        <f ca="1">IFERROR(__xludf.DUMMYFUNCTION("GOOGLETRANSLATE(English!C2033, ""en"", ""bg"")"),"елементарен")</f>
        <v>елементарен</v>
      </c>
      <c r="D2033" s="1" t="str">
        <f ca="1">IFERROR(__xludf.DUMMYFUNCTION("GOOGLETRANSLATE(English!D2033, ""en"", ""bg"")"),"плаващ и потъващ")</f>
        <v>плаващ и потъващ</v>
      </c>
      <c r="E2033" s="1" t="str">
        <f ca="1">IFERROR(__xludf.DUMMYFUNCTION("GOOGLETRANSLATE(English!E2033, ""en"", ""bg"")"),"Защо е важно да се носиш и да потъваш?")</f>
        <v>Защо е важно да се носиш и да потъваш?</v>
      </c>
      <c r="F2033" s="1" t="str">
        <f ca="1">IFERROR(__xludf.DUMMYFUNCTION("GOOGLETRANSLATE(English!F2033,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2033" s="1" t="str">
        <f ca="1">IFERROR(__xludf.DUMMYFUNCTION("GOOGLETRANSLATE(English!G2033, ""en"", ""bg"")"),"direct_qa")</f>
        <v>direct_qa</v>
      </c>
      <c r="H2033" s="1" t="str">
        <f ca="1">IFERROR(__xludf.DUMMYFUNCTION("GOOGLETRANSLATE(English!H2033, ""en"", ""bg"")"),"заявка_за_знание")</f>
        <v>заявка_за_знание</v>
      </c>
    </row>
    <row r="2034" spans="1:8" ht="13.2" x14ac:dyDescent="0.25">
      <c r="A2034" s="1" t="str">
        <f ca="1">IFERROR(__xludf.DUMMYFUNCTION("GOOGLETRANSLATE(English!A2034, ""en"", ""bg"")"),"qa_03924")</f>
        <v>qa_03924</v>
      </c>
      <c r="B2034" s="1" t="str">
        <f ca="1">IFERROR(__xludf.DUMMYFUNCTION("GOOGLETRANSLATE(English!B2034, ""en"", ""bg"")"),"физика")</f>
        <v>физика</v>
      </c>
      <c r="C2034" s="1" t="str">
        <f ca="1">IFERROR(__xludf.DUMMYFUNCTION("GOOGLETRANSLATE(English!C2034, ""en"", ""bg"")"),"средата")</f>
        <v>средата</v>
      </c>
      <c r="D2034" s="1" t="str">
        <f ca="1">IFERROR(__xludf.DUMMYFUNCTION("GOOGLETRANSLATE(English!D2034, ""en"", ""bg"")"),"сили и движение")</f>
        <v>сили и движение</v>
      </c>
      <c r="E2034" s="1" t="str">
        <f ca="1">IFERROR(__xludf.DUMMYFUNCTION("GOOGLETRANSLATE(English!E2034, ""en"", ""bg"")"),"Какъв е първият закон на Нютон?")</f>
        <v>Какъв е първият закон на Нютон?</v>
      </c>
      <c r="F2034" s="1" t="str">
        <f ca="1">IFERROR(__xludf.DUMMYFUNCTION("GOOGLETRANSLATE(English!F2034,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2034" s="1" t="str">
        <f ca="1">IFERROR(__xludf.DUMMYFUNCTION("GOOGLETRANSLATE(English!G2034, ""en"", ""bg"")"),"direct_qa")</f>
        <v>direct_qa</v>
      </c>
      <c r="H2034" s="1" t="str">
        <f ca="1">IFERROR(__xludf.DUMMYFUNCTION("GOOGLETRANSLATE(English!H2034, ""en"", ""bg"")"),"заявка_за_знание")</f>
        <v>заявка_за_знание</v>
      </c>
    </row>
    <row r="2035" spans="1:8" ht="13.2" x14ac:dyDescent="0.25">
      <c r="A2035" s="1" t="str">
        <f ca="1">IFERROR(__xludf.DUMMYFUNCTION("GOOGLETRANSLATE(English!A2035, ""en"", ""bg"")"),"qa_12782")</f>
        <v>qa_12782</v>
      </c>
      <c r="B2035" s="1" t="str">
        <f ca="1">IFERROR(__xludf.DUMMYFUNCTION("GOOGLETRANSLATE(English!B2035, ""en"", ""bg"")"),"химия")</f>
        <v>химия</v>
      </c>
      <c r="C2035" s="1" t="str">
        <f ca="1">IFERROR(__xludf.DUMMYFUNCTION("GOOGLETRANSLATE(English!C2035, ""en"", ""bg"")"),"високо")</f>
        <v>високо</v>
      </c>
      <c r="D2035" s="1" t="str">
        <f ca="1">IFERROR(__xludf.DUMMYFUNCTION("GOOGLETRANSLATE(English!D2035, ""en"", ""bg"")"),"органична химия")</f>
        <v>органична химия</v>
      </c>
      <c r="E2035" s="1" t="str">
        <f ca="1">IFERROR(__xludf.DUMMYFUNCTION("GOOGLETRANSLATE(English!E2035, ""en"", ""bg"")"),"Защо е важно да се учи органична химия?")</f>
        <v>Защо е важно да се учи органична химия?</v>
      </c>
      <c r="F2035" s="1" t="str">
        <f ca="1">IFERROR(__xludf.DUMMYFUNCTION("GOOGLETRANSLATE(English!F2035,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2035" s="1" t="str">
        <f ca="1">IFERROR(__xludf.DUMMYFUNCTION("GOOGLETRANSLATE(English!G2035, ""en"", ""bg"")"),"direct_qa")</f>
        <v>direct_qa</v>
      </c>
      <c r="H2035" s="1" t="str">
        <f ca="1">IFERROR(__xludf.DUMMYFUNCTION("GOOGLETRANSLATE(English!H2035, ""en"", ""bg"")"),"заявка_за_знание")</f>
        <v>заявка_за_знание</v>
      </c>
    </row>
    <row r="2036" spans="1:8" ht="13.2" x14ac:dyDescent="0.25">
      <c r="A2036" s="1" t="str">
        <f ca="1">IFERROR(__xludf.DUMMYFUNCTION("GOOGLETRANSLATE(English!A2036, ""en"", ""bg"")"),"hw_04837")</f>
        <v>hw_04837</v>
      </c>
      <c r="B2036" s="1" t="str">
        <f ca="1">IFERROR(__xludf.DUMMYFUNCTION("GOOGLETRANSLATE(English!B2036, ""en"", ""bg"")"),"биология")</f>
        <v>биология</v>
      </c>
      <c r="C2036" s="1" t="str">
        <f ca="1">IFERROR(__xludf.DUMMYFUNCTION("GOOGLETRANSLATE(English!C2036, ""en"", ""bg"")"),"елементарен")</f>
        <v>елементарен</v>
      </c>
      <c r="D2036" s="1" t="str">
        <f ca="1">IFERROR(__xludf.DUMMYFUNCTION("GOOGLETRANSLATE(English!D2036, ""en"", ""bg"")"),"растения")</f>
        <v>растения</v>
      </c>
      <c r="E2036" s="1" t="str">
        <f ca="1">IFERROR(__xludf.DUMMYFUNCTION("GOOGLETRANSLATE(English!E2036, ""en"", ""bg"")"),"Трябва да напиша доклад за растенията. Можете ли да ми помогнете да започна?")</f>
        <v>Трябва да напиша доклад за растенията. Можете ли да ми помогнете да започна?</v>
      </c>
      <c r="F2036" s="1" t="str">
        <f ca="1">IFERROR(__xludf.DUMMYFUNCTION("GOOGLETRANSLATE(English!F2036,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2036" s="1" t="str">
        <f ca="1">IFERROR(__xludf.DUMMYFUNCTION("GOOGLETRANSLATE(English!G2036, ""en"", ""bg"")"),"помощ_за_домашно_изпълнение")</f>
        <v>помощ_за_домашно_изпълнение</v>
      </c>
      <c r="H2036" s="1" t="str">
        <f ca="1">IFERROR(__xludf.DUMMYFUNCTION("GOOGLETRANSLATE(English!H2036, ""en"", ""bg"")"),"помощ_за_домашно_задаване")</f>
        <v>помощ_за_домашно_задаване</v>
      </c>
    </row>
    <row r="2037" spans="1:8" ht="13.2" x14ac:dyDescent="0.25">
      <c r="A2037" s="1" t="str">
        <f ca="1">IFERROR(__xludf.DUMMYFUNCTION("GOOGLETRANSLATE(English!A2037, ""en"", ""bg"")"),"conv_00113")</f>
        <v>conv_00113</v>
      </c>
      <c r="B2037" s="1" t="str">
        <f ca="1">IFERROR(__xludf.DUMMYFUNCTION("GOOGLETRANSLATE(English!B2037, ""en"", ""bg"")"),"биология")</f>
        <v>биология</v>
      </c>
      <c r="C2037" s="1" t="str">
        <f ca="1">IFERROR(__xludf.DUMMYFUNCTION("GOOGLETRANSLATE(English!C2037, ""en"", ""bg"")"),"средата")</f>
        <v>средата</v>
      </c>
      <c r="D2037" s="1" t="str">
        <f ca="1">IFERROR(__xludf.DUMMYFUNCTION("GOOGLETRANSLATE(English!D2037, ""en"", ""bg"")"),"фотосинтеза")</f>
        <v>фотосинтеза</v>
      </c>
      <c r="E2037" s="1" t="str">
        <f ca="1">IFERROR(__xludf.DUMMYFUNCTION("GOOGLETRANSLATE(English!E2037, ""en"", ""bg"")"),"Можете ли да ми обясните това? Какво е важно да знаем за фотосинтезата?")</f>
        <v>Можете ли да ми обясните това? Какво е важно да знаем за фотосинтезата?</v>
      </c>
      <c r="F2037" s="1" t="str">
        <f ca="1">IFERROR(__xludf.DUMMYFUNCTION("GOOGLETRANSLATE(English!F2037,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2037" s="1" t="str">
        <f ca="1">IFERROR(__xludf.DUMMYFUNCTION("GOOGLETRANSLATE(English!G2037, ""en"", ""bg"")"),"разговор")</f>
        <v>разговор</v>
      </c>
      <c r="H2037" s="1" t="str">
        <f ca="1">IFERROR(__xludf.DUMMYFUNCTION("GOOGLETRANSLATE(English!H2037, ""en"", ""bg"")"),"образователна_помощ")</f>
        <v>образователна_помощ</v>
      </c>
    </row>
    <row r="2038" spans="1:8" ht="13.2" x14ac:dyDescent="0.25">
      <c r="A2038" s="1" t="str">
        <f ca="1">IFERROR(__xludf.DUMMYFUNCTION("GOOGLETRANSLATE(English!A2038, ""en"", ""bg"")"),"hw_08404")</f>
        <v>hw_08404</v>
      </c>
      <c r="B2038" s="1" t="str">
        <f ca="1">IFERROR(__xludf.DUMMYFUNCTION("GOOGLETRANSLATE(English!B2038, ""en"", ""bg"")"),"химия")</f>
        <v>химия</v>
      </c>
      <c r="C2038" s="1" t="str">
        <f ca="1">IFERROR(__xludf.DUMMYFUNCTION("GOOGLETRANSLATE(English!C2038, ""en"", ""bg"")"),"средата")</f>
        <v>средата</v>
      </c>
      <c r="D2038" s="1" t="str">
        <f ca="1">IFERROR(__xludf.DUMMYFUNCTION("GOOGLETRANSLATE(English!D2038, ""en"", ""bg"")"),"химични промени")</f>
        <v>химични промени</v>
      </c>
      <c r="E2038" s="1" t="str">
        <f ca="1">IFERROR(__xludf.DUMMYFUNCTION("GOOGLETRANSLATE(English!E2038,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2038" s="1" t="str">
        <f ca="1">IFERROR(__xludf.DUMMYFUNCTION("GOOGLETRANSLATE(English!F2038,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2038" s="1" t="str">
        <f ca="1">IFERROR(__xludf.DUMMYFUNCTION("GOOGLETRANSLATE(English!G2038, ""en"", ""bg"")"),"помощ_за_домашно_изпълнение")</f>
        <v>помощ_за_домашно_изпълнение</v>
      </c>
      <c r="H2038" s="1" t="str">
        <f ca="1">IFERROR(__xludf.DUMMYFUNCTION("GOOGLETRANSLATE(English!H2038, ""en"", ""bg"")"),"помощ_за_домашно_задаване")</f>
        <v>помощ_за_домашно_задаване</v>
      </c>
    </row>
    <row r="2039" spans="1:8" ht="13.2" x14ac:dyDescent="0.25">
      <c r="A2039" s="1" t="str">
        <f ca="1">IFERROR(__xludf.DUMMYFUNCTION("GOOGLETRANSLATE(English!A2039, ""en"", ""bg"")"),"conv_11193")</f>
        <v>conv_11193</v>
      </c>
      <c r="B2039" s="1" t="str">
        <f ca="1">IFERROR(__xludf.DUMMYFUNCTION("GOOGLETRANSLATE(English!B2039, ""en"", ""bg"")"),"физика")</f>
        <v>физика</v>
      </c>
      <c r="C2039" s="1" t="str">
        <f ca="1">IFERROR(__xludf.DUMMYFUNCTION("GOOGLETRANSLATE(English!C2039, ""en"", ""bg"")"),"високо")</f>
        <v>високо</v>
      </c>
      <c r="D2039" s="1" t="str">
        <f ca="1">IFERROR(__xludf.DUMMYFUNCTION("GOOGLETRANSLATE(English!D2039, ""en"", ""bg"")"),"електромагнетизъм")</f>
        <v>електромагнетизъм</v>
      </c>
      <c r="E2039" s="1" t="str">
        <f ca="1">IFERROR(__xludf.DUMMYFUNCTION("GOOGLETRANSLATE(English!E2039, ""en"", ""bg"")"),"Можете ли да ми обясните това? Можете ли да ми обясните електромагнетизма?")</f>
        <v>Можете ли да ми обясните това? Можете ли да ми обясните електромагнетизма?</v>
      </c>
      <c r="F2039" s="1" t="str">
        <f ca="1">IFERROR(__xludf.DUMMYFUNCTION("GOOGLETRANSLATE(English!F2039,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2039" s="1" t="str">
        <f ca="1">IFERROR(__xludf.DUMMYFUNCTION("GOOGLETRANSLATE(English!G2039, ""en"", ""bg"")"),"разговор")</f>
        <v>разговор</v>
      </c>
      <c r="H2039" s="1" t="str">
        <f ca="1">IFERROR(__xludf.DUMMYFUNCTION("GOOGLETRANSLATE(English!H2039, ""en"", ""bg"")"),"образователна_помощ")</f>
        <v>образователна_помощ</v>
      </c>
    </row>
    <row r="2040" spans="1:8" ht="13.2" x14ac:dyDescent="0.25">
      <c r="A2040" s="1" t="str">
        <f ca="1">IFERROR(__xludf.DUMMYFUNCTION("GOOGLETRANSLATE(English!A2040, ""en"", ""bg"")"),"qa_09934")</f>
        <v>qa_09934</v>
      </c>
      <c r="B2040" s="1" t="str">
        <f ca="1">IFERROR(__xludf.DUMMYFUNCTION("GOOGLETRANSLATE(English!B2040, ""en"", ""bg"")"),"химия")</f>
        <v>химия</v>
      </c>
      <c r="C2040" s="1" t="str">
        <f ca="1">IFERROR(__xludf.DUMMYFUNCTION("GOOGLETRANSLATE(English!C2040, ""en"", ""bg"")"),"елементарен")</f>
        <v>елементарен</v>
      </c>
      <c r="D2040" s="1" t="str">
        <f ca="1">IFERROR(__xludf.DUMMYFUNCTION("GOOGLETRANSLATE(English!D2040, ""en"", ""bg"")"),"твърди вещества, течности, газове")</f>
        <v>твърди вещества, течности, газове</v>
      </c>
      <c r="E2040" s="1" t="str">
        <f ca="1">IFERROR(__xludf.DUMMYFUNCTION("GOOGLETRANSLATE(English!E2040, ""en"", ""bg"")"),"Защо ледът плава по водата?")</f>
        <v>Защо ледът плава по водата?</v>
      </c>
      <c r="F2040" s="1" t="str">
        <f ca="1">IFERROR(__xludf.DUMMYFUNCTION("GOOGLETRANSLATE(English!F2040,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2040" s="1" t="str">
        <f ca="1">IFERROR(__xludf.DUMMYFUNCTION("GOOGLETRANSLATE(English!G2040, ""en"", ""bg"")"),"direct_qa")</f>
        <v>direct_qa</v>
      </c>
      <c r="H2040" s="1" t="str">
        <f ca="1">IFERROR(__xludf.DUMMYFUNCTION("GOOGLETRANSLATE(English!H2040, ""en"", ""bg"")"),"заявка_за_знание")</f>
        <v>заявка_за_знание</v>
      </c>
    </row>
    <row r="2041" spans="1:8" ht="13.2" x14ac:dyDescent="0.25">
      <c r="A2041" s="1" t="str">
        <f ca="1">IFERROR(__xludf.DUMMYFUNCTION("GOOGLETRANSLATE(English!A2041, ""en"", ""bg"")"),"hw_01589")</f>
        <v>hw_01589</v>
      </c>
      <c r="B2041" s="1" t="str">
        <f ca="1">IFERROR(__xludf.DUMMYFUNCTION("GOOGLETRANSLATE(English!B2041, ""en"", ""bg"")"),"биология")</f>
        <v>биология</v>
      </c>
      <c r="C2041" s="1" t="str">
        <f ca="1">IFERROR(__xludf.DUMMYFUNCTION("GOOGLETRANSLATE(English!C2041, ""en"", ""bg"")"),"елементарен")</f>
        <v>елементарен</v>
      </c>
      <c r="D2041" s="1" t="str">
        <f ca="1">IFERROR(__xludf.DUMMYFUNCTION("GOOGLETRANSLATE(English!D2041, ""en"", ""bg"")"),"местообитания")</f>
        <v>местообитания</v>
      </c>
      <c r="E2041" s="1" t="str">
        <f ca="1">IFERROR(__xludf.DUMMYFUNCTION("GOOGLETRANSLATE(English!E2041, ""en"", ""bg"")"),"Можете ли да обясните местообитанията за моя научен проект?")</f>
        <v>Можете ли да обясните местообитанията за моя научен проект?</v>
      </c>
      <c r="F2041" s="1" t="str">
        <f ca="1">IFERROR(__xludf.DUMMYFUNCTION("GOOGLETRANSLATE(English!F2041,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2041" s="1" t="str">
        <f ca="1">IFERROR(__xludf.DUMMYFUNCTION("GOOGLETRANSLATE(English!G2041, ""en"", ""bg"")"),"помощ_за_домашно_изпълнение")</f>
        <v>помощ_за_домашно_изпълнение</v>
      </c>
      <c r="H2041" s="1" t="str">
        <f ca="1">IFERROR(__xludf.DUMMYFUNCTION("GOOGLETRANSLATE(English!H2041, ""en"", ""bg"")"),"помощ_за_домашно_задаване")</f>
        <v>помощ_за_домашно_задаване</v>
      </c>
    </row>
    <row r="2042" spans="1:8" ht="13.2" x14ac:dyDescent="0.25">
      <c r="A2042" s="1" t="str">
        <f ca="1">IFERROR(__xludf.DUMMYFUNCTION("GOOGLETRANSLATE(English!A2042, ""en"", ""bg"")"),"qa_05561")</f>
        <v>qa_05561</v>
      </c>
      <c r="B2042" s="1" t="str">
        <f ca="1">IFERROR(__xludf.DUMMYFUNCTION("GOOGLETRANSLATE(English!B2042, ""en"", ""bg"")"),"химия")</f>
        <v>химия</v>
      </c>
      <c r="C2042" s="1" t="str">
        <f ca="1">IFERROR(__xludf.DUMMYFUNCTION("GOOGLETRANSLATE(English!C2042, ""en"", ""bg"")"),"елементарен")</f>
        <v>елементарен</v>
      </c>
      <c r="D2042" s="1" t="str">
        <f ca="1">IFERROR(__xludf.DUMMYFUNCTION("GOOGLETRANSLATE(English!D2042, ""en"", ""bg"")"),"твърди вещества, течности, газове")</f>
        <v>твърди вещества, течности, газове</v>
      </c>
      <c r="E2042" s="1" t="str">
        <f ca="1">IFERROR(__xludf.DUMMYFUNCTION("GOOGLETRANSLATE(English!E2042, ""en"", ""bg"")"),"Защо ледът плава по водата?")</f>
        <v>Защо ледът плава по водата?</v>
      </c>
      <c r="F2042" s="1" t="str">
        <f ca="1">IFERROR(__xludf.DUMMYFUNCTION("GOOGLETRANSLATE(English!F2042,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2042" s="1" t="str">
        <f ca="1">IFERROR(__xludf.DUMMYFUNCTION("GOOGLETRANSLATE(English!G2042, ""en"", ""bg"")"),"direct_qa")</f>
        <v>direct_qa</v>
      </c>
      <c r="H2042" s="1" t="str">
        <f ca="1">IFERROR(__xludf.DUMMYFUNCTION("GOOGLETRANSLATE(English!H2042, ""en"", ""bg"")"),"заявка_за_знание")</f>
        <v>заявка_за_знание</v>
      </c>
    </row>
    <row r="2043" spans="1:8" ht="13.2" x14ac:dyDescent="0.25">
      <c r="A2043" s="1" t="str">
        <f ca="1">IFERROR(__xludf.DUMMYFUNCTION("GOOGLETRANSLATE(English!A2043, ""en"", ""bg"")"),"conv_07123")</f>
        <v>conv_07123</v>
      </c>
      <c r="B2043" s="1" t="str">
        <f ca="1">IFERROR(__xludf.DUMMYFUNCTION("GOOGLETRANSLATE(English!B2043, ""en"", ""bg"")"),"биология")</f>
        <v>биология</v>
      </c>
      <c r="C2043" s="1" t="str">
        <f ca="1">IFERROR(__xludf.DUMMYFUNCTION("GOOGLETRANSLATE(English!C2043, ""en"", ""bg"")"),"елементарен")</f>
        <v>елементарен</v>
      </c>
      <c r="D2043" s="1" t="str">
        <f ca="1">IFERROR(__xludf.DUMMYFUNCTION("GOOGLETRANSLATE(English!D2043, ""en"", ""bg"")"),"растения")</f>
        <v>растения</v>
      </c>
      <c r="E2043" s="1" t="str">
        <f ca="1">IFERROR(__xludf.DUMMYFUNCTION("GOOGLETRANSLATE(English!E2043, ""en"", ""bg"")"),"Можете ли да ми обясните това? От какво се нуждаят растенията, за да растат?")</f>
        <v>Можете ли да ми обясните това? От какво се нуждаят растенията, за да растат?</v>
      </c>
      <c r="F2043" s="1" t="str">
        <f ca="1">IFERROR(__xludf.DUMMYFUNCTION("GOOGLETRANSLATE(English!F2043,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2043" s="1" t="str">
        <f ca="1">IFERROR(__xludf.DUMMYFUNCTION("GOOGLETRANSLATE(English!G2043, ""en"", ""bg"")"),"разговор")</f>
        <v>разговор</v>
      </c>
      <c r="H2043" s="1" t="str">
        <f ca="1">IFERROR(__xludf.DUMMYFUNCTION("GOOGLETRANSLATE(English!H2043, ""en"", ""bg"")"),"образователна_помощ")</f>
        <v>образователна_помощ</v>
      </c>
    </row>
    <row r="2044" spans="1:8" ht="13.2" x14ac:dyDescent="0.25">
      <c r="A2044" s="1" t="str">
        <f ca="1">IFERROR(__xludf.DUMMYFUNCTION("GOOGLETRANSLATE(English!A2044, ""en"", ""bg"")"),"conv_12846")</f>
        <v>conv_12846</v>
      </c>
      <c r="B2044" s="1" t="str">
        <f ca="1">IFERROR(__xludf.DUMMYFUNCTION("GOOGLETRANSLATE(English!B2044, ""en"", ""bg"")"),"физика")</f>
        <v>физика</v>
      </c>
      <c r="C2044" s="1" t="str">
        <f ca="1">IFERROR(__xludf.DUMMYFUNCTION("GOOGLETRANSLATE(English!C2044, ""en"", ""bg"")"),"средата")</f>
        <v>средата</v>
      </c>
      <c r="D2044" s="1" t="str">
        <f ca="1">IFERROR(__xludf.DUMMYFUNCTION("GOOGLETRANSLATE(English!D2044, ""en"", ""bg"")"),"вълни")</f>
        <v>вълни</v>
      </c>
      <c r="E2044" s="1" t="str">
        <f ca="1">IFERROR(__xludf.DUMMYFUNCTION("GOOGLETRANSLATE(English!E2044, ""en"", ""bg"")"),"Можете ли да ми помогнете? Можете ли да ми обясните вълните?")</f>
        <v>Можете ли да ми помогнете? Можете ли да ми обясните вълните?</v>
      </c>
      <c r="F2044" s="1" t="str">
        <f ca="1">IFERROR(__xludf.DUMMYFUNCTION("GOOGLETRANSLATE(English!F2044,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2044" s="1" t="str">
        <f ca="1">IFERROR(__xludf.DUMMYFUNCTION("GOOGLETRANSLATE(English!G2044, ""en"", ""bg"")"),"разговор")</f>
        <v>разговор</v>
      </c>
      <c r="H2044" s="1" t="str">
        <f ca="1">IFERROR(__xludf.DUMMYFUNCTION("GOOGLETRANSLATE(English!H2044, ""en"", ""bg"")"),"образователна_помощ")</f>
        <v>образователна_помощ</v>
      </c>
    </row>
    <row r="2045" spans="1:8" ht="13.2" x14ac:dyDescent="0.25">
      <c r="A2045" s="1" t="str">
        <f ca="1">IFERROR(__xludf.DUMMYFUNCTION("GOOGLETRANSLATE(English!A2045, ""en"", ""bg"")"),"conv_18235")</f>
        <v>conv_18235</v>
      </c>
      <c r="B2045" s="1" t="str">
        <f ca="1">IFERROR(__xludf.DUMMYFUNCTION("GOOGLETRANSLATE(English!B2045, ""en"", ""bg"")"),"химия")</f>
        <v>химия</v>
      </c>
      <c r="C2045" s="1" t="str">
        <f ca="1">IFERROR(__xludf.DUMMYFUNCTION("GOOGLETRANSLATE(English!C2045, ""en"", ""bg"")"),"средата")</f>
        <v>средата</v>
      </c>
      <c r="D2045" s="1" t="str">
        <f ca="1">IFERROR(__xludf.DUMMYFUNCTION("GOOGLETRANSLATE(English!D2045, ""en"", ""bg"")"),"съединения срещу елементи")</f>
        <v>съединения срещу елементи</v>
      </c>
      <c r="E2045" s="1" t="str">
        <f ca="1">IFERROR(__xludf.DUMMYFUNCTION("GOOGLETRANSLATE(English!E2045, ""en"", ""bg"")"),"Можете ли да ми помогнете? Как взаимодействат съединенията и елементите в химията?")</f>
        <v>Можете ли да ми помогнете? Как взаимодействат съединенията и елементите в химията?</v>
      </c>
      <c r="F2045" s="1" t="str">
        <f ca="1">IFERROR(__xludf.DUMMYFUNCTION("GOOGLETRANSLATE(English!F2045,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2045" s="1" t="str">
        <f ca="1">IFERROR(__xludf.DUMMYFUNCTION("GOOGLETRANSLATE(English!G2045, ""en"", ""bg"")"),"разговор")</f>
        <v>разговор</v>
      </c>
      <c r="H2045" s="1" t="str">
        <f ca="1">IFERROR(__xludf.DUMMYFUNCTION("GOOGLETRANSLATE(English!H2045, ""en"", ""bg"")"),"образователна_помощ")</f>
        <v>образователна_помощ</v>
      </c>
    </row>
    <row r="2046" spans="1:8" ht="13.2" x14ac:dyDescent="0.25">
      <c r="A2046" s="1" t="str">
        <f ca="1">IFERROR(__xludf.DUMMYFUNCTION("GOOGLETRANSLATE(English!A2046, ""en"", ""bg"")"),"qa_14597")</f>
        <v>qa_14597</v>
      </c>
      <c r="B2046" s="1" t="str">
        <f ca="1">IFERROR(__xludf.DUMMYFUNCTION("GOOGLETRANSLATE(English!B2046, ""en"", ""bg"")"),"химия")</f>
        <v>химия</v>
      </c>
      <c r="C2046" s="1" t="str">
        <f ca="1">IFERROR(__xludf.DUMMYFUNCTION("GOOGLETRANSLATE(English!C2046, ""en"", ""bg"")"),"високо")</f>
        <v>високо</v>
      </c>
      <c r="D2046" s="1" t="str">
        <f ca="1">IFERROR(__xludf.DUMMYFUNCTION("GOOGLETRANSLATE(English!D2046, ""en"", ""bg"")"),"скорости на реакция")</f>
        <v>скорости на реакция</v>
      </c>
      <c r="E2046" s="1" t="str">
        <f ca="1">IFERROR(__xludf.DUMMYFUNCTION("GOOGLETRANSLATE(English!E2046, ""en"", ""bg"")"),"Какво представляват скоростите на реакция?")</f>
        <v>Какво представляват скоростите на реакция?</v>
      </c>
      <c r="F2046" s="1" t="str">
        <f ca="1">IFERROR(__xludf.DUMMYFUNCTION("GOOGLETRANSLATE(English!F2046,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2046" s="1" t="str">
        <f ca="1">IFERROR(__xludf.DUMMYFUNCTION("GOOGLETRANSLATE(English!G2046, ""en"", ""bg"")"),"direct_qa")</f>
        <v>direct_qa</v>
      </c>
      <c r="H2046" s="1" t="str">
        <f ca="1">IFERROR(__xludf.DUMMYFUNCTION("GOOGLETRANSLATE(English!H2046, ""en"", ""bg"")"),"заявка_за_знание")</f>
        <v>заявка_за_знание</v>
      </c>
    </row>
    <row r="2047" spans="1:8" ht="13.2" x14ac:dyDescent="0.25">
      <c r="A2047" s="1" t="str">
        <f ca="1">IFERROR(__xludf.DUMMYFUNCTION("GOOGLETRANSLATE(English!A2047, ""en"", ""bg"")"),"qa_11103")</f>
        <v>qa_11103</v>
      </c>
      <c r="B2047" s="1" t="str">
        <f ca="1">IFERROR(__xludf.DUMMYFUNCTION("GOOGLETRANSLATE(English!B2047, ""en"", ""bg"")"),"биология")</f>
        <v>биология</v>
      </c>
      <c r="C2047" s="1" t="str">
        <f ca="1">IFERROR(__xludf.DUMMYFUNCTION("GOOGLETRANSLATE(English!C2047, ""en"", ""bg"")"),"елементарен")</f>
        <v>елементарен</v>
      </c>
      <c r="D2047" s="1" t="str">
        <f ca="1">IFERROR(__xludf.DUMMYFUNCTION("GOOGLETRANSLATE(English!D2047, ""en"", ""bg"")"),"човешкото тяло")</f>
        <v>човешкото тяло</v>
      </c>
      <c r="E2047" s="1" t="str">
        <f ca="1">IFERROR(__xludf.DUMMYFUNCTION("GOOGLETRANSLATE(English!E2047, ""en"", ""bg"")"),"Как работи човешкото тяло?")</f>
        <v>Как работи човешкото тяло?</v>
      </c>
      <c r="F2047" s="1" t="str">
        <f ca="1">IFERROR(__xludf.DUMMYFUNCTION("GOOGLETRANSLATE(English!F2047,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2047" s="1" t="str">
        <f ca="1">IFERROR(__xludf.DUMMYFUNCTION("GOOGLETRANSLATE(English!G2047, ""en"", ""bg"")"),"direct_qa")</f>
        <v>direct_qa</v>
      </c>
      <c r="H2047" s="1" t="str">
        <f ca="1">IFERROR(__xludf.DUMMYFUNCTION("GOOGLETRANSLATE(English!H2047, ""en"", ""bg"")"),"заявка_за_знание")</f>
        <v>заявка_за_знание</v>
      </c>
    </row>
    <row r="2048" spans="1:8" ht="13.2" x14ac:dyDescent="0.25">
      <c r="A2048" s="1" t="str">
        <f ca="1">IFERROR(__xludf.DUMMYFUNCTION("GOOGLETRANSLATE(English!A2048, ""en"", ""bg"")"),"qa_10274")</f>
        <v>qa_10274</v>
      </c>
      <c r="B2048" s="1" t="str">
        <f ca="1">IFERROR(__xludf.DUMMYFUNCTION("GOOGLETRANSLATE(English!B2048, ""en"", ""bg"")"),"физика")</f>
        <v>физика</v>
      </c>
      <c r="C2048" s="1" t="str">
        <f ca="1">IFERROR(__xludf.DUMMYFUNCTION("GOOGLETRANSLATE(English!C2048, ""en"", ""bg"")"),"средата")</f>
        <v>средата</v>
      </c>
      <c r="D2048" s="1" t="str">
        <f ca="1">IFERROR(__xludf.DUMMYFUNCTION("GOOGLETRANSLATE(English!D2048, ""en"", ""bg"")"),"вълни")</f>
        <v>вълни</v>
      </c>
      <c r="E2048" s="1" t="str">
        <f ca="1">IFERROR(__xludf.DUMMYFUNCTION("GOOGLETRANSLATE(English!E2048, ""en"", ""bg"")"),"Какво трябва да знам за вълните?")</f>
        <v>Какво трябва да знам за вълните?</v>
      </c>
      <c r="F2048" s="1" t="str">
        <f ca="1">IFERROR(__xludf.DUMMYFUNCTION("GOOGLETRANSLATE(English!F2048,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2048" s="1" t="str">
        <f ca="1">IFERROR(__xludf.DUMMYFUNCTION("GOOGLETRANSLATE(English!G2048, ""en"", ""bg"")"),"direct_qa")</f>
        <v>direct_qa</v>
      </c>
      <c r="H2048" s="1" t="str">
        <f ca="1">IFERROR(__xludf.DUMMYFUNCTION("GOOGLETRANSLATE(English!H2048, ""en"", ""bg"")"),"заявка_за_знание")</f>
        <v>заявка_за_знание</v>
      </c>
    </row>
    <row r="2049" spans="1:8" ht="13.2" x14ac:dyDescent="0.25">
      <c r="A2049" s="1" t="str">
        <f ca="1">IFERROR(__xludf.DUMMYFUNCTION("GOOGLETRANSLATE(English!A2049, ""en"", ""bg"")"),"conv_03007")</f>
        <v>conv_03007</v>
      </c>
      <c r="B2049" s="1" t="str">
        <f ca="1">IFERROR(__xludf.DUMMYFUNCTION("GOOGLETRANSLATE(English!B2049, ""en"", ""bg"")"),"биология")</f>
        <v>биология</v>
      </c>
      <c r="C2049" s="1" t="str">
        <f ca="1">IFERROR(__xludf.DUMMYFUNCTION("GOOGLETRANSLATE(English!C2049, ""en"", ""bg"")"),"средата")</f>
        <v>средата</v>
      </c>
      <c r="D2049" s="1" t="str">
        <f ca="1">IFERROR(__xludf.DUMMYFUNCTION("GOOGLETRANSLATE(English!D2049, ""en"", ""bg"")"),"дишане")</f>
        <v>дишане</v>
      </c>
      <c r="E2049" s="1" t="str">
        <f ca="1">IFERROR(__xludf.DUMMYFUNCTION("GOOGLETRANSLATE(English!E2049, ""en"", ""bg"")"),"Имам научен въпрос. Как работи дишането?")</f>
        <v>Имам научен въпрос. Как работи дишането?</v>
      </c>
      <c r="F2049" s="1" t="str">
        <f ca="1">IFERROR(__xludf.DUMMYFUNCTION("GOOGLETRANSLATE(English!F2049,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2049" s="1" t="str">
        <f ca="1">IFERROR(__xludf.DUMMYFUNCTION("GOOGLETRANSLATE(English!G2049, ""en"", ""bg"")"),"разговор")</f>
        <v>разговор</v>
      </c>
      <c r="H2049" s="1" t="str">
        <f ca="1">IFERROR(__xludf.DUMMYFUNCTION("GOOGLETRANSLATE(English!H2049, ""en"", ""bg"")"),"образователна_помощ")</f>
        <v>образователна_помощ</v>
      </c>
    </row>
    <row r="2050" spans="1:8" ht="13.2" x14ac:dyDescent="0.25">
      <c r="A2050" s="1" t="str">
        <f ca="1">IFERROR(__xludf.DUMMYFUNCTION("GOOGLETRANSLATE(English!A2050, ""en"", ""bg"")"),"hw_06566")</f>
        <v>hw_06566</v>
      </c>
      <c r="B2050" s="1" t="str">
        <f ca="1">IFERROR(__xludf.DUMMYFUNCTION("GOOGLETRANSLATE(English!B2050, ""en"", ""bg"")"),"биология")</f>
        <v>биология</v>
      </c>
      <c r="C2050" s="1" t="str">
        <f ca="1">IFERROR(__xludf.DUMMYFUNCTION("GOOGLETRANSLATE(English!C2050, ""en"", ""bg"")"),"високо")</f>
        <v>високо</v>
      </c>
      <c r="D2050" s="1" t="str">
        <f ca="1">IFERROR(__xludf.DUMMYFUNCTION("GOOGLETRANSLATE(English!D2050, ""en"", ""bg"")"),"клетъчно дишане")</f>
        <v>клетъчно дишане</v>
      </c>
      <c r="E2050" s="1" t="str">
        <f ca="1">IFERROR(__xludf.DUMMYFUNCTION("GOOGLETRANSLATE(English!E2050,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2050" s="1" t="str">
        <f ca="1">IFERROR(__xludf.DUMMYFUNCTION("GOOGLETRANSLATE(English!F2050,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050" s="1" t="str">
        <f ca="1">IFERROR(__xludf.DUMMYFUNCTION("GOOGLETRANSLATE(English!G2050, ""en"", ""bg"")"),"помощ_за_домашно_изпълнение")</f>
        <v>помощ_за_домашно_изпълнение</v>
      </c>
      <c r="H2050" s="1" t="str">
        <f ca="1">IFERROR(__xludf.DUMMYFUNCTION("GOOGLETRANSLATE(English!H2050, ""en"", ""bg"")"),"помощ_за_домашно_задаване")</f>
        <v>помощ_за_домашно_задаване</v>
      </c>
    </row>
    <row r="2051" spans="1:8" ht="13.2" x14ac:dyDescent="0.25">
      <c r="A2051" s="1" t="str">
        <f ca="1">IFERROR(__xludf.DUMMYFUNCTION("GOOGLETRANSLATE(English!A2051, ""en"", ""bg"")"),"conv_18868")</f>
        <v>conv_18868</v>
      </c>
      <c r="B2051" s="1" t="str">
        <f ca="1">IFERROR(__xludf.DUMMYFUNCTION("GOOGLETRANSLATE(English!B2051, ""en"", ""bg"")"),"физика")</f>
        <v>физика</v>
      </c>
      <c r="C2051" s="1" t="str">
        <f ca="1">IFERROR(__xludf.DUMMYFUNCTION("GOOGLETRANSLATE(English!C2051, ""en"", ""bg"")"),"високо")</f>
        <v>високо</v>
      </c>
      <c r="D2051" s="1" t="str">
        <f ca="1">IFERROR(__xludf.DUMMYFUNCTION("GOOGLETRANSLATE(English!D2051, ""en"", ""bg"")"),"термодинамика")</f>
        <v>термодинамика</v>
      </c>
      <c r="E2051" s="1" t="str">
        <f ca="1">IFERROR(__xludf.DUMMYFUNCTION("GOOGLETRANSLATE(English!E2051, ""en"", ""bg"")"),"Не разбирам тази тема. Можете ли да ми обясните термодинамиката?")</f>
        <v>Не разбирам тази тема. Можете ли да ми обясните термодинамиката?</v>
      </c>
      <c r="F2051" s="1" t="str">
        <f ca="1">IFERROR(__xludf.DUMMYFUNCTION("GOOGLETRANSLATE(English!F2051,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2051" s="1" t="str">
        <f ca="1">IFERROR(__xludf.DUMMYFUNCTION("GOOGLETRANSLATE(English!G2051, ""en"", ""bg"")"),"разговор")</f>
        <v>разговор</v>
      </c>
      <c r="H2051" s="1" t="str">
        <f ca="1">IFERROR(__xludf.DUMMYFUNCTION("GOOGLETRANSLATE(English!H2051, ""en"", ""bg"")"),"образователна_помощ")</f>
        <v>образователна_помощ</v>
      </c>
    </row>
    <row r="2052" spans="1:8" ht="13.2" x14ac:dyDescent="0.25">
      <c r="A2052" s="1" t="str">
        <f ca="1">IFERROR(__xludf.DUMMYFUNCTION("GOOGLETRANSLATE(English!A2052, ""en"", ""bg"")"),"qa_01709")</f>
        <v>qa_01709</v>
      </c>
      <c r="B2052" s="1" t="str">
        <f ca="1">IFERROR(__xludf.DUMMYFUNCTION("GOOGLETRANSLATE(English!B2052, ""en"", ""bg"")"),"биология")</f>
        <v>биология</v>
      </c>
      <c r="C2052" s="1" t="str">
        <f ca="1">IFERROR(__xludf.DUMMYFUNCTION("GOOGLETRANSLATE(English!C2052, ""en"", ""bg"")"),"средата")</f>
        <v>средата</v>
      </c>
      <c r="D2052" s="1" t="str">
        <f ca="1">IFERROR(__xludf.DUMMYFUNCTION("GOOGLETRANSLATE(English!D2052, ""en"", ""bg"")"),"клетки")</f>
        <v>клетки</v>
      </c>
      <c r="E2052" s="1" t="str">
        <f ca="1">IFERROR(__xludf.DUMMYFUNCTION("GOOGLETRANSLATE(English!E2052, ""en"", ""bg"")"),"По какво се различават растителните и животинските клетки?")</f>
        <v>По какво се различават растителните и животинските клетки?</v>
      </c>
      <c r="F2052" s="1" t="str">
        <f ca="1">IFERROR(__xludf.DUMMYFUNCTION("GOOGLETRANSLATE(English!F2052, ""en"", ""bg"")"),"Растителните клетки имат клетъчна стена и хлоропласти, които животинските клетки нямат. Животинските клетки са по-гъвкави.")</f>
        <v>Растителните клетки имат клетъчна стена и хлоропласти, които животинските клетки нямат. Животинските клетки са по-гъвкави.</v>
      </c>
      <c r="G2052" s="1" t="str">
        <f ca="1">IFERROR(__xludf.DUMMYFUNCTION("GOOGLETRANSLATE(English!G2052, ""en"", ""bg"")"),"direct_qa")</f>
        <v>direct_qa</v>
      </c>
      <c r="H2052" s="1" t="str">
        <f ca="1">IFERROR(__xludf.DUMMYFUNCTION("GOOGLETRANSLATE(English!H2052, ""en"", ""bg"")"),"заявка_за_знание")</f>
        <v>заявка_за_знание</v>
      </c>
    </row>
    <row r="2053" spans="1:8" ht="13.2" x14ac:dyDescent="0.25">
      <c r="A2053" s="1" t="str">
        <f ca="1">IFERROR(__xludf.DUMMYFUNCTION("GOOGLETRANSLATE(English!A2053, ""en"", ""bg"")"),"hw_12766")</f>
        <v>hw_12766</v>
      </c>
      <c r="B2053" s="1" t="str">
        <f ca="1">IFERROR(__xludf.DUMMYFUNCTION("GOOGLETRANSLATE(English!B2053, ""en"", ""bg"")"),"физика")</f>
        <v>физика</v>
      </c>
      <c r="C2053" s="1" t="str">
        <f ca="1">IFERROR(__xludf.DUMMYFUNCTION("GOOGLETRANSLATE(English!C2053, ""en"", ""bg"")"),"средата")</f>
        <v>средата</v>
      </c>
      <c r="D2053" s="1" t="str">
        <f ca="1">IFERROR(__xludf.DUMMYFUNCTION("GOOGLETRANSLATE(English!D2053, ""en"", ""bg"")"),"видове енергия")</f>
        <v>видове енергия</v>
      </c>
      <c r="E2053" s="1" t="str">
        <f ca="1">IFERROR(__xludf.DUMMYFUNCTION("GOOGLETRANSLATE(English!E2053, ""en"", ""bg"")"),"Заседнал съм с този проблем с видовете енергия. Можете ли да помогнете?")</f>
        <v>Заседнал съм с този проблем с видовете енергия. Можете ли да помогнете?</v>
      </c>
      <c r="F2053" s="1" t="str">
        <f ca="1">IFERROR(__xludf.DUMMYFUNCTION("GOOGLETRANSLATE(English!F2053,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053" s="1" t="str">
        <f ca="1">IFERROR(__xludf.DUMMYFUNCTION("GOOGLETRANSLATE(English!G2053, ""en"", ""bg"")"),"помощ_за_домашно_изпълнение")</f>
        <v>помощ_за_домашно_изпълнение</v>
      </c>
      <c r="H2053" s="1" t="str">
        <f ca="1">IFERROR(__xludf.DUMMYFUNCTION("GOOGLETRANSLATE(English!H2053, ""en"", ""bg"")"),"помощ_за_домашно_задаване")</f>
        <v>помощ_за_домашно_задаване</v>
      </c>
    </row>
    <row r="2054" spans="1:8" ht="13.2" x14ac:dyDescent="0.25">
      <c r="A2054" s="1" t="str">
        <f ca="1">IFERROR(__xludf.DUMMYFUNCTION("GOOGLETRANSLATE(English!A2054, ""en"", ""bg"")"),"conv_17651")</f>
        <v>conv_17651</v>
      </c>
      <c r="B2054" s="1" t="str">
        <f ca="1">IFERROR(__xludf.DUMMYFUNCTION("GOOGLETRANSLATE(English!B2054, ""en"", ""bg"")"),"биология")</f>
        <v>биология</v>
      </c>
      <c r="C2054" s="1" t="str">
        <f ca="1">IFERROR(__xludf.DUMMYFUNCTION("GOOGLETRANSLATE(English!C2054, ""en"", ""bg"")"),"елементарен")</f>
        <v>елементарен</v>
      </c>
      <c r="D2054" s="1" t="str">
        <f ca="1">IFERROR(__xludf.DUMMYFUNCTION("GOOGLETRANSLATE(English!D2054, ""en"", ""bg"")"),"местообитания")</f>
        <v>местообитания</v>
      </c>
      <c r="E2054" s="1" t="str">
        <f ca="1">IFERROR(__xludf.DUMMYFUNCTION("GOOGLETRANSLATE(English!E2054, ""en"", ""bg"")"),"Имам научен въпрос. Защо местообитанията са важни в биологията?")</f>
        <v>Имам научен въпрос. Защо местообитанията са важни в биологията?</v>
      </c>
      <c r="F2054" s="1" t="str">
        <f ca="1">IFERROR(__xludf.DUMMYFUNCTION("GOOGLETRANSLATE(English!F2054,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2054" s="1" t="str">
        <f ca="1">IFERROR(__xludf.DUMMYFUNCTION("GOOGLETRANSLATE(English!G2054, ""en"", ""bg"")"),"разговор")</f>
        <v>разговор</v>
      </c>
      <c r="H2054" s="1" t="str">
        <f ca="1">IFERROR(__xludf.DUMMYFUNCTION("GOOGLETRANSLATE(English!H2054, ""en"", ""bg"")"),"образователна_помощ")</f>
        <v>образователна_помощ</v>
      </c>
    </row>
    <row r="2055" spans="1:8" ht="13.2" x14ac:dyDescent="0.25">
      <c r="A2055" s="1" t="str">
        <f ca="1">IFERROR(__xludf.DUMMYFUNCTION("GOOGLETRANSLATE(English!A2055, ""en"", ""bg"")"),"qa_08482")</f>
        <v>qa_08482</v>
      </c>
      <c r="B2055" s="1" t="str">
        <f ca="1">IFERROR(__xludf.DUMMYFUNCTION("GOOGLETRANSLATE(English!B2055, ""en"", ""bg"")"),"химия")</f>
        <v>химия</v>
      </c>
      <c r="C2055" s="1" t="str">
        <f ca="1">IFERROR(__xludf.DUMMYFUNCTION("GOOGLETRANSLATE(English!C2055, ""en"", ""bg"")"),"средата")</f>
        <v>средата</v>
      </c>
      <c r="D2055" s="1" t="str">
        <f ca="1">IFERROR(__xludf.DUMMYFUNCTION("GOOGLETRANSLATE(English!D2055, ""en"", ""bg"")"),"химични промени")</f>
        <v>химични промени</v>
      </c>
      <c r="E2055" s="1" t="str">
        <f ca="1">IFERROR(__xludf.DUMMYFUNCTION("GOOGLETRANSLATE(English!E2055, ""en"", ""bg"")"),"Защо е важно да се изучават химичните промени?")</f>
        <v>Защо е важно да се изучават химичните промени?</v>
      </c>
      <c r="F2055" s="1" t="str">
        <f ca="1">IFERROR(__xludf.DUMMYFUNCTION("GOOGLETRANSLATE(English!F2055,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2055" s="1" t="str">
        <f ca="1">IFERROR(__xludf.DUMMYFUNCTION("GOOGLETRANSLATE(English!G2055, ""en"", ""bg"")"),"direct_qa")</f>
        <v>direct_qa</v>
      </c>
      <c r="H2055" s="1" t="str">
        <f ca="1">IFERROR(__xludf.DUMMYFUNCTION("GOOGLETRANSLATE(English!H2055, ""en"", ""bg"")"),"заявка_за_знание")</f>
        <v>заявка_за_знание</v>
      </c>
    </row>
    <row r="2056" spans="1:8" ht="13.2" x14ac:dyDescent="0.25">
      <c r="A2056" s="1" t="str">
        <f ca="1">IFERROR(__xludf.DUMMYFUNCTION("GOOGLETRANSLATE(English!A2056, ""en"", ""bg"")"),"hw_02112")</f>
        <v>hw_02112</v>
      </c>
      <c r="B2056" s="1" t="str">
        <f ca="1">IFERROR(__xludf.DUMMYFUNCTION("GOOGLETRANSLATE(English!B2056, ""en"", ""bg"")"),"физика")</f>
        <v>физика</v>
      </c>
      <c r="C2056" s="1" t="str">
        <f ca="1">IFERROR(__xludf.DUMMYFUNCTION("GOOGLETRANSLATE(English!C2056, ""en"", ""bg"")"),"високо")</f>
        <v>високо</v>
      </c>
      <c r="D2056" s="1" t="str">
        <f ca="1">IFERROR(__xludf.DUMMYFUNCTION("GOOGLETRANSLATE(English!D2056, ""en"", ""bg"")"),"термодинамика")</f>
        <v>термодинамика</v>
      </c>
      <c r="E2056" s="1" t="str">
        <f ca="1">IFERROR(__xludf.DUMMYFUNCTION("GOOGLETRANSLATE(English!E2056, ""en"", ""bg"")"),"Заседнал съм с този термодинамичен проблем. Можете ли да помогнете?")</f>
        <v>Заседнал съм с този термодинамичен проблем. Можете ли да помогнете?</v>
      </c>
      <c r="F2056" s="1" t="str">
        <f ca="1">IFERROR(__xludf.DUMMYFUNCTION("GOOGLETRANSLATE(English!F2056,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056" s="1" t="str">
        <f ca="1">IFERROR(__xludf.DUMMYFUNCTION("GOOGLETRANSLATE(English!G2056, ""en"", ""bg"")"),"помощ_за_домашно_изпълнение")</f>
        <v>помощ_за_домашно_изпълнение</v>
      </c>
      <c r="H2056" s="1" t="str">
        <f ca="1">IFERROR(__xludf.DUMMYFUNCTION("GOOGLETRANSLATE(English!H2056, ""en"", ""bg"")"),"помощ_за_домашно_задаване")</f>
        <v>помощ_за_домашно_задаване</v>
      </c>
    </row>
    <row r="2057" spans="1:8" ht="13.2" x14ac:dyDescent="0.25">
      <c r="A2057" s="1" t="str">
        <f ca="1">IFERROR(__xludf.DUMMYFUNCTION("GOOGLETRANSLATE(English!A2057, ""en"", ""bg"")"),"hw_12483")</f>
        <v>hw_12483</v>
      </c>
      <c r="B2057" s="1" t="str">
        <f ca="1">IFERROR(__xludf.DUMMYFUNCTION("GOOGLETRANSLATE(English!B2057, ""en"", ""bg"")"),"физика")</f>
        <v>физика</v>
      </c>
      <c r="C2057" s="1" t="str">
        <f ca="1">IFERROR(__xludf.DUMMYFUNCTION("GOOGLETRANSLATE(English!C2057, ""en"", ""bg"")"),"елементарен")</f>
        <v>елементарен</v>
      </c>
      <c r="D2057" s="1" t="str">
        <f ca="1">IFERROR(__xludf.DUMMYFUNCTION("GOOGLETRANSLATE(English!D2057, ""en"", ""bg"")"),"звук")</f>
        <v>звук</v>
      </c>
      <c r="E2057" s="1" t="str">
        <f ca="1">IFERROR(__xludf.DUMMYFUNCTION("GOOGLETRANSLATE(English!E2057, ""en"", ""bg"")"),"Домашното ми по физика е за звук. Объркващо е!")</f>
        <v>Домашното ми по физика е за звук. Объркващо е!</v>
      </c>
      <c r="F2057" s="1" t="str">
        <f ca="1">IFERROR(__xludf.DUMMYFUNCTION("GOOGLETRANSLATE(English!F2057,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2057" s="1" t="str">
        <f ca="1">IFERROR(__xludf.DUMMYFUNCTION("GOOGLETRANSLATE(English!G2057, ""en"", ""bg"")"),"помощ_за_домашно_изпълнение")</f>
        <v>помощ_за_домашно_изпълнение</v>
      </c>
      <c r="H2057" s="1" t="str">
        <f ca="1">IFERROR(__xludf.DUMMYFUNCTION("GOOGLETRANSLATE(English!H2057, ""en"", ""bg"")"),"помощ_за_домашно_задаване")</f>
        <v>помощ_за_домашно_задаване</v>
      </c>
    </row>
    <row r="2058" spans="1:8" ht="13.2" x14ac:dyDescent="0.25">
      <c r="A2058" s="1" t="str">
        <f ca="1">IFERROR(__xludf.DUMMYFUNCTION("GOOGLETRANSLATE(English!A2058, ""en"", ""bg"")"),"hw_08880")</f>
        <v>hw_08880</v>
      </c>
      <c r="B2058" s="1" t="str">
        <f ca="1">IFERROR(__xludf.DUMMYFUNCTION("GOOGLETRANSLATE(English!B2058, ""en"", ""bg"")"),"физика")</f>
        <v>физика</v>
      </c>
      <c r="C2058" s="1" t="str">
        <f ca="1">IFERROR(__xludf.DUMMYFUNCTION("GOOGLETRANSLATE(English!C2058, ""en"", ""bg"")"),"високо")</f>
        <v>високо</v>
      </c>
      <c r="D2058" s="1" t="str">
        <f ca="1">IFERROR(__xludf.DUMMYFUNCTION("GOOGLETRANSLATE(English!D2058, ""en"", ""bg"")"),"механика")</f>
        <v>механика</v>
      </c>
      <c r="E2058" s="1" t="str">
        <f ca="1">IFERROR(__xludf.DUMMYFUNCTION("GOOGLETRANSLATE(English!E2058, ""en"", ""bg"")"),"Можеш ли да решиш този механичен въпрос с мен?")</f>
        <v>Можеш ли да решиш този механичен въпрос с мен?</v>
      </c>
      <c r="F2058" s="1" t="str">
        <f ca="1">IFERROR(__xludf.DUMMYFUNCTION("GOOGLETRANSLATE(English!F2058,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2058" s="1" t="str">
        <f ca="1">IFERROR(__xludf.DUMMYFUNCTION("GOOGLETRANSLATE(English!G2058, ""en"", ""bg"")"),"помощ_за_домашно_изпълнение")</f>
        <v>помощ_за_домашно_изпълнение</v>
      </c>
      <c r="H2058" s="1" t="str">
        <f ca="1">IFERROR(__xludf.DUMMYFUNCTION("GOOGLETRANSLATE(English!H2058, ""en"", ""bg"")"),"помощ_за_домашно_задаване")</f>
        <v>помощ_за_домашно_задаване</v>
      </c>
    </row>
    <row r="2059" spans="1:8" ht="13.2" x14ac:dyDescent="0.25">
      <c r="A2059" s="1" t="str">
        <f ca="1">IFERROR(__xludf.DUMMYFUNCTION("GOOGLETRANSLATE(English!A2059, ""en"", ""bg"")"),"conv_15683")</f>
        <v>conv_15683</v>
      </c>
      <c r="B2059" s="1" t="str">
        <f ca="1">IFERROR(__xludf.DUMMYFUNCTION("GOOGLETRANSLATE(English!B2059, ""en"", ""bg"")"),"химия")</f>
        <v>химия</v>
      </c>
      <c r="C2059" s="1" t="str">
        <f ca="1">IFERROR(__xludf.DUMMYFUNCTION("GOOGLETRANSLATE(English!C2059, ""en"", ""bg"")"),"високо")</f>
        <v>високо</v>
      </c>
      <c r="D2059" s="1" t="str">
        <f ca="1">IFERROR(__xludf.DUMMYFUNCTION("GOOGLETRANSLATE(English!D2059, ""en"", ""bg"")"),"скорости на реакция")</f>
        <v>скорости на реакция</v>
      </c>
      <c r="E2059" s="1" t="str">
        <f ca="1">IFERROR(__xludf.DUMMYFUNCTION("GOOGLETRANSLATE(English!E2059, ""en"", ""bg"")"),"Можете ли да ми обясните това? Можете ли да ми помогнете да разбера скоростта на реакциите?")</f>
        <v>Можете ли да ми обясните това? Можете ли да ми помогнете да разбера скоростта на реакциите?</v>
      </c>
      <c r="F2059" s="1" t="str">
        <f ca="1">IFERROR(__xludf.DUMMYFUNCTION("GOOGLETRANSLATE(English!F2059,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2059" s="1" t="str">
        <f ca="1">IFERROR(__xludf.DUMMYFUNCTION("GOOGLETRANSLATE(English!G2059, ""en"", ""bg"")"),"разговор")</f>
        <v>разговор</v>
      </c>
      <c r="H2059" s="1" t="str">
        <f ca="1">IFERROR(__xludf.DUMMYFUNCTION("GOOGLETRANSLATE(English!H2059, ""en"", ""bg"")"),"образователна_помощ")</f>
        <v>образователна_помощ</v>
      </c>
    </row>
    <row r="2060" spans="1:8" ht="13.2" x14ac:dyDescent="0.25">
      <c r="A2060" s="1" t="str">
        <f ca="1">IFERROR(__xludf.DUMMYFUNCTION("GOOGLETRANSLATE(English!A2060, ""en"", ""bg"")"),"hw_06504")</f>
        <v>hw_06504</v>
      </c>
      <c r="B2060" s="1" t="str">
        <f ca="1">IFERROR(__xludf.DUMMYFUNCTION("GOOGLETRANSLATE(English!B2060, ""en"", ""bg"")"),"биология")</f>
        <v>биология</v>
      </c>
      <c r="C2060" s="1" t="str">
        <f ca="1">IFERROR(__xludf.DUMMYFUNCTION("GOOGLETRANSLATE(English!C2060, ""en"", ""bg"")"),"елементарен")</f>
        <v>елементарен</v>
      </c>
      <c r="D2060" s="1" t="str">
        <f ca="1">IFERROR(__xludf.DUMMYFUNCTION("GOOGLETRANSLATE(English!D2060, ""en"", ""bg"")"),"хранителни вериги")</f>
        <v>хранителни вериги</v>
      </c>
      <c r="E2060" s="1" t="str">
        <f ca="1">IFERROR(__xludf.DUMMYFUNCTION("GOOGLETRANSLATE(English!E2060, ""en"", ""bg"")"),"Утре имам тест по хранителни вериги. Помогни ми да уча!")</f>
        <v>Утре имам тест по хранителни вериги. Помогни ми да уча!</v>
      </c>
      <c r="F2060" s="1" t="str">
        <f ca="1">IFERROR(__xludf.DUMMYFUNCTION("GOOGLETRANSLATE(English!F2060,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2060" s="1" t="str">
        <f ca="1">IFERROR(__xludf.DUMMYFUNCTION("GOOGLETRANSLATE(English!G2060, ""en"", ""bg"")"),"помощ_за_домашно_изпълнение")</f>
        <v>помощ_за_домашно_изпълнение</v>
      </c>
      <c r="H2060" s="1" t="str">
        <f ca="1">IFERROR(__xludf.DUMMYFUNCTION("GOOGLETRANSLATE(English!H2060, ""en"", ""bg"")"),"помощ_за_домашно_задаване")</f>
        <v>помощ_за_домашно_задаване</v>
      </c>
    </row>
    <row r="2061" spans="1:8" ht="13.2" x14ac:dyDescent="0.25">
      <c r="A2061" s="1" t="str">
        <f ca="1">IFERROR(__xludf.DUMMYFUNCTION("GOOGLETRANSLATE(English!A2061, ""en"", ""bg"")"),"qa_06011")</f>
        <v>qa_06011</v>
      </c>
      <c r="B2061" s="1" t="str">
        <f ca="1">IFERROR(__xludf.DUMMYFUNCTION("GOOGLETRANSLATE(English!B2061, ""en"", ""bg"")"),"физика")</f>
        <v>физика</v>
      </c>
      <c r="C2061" s="1" t="str">
        <f ca="1">IFERROR(__xludf.DUMMYFUNCTION("GOOGLETRANSLATE(English!C2061, ""en"", ""bg"")"),"високо")</f>
        <v>високо</v>
      </c>
      <c r="D2061" s="1" t="str">
        <f ca="1">IFERROR(__xludf.DUMMYFUNCTION("GOOGLETRANSLATE(English!D2061, ""en"", ""bg"")"),"радиоактивност")</f>
        <v>радиоактивност</v>
      </c>
      <c r="E2061" s="1" t="str">
        <f ca="1">IFERROR(__xludf.DUMMYFUNCTION("GOOGLETRANSLATE(English!E2061, ""en"", ""bg"")"),"Как работи радиоактивността във физиката?")</f>
        <v>Как работи радиоактивността във физиката?</v>
      </c>
      <c r="F2061" s="1" t="str">
        <f ca="1">IFERROR(__xludf.DUMMYFUNCTION("GOOGLETRANSLATE(English!F2061,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2061" s="1" t="str">
        <f ca="1">IFERROR(__xludf.DUMMYFUNCTION("GOOGLETRANSLATE(English!G2061, ""en"", ""bg"")"),"direct_qa")</f>
        <v>direct_qa</v>
      </c>
      <c r="H2061" s="1" t="str">
        <f ca="1">IFERROR(__xludf.DUMMYFUNCTION("GOOGLETRANSLATE(English!H2061, ""en"", ""bg"")"),"заявка_за_знание")</f>
        <v>заявка_за_знание</v>
      </c>
    </row>
    <row r="2062" spans="1:8" ht="13.2" x14ac:dyDescent="0.25">
      <c r="A2062" s="1" t="str">
        <f ca="1">IFERROR(__xludf.DUMMYFUNCTION("GOOGLETRANSLATE(English!A2062, ""en"", ""bg"")"),"qa_06331")</f>
        <v>qa_06331</v>
      </c>
      <c r="B2062" s="1" t="str">
        <f ca="1">IFERROR(__xludf.DUMMYFUNCTION("GOOGLETRANSLATE(English!B2062, ""en"", ""bg"")"),"биология")</f>
        <v>биология</v>
      </c>
      <c r="C2062" s="1" t="str">
        <f ca="1">IFERROR(__xludf.DUMMYFUNCTION("GOOGLETRANSLATE(English!C2062, ""en"", ""bg"")"),"елементарен")</f>
        <v>елементарен</v>
      </c>
      <c r="D2062" s="1" t="str">
        <f ca="1">IFERROR(__xludf.DUMMYFUNCTION("GOOGLETRANSLATE(English!D2062, ""en"", ""bg"")"),"домашни любимци срещу диви животни")</f>
        <v>домашни любимци срещу диви животни</v>
      </c>
      <c r="E2062" s="1" t="str">
        <f ca="1">IFERROR(__xludf.DUMMYFUNCTION("GOOGLETRANSLATE(English!E2062,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2062" s="1" t="str">
        <f ca="1">IFERROR(__xludf.DUMMYFUNCTION("GOOGLETRANSLATE(English!F2062,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2062" s="1" t="str">
        <f ca="1">IFERROR(__xludf.DUMMYFUNCTION("GOOGLETRANSLATE(English!G2062, ""en"", ""bg"")"),"direct_qa")</f>
        <v>direct_qa</v>
      </c>
      <c r="H2062" s="1" t="str">
        <f ca="1">IFERROR(__xludf.DUMMYFUNCTION("GOOGLETRANSLATE(English!H2062, ""en"", ""bg"")"),"заявка_за_знание")</f>
        <v>заявка_за_знание</v>
      </c>
    </row>
    <row r="2063" spans="1:8" ht="13.2" x14ac:dyDescent="0.25">
      <c r="A2063" s="1" t="str">
        <f ca="1">IFERROR(__xludf.DUMMYFUNCTION("GOOGLETRANSLATE(English!A2063, ""en"", ""bg"")"),"qa_02274")</f>
        <v>qa_02274</v>
      </c>
      <c r="B2063" s="1" t="str">
        <f ca="1">IFERROR(__xludf.DUMMYFUNCTION("GOOGLETRANSLATE(English!B2063, ""en"", ""bg"")"),"химия")</f>
        <v>химия</v>
      </c>
      <c r="C2063" s="1" t="str">
        <f ca="1">IFERROR(__xludf.DUMMYFUNCTION("GOOGLETRANSLATE(English!C2063, ""en"", ""bg"")"),"елементарен")</f>
        <v>елементарен</v>
      </c>
      <c r="D2063" s="1" t="str">
        <f ca="1">IFERROR(__xludf.DUMMYFUNCTION("GOOGLETRANSLATE(English!D2063, ""en"", ""bg"")"),"смесване на материали")</f>
        <v>смесване на материали</v>
      </c>
      <c r="E2063" s="1" t="str">
        <f ca="1">IFERROR(__xludf.DUMMYFUNCTION("GOOGLETRANSLATE(English!E2063, ""en"", ""bg"")"),"Как можете да отделите солта от водата?")</f>
        <v>Как можете да отделите солта от водата?</v>
      </c>
      <c r="F2063" s="1" t="str">
        <f ca="1">IFERROR(__xludf.DUMMYFUNCTION("GOOGLETRANSLATE(English!F2063,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2063" s="1" t="str">
        <f ca="1">IFERROR(__xludf.DUMMYFUNCTION("GOOGLETRANSLATE(English!G2063, ""en"", ""bg"")"),"direct_qa")</f>
        <v>direct_qa</v>
      </c>
      <c r="H2063" s="1" t="str">
        <f ca="1">IFERROR(__xludf.DUMMYFUNCTION("GOOGLETRANSLATE(English!H2063, ""en"", ""bg"")"),"заявка_за_знание")</f>
        <v>заявка_за_знание</v>
      </c>
    </row>
    <row r="2064" spans="1:8" ht="13.2" x14ac:dyDescent="0.25">
      <c r="A2064" s="1" t="str">
        <f ca="1">IFERROR(__xludf.DUMMYFUNCTION("GOOGLETRANSLATE(English!A2064, ""en"", ""bg"")"),"hw_14365")</f>
        <v>hw_14365</v>
      </c>
      <c r="B2064" s="1" t="str">
        <f ca="1">IFERROR(__xludf.DUMMYFUNCTION("GOOGLETRANSLATE(English!B2064, ""en"", ""bg"")"),"физика")</f>
        <v>физика</v>
      </c>
      <c r="C2064" s="1" t="str">
        <f ca="1">IFERROR(__xludf.DUMMYFUNCTION("GOOGLETRANSLATE(English!C2064, ""en"", ""bg"")"),"средата")</f>
        <v>средата</v>
      </c>
      <c r="D2064" s="1" t="str">
        <f ca="1">IFERROR(__xludf.DUMMYFUNCTION("GOOGLETRANSLATE(English!D2064, ""en"", ""bg"")"),"прости схеми")</f>
        <v>прости схеми</v>
      </c>
      <c r="E2064" s="1" t="str">
        <f ca="1">IFERROR(__xludf.DUMMYFUNCTION("GOOGLETRANSLATE(English!E2064,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2064" s="1" t="str">
        <f ca="1">IFERROR(__xludf.DUMMYFUNCTION("GOOGLETRANSLATE(English!F2064,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2064" s="1" t="str">
        <f ca="1">IFERROR(__xludf.DUMMYFUNCTION("GOOGLETRANSLATE(English!G2064, ""en"", ""bg"")"),"помощ_за_домашно_изпълнение")</f>
        <v>помощ_за_домашно_изпълнение</v>
      </c>
      <c r="H2064" s="1" t="str">
        <f ca="1">IFERROR(__xludf.DUMMYFUNCTION("GOOGLETRANSLATE(English!H2064, ""en"", ""bg"")"),"помощ_за_домашно_задаване")</f>
        <v>помощ_за_домашно_задаване</v>
      </c>
    </row>
    <row r="2065" spans="1:8" ht="13.2" x14ac:dyDescent="0.25">
      <c r="A2065" s="1" t="str">
        <f ca="1">IFERROR(__xludf.DUMMYFUNCTION("GOOGLETRANSLATE(English!A2065, ""en"", ""bg"")"),"hw_05396")</f>
        <v>hw_05396</v>
      </c>
      <c r="B2065" s="1" t="str">
        <f ca="1">IFERROR(__xludf.DUMMYFUNCTION("GOOGLETRANSLATE(English!B2065, ""en"", ""bg"")"),"физика")</f>
        <v>физика</v>
      </c>
      <c r="C2065" s="1" t="str">
        <f ca="1">IFERROR(__xludf.DUMMYFUNCTION("GOOGLETRANSLATE(English!C2065, ""en"", ""bg"")"),"високо")</f>
        <v>високо</v>
      </c>
      <c r="D2065" s="1" t="str">
        <f ca="1">IFERROR(__xludf.DUMMYFUNCTION("GOOGLETRANSLATE(English!D2065, ""en"", ""bg"")"),"атомна структура")</f>
        <v>атомна структура</v>
      </c>
      <c r="E2065" s="1" t="str">
        <f ca="1">IFERROR(__xludf.DUMMYFUNCTION("GOOGLETRANSLATE(English!E2065, ""en"", ""bg"")"),"Трябва да разбера атомната структура за изпита си.")</f>
        <v>Трябва да разбера атомната структура за изпита си.</v>
      </c>
      <c r="F2065" s="1" t="str">
        <f ca="1">IFERROR(__xludf.DUMMYFUNCTION("GOOGLETRANSLATE(English!F2065,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065" s="1" t="str">
        <f ca="1">IFERROR(__xludf.DUMMYFUNCTION("GOOGLETRANSLATE(English!G2065, ""en"", ""bg"")"),"помощ_за_домашно_изпълнение")</f>
        <v>помощ_за_домашно_изпълнение</v>
      </c>
      <c r="H2065" s="1" t="str">
        <f ca="1">IFERROR(__xludf.DUMMYFUNCTION("GOOGLETRANSLATE(English!H2065, ""en"", ""bg"")"),"помощ_за_домашно_задаване")</f>
        <v>помощ_за_домашно_задаване</v>
      </c>
    </row>
    <row r="2066" spans="1:8" ht="13.2" x14ac:dyDescent="0.25">
      <c r="A2066" s="1" t="str">
        <f ca="1">IFERROR(__xludf.DUMMYFUNCTION("GOOGLETRANSLATE(English!A2066, ""en"", ""bg"")"),"conv_03758")</f>
        <v>conv_03758</v>
      </c>
      <c r="B2066" s="1" t="str">
        <f ca="1">IFERROR(__xludf.DUMMYFUNCTION("GOOGLETRANSLATE(English!B2066, ""en"", ""bg"")"),"биология")</f>
        <v>биология</v>
      </c>
      <c r="C2066" s="1" t="str">
        <f ca="1">IFERROR(__xludf.DUMMYFUNCTION("GOOGLETRANSLATE(English!C2066, ""en"", ""bg"")"),"средата")</f>
        <v>средата</v>
      </c>
      <c r="D2066" s="1" t="str">
        <f ca="1">IFERROR(__xludf.DUMMYFUNCTION("GOOGLETRANSLATE(English!D2066, ""en"", ""bg"")"),"клетки")</f>
        <v>клетки</v>
      </c>
      <c r="E2066" s="1" t="str">
        <f ca="1">IFERROR(__xludf.DUMMYFUNCTION("GOOGLETRANSLATE(English!E2066, ""en"", ""bg"")"),"Здравей, преподавателю! Защо клетките са толкова малки?")</f>
        <v>Здравей, преподавателю! Защо клетките са толкова малки?</v>
      </c>
      <c r="F2066" s="1" t="str">
        <f ca="1">IFERROR(__xludf.DUMMYFUNCTION("GOOGLETRANSLATE(English!F2066,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2066" s="1" t="str">
        <f ca="1">IFERROR(__xludf.DUMMYFUNCTION("GOOGLETRANSLATE(English!G2066, ""en"", ""bg"")"),"разговор")</f>
        <v>разговор</v>
      </c>
      <c r="H2066" s="1" t="str">
        <f ca="1">IFERROR(__xludf.DUMMYFUNCTION("GOOGLETRANSLATE(English!H2066, ""en"", ""bg"")"),"образователна_помощ")</f>
        <v>образователна_помощ</v>
      </c>
    </row>
    <row r="2067" spans="1:8" ht="13.2" x14ac:dyDescent="0.25">
      <c r="A2067" s="1" t="str">
        <f ca="1">IFERROR(__xludf.DUMMYFUNCTION("GOOGLETRANSLATE(English!A2067, ""en"", ""bg"")"),"hw_06637")</f>
        <v>hw_06637</v>
      </c>
      <c r="B2067" s="1" t="str">
        <f ca="1">IFERROR(__xludf.DUMMYFUNCTION("GOOGLETRANSLATE(English!B2067, ""en"", ""bg"")"),"биология")</f>
        <v>биология</v>
      </c>
      <c r="C2067" s="1" t="str">
        <f ca="1">IFERROR(__xludf.DUMMYFUNCTION("GOOGLETRANSLATE(English!C2067, ""en"", ""bg"")"),"високо")</f>
        <v>високо</v>
      </c>
      <c r="D2067" s="1" t="str">
        <f ca="1">IFERROR(__xludf.DUMMYFUNCTION("GOOGLETRANSLATE(English!D2067, ""en"", ""bg"")"),"молекулярна биология")</f>
        <v>молекулярна биология</v>
      </c>
      <c r="E2067" s="1" t="str">
        <f ca="1">IFERROR(__xludf.DUMMYFUNCTION("GOOGLETRANSLATE(English!E2067, ""en"", ""bg"")"),"Утре имам тест по молекулярна биология. Помогни ми да уча!")</f>
        <v>Утре имам тест по молекулярна биология. Помогни ми да уча!</v>
      </c>
      <c r="F2067" s="1" t="str">
        <f ca="1">IFERROR(__xludf.DUMMYFUNCTION("GOOGLETRANSLATE(English!F2067,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2067" s="1" t="str">
        <f ca="1">IFERROR(__xludf.DUMMYFUNCTION("GOOGLETRANSLATE(English!G2067, ""en"", ""bg"")"),"помощ_за_домашно_изпълнение")</f>
        <v>помощ_за_домашно_изпълнение</v>
      </c>
      <c r="H2067" s="1" t="str">
        <f ca="1">IFERROR(__xludf.DUMMYFUNCTION("GOOGLETRANSLATE(English!H2067, ""en"", ""bg"")"),"помощ_за_домашно_задаване")</f>
        <v>помощ_за_домашно_задаване</v>
      </c>
    </row>
    <row r="2068" spans="1:8" ht="13.2" x14ac:dyDescent="0.25">
      <c r="A2068" s="1" t="str">
        <f ca="1">IFERROR(__xludf.DUMMYFUNCTION("GOOGLETRANSLATE(English!A2068, ""en"", ""bg"")"),"conv_04299")</f>
        <v>conv_04299</v>
      </c>
      <c r="B2068" s="1" t="str">
        <f ca="1">IFERROR(__xludf.DUMMYFUNCTION("GOOGLETRANSLATE(English!B2068, ""en"", ""bg"")"),"физика")</f>
        <v>физика</v>
      </c>
      <c r="C2068" s="1" t="str">
        <f ca="1">IFERROR(__xludf.DUMMYFUNCTION("GOOGLETRANSLATE(English!C2068, ""en"", ""bg"")"),"елементарен")</f>
        <v>елементарен</v>
      </c>
      <c r="D2068" s="1" t="str">
        <f ca="1">IFERROR(__xludf.DUMMYFUNCTION("GOOGLETRANSLATE(English!D2068, ""en"", ""bg"")"),"плаващ и потъващ")</f>
        <v>плаващ и потъващ</v>
      </c>
      <c r="E2068" s="1" t="str">
        <f ca="1">IFERROR(__xludf.DUMMYFUNCTION("GOOGLETRANSLATE(English!E2068, ""en"", ""bg"")"),"Имам научен въпрос. Можете ли да ми обясните какво е плаване и потъване?")</f>
        <v>Имам научен въпрос. Можете ли да ми обясните какво е плаване и потъване?</v>
      </c>
      <c r="F2068" s="1" t="str">
        <f ca="1">IFERROR(__xludf.DUMMYFUNCTION("GOOGLETRANSLATE(English!F2068,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2068" s="1" t="str">
        <f ca="1">IFERROR(__xludf.DUMMYFUNCTION("GOOGLETRANSLATE(English!G2068, ""en"", ""bg"")"),"разговор")</f>
        <v>разговор</v>
      </c>
      <c r="H2068" s="1" t="str">
        <f ca="1">IFERROR(__xludf.DUMMYFUNCTION("GOOGLETRANSLATE(English!H2068, ""en"", ""bg"")"),"образователна_помощ")</f>
        <v>образователна_помощ</v>
      </c>
    </row>
    <row r="2069" spans="1:8" ht="13.2" x14ac:dyDescent="0.25">
      <c r="A2069" s="1" t="str">
        <f ca="1">IFERROR(__xludf.DUMMYFUNCTION("GOOGLETRANSLATE(English!A2069, ""en"", ""bg"")"),"hw_13279")</f>
        <v>hw_13279</v>
      </c>
      <c r="B2069" s="1" t="str">
        <f ca="1">IFERROR(__xludf.DUMMYFUNCTION("GOOGLETRANSLATE(English!B2069, ""en"", ""bg"")"),"физика")</f>
        <v>физика</v>
      </c>
      <c r="C2069" s="1" t="str">
        <f ca="1">IFERROR(__xludf.DUMMYFUNCTION("GOOGLETRANSLATE(English!C2069, ""en"", ""bg"")"),"елементарен")</f>
        <v>елементарен</v>
      </c>
      <c r="D2069" s="1" t="str">
        <f ca="1">IFERROR(__xludf.DUMMYFUNCTION("GOOGLETRANSLATE(English!D2069, ""en"", ""bg"")"),"магнити")</f>
        <v>магнити</v>
      </c>
      <c r="E2069" s="1" t="str">
        <f ca="1">IFERROR(__xludf.DUMMYFUNCTION("GOOGLETRANSLATE(English!E2069, ""en"", ""bg"")"),"Можете ли да решите този въпрос с магнитите заедно с мен?")</f>
        <v>Можете ли да решите този въпрос с магнитите заедно с мен?</v>
      </c>
      <c r="F2069" s="1" t="str">
        <f ca="1">IFERROR(__xludf.DUMMYFUNCTION("GOOGLETRANSLATE(English!F2069,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2069" s="1" t="str">
        <f ca="1">IFERROR(__xludf.DUMMYFUNCTION("GOOGLETRANSLATE(English!G2069, ""en"", ""bg"")"),"помощ_за_домашно_изпълнение")</f>
        <v>помощ_за_домашно_изпълнение</v>
      </c>
      <c r="H2069" s="1" t="str">
        <f ca="1">IFERROR(__xludf.DUMMYFUNCTION("GOOGLETRANSLATE(English!H2069, ""en"", ""bg"")"),"помощ_за_домашно_задаване")</f>
        <v>помощ_за_домашно_задаване</v>
      </c>
    </row>
    <row r="2070" spans="1:8" ht="13.2" x14ac:dyDescent="0.25">
      <c r="A2070" s="1" t="str">
        <f ca="1">IFERROR(__xludf.DUMMYFUNCTION("GOOGLETRANSLATE(English!A2070, ""en"", ""bg"")"),"hw_01676")</f>
        <v>hw_01676</v>
      </c>
      <c r="B2070" s="1" t="str">
        <f ca="1">IFERROR(__xludf.DUMMYFUNCTION("GOOGLETRANSLATE(English!B2070, ""en"", ""bg"")"),"физика")</f>
        <v>физика</v>
      </c>
      <c r="C2070" s="1" t="str">
        <f ca="1">IFERROR(__xludf.DUMMYFUNCTION("GOOGLETRANSLATE(English!C2070, ""en"", ""bg"")"),"високо")</f>
        <v>високо</v>
      </c>
      <c r="D2070" s="1" t="str">
        <f ca="1">IFERROR(__xludf.DUMMYFUNCTION("GOOGLETRANSLATE(English!D2070, ""en"", ""bg"")"),"електромагнетизъм")</f>
        <v>електромагнетизъм</v>
      </c>
      <c r="E2070" s="1" t="str">
        <f ca="1">IFERROR(__xludf.DUMMYFUNCTION("GOOGLETRANSLATE(English!E2070, ""en"", ""bg"")"),"Домашното ми по физика е за електромагнетизъм. Объркващо е!")</f>
        <v>Домашното ми по физика е за електромагнетизъм. Объркващо е!</v>
      </c>
      <c r="F2070" s="1" t="str">
        <f ca="1">IFERROR(__xludf.DUMMYFUNCTION("GOOGLETRANSLATE(English!F2070,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2070" s="1" t="str">
        <f ca="1">IFERROR(__xludf.DUMMYFUNCTION("GOOGLETRANSLATE(English!G2070, ""en"", ""bg"")"),"помощ_за_домашно_изпълнение")</f>
        <v>помощ_за_домашно_изпълнение</v>
      </c>
      <c r="H2070" s="1" t="str">
        <f ca="1">IFERROR(__xludf.DUMMYFUNCTION("GOOGLETRANSLATE(English!H2070, ""en"", ""bg"")"),"помощ_за_домашно_задаване")</f>
        <v>помощ_за_домашно_задаване</v>
      </c>
    </row>
    <row r="2071" spans="1:8" ht="13.2" x14ac:dyDescent="0.25">
      <c r="A2071" s="1" t="str">
        <f ca="1">IFERROR(__xludf.DUMMYFUNCTION("GOOGLETRANSLATE(English!A2071, ""en"", ""bg"")"),"hw_03500")</f>
        <v>hw_03500</v>
      </c>
      <c r="B2071" s="1" t="str">
        <f ca="1">IFERROR(__xludf.DUMMYFUNCTION("GOOGLETRANSLATE(English!B2071, ""en"", ""bg"")"),"химия")</f>
        <v>химия</v>
      </c>
      <c r="C2071" s="1" t="str">
        <f ca="1">IFERROR(__xludf.DUMMYFUNCTION("GOOGLETRANSLATE(English!C2071, ""en"", ""bg"")"),"елементарен")</f>
        <v>елементарен</v>
      </c>
      <c r="D2071" s="1" t="str">
        <f ca="1">IFERROR(__xludf.DUMMYFUNCTION("GOOGLETRANSLATE(English!D2071, ""en"", ""bg"")"),"безопасност")</f>
        <v>безопасност</v>
      </c>
      <c r="E2071" s="1" t="str">
        <f ca="1">IFERROR(__xludf.DUMMYFUNCTION("GOOGLETRANSLATE(English!E2071, ""en"", ""bg"")"),"Можете ли да ми помогнете с изчисленията за безопасност?")</f>
        <v>Можете ли да ми помогнете с изчисленията за безопасност?</v>
      </c>
      <c r="F2071" s="1" t="str">
        <f ca="1">IFERROR(__xludf.DUMMYFUNCTION("GOOGLETRANSLATE(English!F2071,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071" s="1" t="str">
        <f ca="1">IFERROR(__xludf.DUMMYFUNCTION("GOOGLETRANSLATE(English!G2071, ""en"", ""bg"")"),"помощ_за_домашно_изпълнение")</f>
        <v>помощ_за_домашно_изпълнение</v>
      </c>
      <c r="H2071" s="1" t="str">
        <f ca="1">IFERROR(__xludf.DUMMYFUNCTION("GOOGLETRANSLATE(English!H2071, ""en"", ""bg"")"),"помощ_за_домашно_задаване")</f>
        <v>помощ_за_домашно_задаване</v>
      </c>
    </row>
    <row r="2072" spans="1:8" ht="13.2" x14ac:dyDescent="0.25">
      <c r="A2072" s="1" t="str">
        <f ca="1">IFERROR(__xludf.DUMMYFUNCTION("GOOGLETRANSLATE(English!A2072, ""en"", ""bg"")"),"hw_02267")</f>
        <v>hw_02267</v>
      </c>
      <c r="B2072" s="1" t="str">
        <f ca="1">IFERROR(__xludf.DUMMYFUNCTION("GOOGLETRANSLATE(English!B2072, ""en"", ""bg"")"),"физика")</f>
        <v>физика</v>
      </c>
      <c r="C2072" s="1" t="str">
        <f ca="1">IFERROR(__xludf.DUMMYFUNCTION("GOOGLETRANSLATE(English!C2072, ""en"", ""bg"")"),"средата")</f>
        <v>средата</v>
      </c>
      <c r="D2072" s="1" t="str">
        <f ca="1">IFERROR(__xludf.DUMMYFUNCTION("GOOGLETRANSLATE(English!D2072, ""en"", ""bg"")"),"видове енергия")</f>
        <v>видове енергия</v>
      </c>
      <c r="E2072" s="1" t="str">
        <f ca="1">IFERROR(__xludf.DUMMYFUNCTION("GOOGLETRANSLATE(English!E2072, ""en"", ""bg"")"),"Трябва да разбера видовете енергия за изпита си.")</f>
        <v>Трябва да разбера видовете енергия за изпита си.</v>
      </c>
      <c r="F2072" s="1" t="str">
        <f ca="1">IFERROR(__xludf.DUMMYFUNCTION("GOOGLETRANSLATE(English!F2072,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072" s="1" t="str">
        <f ca="1">IFERROR(__xludf.DUMMYFUNCTION("GOOGLETRANSLATE(English!G2072, ""en"", ""bg"")"),"помощ_за_домашно_изпълнение")</f>
        <v>помощ_за_домашно_изпълнение</v>
      </c>
      <c r="H2072" s="1" t="str">
        <f ca="1">IFERROR(__xludf.DUMMYFUNCTION("GOOGLETRANSLATE(English!H2072, ""en"", ""bg"")"),"помощ_за_домашно_задаване")</f>
        <v>помощ_за_домашно_задаване</v>
      </c>
    </row>
    <row r="2073" spans="1:8" ht="13.2" x14ac:dyDescent="0.25">
      <c r="A2073" s="1" t="str">
        <f ca="1">IFERROR(__xludf.DUMMYFUNCTION("GOOGLETRANSLATE(English!A2073, ""en"", ""bg"")"),"hw_11641")</f>
        <v>hw_11641</v>
      </c>
      <c r="B2073" s="1" t="str">
        <f ca="1">IFERROR(__xludf.DUMMYFUNCTION("GOOGLETRANSLATE(English!B2073, ""en"", ""bg"")"),"биология")</f>
        <v>биология</v>
      </c>
      <c r="C2073" s="1" t="str">
        <f ca="1">IFERROR(__xludf.DUMMYFUNCTION("GOOGLETRANSLATE(English!C2073, ""en"", ""bg"")"),"средата")</f>
        <v>средата</v>
      </c>
      <c r="D2073" s="1" t="str">
        <f ca="1">IFERROR(__xludf.DUMMYFUNCTION("GOOGLETRANSLATE(English!D2073, ""en"", ""bg"")"),"клетки")</f>
        <v>клетки</v>
      </c>
      <c r="E2073" s="1" t="str">
        <f ca="1">IFERROR(__xludf.DUMMYFUNCTION("GOOGLETRANSLATE(English!E2073, ""en"", ""bg"")"),"Можете ли да обясните какво представляват клетките за моя научен проект?")</f>
        <v>Можете ли да обясните какво представляват клетките за моя научен проект?</v>
      </c>
      <c r="F2073" s="1" t="str">
        <f ca="1">IFERROR(__xludf.DUMMYFUNCTION("GOOGLETRANSLATE(English!F2073,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2073" s="1" t="str">
        <f ca="1">IFERROR(__xludf.DUMMYFUNCTION("GOOGLETRANSLATE(English!G2073, ""en"", ""bg"")"),"помощ_за_домашно_изпълнение")</f>
        <v>помощ_за_домашно_изпълнение</v>
      </c>
      <c r="H2073" s="1" t="str">
        <f ca="1">IFERROR(__xludf.DUMMYFUNCTION("GOOGLETRANSLATE(English!H2073, ""en"", ""bg"")"),"помощ_за_домашно_задаване")</f>
        <v>помощ_за_домашно_задаване</v>
      </c>
    </row>
    <row r="2074" spans="1:8" ht="13.2" x14ac:dyDescent="0.25">
      <c r="A2074" s="1" t="str">
        <f ca="1">IFERROR(__xludf.DUMMYFUNCTION("GOOGLETRANSLATE(English!A2074, ""en"", ""bg"")"),"conv_11078")</f>
        <v>conv_11078</v>
      </c>
      <c r="B2074" s="1" t="str">
        <f ca="1">IFERROR(__xludf.DUMMYFUNCTION("GOOGLETRANSLATE(English!B2074, ""en"", ""bg"")"),"физика")</f>
        <v>физика</v>
      </c>
      <c r="C2074" s="1" t="str">
        <f ca="1">IFERROR(__xludf.DUMMYFUNCTION("GOOGLETRANSLATE(English!C2074, ""en"", ""bg"")"),"високо")</f>
        <v>високо</v>
      </c>
      <c r="D2074" s="1" t="str">
        <f ca="1">IFERROR(__xludf.DUMMYFUNCTION("GOOGLETRANSLATE(English!D2074, ""en"", ""bg"")"),"механика")</f>
        <v>механика</v>
      </c>
      <c r="E2074" s="1" t="str">
        <f ca="1">IFERROR(__xludf.DUMMYFUNCTION("GOOGLETRANSLATE(English!E2074, ""en"", ""bg"")"),"Можете ли да ми обясните това? Можете ли да ми обясните механиката?")</f>
        <v>Можете ли да ми обясните това? Можете ли да ми обясните механиката?</v>
      </c>
      <c r="F2074" s="1" t="str">
        <f ca="1">IFERROR(__xludf.DUMMYFUNCTION("GOOGLETRANSLATE(English!F2074,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2074" s="1" t="str">
        <f ca="1">IFERROR(__xludf.DUMMYFUNCTION("GOOGLETRANSLATE(English!G2074, ""en"", ""bg"")"),"разговор")</f>
        <v>разговор</v>
      </c>
      <c r="H2074" s="1" t="str">
        <f ca="1">IFERROR(__xludf.DUMMYFUNCTION("GOOGLETRANSLATE(English!H2074, ""en"", ""bg"")"),"образователна_помощ")</f>
        <v>образователна_помощ</v>
      </c>
    </row>
    <row r="2075" spans="1:8" ht="13.2" x14ac:dyDescent="0.25">
      <c r="A2075" s="1" t="str">
        <f ca="1">IFERROR(__xludf.DUMMYFUNCTION("GOOGLETRANSLATE(English!A2075, ""en"", ""bg"")"),"conv_05499")</f>
        <v>conv_05499</v>
      </c>
      <c r="B2075" s="1" t="str">
        <f ca="1">IFERROR(__xludf.DUMMYFUNCTION("GOOGLETRANSLATE(English!B2075, ""en"", ""bg"")"),"химия")</f>
        <v>химия</v>
      </c>
      <c r="C2075" s="1" t="str">
        <f ca="1">IFERROR(__xludf.DUMMYFUNCTION("GOOGLETRANSLATE(English!C2075, ""en"", ""bg"")"),"високо")</f>
        <v>високо</v>
      </c>
      <c r="D2075" s="1" t="str">
        <f ca="1">IFERROR(__xludf.DUMMYFUNCTION("GOOGLETRANSLATE(English!D2075, ""en"", ""bg"")"),"химическо свързване")</f>
        <v>химическо свързване</v>
      </c>
      <c r="E2075" s="1" t="str">
        <f ca="1">IFERROR(__xludf.DUMMYFUNCTION("GOOGLETRANSLATE(English!E2075, ""en"", ""bg"")"),"Имам нужда от помощ с домашното. Защо е важно да се учи химично свързване?")</f>
        <v>Имам нужда от помощ с домашното. Защо е важно да се учи химично свързване?</v>
      </c>
      <c r="F2075" s="1" t="str">
        <f ca="1">IFERROR(__xludf.DUMMYFUNCTION("GOOGLETRANSLATE(English!F2075,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2075" s="1" t="str">
        <f ca="1">IFERROR(__xludf.DUMMYFUNCTION("GOOGLETRANSLATE(English!G2075, ""en"", ""bg"")"),"разговор")</f>
        <v>разговор</v>
      </c>
      <c r="H2075" s="1" t="str">
        <f ca="1">IFERROR(__xludf.DUMMYFUNCTION("GOOGLETRANSLATE(English!H2075, ""en"", ""bg"")"),"образователна_помощ")</f>
        <v>образователна_помощ</v>
      </c>
    </row>
    <row r="2076" spans="1:8" ht="13.2" x14ac:dyDescent="0.25">
      <c r="A2076" s="1" t="str">
        <f ca="1">IFERROR(__xludf.DUMMYFUNCTION("GOOGLETRANSLATE(English!A2076, ""en"", ""bg"")"),"hw_05518")</f>
        <v>hw_05518</v>
      </c>
      <c r="B2076" s="1" t="str">
        <f ca="1">IFERROR(__xludf.DUMMYFUNCTION("GOOGLETRANSLATE(English!B2076, ""en"", ""bg"")"),"биология")</f>
        <v>биология</v>
      </c>
      <c r="C2076" s="1" t="str">
        <f ca="1">IFERROR(__xludf.DUMMYFUNCTION("GOOGLETRANSLATE(English!C2076, ""en"", ""bg"")"),"елементарен")</f>
        <v>елементарен</v>
      </c>
      <c r="D2076" s="1" t="str">
        <f ca="1">IFERROR(__xludf.DUMMYFUNCTION("GOOGLETRANSLATE(English!D2076, ""en"", ""bg"")"),"домашни любимци срещу диви животни")</f>
        <v>домашни любимци срещу диви животни</v>
      </c>
      <c r="E2076" s="1" t="str">
        <f ca="1">IFERROR(__xludf.DUMMYFUNCTION("GOOGLETRANSLATE(English!E2076, ""en"", ""bg"")"),"Утре имам тест за домашни любимци срещу диви животни. Помогни ми да уча!")</f>
        <v>Утре имам тест за домашни любимци срещу диви животни. Помогни ми да уча!</v>
      </c>
      <c r="F2076" s="1" t="str">
        <f ca="1">IFERROR(__xludf.DUMMYFUNCTION("GOOGLETRANSLATE(English!F2076,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2076" s="1" t="str">
        <f ca="1">IFERROR(__xludf.DUMMYFUNCTION("GOOGLETRANSLATE(English!G2076, ""en"", ""bg"")"),"помощ_за_домашно_изпълнение")</f>
        <v>помощ_за_домашно_изпълнение</v>
      </c>
      <c r="H2076" s="1" t="str">
        <f ca="1">IFERROR(__xludf.DUMMYFUNCTION("GOOGLETRANSLATE(English!H2076, ""en"", ""bg"")"),"помощ_за_домашно_задаване")</f>
        <v>помощ_за_домашно_задаване</v>
      </c>
    </row>
    <row r="2077" spans="1:8" ht="13.2" x14ac:dyDescent="0.25">
      <c r="A2077" s="1" t="str">
        <f ca="1">IFERROR(__xludf.DUMMYFUNCTION("GOOGLETRANSLATE(English!A2077, ""en"", ""bg"")"),"hw_03557")</f>
        <v>hw_03557</v>
      </c>
      <c r="B2077" s="1" t="str">
        <f ca="1">IFERROR(__xludf.DUMMYFUNCTION("GOOGLETRANSLATE(English!B2077, ""en"", ""bg"")"),"биология")</f>
        <v>биология</v>
      </c>
      <c r="C2077" s="1" t="str">
        <f ca="1">IFERROR(__xludf.DUMMYFUNCTION("GOOGLETRANSLATE(English!C2077, ""en"", ""bg"")"),"високо")</f>
        <v>високо</v>
      </c>
      <c r="D2077" s="1" t="str">
        <f ca="1">IFERROR(__xludf.DUMMYFUNCTION("GOOGLETRANSLATE(English!D2077, ""en"", ""bg"")"),"модели на наследяване")</f>
        <v>модели на наследяване</v>
      </c>
      <c r="E2077" s="1" t="str">
        <f ca="1">IFERROR(__xludf.DUMMYFUNCTION("GOOGLETRANSLATE(English!E2077, ""en"", ""bg"")"),"Можете ли да обясните моделите на наследяване за моя научен проект?")</f>
        <v>Можете ли да обясните моделите на наследяване за моя научен проект?</v>
      </c>
      <c r="F2077" s="1" t="str">
        <f ca="1">IFERROR(__xludf.DUMMYFUNCTION("GOOGLETRANSLATE(English!F2077,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2077" s="1" t="str">
        <f ca="1">IFERROR(__xludf.DUMMYFUNCTION("GOOGLETRANSLATE(English!G2077, ""en"", ""bg"")"),"помощ_за_домашно_изпълнение")</f>
        <v>помощ_за_домашно_изпълнение</v>
      </c>
      <c r="H2077" s="1" t="str">
        <f ca="1">IFERROR(__xludf.DUMMYFUNCTION("GOOGLETRANSLATE(English!H2077, ""en"", ""bg"")"),"помощ_за_домашно_задаване")</f>
        <v>помощ_за_домашно_задаване</v>
      </c>
    </row>
    <row r="2078" spans="1:8" ht="13.2" x14ac:dyDescent="0.25">
      <c r="A2078" s="1" t="str">
        <f ca="1">IFERROR(__xludf.DUMMYFUNCTION("GOOGLETRANSLATE(English!A2078, ""en"", ""bg"")"),"conv_03729")</f>
        <v>conv_03729</v>
      </c>
      <c r="B2078" s="1" t="str">
        <f ca="1">IFERROR(__xludf.DUMMYFUNCTION("GOOGLETRANSLATE(English!B2078, ""en"", ""bg"")"),"биология")</f>
        <v>биология</v>
      </c>
      <c r="C2078" s="1" t="str">
        <f ca="1">IFERROR(__xludf.DUMMYFUNCTION("GOOGLETRANSLATE(English!C2078, ""en"", ""bg"")"),"средата")</f>
        <v>средата</v>
      </c>
      <c r="D2078" s="1" t="str">
        <f ca="1">IFERROR(__xludf.DUMMYFUNCTION("GOOGLETRANSLATE(English!D2078, ""en"", ""bg"")"),"основи на генетиката")</f>
        <v>основи на генетиката</v>
      </c>
      <c r="E2078" s="1" t="str">
        <f ca="1">IFERROR(__xludf.DUMMYFUNCTION("GOOGLETRANSLATE(English!E2078, ""en"", ""bg"")"),"Не разбирам тази тема. Как работят основите на генетиката?")</f>
        <v>Не разбирам тази тема. Как работят основите на генетиката?</v>
      </c>
      <c r="F2078" s="1" t="str">
        <f ca="1">IFERROR(__xludf.DUMMYFUNCTION("GOOGLETRANSLATE(English!F2078,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2078" s="1" t="str">
        <f ca="1">IFERROR(__xludf.DUMMYFUNCTION("GOOGLETRANSLATE(English!G2078, ""en"", ""bg"")"),"разговор")</f>
        <v>разговор</v>
      </c>
      <c r="H2078" s="1" t="str">
        <f ca="1">IFERROR(__xludf.DUMMYFUNCTION("GOOGLETRANSLATE(English!H2078, ""en"", ""bg"")"),"образователна_помощ")</f>
        <v>образователна_помощ</v>
      </c>
    </row>
    <row r="2079" spans="1:8" ht="13.2" x14ac:dyDescent="0.25">
      <c r="A2079" s="1" t="str">
        <f ca="1">IFERROR(__xludf.DUMMYFUNCTION("GOOGLETRANSLATE(English!A2079, ""en"", ""bg"")"),"qa_01853")</f>
        <v>qa_01853</v>
      </c>
      <c r="B2079" s="1" t="str">
        <f ca="1">IFERROR(__xludf.DUMMYFUNCTION("GOOGLETRANSLATE(English!B2079, ""en"", ""bg"")"),"химия")</f>
        <v>химия</v>
      </c>
      <c r="C2079" s="1" t="str">
        <f ca="1">IFERROR(__xludf.DUMMYFUNCTION("GOOGLETRANSLATE(English!C2079, ""en"", ""bg"")"),"средата")</f>
        <v>средата</v>
      </c>
      <c r="D2079" s="1" t="str">
        <f ca="1">IFERROR(__xludf.DUMMYFUNCTION("GOOGLETRANSLATE(English!D2079, ""en"", ""bg"")"),"основи на периодичната таблица")</f>
        <v>основи на периодичната таблица</v>
      </c>
      <c r="E2079" s="1" t="str">
        <f ca="1">IFERROR(__xludf.DUMMYFUNCTION("GOOGLETRANSLATE(English!E2079, ""en"", ""bg"")"),"Как функционират основите на периодичната таблица в химията?")</f>
        <v>Как функционират основите на периодичната таблица в химията?</v>
      </c>
      <c r="F2079" s="1" t="str">
        <f ca="1">IFERROR(__xludf.DUMMYFUNCTION("GOOGLETRANSLATE(English!F2079,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2079" s="1" t="str">
        <f ca="1">IFERROR(__xludf.DUMMYFUNCTION("GOOGLETRANSLATE(English!G2079, ""en"", ""bg"")"),"direct_qa")</f>
        <v>direct_qa</v>
      </c>
      <c r="H2079" s="1" t="str">
        <f ca="1">IFERROR(__xludf.DUMMYFUNCTION("GOOGLETRANSLATE(English!H2079, ""en"", ""bg"")"),"заявка_за_знание")</f>
        <v>заявка_за_знание</v>
      </c>
    </row>
    <row r="2080" spans="1:8" ht="13.2" x14ac:dyDescent="0.25">
      <c r="A2080" s="1" t="str">
        <f ca="1">IFERROR(__xludf.DUMMYFUNCTION("GOOGLETRANSLATE(English!A2080, ""en"", ""bg"")"),"qa_03578")</f>
        <v>qa_03578</v>
      </c>
      <c r="B2080" s="1" t="str">
        <f ca="1">IFERROR(__xludf.DUMMYFUNCTION("GOOGLETRANSLATE(English!B2080, ""en"", ""bg"")"),"физика")</f>
        <v>физика</v>
      </c>
      <c r="C2080" s="1" t="str">
        <f ca="1">IFERROR(__xludf.DUMMYFUNCTION("GOOGLETRANSLATE(English!C2080, ""en"", ""bg"")"),"високо")</f>
        <v>високо</v>
      </c>
      <c r="D2080" s="1" t="str">
        <f ca="1">IFERROR(__xludf.DUMMYFUNCTION("GOOGLETRANSLATE(English!D2080, ""en"", ""bg"")"),"оптика")</f>
        <v>оптика</v>
      </c>
      <c r="E2080" s="1" t="str">
        <f ca="1">IFERROR(__xludf.DUMMYFUNCTION("GOOGLETRANSLATE(English!E2080, ""en"", ""bg"")"),"Какво трябва да знам за оптиката?")</f>
        <v>Какво трябва да знам за оптиката?</v>
      </c>
      <c r="F2080" s="1" t="str">
        <f ca="1">IFERROR(__xludf.DUMMYFUNCTION("GOOGLETRANSLATE(English!F2080,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2080" s="1" t="str">
        <f ca="1">IFERROR(__xludf.DUMMYFUNCTION("GOOGLETRANSLATE(English!G2080, ""en"", ""bg"")"),"direct_qa")</f>
        <v>direct_qa</v>
      </c>
      <c r="H2080" s="1" t="str">
        <f ca="1">IFERROR(__xludf.DUMMYFUNCTION("GOOGLETRANSLATE(English!H2080, ""en"", ""bg"")"),"заявка_за_знание")</f>
        <v>заявка_за_знание</v>
      </c>
    </row>
    <row r="2081" spans="1:8" ht="13.2" x14ac:dyDescent="0.25">
      <c r="A2081" s="1" t="str">
        <f ca="1">IFERROR(__xludf.DUMMYFUNCTION("GOOGLETRANSLATE(English!A2081, ""en"", ""bg"")"),"hw_03128")</f>
        <v>hw_03128</v>
      </c>
      <c r="B2081" s="1" t="str">
        <f ca="1">IFERROR(__xludf.DUMMYFUNCTION("GOOGLETRANSLATE(English!B2081, ""en"", ""bg"")"),"химия")</f>
        <v>химия</v>
      </c>
      <c r="C2081" s="1" t="str">
        <f ca="1">IFERROR(__xludf.DUMMYFUNCTION("GOOGLETRANSLATE(English!C2081, ""en"", ""bg"")"),"средата")</f>
        <v>средата</v>
      </c>
      <c r="D2081" s="1" t="str">
        <f ca="1">IFERROR(__xludf.DUMMYFUNCTION("GOOGLETRANSLATE(English!D2081, ""en"", ""bg"")"),"атоми и молекули")</f>
        <v>атоми и молекули</v>
      </c>
      <c r="E2081" s="1" t="str">
        <f ca="1">IFERROR(__xludf.DUMMYFUNCTION("GOOGLETRANSLATE(English!E2081, ""en"", ""bg"")"),"Затруднявам се с атомите и молекулите в домашното си.")</f>
        <v>Затруднявам се с атомите и молекулите в домашното си.</v>
      </c>
      <c r="F2081" s="1" t="str">
        <f ca="1">IFERROR(__xludf.DUMMYFUNCTION("GOOGLETRANSLATE(English!F2081,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081" s="1" t="str">
        <f ca="1">IFERROR(__xludf.DUMMYFUNCTION("GOOGLETRANSLATE(English!G2081, ""en"", ""bg"")"),"помощ_за_домашно_изпълнение")</f>
        <v>помощ_за_домашно_изпълнение</v>
      </c>
      <c r="H2081" s="1" t="str">
        <f ca="1">IFERROR(__xludf.DUMMYFUNCTION("GOOGLETRANSLATE(English!H2081, ""en"", ""bg"")"),"помощ_за_домашно_задаване")</f>
        <v>помощ_за_домашно_задаване</v>
      </c>
    </row>
    <row r="2082" spans="1:8" ht="13.2" x14ac:dyDescent="0.25">
      <c r="A2082" s="1" t="str">
        <f ca="1">IFERROR(__xludf.DUMMYFUNCTION("GOOGLETRANSLATE(English!A2082, ""en"", ""bg"")"),"qa_12439")</f>
        <v>qa_12439</v>
      </c>
      <c r="B2082" s="1" t="str">
        <f ca="1">IFERROR(__xludf.DUMMYFUNCTION("GOOGLETRANSLATE(English!B2082, ""en"", ""bg"")"),"физика")</f>
        <v>физика</v>
      </c>
      <c r="C2082" s="1" t="str">
        <f ca="1">IFERROR(__xludf.DUMMYFUNCTION("GOOGLETRANSLATE(English!C2082, ""en"", ""bg"")"),"средата")</f>
        <v>средата</v>
      </c>
      <c r="D2082" s="1" t="str">
        <f ca="1">IFERROR(__xludf.DUMMYFUNCTION("GOOGLETRANSLATE(English!D2082, ""en"", ""bg"")"),"видове енергия")</f>
        <v>видове енергия</v>
      </c>
      <c r="E2082" s="1" t="str">
        <f ca="1">IFERROR(__xludf.DUMMYFUNCTION("GOOGLETRANSLATE(English!E2082, ""en"", ""bg"")"),"Какво е потенциална енергия?")</f>
        <v>Какво е потенциална енергия?</v>
      </c>
      <c r="F2082" s="1" t="str">
        <f ca="1">IFERROR(__xludf.DUMMYFUNCTION("GOOGLETRANSLATE(English!F2082,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082" s="1" t="str">
        <f ca="1">IFERROR(__xludf.DUMMYFUNCTION("GOOGLETRANSLATE(English!G2082, ""en"", ""bg"")"),"direct_qa")</f>
        <v>direct_qa</v>
      </c>
      <c r="H2082" s="1" t="str">
        <f ca="1">IFERROR(__xludf.DUMMYFUNCTION("GOOGLETRANSLATE(English!H2082, ""en"", ""bg"")"),"заявка_за_знание")</f>
        <v>заявка_за_знание</v>
      </c>
    </row>
    <row r="2083" spans="1:8" ht="13.2" x14ac:dyDescent="0.25">
      <c r="A2083" s="1" t="str">
        <f ca="1">IFERROR(__xludf.DUMMYFUNCTION("GOOGLETRANSLATE(English!A2083, ""en"", ""bg"")"),"hw_05915")</f>
        <v>hw_05915</v>
      </c>
      <c r="B2083" s="1" t="str">
        <f ca="1">IFERROR(__xludf.DUMMYFUNCTION("GOOGLETRANSLATE(English!B2083, ""en"", ""bg"")"),"биология")</f>
        <v>биология</v>
      </c>
      <c r="C2083" s="1" t="str">
        <f ca="1">IFERROR(__xludf.DUMMYFUNCTION("GOOGLETRANSLATE(English!C2083, ""en"", ""bg"")"),"средата")</f>
        <v>средата</v>
      </c>
      <c r="D2083" s="1" t="str">
        <f ca="1">IFERROR(__xludf.DUMMYFUNCTION("GOOGLETRANSLATE(English!D2083, ""en"", ""bg"")"),"основи на еволюцията")</f>
        <v>основи на еволюцията</v>
      </c>
      <c r="E2083" s="1" t="str">
        <f ca="1">IFERROR(__xludf.DUMMYFUNCTION("GOOGLETRANSLATE(English!E2083, ""en"", ""bg"")"),"Домашното ми пита за основите на еволюцията. Не го разбирам.")</f>
        <v>Домашното ми пита за основите на еволюцията. Не го разбирам.</v>
      </c>
      <c r="F2083" s="1" t="str">
        <f ca="1">IFERROR(__xludf.DUMMYFUNCTION("GOOGLETRANSLATE(English!F2083,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083" s="1" t="str">
        <f ca="1">IFERROR(__xludf.DUMMYFUNCTION("GOOGLETRANSLATE(English!G2083, ""en"", ""bg"")"),"помощ_за_домашно_изпълнение")</f>
        <v>помощ_за_домашно_изпълнение</v>
      </c>
      <c r="H2083" s="1" t="str">
        <f ca="1">IFERROR(__xludf.DUMMYFUNCTION("GOOGLETRANSLATE(English!H2083, ""en"", ""bg"")"),"помощ_за_домашно_задаване")</f>
        <v>помощ_за_домашно_задаване</v>
      </c>
    </row>
    <row r="2084" spans="1:8" ht="13.2" x14ac:dyDescent="0.25">
      <c r="A2084" s="1" t="str">
        <f ca="1">IFERROR(__xludf.DUMMYFUNCTION("GOOGLETRANSLATE(English!A2084, ""en"", ""bg"")"),"conv_14296")</f>
        <v>conv_14296</v>
      </c>
      <c r="B2084" s="1" t="str">
        <f ca="1">IFERROR(__xludf.DUMMYFUNCTION("GOOGLETRANSLATE(English!B2084, ""en"", ""bg"")"),"физика")</f>
        <v>физика</v>
      </c>
      <c r="C2084" s="1" t="str">
        <f ca="1">IFERROR(__xludf.DUMMYFUNCTION("GOOGLETRANSLATE(English!C2084, ""en"", ""bg"")"),"средата")</f>
        <v>средата</v>
      </c>
      <c r="D2084" s="1" t="str">
        <f ca="1">IFERROR(__xludf.DUMMYFUNCTION("GOOGLETRANSLATE(English!D2084, ""en"", ""bg"")"),"състояния на материята")</f>
        <v>състояния на материята</v>
      </c>
      <c r="E2084" s="1" t="str">
        <f ca="1">IFERROR(__xludf.DUMMYFUNCTION("GOOGLETRANSLATE(English!E2084, ""en"", ""bg"")"),"Помогнете ми да уча за теста си. Как функционират състоянията на материята във физиката?")</f>
        <v>Помогнете ми да уча за теста си. Как функционират състоянията на материята във физиката?</v>
      </c>
      <c r="F2084" s="1" t="str">
        <f ca="1">IFERROR(__xludf.DUMMYFUNCTION("GOOGLETRANSLATE(English!F2084,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2084" s="1" t="str">
        <f ca="1">IFERROR(__xludf.DUMMYFUNCTION("GOOGLETRANSLATE(English!G2084, ""en"", ""bg"")"),"разговор")</f>
        <v>разговор</v>
      </c>
      <c r="H2084" s="1" t="str">
        <f ca="1">IFERROR(__xludf.DUMMYFUNCTION("GOOGLETRANSLATE(English!H2084, ""en"", ""bg"")"),"образователна_помощ")</f>
        <v>образователна_помощ</v>
      </c>
    </row>
    <row r="2085" spans="1:8" ht="13.2" x14ac:dyDescent="0.25">
      <c r="A2085" s="1" t="str">
        <f ca="1">IFERROR(__xludf.DUMMYFUNCTION("GOOGLETRANSLATE(English!A2085, ""en"", ""bg"")"),"conv_00674")</f>
        <v>conv_00674</v>
      </c>
      <c r="B2085" s="1" t="str">
        <f ca="1">IFERROR(__xludf.DUMMYFUNCTION("GOOGLETRANSLATE(English!B2085, ""en"", ""bg"")"),"физика")</f>
        <v>физика</v>
      </c>
      <c r="C2085" s="1" t="str">
        <f ca="1">IFERROR(__xludf.DUMMYFUNCTION("GOOGLETRANSLATE(English!C2085, ""en"", ""bg"")"),"средата")</f>
        <v>средата</v>
      </c>
      <c r="D2085" s="1" t="str">
        <f ca="1">IFERROR(__xludf.DUMMYFUNCTION("GOOGLETRANSLATE(English!D2085, ""en"", ""bg"")"),"вълни")</f>
        <v>вълни</v>
      </c>
      <c r="E2085" s="1" t="str">
        <f ca="1">IFERROR(__xludf.DUMMYFUNCTION("GOOGLETRANSLATE(English!E2085, ""en"", ""bg"")"),"Можете ли да ми обясните това? Защо вълните са важни?")</f>
        <v>Можете ли да ми обясните това? Защо вълните са важни?</v>
      </c>
      <c r="F2085" s="1" t="str">
        <f ca="1">IFERROR(__xludf.DUMMYFUNCTION("GOOGLETRANSLATE(English!F2085,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2085" s="1" t="str">
        <f ca="1">IFERROR(__xludf.DUMMYFUNCTION("GOOGLETRANSLATE(English!G2085, ""en"", ""bg"")"),"разговор")</f>
        <v>разговор</v>
      </c>
      <c r="H2085" s="1" t="str">
        <f ca="1">IFERROR(__xludf.DUMMYFUNCTION("GOOGLETRANSLATE(English!H2085, ""en"", ""bg"")"),"образователна_помощ")</f>
        <v>образователна_помощ</v>
      </c>
    </row>
    <row r="2086" spans="1:8" ht="13.2" x14ac:dyDescent="0.25">
      <c r="A2086" s="1" t="str">
        <f ca="1">IFERROR(__xludf.DUMMYFUNCTION("GOOGLETRANSLATE(English!A2086, ""en"", ""bg"")"),"hw_04999")</f>
        <v>hw_04999</v>
      </c>
      <c r="B2086" s="1" t="str">
        <f ca="1">IFERROR(__xludf.DUMMYFUNCTION("GOOGLETRANSLATE(English!B2086, ""en"", ""bg"")"),"биология")</f>
        <v>биология</v>
      </c>
      <c r="C2086" s="1" t="str">
        <f ca="1">IFERROR(__xludf.DUMMYFUNCTION("GOOGLETRANSLATE(English!C2086, ""en"", ""bg"")"),"високо")</f>
        <v>високо</v>
      </c>
      <c r="D2086" s="1" t="str">
        <f ca="1">IFERROR(__xludf.DUMMYFUNCTION("GOOGLETRANSLATE(English!D2086, ""en"", ""bg"")"),"синтез на протеини")</f>
        <v>синтез на протеини</v>
      </c>
      <c r="E2086" s="1" t="str">
        <f ca="1">IFERROR(__xludf.DUMMYFUNCTION("GOOGLETRANSLATE(English!E2086,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2086" s="1" t="str">
        <f ca="1">IFERROR(__xludf.DUMMYFUNCTION("GOOGLETRANSLATE(English!F2086,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2086" s="1" t="str">
        <f ca="1">IFERROR(__xludf.DUMMYFUNCTION("GOOGLETRANSLATE(English!G2086, ""en"", ""bg"")"),"помощ_за_домашно_изпълнение")</f>
        <v>помощ_за_домашно_изпълнение</v>
      </c>
      <c r="H2086" s="1" t="str">
        <f ca="1">IFERROR(__xludf.DUMMYFUNCTION("GOOGLETRANSLATE(English!H2086, ""en"", ""bg"")"),"помощ_за_домашно_задаване")</f>
        <v>помощ_за_домашно_задаване</v>
      </c>
    </row>
    <row r="2087" spans="1:8" ht="13.2" x14ac:dyDescent="0.25">
      <c r="A2087" s="1" t="str">
        <f ca="1">IFERROR(__xludf.DUMMYFUNCTION("GOOGLETRANSLATE(English!A2087, ""en"", ""bg"")"),"qa_09855")</f>
        <v>qa_09855</v>
      </c>
      <c r="B2087" s="1" t="str">
        <f ca="1">IFERROR(__xludf.DUMMYFUNCTION("GOOGLETRANSLATE(English!B2087, ""en"", ""bg"")"),"физика")</f>
        <v>физика</v>
      </c>
      <c r="C2087" s="1" t="str">
        <f ca="1">IFERROR(__xludf.DUMMYFUNCTION("GOOGLETRANSLATE(English!C2087, ""en"", ""bg"")"),"елементарен")</f>
        <v>елементарен</v>
      </c>
      <c r="D2087" s="1" t="str">
        <f ca="1">IFERROR(__xludf.DUMMYFUNCTION("GOOGLETRANSLATE(English!D2087, ""en"", ""bg"")"),"бутане и дърпане")</f>
        <v>бутане и дърпане</v>
      </c>
      <c r="E2087" s="1" t="str">
        <f ca="1">IFERROR(__xludf.DUMMYFUNCTION("GOOGLETRANSLATE(English!E2087, ""en"", ""bg"")"),"Как работят бутането и дърпането във физиката?")</f>
        <v>Как работят бутането и дърпането във физиката?</v>
      </c>
      <c r="F2087" s="1" t="str">
        <f ca="1">IFERROR(__xludf.DUMMYFUNCTION("GOOGLETRANSLATE(English!F2087,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2087" s="1" t="str">
        <f ca="1">IFERROR(__xludf.DUMMYFUNCTION("GOOGLETRANSLATE(English!G2087, ""en"", ""bg"")"),"direct_qa")</f>
        <v>direct_qa</v>
      </c>
      <c r="H2087" s="1" t="str">
        <f ca="1">IFERROR(__xludf.DUMMYFUNCTION("GOOGLETRANSLATE(English!H2087, ""en"", ""bg"")"),"заявка_за_знание")</f>
        <v>заявка_за_знание</v>
      </c>
    </row>
    <row r="2088" spans="1:8" ht="13.2" x14ac:dyDescent="0.25">
      <c r="A2088" s="1" t="str">
        <f ca="1">IFERROR(__xludf.DUMMYFUNCTION("GOOGLETRANSLATE(English!A2088, ""en"", ""bg"")"),"qa_05684")</f>
        <v>qa_05684</v>
      </c>
      <c r="B2088" s="1" t="str">
        <f ca="1">IFERROR(__xludf.DUMMYFUNCTION("GOOGLETRANSLATE(English!B2088, ""en"", ""bg"")"),"физика")</f>
        <v>физика</v>
      </c>
      <c r="C2088" s="1" t="str">
        <f ca="1">IFERROR(__xludf.DUMMYFUNCTION("GOOGLETRANSLATE(English!C2088, ""en"", ""bg"")"),"високо")</f>
        <v>високо</v>
      </c>
      <c r="D2088" s="1" t="str">
        <f ca="1">IFERROR(__xludf.DUMMYFUNCTION("GOOGLETRANSLATE(English!D2088, ""en"", ""bg"")"),"механика")</f>
        <v>механика</v>
      </c>
      <c r="E2088" s="1" t="str">
        <f ca="1">IFERROR(__xludf.DUMMYFUNCTION("GOOGLETRANSLATE(English!E2088, ""en"", ""bg"")"),"Защо механиката е важна?")</f>
        <v>Защо механиката е важна?</v>
      </c>
      <c r="F2088" s="1" t="str">
        <f ca="1">IFERROR(__xludf.DUMMYFUNCTION("GOOGLETRANSLATE(English!F2088,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2088" s="1" t="str">
        <f ca="1">IFERROR(__xludf.DUMMYFUNCTION("GOOGLETRANSLATE(English!G2088, ""en"", ""bg"")"),"direct_qa")</f>
        <v>direct_qa</v>
      </c>
      <c r="H2088" s="1" t="str">
        <f ca="1">IFERROR(__xludf.DUMMYFUNCTION("GOOGLETRANSLATE(English!H2088, ""en"", ""bg"")"),"заявка_за_знание")</f>
        <v>заявка_за_знание</v>
      </c>
    </row>
    <row r="2089" spans="1:8" ht="13.2" x14ac:dyDescent="0.25">
      <c r="A2089" s="1" t="str">
        <f ca="1">IFERROR(__xludf.DUMMYFUNCTION("GOOGLETRANSLATE(English!A2089, ""en"", ""bg"")"),"conv_11661")</f>
        <v>conv_11661</v>
      </c>
      <c r="B2089" s="1" t="str">
        <f ca="1">IFERROR(__xludf.DUMMYFUNCTION("GOOGLETRANSLATE(English!B2089, ""en"", ""bg"")"),"физика")</f>
        <v>физика</v>
      </c>
      <c r="C2089" s="1" t="str">
        <f ca="1">IFERROR(__xludf.DUMMYFUNCTION("GOOGLETRANSLATE(English!C2089, ""en"", ""bg"")"),"елементарен")</f>
        <v>елементарен</v>
      </c>
      <c r="D2089" s="1" t="str">
        <f ca="1">IFERROR(__xludf.DUMMYFUNCTION("GOOGLETRANSLATE(English!D2089, ""en"", ""bg"")"),"светлина и сянка")</f>
        <v>светлина и сянка</v>
      </c>
      <c r="E2089" s="1" t="str">
        <f ca="1">IFERROR(__xludf.DUMMYFUNCTION("GOOGLETRANSLATE(English!E2089, ""en"", ""bg"")"),"Имам научен въпрос. Какво се случва, когато светлината попадне в огледало?")</f>
        <v>Имам научен въпрос. Какво се случва, когато светлината попадне в огледало?</v>
      </c>
      <c r="F2089" s="1" t="str">
        <f ca="1">IFERROR(__xludf.DUMMYFUNCTION("GOOGLETRANSLATE(English!F2089,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2089" s="1" t="str">
        <f ca="1">IFERROR(__xludf.DUMMYFUNCTION("GOOGLETRANSLATE(English!G2089, ""en"", ""bg"")"),"разговор")</f>
        <v>разговор</v>
      </c>
      <c r="H2089" s="1" t="str">
        <f ca="1">IFERROR(__xludf.DUMMYFUNCTION("GOOGLETRANSLATE(English!H2089, ""en"", ""bg"")"),"образователна_помощ")</f>
        <v>образователна_помощ</v>
      </c>
    </row>
    <row r="2090" spans="1:8" ht="13.2" x14ac:dyDescent="0.25">
      <c r="A2090" s="1" t="str">
        <f ca="1">IFERROR(__xludf.DUMMYFUNCTION("GOOGLETRANSLATE(English!A2090, ""en"", ""bg"")"),"qa_06803")</f>
        <v>qa_06803</v>
      </c>
      <c r="B2090" s="1" t="str">
        <f ca="1">IFERROR(__xludf.DUMMYFUNCTION("GOOGLETRANSLATE(English!B2090, ""en"", ""bg"")"),"химия")</f>
        <v>химия</v>
      </c>
      <c r="C2090" s="1" t="str">
        <f ca="1">IFERROR(__xludf.DUMMYFUNCTION("GOOGLETRANSLATE(English!C2090, ""en"", ""bg"")"),"средата")</f>
        <v>средата</v>
      </c>
      <c r="D2090" s="1" t="str">
        <f ca="1">IFERROR(__xludf.DUMMYFUNCTION("GOOGLETRANSLATE(English!D2090, ""en"", ""bg"")"),"основи на периодичната таблица")</f>
        <v>основи на периодичната таблица</v>
      </c>
      <c r="E2090" s="1" t="str">
        <f ca="1">IFERROR(__xludf.DUMMYFUNCTION("GOOGLETRANSLATE(English!E2090,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2090" s="1" t="str">
        <f ca="1">IFERROR(__xludf.DUMMYFUNCTION("GOOGLETRANSLATE(English!F2090,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2090" s="1" t="str">
        <f ca="1">IFERROR(__xludf.DUMMYFUNCTION("GOOGLETRANSLATE(English!G2090, ""en"", ""bg"")"),"direct_qa")</f>
        <v>direct_qa</v>
      </c>
      <c r="H2090" s="1" t="str">
        <f ca="1">IFERROR(__xludf.DUMMYFUNCTION("GOOGLETRANSLATE(English!H2090, ""en"", ""bg"")"),"заявка_за_знание")</f>
        <v>заявка_за_знание</v>
      </c>
    </row>
    <row r="2091" spans="1:8" ht="13.2" x14ac:dyDescent="0.25">
      <c r="A2091" s="1" t="str">
        <f ca="1">IFERROR(__xludf.DUMMYFUNCTION("GOOGLETRANSLATE(English!A2091, ""en"", ""bg"")"),"conv_17257")</f>
        <v>conv_17257</v>
      </c>
      <c r="B2091" s="1" t="str">
        <f ca="1">IFERROR(__xludf.DUMMYFUNCTION("GOOGLETRANSLATE(English!B2091, ""en"", ""bg"")"),"физика")</f>
        <v>физика</v>
      </c>
      <c r="C2091" s="1" t="str">
        <f ca="1">IFERROR(__xludf.DUMMYFUNCTION("GOOGLETRANSLATE(English!C2091, ""en"", ""bg"")"),"високо")</f>
        <v>високо</v>
      </c>
      <c r="D2091" s="1" t="str">
        <f ca="1">IFERROR(__xludf.DUMMYFUNCTION("GOOGLETRANSLATE(English!D2091, ""en"", ""bg"")"),"радиоактивност")</f>
        <v>радиоактивност</v>
      </c>
      <c r="E2091" s="1" t="str">
        <f ca="1">IFERROR(__xludf.DUMMYFUNCTION("GOOGLETRANSLATE(English!E2091, ""en"", ""bg"")"),"Не разбирам тази тема. Защо радиоактивността е важна?")</f>
        <v>Не разбирам тази тема. Защо радиоактивността е важна?</v>
      </c>
      <c r="F2091" s="1" t="str">
        <f ca="1">IFERROR(__xludf.DUMMYFUNCTION("GOOGLETRANSLATE(English!F2091,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2091" s="1" t="str">
        <f ca="1">IFERROR(__xludf.DUMMYFUNCTION("GOOGLETRANSLATE(English!G2091, ""en"", ""bg"")"),"разговор")</f>
        <v>разговор</v>
      </c>
      <c r="H2091" s="1" t="str">
        <f ca="1">IFERROR(__xludf.DUMMYFUNCTION("GOOGLETRANSLATE(English!H2091, ""en"", ""bg"")"),"образователна_помощ")</f>
        <v>образователна_помощ</v>
      </c>
    </row>
    <row r="2092" spans="1:8" ht="13.2" x14ac:dyDescent="0.25">
      <c r="A2092" s="1" t="str">
        <f ca="1">IFERROR(__xludf.DUMMYFUNCTION("GOOGLETRANSLATE(English!A2092, ""en"", ""bg"")"),"conv_02822")</f>
        <v>conv_02822</v>
      </c>
      <c r="B2092" s="1" t="str">
        <f ca="1">IFERROR(__xludf.DUMMYFUNCTION("GOOGLETRANSLATE(English!B2092, ""en"", ""bg"")"),"биология")</f>
        <v>биология</v>
      </c>
      <c r="C2092" s="1" t="str">
        <f ca="1">IFERROR(__xludf.DUMMYFUNCTION("GOOGLETRANSLATE(English!C2092, ""en"", ""bg"")"),"високо")</f>
        <v>високо</v>
      </c>
      <c r="D2092" s="1" t="str">
        <f ca="1">IFERROR(__xludf.DUMMYFUNCTION("GOOGLETRANSLATE(English!D2092, ""en"", ""bg"")"),"клетъчно дишане")</f>
        <v>клетъчно дишане</v>
      </c>
      <c r="E2092" s="1" t="str">
        <f ca="1">IFERROR(__xludf.DUMMYFUNCTION("GOOGLETRANSLATE(English!E2092, ""en"", ""bg"")"),"Можете ли да ми помогнете? Как работи клетъчното дишане?")</f>
        <v>Можете ли да ми помогнете? Как работи клетъчното дишане?</v>
      </c>
      <c r="F2092" s="1" t="str">
        <f ca="1">IFERROR(__xludf.DUMMYFUNCTION("GOOGLETRANSLATE(English!F2092,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2092" s="1" t="str">
        <f ca="1">IFERROR(__xludf.DUMMYFUNCTION("GOOGLETRANSLATE(English!G2092, ""en"", ""bg"")"),"разговор")</f>
        <v>разговор</v>
      </c>
      <c r="H2092" s="1" t="str">
        <f ca="1">IFERROR(__xludf.DUMMYFUNCTION("GOOGLETRANSLATE(English!H2092, ""en"", ""bg"")"),"образователна_помощ")</f>
        <v>образователна_помощ</v>
      </c>
    </row>
    <row r="2093" spans="1:8" ht="13.2" x14ac:dyDescent="0.25">
      <c r="A2093" s="1" t="str">
        <f ca="1">IFERROR(__xludf.DUMMYFUNCTION("GOOGLETRANSLATE(English!A2093, ""en"", ""bg"")"),"conv_19922")</f>
        <v>conv_19922</v>
      </c>
      <c r="B2093" s="1" t="str">
        <f ca="1">IFERROR(__xludf.DUMMYFUNCTION("GOOGLETRANSLATE(English!B2093, ""en"", ""bg"")"),"биология")</f>
        <v>биология</v>
      </c>
      <c r="C2093" s="1" t="str">
        <f ca="1">IFERROR(__xludf.DUMMYFUNCTION("GOOGLETRANSLATE(English!C2093, ""en"", ""bg"")"),"елементарен")</f>
        <v>елементарен</v>
      </c>
      <c r="D2093" s="1" t="str">
        <f ca="1">IFERROR(__xludf.DUMMYFUNCTION("GOOGLETRANSLATE(English!D2093, ""en"", ""bg"")"),"растения")</f>
        <v>растения</v>
      </c>
      <c r="E2093" s="1" t="str">
        <f ca="1">IFERROR(__xludf.DUMMYFUNCTION("GOOGLETRANSLATE(English!E2093, ""en"", ""bg"")"),"Имам нужда от помощ с домашното. Кои са частите на цветето?")</f>
        <v>Имам нужда от помощ с домашното. Кои са частите на цветето?</v>
      </c>
      <c r="F2093" s="1" t="str">
        <f ca="1">IFERROR(__xludf.DUMMYFUNCTION("GOOGLETRANSLATE(English!F2093, ""en"", ""bg"")"),"Цветето има венчелистчета, тичинки (мъжки части), плодник (женска част) и чашелистчета, които защитават цветната пъпка.")</f>
        <v>Цветето има венчелистчета, тичинки (мъжки части), плодник (женска част) и чашелистчета, които защитават цветната пъпка.</v>
      </c>
      <c r="G2093" s="1" t="str">
        <f ca="1">IFERROR(__xludf.DUMMYFUNCTION("GOOGLETRANSLATE(English!G2093, ""en"", ""bg"")"),"разговор")</f>
        <v>разговор</v>
      </c>
      <c r="H2093" s="1" t="str">
        <f ca="1">IFERROR(__xludf.DUMMYFUNCTION("GOOGLETRANSLATE(English!H2093, ""en"", ""bg"")"),"образователна_помощ")</f>
        <v>образователна_помощ</v>
      </c>
    </row>
    <row r="2094" spans="1:8" ht="13.2" x14ac:dyDescent="0.25">
      <c r="A2094" s="1" t="str">
        <f ca="1">IFERROR(__xludf.DUMMYFUNCTION("GOOGLETRANSLATE(English!A2094, ""en"", ""bg"")"),"qa_07894")</f>
        <v>qa_07894</v>
      </c>
      <c r="B2094" s="1" t="str">
        <f ca="1">IFERROR(__xludf.DUMMYFUNCTION("GOOGLETRANSLATE(English!B2094, ""en"", ""bg"")"),"биология")</f>
        <v>биология</v>
      </c>
      <c r="C2094" s="1" t="str">
        <f ca="1">IFERROR(__xludf.DUMMYFUNCTION("GOOGLETRANSLATE(English!C2094, ""en"", ""bg"")"),"високо")</f>
        <v>високо</v>
      </c>
      <c r="D2094" s="1" t="str">
        <f ca="1">IFERROR(__xludf.DUMMYFUNCTION("GOOGLETRANSLATE(English!D2094, ""en"", ""bg"")"),"Структура на ДНК")</f>
        <v>Структура на ДНК</v>
      </c>
      <c r="E2094" s="1" t="str">
        <f ca="1">IFERROR(__xludf.DUMMYFUNCTION("GOOGLETRANSLATE(English!E2094, ""en"", ""bg"")"),"Как работи структурата на ДНК?")</f>
        <v>Как работи структурата на ДНК?</v>
      </c>
      <c r="F2094" s="1" t="str">
        <f ca="1">IFERROR(__xludf.DUMMYFUNCTION("GOOGLETRANSLATE(English!F2094,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2094" s="1" t="str">
        <f ca="1">IFERROR(__xludf.DUMMYFUNCTION("GOOGLETRANSLATE(English!G2094, ""en"", ""bg"")"),"direct_qa")</f>
        <v>direct_qa</v>
      </c>
      <c r="H2094" s="1" t="str">
        <f ca="1">IFERROR(__xludf.DUMMYFUNCTION("GOOGLETRANSLATE(English!H2094, ""en"", ""bg"")"),"заявка_за_знание")</f>
        <v>заявка_за_знание</v>
      </c>
    </row>
    <row r="2095" spans="1:8" ht="13.2" x14ac:dyDescent="0.25">
      <c r="A2095" s="1" t="str">
        <f ca="1">IFERROR(__xludf.DUMMYFUNCTION("GOOGLETRANSLATE(English!A2095, ""en"", ""bg"")"),"hw_06097")</f>
        <v>hw_06097</v>
      </c>
      <c r="B2095" s="1" t="str">
        <f ca="1">IFERROR(__xludf.DUMMYFUNCTION("GOOGLETRANSLATE(English!B2095, ""en"", ""bg"")"),"химия")</f>
        <v>химия</v>
      </c>
      <c r="C2095" s="1" t="str">
        <f ca="1">IFERROR(__xludf.DUMMYFUNCTION("GOOGLETRANSLATE(English!C2095, ""en"", ""bg"")"),"средата")</f>
        <v>средата</v>
      </c>
      <c r="D2095" s="1" t="str">
        <f ca="1">IFERROR(__xludf.DUMMYFUNCTION("GOOGLETRANSLATE(English!D2095, ""en"", ""bg"")"),"съединения срещу елементи")</f>
        <v>съединения срещу елементи</v>
      </c>
      <c r="E2095" s="1" t="str">
        <f ca="1">IFERROR(__xludf.DUMMYFUNCTION("GOOGLETRANSLATE(English!E2095,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2095" s="1" t="str">
        <f ca="1">IFERROR(__xludf.DUMMYFUNCTION("GOOGLETRANSLATE(English!F2095,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2095" s="1" t="str">
        <f ca="1">IFERROR(__xludf.DUMMYFUNCTION("GOOGLETRANSLATE(English!G2095, ""en"", ""bg"")"),"помощ_за_домашно_изпълнение")</f>
        <v>помощ_за_домашно_изпълнение</v>
      </c>
      <c r="H2095" s="1" t="str">
        <f ca="1">IFERROR(__xludf.DUMMYFUNCTION("GOOGLETRANSLATE(English!H2095, ""en"", ""bg"")"),"помощ_за_домашно_задаване")</f>
        <v>помощ_за_домашно_задаване</v>
      </c>
    </row>
    <row r="2096" spans="1:8" ht="13.2" x14ac:dyDescent="0.25">
      <c r="A2096" s="1" t="str">
        <f ca="1">IFERROR(__xludf.DUMMYFUNCTION("GOOGLETRANSLATE(English!A2096, ""en"", ""bg"")"),"qa_09237")</f>
        <v>qa_09237</v>
      </c>
      <c r="B2096" s="1" t="str">
        <f ca="1">IFERROR(__xludf.DUMMYFUNCTION("GOOGLETRANSLATE(English!B2096, ""en"", ""bg"")"),"физика")</f>
        <v>физика</v>
      </c>
      <c r="C2096" s="1" t="str">
        <f ca="1">IFERROR(__xludf.DUMMYFUNCTION("GOOGLETRANSLATE(English!C2096, ""en"", ""bg"")"),"средата")</f>
        <v>средата</v>
      </c>
      <c r="D2096" s="1" t="str">
        <f ca="1">IFERROR(__xludf.DUMMYFUNCTION("GOOGLETRANSLATE(English!D2096, ""en"", ""bg"")"),"състояния на материята")</f>
        <v>състояния на материята</v>
      </c>
      <c r="E2096" s="1" t="str">
        <f ca="1">IFERROR(__xludf.DUMMYFUNCTION("GOOGLETRANSLATE(English!E2096, ""en"", ""bg"")"),"Как функционират състоянията на материята във физиката?")</f>
        <v>Как функционират състоянията на материята във физиката?</v>
      </c>
      <c r="F2096" s="1" t="str">
        <f ca="1">IFERROR(__xludf.DUMMYFUNCTION("GOOGLETRANSLATE(English!F2096,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2096" s="1" t="str">
        <f ca="1">IFERROR(__xludf.DUMMYFUNCTION("GOOGLETRANSLATE(English!G2096, ""en"", ""bg"")"),"direct_qa")</f>
        <v>direct_qa</v>
      </c>
      <c r="H2096" s="1" t="str">
        <f ca="1">IFERROR(__xludf.DUMMYFUNCTION("GOOGLETRANSLATE(English!H2096, ""en"", ""bg"")"),"заявка_за_знание")</f>
        <v>заявка_за_знание</v>
      </c>
    </row>
    <row r="2097" spans="1:8" ht="13.2" x14ac:dyDescent="0.25">
      <c r="A2097" s="1" t="str">
        <f ca="1">IFERROR(__xludf.DUMMYFUNCTION("GOOGLETRANSLATE(English!A2097, ""en"", ""bg"")"),"hw_07877")</f>
        <v>hw_07877</v>
      </c>
      <c r="B2097" s="1" t="str">
        <f ca="1">IFERROR(__xludf.DUMMYFUNCTION("GOOGLETRANSLATE(English!B2097, ""en"", ""bg"")"),"биология")</f>
        <v>биология</v>
      </c>
      <c r="C2097" s="1" t="str">
        <f ca="1">IFERROR(__xludf.DUMMYFUNCTION("GOOGLETRANSLATE(English!C2097, ""en"", ""bg"")"),"средата")</f>
        <v>средата</v>
      </c>
      <c r="D2097" s="1" t="str">
        <f ca="1">IFERROR(__xludf.DUMMYFUNCTION("GOOGLETRANSLATE(English!D2097, ""en"", ""bg"")"),"класификация")</f>
        <v>класификация</v>
      </c>
      <c r="E2097" s="1" t="str">
        <f ca="1">IFERROR(__xludf.DUMMYFUNCTION("GOOGLETRANSLATE(English!E2097, ""en"", ""bg"")"),"Утре имам тест по класификация. Помогни ми да уча!")</f>
        <v>Утре имам тест по класификация. Помогни ми да уча!</v>
      </c>
      <c r="F2097" s="1" t="str">
        <f ca="1">IFERROR(__xludf.DUMMYFUNCTION("GOOGLETRANSLATE(English!F2097,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2097" s="1" t="str">
        <f ca="1">IFERROR(__xludf.DUMMYFUNCTION("GOOGLETRANSLATE(English!G2097, ""en"", ""bg"")"),"помощ_за_домашно_изпълнение")</f>
        <v>помощ_за_домашно_изпълнение</v>
      </c>
      <c r="H2097" s="1" t="str">
        <f ca="1">IFERROR(__xludf.DUMMYFUNCTION("GOOGLETRANSLATE(English!H2097, ""en"", ""bg"")"),"помощ_за_домашно_задаване")</f>
        <v>помощ_за_домашно_задаване</v>
      </c>
    </row>
    <row r="2098" spans="1:8" ht="13.2" x14ac:dyDescent="0.25">
      <c r="A2098" s="1" t="str">
        <f ca="1">IFERROR(__xludf.DUMMYFUNCTION("GOOGLETRANSLATE(English!A2098, ""en"", ""bg"")"),"conv_01695")</f>
        <v>conv_01695</v>
      </c>
      <c r="B2098" s="1" t="str">
        <f ca="1">IFERROR(__xludf.DUMMYFUNCTION("GOOGLETRANSLATE(English!B2098, ""en"", ""bg"")"),"химия")</f>
        <v>химия</v>
      </c>
      <c r="C2098" s="1" t="str">
        <f ca="1">IFERROR(__xludf.DUMMYFUNCTION("GOOGLETRANSLATE(English!C2098, ""en"", ""bg"")"),"елементарен")</f>
        <v>елементарен</v>
      </c>
      <c r="D2098" s="1" t="str">
        <f ca="1">IFERROR(__xludf.DUMMYFUNCTION("GOOGLETRANSLATE(English!D2098, ""en"", ""bg"")"),"безопасност")</f>
        <v>безопасност</v>
      </c>
      <c r="E2098" s="1" t="str">
        <f ca="1">IFERROR(__xludf.DUMMYFUNCTION("GOOGLETRANSLATE(English!E2098, ""en"", ""bg"")"),"Здравей, преподавателю! Как работи безопасността в химията?")</f>
        <v>Здравей, преподавателю! Как работи безопасността в химията?</v>
      </c>
      <c r="F2098" s="1" t="str">
        <f ca="1">IFERROR(__xludf.DUMMYFUNCTION("GOOGLETRANSLATE(English!F2098,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2098" s="1" t="str">
        <f ca="1">IFERROR(__xludf.DUMMYFUNCTION("GOOGLETRANSLATE(English!G2098, ""en"", ""bg"")"),"разговор")</f>
        <v>разговор</v>
      </c>
      <c r="H2098" s="1" t="str">
        <f ca="1">IFERROR(__xludf.DUMMYFUNCTION("GOOGLETRANSLATE(English!H2098, ""en"", ""bg"")"),"образователна_помощ")</f>
        <v>образователна_помощ</v>
      </c>
    </row>
    <row r="2099" spans="1:8" ht="13.2" x14ac:dyDescent="0.25">
      <c r="A2099" s="1" t="str">
        <f ca="1">IFERROR(__xludf.DUMMYFUNCTION("GOOGLETRANSLATE(English!A2099, ""en"", ""bg"")"),"conv_10876")</f>
        <v>conv_10876</v>
      </c>
      <c r="B2099" s="1" t="str">
        <f ca="1">IFERROR(__xludf.DUMMYFUNCTION("GOOGLETRANSLATE(English!B2099, ""en"", ""bg"")"),"физика")</f>
        <v>физика</v>
      </c>
      <c r="C2099" s="1" t="str">
        <f ca="1">IFERROR(__xludf.DUMMYFUNCTION("GOOGLETRANSLATE(English!C2099, ""en"", ""bg"")"),"елементарен")</f>
        <v>елементарен</v>
      </c>
      <c r="D2099" s="1" t="str">
        <f ca="1">IFERROR(__xludf.DUMMYFUNCTION("GOOGLETRANSLATE(English!D2099, ""en"", ""bg"")"),"прости машини")</f>
        <v>прости машини</v>
      </c>
      <c r="E2099" s="1" t="str">
        <f ca="1">IFERROR(__xludf.DUMMYFUNCTION("GOOGLETRANSLATE(English!E2099, ""en"", ""bg"")"),"Не разбирам тази тема. Какво трябва да знам за простите машини?")</f>
        <v>Не разбирам тази тема. Какво трябва да знам за простите машини?</v>
      </c>
      <c r="F2099" s="1" t="str">
        <f ca="1">IFERROR(__xludf.DUMMYFUNCTION("GOOGLETRANSLATE(English!F2099,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2099" s="1" t="str">
        <f ca="1">IFERROR(__xludf.DUMMYFUNCTION("GOOGLETRANSLATE(English!G2099, ""en"", ""bg"")"),"разговор")</f>
        <v>разговор</v>
      </c>
      <c r="H2099" s="1" t="str">
        <f ca="1">IFERROR(__xludf.DUMMYFUNCTION("GOOGLETRANSLATE(English!H2099, ""en"", ""bg"")"),"образователна_помощ")</f>
        <v>образователна_помощ</v>
      </c>
    </row>
    <row r="2100" spans="1:8" ht="13.2" x14ac:dyDescent="0.25">
      <c r="A2100" s="1" t="str">
        <f ca="1">IFERROR(__xludf.DUMMYFUNCTION("GOOGLETRANSLATE(English!A2100, ""en"", ""bg"")"),"hw_02414")</f>
        <v>hw_02414</v>
      </c>
      <c r="B2100" s="1" t="str">
        <f ca="1">IFERROR(__xludf.DUMMYFUNCTION("GOOGLETRANSLATE(English!B2100, ""en"", ""bg"")"),"химия")</f>
        <v>химия</v>
      </c>
      <c r="C2100" s="1" t="str">
        <f ca="1">IFERROR(__xludf.DUMMYFUNCTION("GOOGLETRANSLATE(English!C2100, ""en"", ""bg"")"),"средата")</f>
        <v>средата</v>
      </c>
      <c r="D2100" s="1" t="str">
        <f ca="1">IFERROR(__xludf.DUMMYFUNCTION("GOOGLETRANSLATE(English!D2100, ""en"", ""bg"")"),"съединения срещу елементи")</f>
        <v>съединения срещу елементи</v>
      </c>
      <c r="E2100" s="1" t="str">
        <f ca="1">IFERROR(__xludf.DUMMYFUNCTION("GOOGLETRANSLATE(English!E2100, ""en"", ""bg"")"),"Можете ли да ми помогнете с изчисленията на съединенията спрямо елементите?")</f>
        <v>Можете ли да ми помогнете с изчисленията на съединенията спрямо елементите?</v>
      </c>
      <c r="F2100" s="1" t="str">
        <f ca="1">IFERROR(__xludf.DUMMYFUNCTION("GOOGLETRANSLATE(English!F2100,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2100" s="1" t="str">
        <f ca="1">IFERROR(__xludf.DUMMYFUNCTION("GOOGLETRANSLATE(English!G2100, ""en"", ""bg"")"),"помощ_за_домашно_изпълнение")</f>
        <v>помощ_за_домашно_изпълнение</v>
      </c>
      <c r="H2100" s="1" t="str">
        <f ca="1">IFERROR(__xludf.DUMMYFUNCTION("GOOGLETRANSLATE(English!H2100, ""en"", ""bg"")"),"помощ_за_домашно_задаване")</f>
        <v>помощ_за_домашно_задаване</v>
      </c>
    </row>
    <row r="2101" spans="1:8" ht="13.2" x14ac:dyDescent="0.25">
      <c r="A2101" s="1" t="str">
        <f ca="1">IFERROR(__xludf.DUMMYFUNCTION("GOOGLETRANSLATE(English!A2101, ""en"", ""bg"")"),"hw_02740")</f>
        <v>hw_02740</v>
      </c>
      <c r="B2101" s="1" t="str">
        <f ca="1">IFERROR(__xludf.DUMMYFUNCTION("GOOGLETRANSLATE(English!B2101, ""en"", ""bg"")"),"химия")</f>
        <v>химия</v>
      </c>
      <c r="C2101" s="1" t="str">
        <f ca="1">IFERROR(__xludf.DUMMYFUNCTION("GOOGLETRANSLATE(English!C2101, ""en"", ""bg"")"),"елементарен")</f>
        <v>елементарен</v>
      </c>
      <c r="D2101" s="1" t="str">
        <f ca="1">IFERROR(__xludf.DUMMYFUNCTION("GOOGLETRANSLATE(English!D2101, ""en"", ""bg"")"),"разтваряне")</f>
        <v>разтваряне</v>
      </c>
      <c r="E2101" s="1" t="str">
        <f ca="1">IFERROR(__xludf.DUMMYFUNCTION("GOOGLETRANSLATE(English!E2101,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2101" s="1" t="str">
        <f ca="1">IFERROR(__xludf.DUMMYFUNCTION("GOOGLETRANSLATE(English!F2101,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2101" s="1" t="str">
        <f ca="1">IFERROR(__xludf.DUMMYFUNCTION("GOOGLETRANSLATE(English!G2101, ""en"", ""bg"")"),"помощ_за_домашно_изпълнение")</f>
        <v>помощ_за_домашно_изпълнение</v>
      </c>
      <c r="H2101" s="1" t="str">
        <f ca="1">IFERROR(__xludf.DUMMYFUNCTION("GOOGLETRANSLATE(English!H2101, ""en"", ""bg"")"),"помощ_за_домашно_задаване")</f>
        <v>помощ_за_домашно_задаване</v>
      </c>
    </row>
    <row r="2102" spans="1:8" ht="13.2" x14ac:dyDescent="0.25">
      <c r="A2102" s="1" t="str">
        <f ca="1">IFERROR(__xludf.DUMMYFUNCTION("GOOGLETRANSLATE(English!A2102, ""en"", ""bg"")"),"hw_00611")</f>
        <v>hw_00611</v>
      </c>
      <c r="B2102" s="1" t="str">
        <f ca="1">IFERROR(__xludf.DUMMYFUNCTION("GOOGLETRANSLATE(English!B2102, ""en"", ""bg"")"),"биология")</f>
        <v>биология</v>
      </c>
      <c r="C2102" s="1" t="str">
        <f ca="1">IFERROR(__xludf.DUMMYFUNCTION("GOOGLETRANSLATE(English!C2102, ""en"", ""bg"")"),"високо")</f>
        <v>високо</v>
      </c>
      <c r="D2102" s="1" t="str">
        <f ca="1">IFERROR(__xludf.DUMMYFUNCTION("GOOGLETRANSLATE(English!D2102, ""en"", ""bg"")"),"клетъчно дишане")</f>
        <v>клетъчно дишане</v>
      </c>
      <c r="E2102" s="1" t="str">
        <f ca="1">IFERROR(__xludf.DUMMYFUNCTION("GOOGLETRANSLATE(English!E2102,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2102" s="1" t="str">
        <f ca="1">IFERROR(__xludf.DUMMYFUNCTION("GOOGLETRANSLATE(English!F2102,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102" s="1" t="str">
        <f ca="1">IFERROR(__xludf.DUMMYFUNCTION("GOOGLETRANSLATE(English!G2102, ""en"", ""bg"")"),"помощ_за_домашно_изпълнение")</f>
        <v>помощ_за_домашно_изпълнение</v>
      </c>
      <c r="H2102" s="1" t="str">
        <f ca="1">IFERROR(__xludf.DUMMYFUNCTION("GOOGLETRANSLATE(English!H2102, ""en"", ""bg"")"),"помощ_за_домашно_задаване")</f>
        <v>помощ_за_домашно_задаване</v>
      </c>
    </row>
    <row r="2103" spans="1:8" ht="13.2" x14ac:dyDescent="0.25">
      <c r="A2103" s="1" t="str">
        <f ca="1">IFERROR(__xludf.DUMMYFUNCTION("GOOGLETRANSLATE(English!A2103, ""en"", ""bg"")"),"qa_01599")</f>
        <v>qa_01599</v>
      </c>
      <c r="B2103" s="1" t="str">
        <f ca="1">IFERROR(__xludf.DUMMYFUNCTION("GOOGLETRANSLATE(English!B2103, ""en"", ""bg"")"),"биология")</f>
        <v>биология</v>
      </c>
      <c r="C2103" s="1" t="str">
        <f ca="1">IFERROR(__xludf.DUMMYFUNCTION("GOOGLETRANSLATE(English!C2103, ""en"", ""bg"")"),"средата")</f>
        <v>средата</v>
      </c>
      <c r="D2103" s="1" t="str">
        <f ca="1">IFERROR(__xludf.DUMMYFUNCTION("GOOGLETRANSLATE(English!D2103, ""en"", ""bg"")"),"основи на генетиката")</f>
        <v>основи на генетиката</v>
      </c>
      <c r="E2103" s="1" t="str">
        <f ca="1">IFERROR(__xludf.DUMMYFUNCTION("GOOGLETRANSLATE(English!E2103, ""en"", ""bg"")"),"Как работят основите на генетиката?")</f>
        <v>Как работят основите на генетиката?</v>
      </c>
      <c r="F2103" s="1" t="str">
        <f ca="1">IFERROR(__xludf.DUMMYFUNCTION("GOOGLETRANSLATE(English!F2103,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2103" s="1" t="str">
        <f ca="1">IFERROR(__xludf.DUMMYFUNCTION("GOOGLETRANSLATE(English!G2103, ""en"", ""bg"")"),"direct_qa")</f>
        <v>direct_qa</v>
      </c>
      <c r="H2103" s="1" t="str">
        <f ca="1">IFERROR(__xludf.DUMMYFUNCTION("GOOGLETRANSLATE(English!H2103, ""en"", ""bg"")"),"заявка_за_знание")</f>
        <v>заявка_за_знание</v>
      </c>
    </row>
    <row r="2104" spans="1:8" ht="13.2" x14ac:dyDescent="0.25">
      <c r="A2104" s="1" t="str">
        <f ca="1">IFERROR(__xludf.DUMMYFUNCTION("GOOGLETRANSLATE(English!A2104, ""en"", ""bg"")"),"qa_01428")</f>
        <v>qa_01428</v>
      </c>
      <c r="B2104" s="1" t="str">
        <f ca="1">IFERROR(__xludf.DUMMYFUNCTION("GOOGLETRANSLATE(English!B2104, ""en"", ""bg"")"),"биология")</f>
        <v>биология</v>
      </c>
      <c r="C2104" s="1" t="str">
        <f ca="1">IFERROR(__xludf.DUMMYFUNCTION("GOOGLETRANSLATE(English!C2104, ""en"", ""bg"")"),"средата")</f>
        <v>средата</v>
      </c>
      <c r="D2104" s="1" t="str">
        <f ca="1">IFERROR(__xludf.DUMMYFUNCTION("GOOGLETRANSLATE(English!D2104, ""en"", ""bg"")"),"класификация")</f>
        <v>класификация</v>
      </c>
      <c r="E2104" s="1" t="str">
        <f ca="1">IFERROR(__xludf.DUMMYFUNCTION("GOOGLETRANSLATE(English!E2104, ""en"", ""bg"")"),"Можете ли да ми кажете за класификацията?")</f>
        <v>Можете ли да ми кажете за класификацията?</v>
      </c>
      <c r="F2104" s="1" t="str">
        <f ca="1">IFERROR(__xludf.DUMMYFUNCTION("GOOGLETRANSLATE(English!F2104,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2104" s="1" t="str">
        <f ca="1">IFERROR(__xludf.DUMMYFUNCTION("GOOGLETRANSLATE(English!G2104, ""en"", ""bg"")"),"direct_qa")</f>
        <v>direct_qa</v>
      </c>
      <c r="H2104" s="1" t="str">
        <f ca="1">IFERROR(__xludf.DUMMYFUNCTION("GOOGLETRANSLATE(English!H2104, ""en"", ""bg"")"),"заявка_за_знание")</f>
        <v>заявка_за_знание</v>
      </c>
    </row>
    <row r="2105" spans="1:8" ht="13.2" x14ac:dyDescent="0.25">
      <c r="A2105" s="1" t="str">
        <f ca="1">IFERROR(__xludf.DUMMYFUNCTION("GOOGLETRANSLATE(English!A2105, ""en"", ""bg"")"),"qa_09922")</f>
        <v>qa_09922</v>
      </c>
      <c r="B2105" s="1" t="str">
        <f ca="1">IFERROR(__xludf.DUMMYFUNCTION("GOOGLETRANSLATE(English!B2105, ""en"", ""bg"")"),"химия")</f>
        <v>химия</v>
      </c>
      <c r="C2105" s="1" t="str">
        <f ca="1">IFERROR(__xludf.DUMMYFUNCTION("GOOGLETRANSLATE(English!C2105, ""en"", ""bg"")"),"елементарен")</f>
        <v>елементарен</v>
      </c>
      <c r="D2105" s="1" t="str">
        <f ca="1">IFERROR(__xludf.DUMMYFUNCTION("GOOGLETRANSLATE(English!D2105, ""en"", ""bg"")"),"смесване на материали")</f>
        <v>смесване на материали</v>
      </c>
      <c r="E2105" s="1" t="str">
        <f ca="1">IFERROR(__xludf.DUMMYFUNCTION("GOOGLETRANSLATE(English!E2105, ""en"", ""bg"")"),"Как можете да отделите солта от водата?")</f>
        <v>Как можете да отделите солта от водата?</v>
      </c>
      <c r="F2105" s="1" t="str">
        <f ca="1">IFERROR(__xludf.DUMMYFUNCTION("GOOGLETRANSLATE(English!F2105,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2105" s="1" t="str">
        <f ca="1">IFERROR(__xludf.DUMMYFUNCTION("GOOGLETRANSLATE(English!G2105, ""en"", ""bg"")"),"direct_qa")</f>
        <v>direct_qa</v>
      </c>
      <c r="H2105" s="1" t="str">
        <f ca="1">IFERROR(__xludf.DUMMYFUNCTION("GOOGLETRANSLATE(English!H2105, ""en"", ""bg"")"),"заявка_за_знание")</f>
        <v>заявка_за_знание</v>
      </c>
    </row>
    <row r="2106" spans="1:8" ht="13.2" x14ac:dyDescent="0.25">
      <c r="A2106" s="1" t="str">
        <f ca="1">IFERROR(__xludf.DUMMYFUNCTION("GOOGLETRANSLATE(English!A2106, ""en"", ""bg"")"),"qa_11846")</f>
        <v>qa_11846</v>
      </c>
      <c r="B2106" s="1" t="str">
        <f ca="1">IFERROR(__xludf.DUMMYFUNCTION("GOOGLETRANSLATE(English!B2106, ""en"", ""bg"")"),"физика")</f>
        <v>физика</v>
      </c>
      <c r="C2106" s="1" t="str">
        <f ca="1">IFERROR(__xludf.DUMMYFUNCTION("GOOGLETRANSLATE(English!C2106, ""en"", ""bg"")"),"високо")</f>
        <v>високо</v>
      </c>
      <c r="D2106" s="1" t="str">
        <f ca="1">IFERROR(__xludf.DUMMYFUNCTION("GOOGLETRANSLATE(English!D2106, ""en"", ""bg"")"),"атомна структура")</f>
        <v>атомна структура</v>
      </c>
      <c r="E2106" s="1" t="str">
        <f ca="1">IFERROR(__xludf.DUMMYFUNCTION("GOOGLETRANSLATE(English!E2106, ""en"", ""bg"")"),"Как работи атомната структура във физиката?")</f>
        <v>Как работи атомната структура във физиката?</v>
      </c>
      <c r="F2106" s="1" t="str">
        <f ca="1">IFERROR(__xludf.DUMMYFUNCTION("GOOGLETRANSLATE(English!F2106,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2106" s="1" t="str">
        <f ca="1">IFERROR(__xludf.DUMMYFUNCTION("GOOGLETRANSLATE(English!G2106, ""en"", ""bg"")"),"direct_qa")</f>
        <v>direct_qa</v>
      </c>
      <c r="H2106" s="1" t="str">
        <f ca="1">IFERROR(__xludf.DUMMYFUNCTION("GOOGLETRANSLATE(English!H2106, ""en"", ""bg"")"),"заявка_за_знание")</f>
        <v>заявка_за_знание</v>
      </c>
    </row>
    <row r="2107" spans="1:8" ht="13.2" x14ac:dyDescent="0.25">
      <c r="A2107" s="1" t="str">
        <f ca="1">IFERROR(__xludf.DUMMYFUNCTION("GOOGLETRANSLATE(English!A2107, ""en"", ""bg"")"),"qa_07102")</f>
        <v>qa_07102</v>
      </c>
      <c r="B2107" s="1" t="str">
        <f ca="1">IFERROR(__xludf.DUMMYFUNCTION("GOOGLETRANSLATE(English!B2107, ""en"", ""bg"")"),"химия")</f>
        <v>химия</v>
      </c>
      <c r="C2107" s="1" t="str">
        <f ca="1">IFERROR(__xludf.DUMMYFUNCTION("GOOGLETRANSLATE(English!C2107, ""en"", ""bg"")"),"средата")</f>
        <v>средата</v>
      </c>
      <c r="D2107" s="1" t="str">
        <f ca="1">IFERROR(__xludf.DUMMYFUNCTION("GOOGLETRANSLATE(English!D2107, ""en"", ""bg"")"),"съединения срещу елементи")</f>
        <v>съединения срещу елементи</v>
      </c>
      <c r="E2107" s="1" t="str">
        <f ca="1">IFERROR(__xludf.DUMMYFUNCTION("GOOGLETRANSLATE(English!E2107, ""en"", ""bg"")"),"Как работят съединенията срещу елементите в химията?")</f>
        <v>Как работят съединенията срещу елементите в химията?</v>
      </c>
      <c r="F2107" s="1" t="str">
        <f ca="1">IFERROR(__xludf.DUMMYFUNCTION("GOOGLETRANSLATE(English!F2107,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2107" s="1" t="str">
        <f ca="1">IFERROR(__xludf.DUMMYFUNCTION("GOOGLETRANSLATE(English!G2107, ""en"", ""bg"")"),"direct_qa")</f>
        <v>direct_qa</v>
      </c>
      <c r="H2107" s="1" t="str">
        <f ca="1">IFERROR(__xludf.DUMMYFUNCTION("GOOGLETRANSLATE(English!H2107, ""en"", ""bg"")"),"заявка_за_знание")</f>
        <v>заявка_за_знание</v>
      </c>
    </row>
    <row r="2108" spans="1:8" ht="13.2" x14ac:dyDescent="0.25">
      <c r="A2108" s="1" t="str">
        <f ca="1">IFERROR(__xludf.DUMMYFUNCTION("GOOGLETRANSLATE(English!A2108, ""en"", ""bg"")"),"hw_01818")</f>
        <v>hw_01818</v>
      </c>
      <c r="B2108" s="1" t="str">
        <f ca="1">IFERROR(__xludf.DUMMYFUNCTION("GOOGLETRANSLATE(English!B2108, ""en"", ""bg"")"),"физика")</f>
        <v>физика</v>
      </c>
      <c r="C2108" s="1" t="str">
        <f ca="1">IFERROR(__xludf.DUMMYFUNCTION("GOOGLETRANSLATE(English!C2108, ""en"", ""bg"")"),"елементарен")</f>
        <v>елементарен</v>
      </c>
      <c r="D2108" s="1" t="str">
        <f ca="1">IFERROR(__xludf.DUMMYFUNCTION("GOOGLETRANSLATE(English!D2108, ""en"", ""bg"")"),"плаващ и потъващ")</f>
        <v>плаващ и потъващ</v>
      </c>
      <c r="E2108" s="1" t="str">
        <f ca="1">IFERROR(__xludf.DUMMYFUNCTION("GOOGLETRANSLATE(English!E2108, ""en"", ""bg"")"),"Можеш ли да решиш този плаващ и потъващ въпрос с мен?")</f>
        <v>Можеш ли да решиш този плаващ и потъващ въпрос с мен?</v>
      </c>
      <c r="F2108" s="1" t="str">
        <f ca="1">IFERROR(__xludf.DUMMYFUNCTION("GOOGLETRANSLATE(English!F2108,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108" s="1" t="str">
        <f ca="1">IFERROR(__xludf.DUMMYFUNCTION("GOOGLETRANSLATE(English!G2108, ""en"", ""bg"")"),"помощ_за_домашно_изпълнение")</f>
        <v>помощ_за_домашно_изпълнение</v>
      </c>
      <c r="H2108" s="1" t="str">
        <f ca="1">IFERROR(__xludf.DUMMYFUNCTION("GOOGLETRANSLATE(English!H2108, ""en"", ""bg"")"),"помощ_за_домашно_задаване")</f>
        <v>помощ_за_домашно_задаване</v>
      </c>
    </row>
    <row r="2109" spans="1:8" ht="13.2" x14ac:dyDescent="0.25">
      <c r="A2109" s="1" t="str">
        <f ca="1">IFERROR(__xludf.DUMMYFUNCTION("GOOGLETRANSLATE(English!A2109, ""en"", ""bg"")"),"conv_09346")</f>
        <v>conv_09346</v>
      </c>
      <c r="B2109" s="1" t="str">
        <f ca="1">IFERROR(__xludf.DUMMYFUNCTION("GOOGLETRANSLATE(English!B2109, ""en"", ""bg"")"),"физика")</f>
        <v>физика</v>
      </c>
      <c r="C2109" s="1" t="str">
        <f ca="1">IFERROR(__xludf.DUMMYFUNCTION("GOOGLETRANSLATE(English!C2109, ""en"", ""bg"")"),"елементарен")</f>
        <v>елементарен</v>
      </c>
      <c r="D2109" s="1" t="str">
        <f ca="1">IFERROR(__xludf.DUMMYFUNCTION("GOOGLETRANSLATE(English!D2109, ""en"", ""bg"")"),"магнити")</f>
        <v>магнити</v>
      </c>
      <c r="E2109" s="1" t="str">
        <f ca="1">IFERROR(__xludf.DUMMYFUNCTION("GOOGLETRANSLATE(English!E2109, ""en"", ""bg"")"),"Можете ли да ми помогнете? Кои са полюсите на магнита?")</f>
        <v>Можете ли да ми помогнете? Кои са полюсите на магнита?</v>
      </c>
      <c r="F2109" s="1" t="str">
        <f ca="1">IFERROR(__xludf.DUMMYFUNCTION("GOOGLETRANSLATE(English!F2109,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2109" s="1" t="str">
        <f ca="1">IFERROR(__xludf.DUMMYFUNCTION("GOOGLETRANSLATE(English!G2109, ""en"", ""bg"")"),"разговор")</f>
        <v>разговор</v>
      </c>
      <c r="H2109" s="1" t="str">
        <f ca="1">IFERROR(__xludf.DUMMYFUNCTION("GOOGLETRANSLATE(English!H2109, ""en"", ""bg"")"),"образователна_помощ")</f>
        <v>образователна_помощ</v>
      </c>
    </row>
    <row r="2110" spans="1:8" ht="13.2" x14ac:dyDescent="0.25">
      <c r="A2110" s="1" t="str">
        <f ca="1">IFERROR(__xludf.DUMMYFUNCTION("GOOGLETRANSLATE(English!A2110, ""en"", ""bg"")"),"conv_08143")</f>
        <v>conv_08143</v>
      </c>
      <c r="B2110" s="1" t="str">
        <f ca="1">IFERROR(__xludf.DUMMYFUNCTION("GOOGLETRANSLATE(English!B2110, ""en"", ""bg"")"),"физика")</f>
        <v>физика</v>
      </c>
      <c r="C2110" s="1" t="str">
        <f ca="1">IFERROR(__xludf.DUMMYFUNCTION("GOOGLETRANSLATE(English!C2110, ""en"", ""bg"")"),"средата")</f>
        <v>средата</v>
      </c>
      <c r="D2110" s="1" t="str">
        <f ca="1">IFERROR(__xludf.DUMMYFUNCTION("GOOGLETRANSLATE(English!D2110, ""en"", ""bg"")"),"състояния на материята")</f>
        <v>състояния на материята</v>
      </c>
      <c r="E2110" s="1" t="str">
        <f ca="1">IFERROR(__xludf.DUMMYFUNCTION("GOOGLETRANSLATE(English!E2110, ""en"", ""bg"")"),"Имам научен въпрос. Как функционират състоянията на материята във физиката?")</f>
        <v>Имам научен въпрос. Как функционират състоянията на материята във физиката?</v>
      </c>
      <c r="F2110" s="1" t="str">
        <f ca="1">IFERROR(__xludf.DUMMYFUNCTION("GOOGLETRANSLATE(English!F2110,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2110" s="1" t="str">
        <f ca="1">IFERROR(__xludf.DUMMYFUNCTION("GOOGLETRANSLATE(English!G2110, ""en"", ""bg"")"),"разговор")</f>
        <v>разговор</v>
      </c>
      <c r="H2110" s="1" t="str">
        <f ca="1">IFERROR(__xludf.DUMMYFUNCTION("GOOGLETRANSLATE(English!H2110, ""en"", ""bg"")"),"образователна_помощ")</f>
        <v>образователна_помощ</v>
      </c>
    </row>
    <row r="2111" spans="1:8" ht="13.2" x14ac:dyDescent="0.25">
      <c r="A2111" s="1" t="str">
        <f ca="1">IFERROR(__xludf.DUMMYFUNCTION("GOOGLETRANSLATE(English!A2111, ""en"", ""bg"")"),"hw_02374")</f>
        <v>hw_02374</v>
      </c>
      <c r="B2111" s="1" t="str">
        <f ca="1">IFERROR(__xludf.DUMMYFUNCTION("GOOGLETRANSLATE(English!B2111, ""en"", ""bg"")"),"химия")</f>
        <v>химия</v>
      </c>
      <c r="C2111" s="1" t="str">
        <f ca="1">IFERROR(__xludf.DUMMYFUNCTION("GOOGLETRANSLATE(English!C2111, ""en"", ""bg"")"),"средата")</f>
        <v>средата</v>
      </c>
      <c r="D2111" s="1" t="str">
        <f ca="1">IFERROR(__xludf.DUMMYFUNCTION("GOOGLETRANSLATE(English!D2111, ""en"", ""bg"")"),"атоми и молекули")</f>
        <v>атоми и молекули</v>
      </c>
      <c r="E2111" s="1" t="str">
        <f ca="1">IFERROR(__xludf.DUMMYFUNCTION("GOOGLETRANSLATE(English!E2111,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2111" s="1" t="str">
        <f ca="1">IFERROR(__xludf.DUMMYFUNCTION("GOOGLETRANSLATE(English!F2111,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111" s="1" t="str">
        <f ca="1">IFERROR(__xludf.DUMMYFUNCTION("GOOGLETRANSLATE(English!G2111, ""en"", ""bg"")"),"помощ_за_домашно_изпълнение")</f>
        <v>помощ_за_домашно_изпълнение</v>
      </c>
      <c r="H2111" s="1" t="str">
        <f ca="1">IFERROR(__xludf.DUMMYFUNCTION("GOOGLETRANSLATE(English!H2111, ""en"", ""bg"")"),"помощ_за_домашно_задаване")</f>
        <v>помощ_за_домашно_задаване</v>
      </c>
    </row>
    <row r="2112" spans="1:8" ht="13.2" x14ac:dyDescent="0.25">
      <c r="A2112" s="1" t="str">
        <f ca="1">IFERROR(__xludf.DUMMYFUNCTION("GOOGLETRANSLATE(English!A2112, ""en"", ""bg"")"),"hw_10585")</f>
        <v>hw_10585</v>
      </c>
      <c r="B2112" s="1" t="str">
        <f ca="1">IFERROR(__xludf.DUMMYFUNCTION("GOOGLETRANSLATE(English!B2112, ""en"", ""bg"")"),"физика")</f>
        <v>физика</v>
      </c>
      <c r="C2112" s="1" t="str">
        <f ca="1">IFERROR(__xludf.DUMMYFUNCTION("GOOGLETRANSLATE(English!C2112, ""en"", ""bg"")"),"средата")</f>
        <v>средата</v>
      </c>
      <c r="D2112" s="1" t="str">
        <f ca="1">IFERROR(__xludf.DUMMYFUNCTION("GOOGLETRANSLATE(English!D2112, ""en"", ""bg"")"),"сили и движение")</f>
        <v>сили и движение</v>
      </c>
      <c r="E2112" s="1" t="str">
        <f ca="1">IFERROR(__xludf.DUMMYFUNCTION("GOOGLETRANSLATE(English!E2112,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2112" s="1" t="str">
        <f ca="1">IFERROR(__xludf.DUMMYFUNCTION("GOOGLETRANSLATE(English!F2112,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2112" s="1" t="str">
        <f ca="1">IFERROR(__xludf.DUMMYFUNCTION("GOOGLETRANSLATE(English!G2112, ""en"", ""bg"")"),"помощ_за_домашно_изпълнение")</f>
        <v>помощ_за_домашно_изпълнение</v>
      </c>
      <c r="H2112" s="1" t="str">
        <f ca="1">IFERROR(__xludf.DUMMYFUNCTION("GOOGLETRANSLATE(English!H2112, ""en"", ""bg"")"),"помощ_за_домашно_задаване")</f>
        <v>помощ_за_домашно_задаване</v>
      </c>
    </row>
    <row r="2113" spans="1:8" ht="13.2" x14ac:dyDescent="0.25">
      <c r="A2113" s="1" t="str">
        <f ca="1">IFERROR(__xludf.DUMMYFUNCTION("GOOGLETRANSLATE(English!A2113, ""en"", ""bg"")"),"conv_11621")</f>
        <v>conv_11621</v>
      </c>
      <c r="B2113" s="1" t="str">
        <f ca="1">IFERROR(__xludf.DUMMYFUNCTION("GOOGLETRANSLATE(English!B2113, ""en"", ""bg"")"),"биология")</f>
        <v>биология</v>
      </c>
      <c r="C2113" s="1" t="str">
        <f ca="1">IFERROR(__xludf.DUMMYFUNCTION("GOOGLETRANSLATE(English!C2113, ""en"", ""bg"")"),"елементарен")</f>
        <v>елементарен</v>
      </c>
      <c r="D2113" s="1" t="str">
        <f ca="1">IFERROR(__xludf.DUMMYFUNCTION("GOOGLETRANSLATE(English!D2113, ""en"", ""bg"")"),"хранителни вериги")</f>
        <v>хранителни вериги</v>
      </c>
      <c r="E2113" s="1" t="str">
        <f ca="1">IFERROR(__xludf.DUMMYFUNCTION("GOOGLETRANSLATE(English!E2113, ""en"", ""bg"")"),"Здравей, преподавателю! Можеш ли да ми разкажеш за хранителните вериги?")</f>
        <v>Здравей, преподавателю! Можеш ли да ми разкажеш за хранителните вериги?</v>
      </c>
      <c r="F2113" s="1" t="str">
        <f ca="1">IFERROR(__xludf.DUMMYFUNCTION("GOOGLETRANSLATE(English!F2113,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2113" s="1" t="str">
        <f ca="1">IFERROR(__xludf.DUMMYFUNCTION("GOOGLETRANSLATE(English!G2113, ""en"", ""bg"")"),"разговор")</f>
        <v>разговор</v>
      </c>
      <c r="H2113" s="1" t="str">
        <f ca="1">IFERROR(__xludf.DUMMYFUNCTION("GOOGLETRANSLATE(English!H2113, ""en"", ""bg"")"),"образователна_помощ")</f>
        <v>образователна_помощ</v>
      </c>
    </row>
    <row r="2114" spans="1:8" ht="13.2" x14ac:dyDescent="0.25">
      <c r="A2114" s="1" t="str">
        <f ca="1">IFERROR(__xludf.DUMMYFUNCTION("GOOGLETRANSLATE(English!A2114, ""en"", ""bg"")"),"hw_01649")</f>
        <v>hw_01649</v>
      </c>
      <c r="B2114" s="1" t="str">
        <f ca="1">IFERROR(__xludf.DUMMYFUNCTION("GOOGLETRANSLATE(English!B2114, ""en"", ""bg"")"),"химия")</f>
        <v>химия</v>
      </c>
      <c r="C2114" s="1" t="str">
        <f ca="1">IFERROR(__xludf.DUMMYFUNCTION("GOOGLETRANSLATE(English!C2114, ""en"", ""bg"")"),"елементарен")</f>
        <v>елементарен</v>
      </c>
      <c r="D2114" s="1" t="str">
        <f ca="1">IFERROR(__xludf.DUMMYFUNCTION("GOOGLETRANSLATE(English!D2114, ""en"", ""bg"")"),"твърди вещества, течности, газове")</f>
        <v>твърди вещества, течности, газове</v>
      </c>
      <c r="E2114" s="1" t="str">
        <f ca="1">IFERROR(__xludf.DUMMYFUNCTION("GOOGLETRANSLATE(English!E2114, ""en"", ""bg"")"),"Не разбирам тази концепция за твърди вещества, течности и газове. Моля, обяснете!")</f>
        <v>Не разбирам тази концепция за твърди вещества, течности и газове. Моля, обяснете!</v>
      </c>
      <c r="F2114" s="1" t="str">
        <f ca="1">IFERROR(__xludf.DUMMYFUNCTION("GOOGLETRANSLATE(English!F2114,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114" s="1" t="str">
        <f ca="1">IFERROR(__xludf.DUMMYFUNCTION("GOOGLETRANSLATE(English!G2114, ""en"", ""bg"")"),"помощ_за_домашно_изпълнение")</f>
        <v>помощ_за_домашно_изпълнение</v>
      </c>
      <c r="H2114" s="1" t="str">
        <f ca="1">IFERROR(__xludf.DUMMYFUNCTION("GOOGLETRANSLATE(English!H2114, ""en"", ""bg"")"),"помощ_за_домашно_задаване")</f>
        <v>помощ_за_домашно_задаване</v>
      </c>
    </row>
    <row r="2115" spans="1:8" ht="13.2" x14ac:dyDescent="0.25">
      <c r="A2115" s="1" t="str">
        <f ca="1">IFERROR(__xludf.DUMMYFUNCTION("GOOGLETRANSLATE(English!A2115, ""en"", ""bg"")"),"qa_07693")</f>
        <v>qa_07693</v>
      </c>
      <c r="B2115" s="1" t="str">
        <f ca="1">IFERROR(__xludf.DUMMYFUNCTION("GOOGLETRANSLATE(English!B2115, ""en"", ""bg"")"),"физика")</f>
        <v>физика</v>
      </c>
      <c r="C2115" s="1" t="str">
        <f ca="1">IFERROR(__xludf.DUMMYFUNCTION("GOOGLETRANSLATE(English!C2115, ""en"", ""bg"")"),"средата")</f>
        <v>средата</v>
      </c>
      <c r="D2115" s="1" t="str">
        <f ca="1">IFERROR(__xludf.DUMMYFUNCTION("GOOGLETRANSLATE(English!D2115, ""en"", ""bg"")"),"прости схеми")</f>
        <v>прости схеми</v>
      </c>
      <c r="E2115" s="1" t="str">
        <f ca="1">IFERROR(__xludf.DUMMYFUNCTION("GOOGLETRANSLATE(English!E2115, ""en"", ""bg"")"),"Какво трябва да знам за прости електрически вериги?")</f>
        <v>Какво трябва да знам за прости електрически вериги?</v>
      </c>
      <c r="F2115" s="1" t="str">
        <f ca="1">IFERROR(__xludf.DUMMYFUNCTION("GOOGLETRANSLATE(English!F2115,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2115" s="1" t="str">
        <f ca="1">IFERROR(__xludf.DUMMYFUNCTION("GOOGLETRANSLATE(English!G2115, ""en"", ""bg"")"),"direct_qa")</f>
        <v>direct_qa</v>
      </c>
      <c r="H2115" s="1" t="str">
        <f ca="1">IFERROR(__xludf.DUMMYFUNCTION("GOOGLETRANSLATE(English!H2115, ""en"", ""bg"")"),"заявка_за_знание")</f>
        <v>заявка_за_знание</v>
      </c>
    </row>
    <row r="2116" spans="1:8" ht="13.2" x14ac:dyDescent="0.25">
      <c r="A2116" s="1" t="str">
        <f ca="1">IFERROR(__xludf.DUMMYFUNCTION("GOOGLETRANSLATE(English!A2116, ""en"", ""bg"")"),"hw_07225")</f>
        <v>hw_07225</v>
      </c>
      <c r="B2116" s="1" t="str">
        <f ca="1">IFERROR(__xludf.DUMMYFUNCTION("GOOGLETRANSLATE(English!B2116, ""en"", ""bg"")"),"химия")</f>
        <v>химия</v>
      </c>
      <c r="C2116" s="1" t="str">
        <f ca="1">IFERROR(__xludf.DUMMYFUNCTION("GOOGLETRANSLATE(English!C2116, ""en"", ""bg"")"),"високо")</f>
        <v>високо</v>
      </c>
      <c r="D2116" s="1" t="str">
        <f ca="1">IFERROR(__xludf.DUMMYFUNCTION("GOOGLETRANSLATE(English!D2116, ""en"", ""bg"")"),"електрохимия")</f>
        <v>електрохимия</v>
      </c>
      <c r="E2116" s="1" t="str">
        <f ca="1">IFERROR(__xludf.DUMMYFUNCTION("GOOGLETRANSLATE(English!E2116, ""en"", ""bg"")"),"Не разбирам тази концепция за електрохимия. Моля, обяснете!")</f>
        <v>Не разбирам тази концепция за електрохимия. Моля, обяснете!</v>
      </c>
      <c r="F2116" s="1" t="str">
        <f ca="1">IFERROR(__xludf.DUMMYFUNCTION("GOOGLETRANSLATE(English!F2116,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2116" s="1" t="str">
        <f ca="1">IFERROR(__xludf.DUMMYFUNCTION("GOOGLETRANSLATE(English!G2116, ""en"", ""bg"")"),"помощ_за_домашно_изпълнение")</f>
        <v>помощ_за_домашно_изпълнение</v>
      </c>
      <c r="H2116" s="1" t="str">
        <f ca="1">IFERROR(__xludf.DUMMYFUNCTION("GOOGLETRANSLATE(English!H2116, ""en"", ""bg"")"),"помощ_за_домашно_задаване")</f>
        <v>помощ_за_домашно_задаване</v>
      </c>
    </row>
    <row r="2117" spans="1:8" ht="13.2" x14ac:dyDescent="0.25">
      <c r="A2117" s="1" t="str">
        <f ca="1">IFERROR(__xludf.DUMMYFUNCTION("GOOGLETRANSLATE(English!A2117, ""en"", ""bg"")"),"conv_18683")</f>
        <v>conv_18683</v>
      </c>
      <c r="B2117" s="1" t="str">
        <f ca="1">IFERROR(__xludf.DUMMYFUNCTION("GOOGLETRANSLATE(English!B2117, ""en"", ""bg"")"),"химия")</f>
        <v>химия</v>
      </c>
      <c r="C2117" s="1" t="str">
        <f ca="1">IFERROR(__xludf.DUMMYFUNCTION("GOOGLETRANSLATE(English!C2117, ""en"", ""bg"")"),"елементарен")</f>
        <v>елементарен</v>
      </c>
      <c r="D2117" s="1" t="str">
        <f ca="1">IFERROR(__xludf.DUMMYFUNCTION("GOOGLETRANSLATE(English!D2117, ""en"", ""bg"")"),"безопасност")</f>
        <v>безопасност</v>
      </c>
      <c r="E2117" s="1" t="str">
        <f ca="1">IFERROR(__xludf.DUMMYFUNCTION("GOOGLETRANSLATE(English!E2117, ""en"", ""bg"")"),"Имам нужда от помощ с домашното. Можете ли да ми помогнете да разбера безопасността?")</f>
        <v>Имам нужда от помощ с домашното. Можете ли да ми помогнете да разбера безопасността?</v>
      </c>
      <c r="F2117" s="1" t="str">
        <f ca="1">IFERROR(__xludf.DUMMYFUNCTION("GOOGLETRANSLATE(English!F2117,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2117" s="1" t="str">
        <f ca="1">IFERROR(__xludf.DUMMYFUNCTION("GOOGLETRANSLATE(English!G2117, ""en"", ""bg"")"),"разговор")</f>
        <v>разговор</v>
      </c>
      <c r="H2117" s="1" t="str">
        <f ca="1">IFERROR(__xludf.DUMMYFUNCTION("GOOGLETRANSLATE(English!H2117, ""en"", ""bg"")"),"образователна_помощ")</f>
        <v>образователна_помощ</v>
      </c>
    </row>
    <row r="2118" spans="1:8" ht="13.2" x14ac:dyDescent="0.25">
      <c r="A2118" s="1" t="str">
        <f ca="1">IFERROR(__xludf.DUMMYFUNCTION("GOOGLETRANSLATE(English!A2118, ""en"", ""bg"")"),"hw_13463")</f>
        <v>hw_13463</v>
      </c>
      <c r="B2118" s="1" t="str">
        <f ca="1">IFERROR(__xludf.DUMMYFUNCTION("GOOGLETRANSLATE(English!B2118, ""en"", ""bg"")"),"химия")</f>
        <v>химия</v>
      </c>
      <c r="C2118" s="1" t="str">
        <f ca="1">IFERROR(__xludf.DUMMYFUNCTION("GOOGLETRANSLATE(English!C2118, ""en"", ""bg"")"),"елементарен")</f>
        <v>елементарен</v>
      </c>
      <c r="D2118" s="1" t="str">
        <f ca="1">IFERROR(__xludf.DUMMYFUNCTION("GOOGLETRANSLATE(English!D2118, ""en"", ""bg"")"),"безопасност")</f>
        <v>безопасност</v>
      </c>
      <c r="E2118" s="1" t="str">
        <f ca="1">IFERROR(__xludf.DUMMYFUNCTION("GOOGLETRANSLATE(English!E2118, ""en"", ""bg"")"),"Трудно ми е с безопасността при домашното.")</f>
        <v>Трудно ми е с безопасността при домашното.</v>
      </c>
      <c r="F2118" s="1" t="str">
        <f ca="1">IFERROR(__xludf.DUMMYFUNCTION("GOOGLETRANSLATE(English!F2118,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118" s="1" t="str">
        <f ca="1">IFERROR(__xludf.DUMMYFUNCTION("GOOGLETRANSLATE(English!G2118, ""en"", ""bg"")"),"помощ_за_домашно_изпълнение")</f>
        <v>помощ_за_домашно_изпълнение</v>
      </c>
      <c r="H2118" s="1" t="str">
        <f ca="1">IFERROR(__xludf.DUMMYFUNCTION("GOOGLETRANSLATE(English!H2118, ""en"", ""bg"")"),"помощ_за_домашно_задаване")</f>
        <v>помощ_за_домашно_задаване</v>
      </c>
    </row>
    <row r="2119" spans="1:8" ht="13.2" x14ac:dyDescent="0.25">
      <c r="A2119" s="1" t="str">
        <f ca="1">IFERROR(__xludf.DUMMYFUNCTION("GOOGLETRANSLATE(English!A2119, ""en"", ""bg"")"),"conv_05883")</f>
        <v>conv_05883</v>
      </c>
      <c r="B2119" s="1" t="str">
        <f ca="1">IFERROR(__xludf.DUMMYFUNCTION("GOOGLETRANSLATE(English!B2119, ""en"", ""bg"")"),"химия")</f>
        <v>химия</v>
      </c>
      <c r="C2119" s="1" t="str">
        <f ca="1">IFERROR(__xludf.DUMMYFUNCTION("GOOGLETRANSLATE(English!C2119, ""en"", ""bg"")"),"средата")</f>
        <v>средата</v>
      </c>
      <c r="D2119" s="1" t="str">
        <f ca="1">IFERROR(__xludf.DUMMYFUNCTION("GOOGLETRANSLATE(English!D2119, ""en"", ""bg"")"),"киселини и основи")</f>
        <v>киселини и основи</v>
      </c>
      <c r="E2119" s="1" t="str">
        <f ca="1">IFERROR(__xludf.DUMMYFUNCTION("GOOGLETRANSLATE(English!E2119, ""en"", ""bg"")"),"Можете ли да ми помогнете? Какво представляват киселините и основите?")</f>
        <v>Можете ли да ми помогнете? Какво представляват киселините и основите?</v>
      </c>
      <c r="F2119" s="1" t="str">
        <f ca="1">IFERROR(__xludf.DUMMYFUNCTION("GOOGLETRANSLATE(English!F2119,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2119" s="1" t="str">
        <f ca="1">IFERROR(__xludf.DUMMYFUNCTION("GOOGLETRANSLATE(English!G2119, ""en"", ""bg"")"),"разговор")</f>
        <v>разговор</v>
      </c>
      <c r="H2119" s="1" t="str">
        <f ca="1">IFERROR(__xludf.DUMMYFUNCTION("GOOGLETRANSLATE(English!H2119, ""en"", ""bg"")"),"образователна_помощ")</f>
        <v>образователна_помощ</v>
      </c>
    </row>
    <row r="2120" spans="1:8" ht="13.2" x14ac:dyDescent="0.25">
      <c r="A2120" s="1" t="str">
        <f ca="1">IFERROR(__xludf.DUMMYFUNCTION("GOOGLETRANSLATE(English!A2120, ""en"", ""bg"")"),"hw_01376")</f>
        <v>hw_01376</v>
      </c>
      <c r="B2120" s="1" t="str">
        <f ca="1">IFERROR(__xludf.DUMMYFUNCTION("GOOGLETRANSLATE(English!B2120, ""en"", ""bg"")"),"физика")</f>
        <v>физика</v>
      </c>
      <c r="C2120" s="1" t="str">
        <f ca="1">IFERROR(__xludf.DUMMYFUNCTION("GOOGLETRANSLATE(English!C2120, ""en"", ""bg"")"),"средата")</f>
        <v>средата</v>
      </c>
      <c r="D2120" s="1" t="str">
        <f ca="1">IFERROR(__xludf.DUMMYFUNCTION("GOOGLETRANSLATE(English!D2120, ""en"", ""bg"")"),"състояния на материята")</f>
        <v>състояния на материята</v>
      </c>
      <c r="E2120" s="1" t="str">
        <f ca="1">IFERROR(__xludf.DUMMYFUNCTION("GOOGLETRANSLATE(English!E2120, ""en"", ""bg"")"),"Трябва да разбера състоянията на материята за изпита си.")</f>
        <v>Трябва да разбера състоянията на материята за изпита си.</v>
      </c>
      <c r="F2120" s="1" t="str">
        <f ca="1">IFERROR(__xludf.DUMMYFUNCTION("GOOGLETRANSLATE(English!F2120,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2120" s="1" t="str">
        <f ca="1">IFERROR(__xludf.DUMMYFUNCTION("GOOGLETRANSLATE(English!G2120, ""en"", ""bg"")"),"помощ_за_домашно_изпълнение")</f>
        <v>помощ_за_домашно_изпълнение</v>
      </c>
      <c r="H2120" s="1" t="str">
        <f ca="1">IFERROR(__xludf.DUMMYFUNCTION("GOOGLETRANSLATE(English!H2120, ""en"", ""bg"")"),"помощ_за_домашно_задаване")</f>
        <v>помощ_за_домашно_задаване</v>
      </c>
    </row>
    <row r="2121" spans="1:8" ht="13.2" x14ac:dyDescent="0.25">
      <c r="A2121" s="1" t="str">
        <f ca="1">IFERROR(__xludf.DUMMYFUNCTION("GOOGLETRANSLATE(English!A2121, ""en"", ""bg"")"),"hw_08721")</f>
        <v>hw_08721</v>
      </c>
      <c r="B2121" s="1" t="str">
        <f ca="1">IFERROR(__xludf.DUMMYFUNCTION("GOOGLETRANSLATE(English!B2121, ""en"", ""bg"")"),"химия")</f>
        <v>химия</v>
      </c>
      <c r="C2121" s="1" t="str">
        <f ca="1">IFERROR(__xludf.DUMMYFUNCTION("GOOGLETRANSLATE(English!C2121, ""en"", ""bg"")"),"високо")</f>
        <v>високо</v>
      </c>
      <c r="D2121" s="1" t="str">
        <f ca="1">IFERROR(__xludf.DUMMYFUNCTION("GOOGLETRANSLATE(English!D2121, ""en"", ""bg"")"),"равновесие")</f>
        <v>равновесие</v>
      </c>
      <c r="E2121" s="1" t="str">
        <f ca="1">IFERROR(__xludf.DUMMYFUNCTION("GOOGLETRANSLATE(English!E2121, ""en"", ""bg"")"),"Можете ли да ми помогнете с изчисленията за равновесие?")</f>
        <v>Можете ли да ми помогнете с изчисленията за равновесие?</v>
      </c>
      <c r="F2121" s="1" t="str">
        <f ca="1">IFERROR(__xludf.DUMMYFUNCTION("GOOGLETRANSLATE(English!F2121,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2121" s="1" t="str">
        <f ca="1">IFERROR(__xludf.DUMMYFUNCTION("GOOGLETRANSLATE(English!G2121, ""en"", ""bg"")"),"помощ_за_домашно_изпълнение")</f>
        <v>помощ_за_домашно_изпълнение</v>
      </c>
      <c r="H2121" s="1" t="str">
        <f ca="1">IFERROR(__xludf.DUMMYFUNCTION("GOOGLETRANSLATE(English!H2121, ""en"", ""bg"")"),"помощ_за_домашно_задаване")</f>
        <v>помощ_за_домашно_задаване</v>
      </c>
    </row>
    <row r="2122" spans="1:8" ht="13.2" x14ac:dyDescent="0.25">
      <c r="A2122" s="1" t="str">
        <f ca="1">IFERROR(__xludf.DUMMYFUNCTION("GOOGLETRANSLATE(English!A2122, ""en"", ""bg"")"),"conv_15526")</f>
        <v>conv_15526</v>
      </c>
      <c r="B2122" s="1" t="str">
        <f ca="1">IFERROR(__xludf.DUMMYFUNCTION("GOOGLETRANSLATE(English!B2122, ""en"", ""bg"")"),"физика")</f>
        <v>физика</v>
      </c>
      <c r="C2122" s="1" t="str">
        <f ca="1">IFERROR(__xludf.DUMMYFUNCTION("GOOGLETRANSLATE(English!C2122, ""en"", ""bg"")"),"средата")</f>
        <v>средата</v>
      </c>
      <c r="D2122" s="1" t="str">
        <f ca="1">IFERROR(__xludf.DUMMYFUNCTION("GOOGLETRANSLATE(English!D2122, ""en"", ""bg"")"),"видове енергия")</f>
        <v>видове енергия</v>
      </c>
      <c r="E2122" s="1" t="str">
        <f ca="1">IFERROR(__xludf.DUMMYFUNCTION("GOOGLETRANSLATE(English!E2122, ""en"", ""bg"")"),"Можете ли да ми обясните това? Какво е потенциална енергия?")</f>
        <v>Можете ли да ми обясните това? Какво е потенциална енергия?</v>
      </c>
      <c r="F2122" s="1" t="str">
        <f ca="1">IFERROR(__xludf.DUMMYFUNCTION("GOOGLETRANSLATE(English!F2122,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122" s="1" t="str">
        <f ca="1">IFERROR(__xludf.DUMMYFUNCTION("GOOGLETRANSLATE(English!G2122, ""en"", ""bg"")"),"разговор")</f>
        <v>разговор</v>
      </c>
      <c r="H2122" s="1" t="str">
        <f ca="1">IFERROR(__xludf.DUMMYFUNCTION("GOOGLETRANSLATE(English!H2122, ""en"", ""bg"")"),"образователна_помощ")</f>
        <v>образователна_помощ</v>
      </c>
    </row>
    <row r="2123" spans="1:8" ht="13.2" x14ac:dyDescent="0.25">
      <c r="A2123" s="1" t="str">
        <f ca="1">IFERROR(__xludf.DUMMYFUNCTION("GOOGLETRANSLATE(English!A2123, ""en"", ""bg"")"),"conv_12948")</f>
        <v>conv_12948</v>
      </c>
      <c r="B2123" s="1" t="str">
        <f ca="1">IFERROR(__xludf.DUMMYFUNCTION("GOOGLETRANSLATE(English!B2123, ""en"", ""bg"")"),"биология")</f>
        <v>биология</v>
      </c>
      <c r="C2123" s="1" t="str">
        <f ca="1">IFERROR(__xludf.DUMMYFUNCTION("GOOGLETRANSLATE(English!C2123, ""en"", ""bg"")"),"средата")</f>
        <v>средата</v>
      </c>
      <c r="D2123" s="1" t="str">
        <f ca="1">IFERROR(__xludf.DUMMYFUNCTION("GOOGLETRANSLATE(English!D2123, ""en"", ""bg"")"),"клетки")</f>
        <v>клетки</v>
      </c>
      <c r="E2123" s="1" t="str">
        <f ca="1">IFERROR(__xludf.DUMMYFUNCTION("GOOGLETRANSLATE(English!E2123, ""en"", ""bg"")"),"Имам нужда от помощ с домашното. По какво се различават растителните и животинските клетки?")</f>
        <v>Имам нужда от помощ с домашното. По какво се различават растителните и животинските клетки?</v>
      </c>
      <c r="F2123" s="1" t="str">
        <f ca="1">IFERROR(__xludf.DUMMYFUNCTION("GOOGLETRANSLATE(English!F2123, ""en"", ""bg"")"),"Растителните клетки имат клетъчна стена и хлоропласти, които животинските клетки нямат. Животинските клетки са по-гъвкави.")</f>
        <v>Растителните клетки имат клетъчна стена и хлоропласти, които животинските клетки нямат. Животинските клетки са по-гъвкави.</v>
      </c>
      <c r="G2123" s="1" t="str">
        <f ca="1">IFERROR(__xludf.DUMMYFUNCTION("GOOGLETRANSLATE(English!G2123, ""en"", ""bg"")"),"разговор")</f>
        <v>разговор</v>
      </c>
      <c r="H2123" s="1" t="str">
        <f ca="1">IFERROR(__xludf.DUMMYFUNCTION("GOOGLETRANSLATE(English!H2123, ""en"", ""bg"")"),"образователна_помощ")</f>
        <v>образователна_помощ</v>
      </c>
    </row>
    <row r="2124" spans="1:8" ht="13.2" x14ac:dyDescent="0.25">
      <c r="A2124" s="1" t="str">
        <f ca="1">IFERROR(__xludf.DUMMYFUNCTION("GOOGLETRANSLATE(English!A2124, ""en"", ""bg"")"),"conv_16380")</f>
        <v>conv_16380</v>
      </c>
      <c r="B2124" s="1" t="str">
        <f ca="1">IFERROR(__xludf.DUMMYFUNCTION("GOOGLETRANSLATE(English!B2124, ""en"", ""bg"")"),"биология")</f>
        <v>биология</v>
      </c>
      <c r="C2124" s="1" t="str">
        <f ca="1">IFERROR(__xludf.DUMMYFUNCTION("GOOGLETRANSLATE(English!C2124, ""en"", ""bg"")"),"елементарен")</f>
        <v>елементарен</v>
      </c>
      <c r="D2124" s="1" t="str">
        <f ca="1">IFERROR(__xludf.DUMMYFUNCTION("GOOGLETRANSLATE(English!D2124, ""en"", ""bg"")"),"основни нужди")</f>
        <v>основни нужди</v>
      </c>
      <c r="E2124" s="1" t="str">
        <f ca="1">IFERROR(__xludf.DUMMYFUNCTION("GOOGLETRANSLATE(English!E2124, ""en"", ""bg"")"),"Не разбирам тази тема. Можете ли да ми кажете за основните нужди?")</f>
        <v>Не разбирам тази тема. Можете ли да ми кажете за основните нужди?</v>
      </c>
      <c r="F2124" s="1" t="str">
        <f ca="1">IFERROR(__xludf.DUMMYFUNCTION("GOOGLETRANSLATE(English!F2124,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2124" s="1" t="str">
        <f ca="1">IFERROR(__xludf.DUMMYFUNCTION("GOOGLETRANSLATE(English!G2124, ""en"", ""bg"")"),"разговор")</f>
        <v>разговор</v>
      </c>
      <c r="H2124" s="1" t="str">
        <f ca="1">IFERROR(__xludf.DUMMYFUNCTION("GOOGLETRANSLATE(English!H2124, ""en"", ""bg"")"),"образователна_помощ")</f>
        <v>образователна_помощ</v>
      </c>
    </row>
    <row r="2125" spans="1:8" ht="13.2" x14ac:dyDescent="0.25">
      <c r="A2125" s="1" t="str">
        <f ca="1">IFERROR(__xludf.DUMMYFUNCTION("GOOGLETRANSLATE(English!A2125, ""en"", ""bg"")"),"hw_01446")</f>
        <v>hw_01446</v>
      </c>
      <c r="B2125" s="1" t="str">
        <f ca="1">IFERROR(__xludf.DUMMYFUNCTION("GOOGLETRANSLATE(English!B2125, ""en"", ""bg"")"),"химия")</f>
        <v>химия</v>
      </c>
      <c r="C2125" s="1" t="str">
        <f ca="1">IFERROR(__xludf.DUMMYFUNCTION("GOOGLETRANSLATE(English!C2125, ""en"", ""bg"")"),"високо")</f>
        <v>високо</v>
      </c>
      <c r="D2125" s="1" t="str">
        <f ca="1">IFERROR(__xludf.DUMMYFUNCTION("GOOGLETRANSLATE(English!D2125, ""en"", ""bg"")"),"стехиометрия")</f>
        <v>стехиометрия</v>
      </c>
      <c r="E2125" s="1" t="str">
        <f ca="1">IFERROR(__xludf.DUMMYFUNCTION("GOOGLETRANSLATE(English!E2125, ""en"", ""bg"")"),"Можете ли да ми помогнете със стехиометричните изчисления?")</f>
        <v>Можете ли да ми помогнете със стехиометричните изчисления?</v>
      </c>
      <c r="F2125" s="1" t="str">
        <f ca="1">IFERROR(__xludf.DUMMYFUNCTION("GOOGLETRANSLATE(English!F2125,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2125" s="1" t="str">
        <f ca="1">IFERROR(__xludf.DUMMYFUNCTION("GOOGLETRANSLATE(English!G2125, ""en"", ""bg"")"),"помощ_за_домашно_изпълнение")</f>
        <v>помощ_за_домашно_изпълнение</v>
      </c>
      <c r="H2125" s="1" t="str">
        <f ca="1">IFERROR(__xludf.DUMMYFUNCTION("GOOGLETRANSLATE(English!H2125, ""en"", ""bg"")"),"помощ_за_домашно_задаване")</f>
        <v>помощ_за_домашно_задаване</v>
      </c>
    </row>
    <row r="2126" spans="1:8" ht="13.2" x14ac:dyDescent="0.25">
      <c r="A2126" s="1" t="str">
        <f ca="1">IFERROR(__xludf.DUMMYFUNCTION("GOOGLETRANSLATE(English!A2126, ""en"", ""bg"")"),"hw_07317")</f>
        <v>hw_07317</v>
      </c>
      <c r="B2126" s="1" t="str">
        <f ca="1">IFERROR(__xludf.DUMMYFUNCTION("GOOGLETRANSLATE(English!B2126, ""en"", ""bg"")"),"физика")</f>
        <v>физика</v>
      </c>
      <c r="C2126" s="1" t="str">
        <f ca="1">IFERROR(__xludf.DUMMYFUNCTION("GOOGLETRANSLATE(English!C2126, ""en"", ""bg"")"),"елементарен")</f>
        <v>елементарен</v>
      </c>
      <c r="D2126" s="1" t="str">
        <f ca="1">IFERROR(__xludf.DUMMYFUNCTION("GOOGLETRANSLATE(English!D2126, ""en"", ""bg"")"),"звук")</f>
        <v>звук</v>
      </c>
      <c r="E2126" s="1" t="str">
        <f ca="1">IFERROR(__xludf.DUMMYFUNCTION("GOOGLETRANSLATE(English!E2126,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2126" s="1" t="str">
        <f ca="1">IFERROR(__xludf.DUMMYFUNCTION("GOOGLETRANSLATE(English!F2126,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2126" s="1" t="str">
        <f ca="1">IFERROR(__xludf.DUMMYFUNCTION("GOOGLETRANSLATE(English!G2126, ""en"", ""bg"")"),"помощ_за_домашно_изпълнение")</f>
        <v>помощ_за_домашно_изпълнение</v>
      </c>
      <c r="H2126" s="1" t="str">
        <f ca="1">IFERROR(__xludf.DUMMYFUNCTION("GOOGLETRANSLATE(English!H2126, ""en"", ""bg"")"),"помощ_за_домашно_задаване")</f>
        <v>помощ_за_домашно_задаване</v>
      </c>
    </row>
    <row r="2127" spans="1:8" ht="13.2" x14ac:dyDescent="0.25">
      <c r="A2127" s="1" t="str">
        <f ca="1">IFERROR(__xludf.DUMMYFUNCTION("GOOGLETRANSLATE(English!A2127, ""en"", ""bg"")"),"conv_10374")</f>
        <v>conv_10374</v>
      </c>
      <c r="B2127" s="1" t="str">
        <f ca="1">IFERROR(__xludf.DUMMYFUNCTION("GOOGLETRANSLATE(English!B2127, ""en"", ""bg"")"),"биология")</f>
        <v>биология</v>
      </c>
      <c r="C2127" s="1" t="str">
        <f ca="1">IFERROR(__xludf.DUMMYFUNCTION("GOOGLETRANSLATE(English!C2127, ""en"", ""bg"")"),"елементарен")</f>
        <v>елементарен</v>
      </c>
      <c r="D2127" s="1" t="str">
        <f ca="1">IFERROR(__xludf.DUMMYFUNCTION("GOOGLETRANSLATE(English!D2127, ""en"", ""bg"")"),"местообитания")</f>
        <v>местообитания</v>
      </c>
      <c r="E2127" s="1" t="str">
        <f ca="1">IFERROR(__xludf.DUMMYFUNCTION("GOOGLETRANSLATE(English!E2127, ""en"", ""bg"")"),"Имам нужда от помощ с домашното. Можете ли да ми разкажете за местообитанията?")</f>
        <v>Имам нужда от помощ с домашното. Можете ли да ми разкажете за местообитанията?</v>
      </c>
      <c r="F2127" s="1" t="str">
        <f ca="1">IFERROR(__xludf.DUMMYFUNCTION("GOOGLETRANSLATE(English!F2127,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2127" s="1" t="str">
        <f ca="1">IFERROR(__xludf.DUMMYFUNCTION("GOOGLETRANSLATE(English!G2127, ""en"", ""bg"")"),"разговор")</f>
        <v>разговор</v>
      </c>
      <c r="H2127" s="1" t="str">
        <f ca="1">IFERROR(__xludf.DUMMYFUNCTION("GOOGLETRANSLATE(English!H2127, ""en"", ""bg"")"),"образователна_помощ")</f>
        <v>образователна_помощ</v>
      </c>
    </row>
    <row r="2128" spans="1:8" ht="13.2" x14ac:dyDescent="0.25">
      <c r="A2128" s="1" t="str">
        <f ca="1">IFERROR(__xludf.DUMMYFUNCTION("GOOGLETRANSLATE(English!A2128, ""en"", ""bg"")"),"qa_04747")</f>
        <v>qa_04747</v>
      </c>
      <c r="B2128" s="1" t="str">
        <f ca="1">IFERROR(__xludf.DUMMYFUNCTION("GOOGLETRANSLATE(English!B2128, ""en"", ""bg"")"),"биология")</f>
        <v>биология</v>
      </c>
      <c r="C2128" s="1" t="str">
        <f ca="1">IFERROR(__xludf.DUMMYFUNCTION("GOOGLETRANSLATE(English!C2128, ""en"", ""bg"")"),"високо")</f>
        <v>високо</v>
      </c>
      <c r="D2128" s="1" t="str">
        <f ca="1">IFERROR(__xludf.DUMMYFUNCTION("GOOGLETRANSLATE(English!D2128, ""en"", ""bg"")"),"молекулярна биология")</f>
        <v>молекулярна биология</v>
      </c>
      <c r="E2128" s="1" t="str">
        <f ca="1">IFERROR(__xludf.DUMMYFUNCTION("GOOGLETRANSLATE(English!E2128, ""en"", ""bg"")"),"Можете ли да ми разкажете за молекулярната биология?")</f>
        <v>Можете ли да ми разкажете за молекулярната биология?</v>
      </c>
      <c r="F2128" s="1" t="str">
        <f ca="1">IFERROR(__xludf.DUMMYFUNCTION("GOOGLETRANSLATE(English!F2128,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2128" s="1" t="str">
        <f ca="1">IFERROR(__xludf.DUMMYFUNCTION("GOOGLETRANSLATE(English!G2128, ""en"", ""bg"")"),"direct_qa")</f>
        <v>direct_qa</v>
      </c>
      <c r="H2128" s="1" t="str">
        <f ca="1">IFERROR(__xludf.DUMMYFUNCTION("GOOGLETRANSLATE(English!H2128, ""en"", ""bg"")"),"заявка_за_знание")</f>
        <v>заявка_за_знание</v>
      </c>
    </row>
    <row r="2129" spans="1:8" ht="13.2" x14ac:dyDescent="0.25">
      <c r="A2129" s="1" t="str">
        <f ca="1">IFERROR(__xludf.DUMMYFUNCTION("GOOGLETRANSLATE(English!A2129, ""en"", ""bg"")"),"conv_00970")</f>
        <v>conv_00970</v>
      </c>
      <c r="B2129" s="1" t="str">
        <f ca="1">IFERROR(__xludf.DUMMYFUNCTION("GOOGLETRANSLATE(English!B2129, ""en"", ""bg"")"),"физика")</f>
        <v>физика</v>
      </c>
      <c r="C2129" s="1" t="str">
        <f ca="1">IFERROR(__xludf.DUMMYFUNCTION("GOOGLETRANSLATE(English!C2129, ""en"", ""bg"")"),"елементарен")</f>
        <v>елементарен</v>
      </c>
      <c r="D2129" s="1" t="str">
        <f ca="1">IFERROR(__xludf.DUMMYFUNCTION("GOOGLETRANSLATE(English!D2129, ""en"", ""bg"")"),"плаващ и потъващ")</f>
        <v>плаващ и потъващ</v>
      </c>
      <c r="E2129" s="1" t="str">
        <f ca="1">IFERROR(__xludf.DUMMYFUNCTION("GOOGLETRANSLATE(English!E2129, ""en"", ""bg"")"),"Можете ли да ми обясните това? Можете ли да ми обясните какво е плаване и потъване?")</f>
        <v>Можете ли да ми обясните това? Можете ли да ми обясните какво е плаване и потъване?</v>
      </c>
      <c r="F2129" s="1" t="str">
        <f ca="1">IFERROR(__xludf.DUMMYFUNCTION("GOOGLETRANSLATE(English!F2129,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2129" s="1" t="str">
        <f ca="1">IFERROR(__xludf.DUMMYFUNCTION("GOOGLETRANSLATE(English!G2129, ""en"", ""bg"")"),"разговор")</f>
        <v>разговор</v>
      </c>
      <c r="H2129" s="1" t="str">
        <f ca="1">IFERROR(__xludf.DUMMYFUNCTION("GOOGLETRANSLATE(English!H2129, ""en"", ""bg"")"),"образователна_помощ")</f>
        <v>образователна_помощ</v>
      </c>
    </row>
    <row r="2130" spans="1:8" ht="13.2" x14ac:dyDescent="0.25">
      <c r="A2130" s="1" t="str">
        <f ca="1">IFERROR(__xludf.DUMMYFUNCTION("GOOGLETRANSLATE(English!A2130, ""en"", ""bg"")"),"qa_00774")</f>
        <v>qa_00774</v>
      </c>
      <c r="B2130" s="1" t="str">
        <f ca="1">IFERROR(__xludf.DUMMYFUNCTION("GOOGLETRANSLATE(English!B2130, ""en"", ""bg"")"),"биология")</f>
        <v>биология</v>
      </c>
      <c r="C2130" s="1" t="str">
        <f ca="1">IFERROR(__xludf.DUMMYFUNCTION("GOOGLETRANSLATE(English!C2130, ""en"", ""bg"")"),"високо")</f>
        <v>високо</v>
      </c>
      <c r="D2130" s="1" t="str">
        <f ca="1">IFERROR(__xludf.DUMMYFUNCTION("GOOGLETRANSLATE(English!D2130, ""en"", ""bg"")"),"синтез на протеини")</f>
        <v>синтез на протеини</v>
      </c>
      <c r="E2130" s="1" t="str">
        <f ca="1">IFERROR(__xludf.DUMMYFUNCTION("GOOGLETRANSLATE(English!E2130, ""en"", ""bg"")"),"Можете ли да ми разкажете за синтеза на протеини?")</f>
        <v>Можете ли да ми разкажете за синтеза на протеини?</v>
      </c>
      <c r="F2130" s="1" t="str">
        <f ca="1">IFERROR(__xludf.DUMMYFUNCTION("GOOGLETRANSLATE(English!F2130,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2130" s="1" t="str">
        <f ca="1">IFERROR(__xludf.DUMMYFUNCTION("GOOGLETRANSLATE(English!G2130, ""en"", ""bg"")"),"direct_qa")</f>
        <v>direct_qa</v>
      </c>
      <c r="H2130" s="1" t="str">
        <f ca="1">IFERROR(__xludf.DUMMYFUNCTION("GOOGLETRANSLATE(English!H2130, ""en"", ""bg"")"),"заявка_за_знание")</f>
        <v>заявка_за_знание</v>
      </c>
    </row>
    <row r="2131" spans="1:8" ht="13.2" x14ac:dyDescent="0.25">
      <c r="A2131" s="1" t="str">
        <f ca="1">IFERROR(__xludf.DUMMYFUNCTION("GOOGLETRANSLATE(English!A2131, ""en"", ""bg"")"),"conv_12908")</f>
        <v>conv_12908</v>
      </c>
      <c r="B2131" s="1" t="str">
        <f ca="1">IFERROR(__xludf.DUMMYFUNCTION("GOOGLETRANSLATE(English!B2131, ""en"", ""bg"")"),"биология")</f>
        <v>биология</v>
      </c>
      <c r="C2131" s="1" t="str">
        <f ca="1">IFERROR(__xludf.DUMMYFUNCTION("GOOGLETRANSLATE(English!C2131, ""en"", ""bg"")"),"елементарен")</f>
        <v>елементарен</v>
      </c>
      <c r="D2131" s="1" t="str">
        <f ca="1">IFERROR(__xludf.DUMMYFUNCTION("GOOGLETRANSLATE(English!D2131, ""en"", ""bg"")"),"сетива")</f>
        <v>сетива</v>
      </c>
      <c r="E2131" s="1" t="str">
        <f ca="1">IFERROR(__xludf.DUMMYFUNCTION("GOOGLETRANSLATE(English!E2131, ""en"", ""bg"")"),"Имам нужда от помощ с домашното. Защо сетивата са важни в биологията?")</f>
        <v>Имам нужда от помощ с домашното. Защо сетивата са важни в биологията?</v>
      </c>
      <c r="F2131" s="1" t="str">
        <f ca="1">IFERROR(__xludf.DUMMYFUNCTION("GOOGLETRANSLATE(English!F2131, ""en"", ""bg"")"),"Сетивата са важни, защото ни помагат да разберем живота и как живите същества оцеляват.")</f>
        <v>Сетивата са важни, защото ни помагат да разберем живота и как живите същества оцеляват.</v>
      </c>
      <c r="G2131" s="1" t="str">
        <f ca="1">IFERROR(__xludf.DUMMYFUNCTION("GOOGLETRANSLATE(English!G2131, ""en"", ""bg"")"),"разговор")</f>
        <v>разговор</v>
      </c>
      <c r="H2131" s="1" t="str">
        <f ca="1">IFERROR(__xludf.DUMMYFUNCTION("GOOGLETRANSLATE(English!H2131, ""en"", ""bg"")"),"образователна_помощ")</f>
        <v>образователна_помощ</v>
      </c>
    </row>
    <row r="2132" spans="1:8" ht="13.2" x14ac:dyDescent="0.25">
      <c r="A2132" s="1" t="str">
        <f ca="1">IFERROR(__xludf.DUMMYFUNCTION("GOOGLETRANSLATE(English!A2132, ""en"", ""bg"")"),"conv_10097")</f>
        <v>conv_10097</v>
      </c>
      <c r="B2132" s="1" t="str">
        <f ca="1">IFERROR(__xludf.DUMMYFUNCTION("GOOGLETRANSLATE(English!B2132, ""en"", ""bg"")"),"химия")</f>
        <v>химия</v>
      </c>
      <c r="C2132" s="1" t="str">
        <f ca="1">IFERROR(__xludf.DUMMYFUNCTION("GOOGLETRANSLATE(English!C2132, ""en"", ""bg"")"),"високо")</f>
        <v>високо</v>
      </c>
      <c r="D2132" s="1" t="str">
        <f ca="1">IFERROR(__xludf.DUMMYFUNCTION("GOOGLETRANSLATE(English!D2132, ""en"", ""bg"")"),"електрохимия")</f>
        <v>електрохимия</v>
      </c>
      <c r="E2132" s="1" t="str">
        <f ca="1">IFERROR(__xludf.DUMMYFUNCTION("GOOGLETRANSLATE(English!E2132, ""en"", ""bg"")"),"Имам нужда от помощ с домашното. Какво представлява електрохимията?")</f>
        <v>Имам нужда от помощ с домашното. Какво представлява електрохимията?</v>
      </c>
      <c r="F2132" s="1" t="str">
        <f ca="1">IFERROR(__xludf.DUMMYFUNCTION("GOOGLETRANSLATE(English!F2132,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2132" s="1" t="str">
        <f ca="1">IFERROR(__xludf.DUMMYFUNCTION("GOOGLETRANSLATE(English!G2132, ""en"", ""bg"")"),"разговор")</f>
        <v>разговор</v>
      </c>
      <c r="H2132" s="1" t="str">
        <f ca="1">IFERROR(__xludf.DUMMYFUNCTION("GOOGLETRANSLATE(English!H2132, ""en"", ""bg"")"),"образователна_помощ")</f>
        <v>образователна_помощ</v>
      </c>
    </row>
    <row r="2133" spans="1:8" ht="13.2" x14ac:dyDescent="0.25">
      <c r="A2133" s="1" t="str">
        <f ca="1">IFERROR(__xludf.DUMMYFUNCTION("GOOGLETRANSLATE(English!A2133, ""en"", ""bg"")"),"conv_14482")</f>
        <v>conv_14482</v>
      </c>
      <c r="B2133" s="1" t="str">
        <f ca="1">IFERROR(__xludf.DUMMYFUNCTION("GOOGLETRANSLATE(English!B2133, ""en"", ""bg"")"),"биология")</f>
        <v>биология</v>
      </c>
      <c r="C2133" s="1" t="str">
        <f ca="1">IFERROR(__xludf.DUMMYFUNCTION("GOOGLETRANSLATE(English!C2133, ""en"", ""bg"")"),"високо")</f>
        <v>високо</v>
      </c>
      <c r="D2133" s="1" t="str">
        <f ca="1">IFERROR(__xludf.DUMMYFUNCTION("GOOGLETRANSLATE(English!D2133, ""en"", ""bg"")"),"митоза и мейоза")</f>
        <v>митоза и мейоза</v>
      </c>
      <c r="E2133" s="1" t="str">
        <f ca="1">IFERROR(__xludf.DUMMYFUNCTION("GOOGLETRANSLATE(English!E2133, ""en"", ""bg"")"),"Имам научен въпрос. Защо митозата и мейозата са важни в биологията?")</f>
        <v>Имам научен въпрос. Защо митозата и мейозата са важни в биологията?</v>
      </c>
      <c r="F2133" s="1" t="str">
        <f ca="1">IFERROR(__xludf.DUMMYFUNCTION("GOOGLETRANSLATE(English!F2133,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2133" s="1" t="str">
        <f ca="1">IFERROR(__xludf.DUMMYFUNCTION("GOOGLETRANSLATE(English!G2133, ""en"", ""bg"")"),"разговор")</f>
        <v>разговор</v>
      </c>
      <c r="H2133" s="1" t="str">
        <f ca="1">IFERROR(__xludf.DUMMYFUNCTION("GOOGLETRANSLATE(English!H2133, ""en"", ""bg"")"),"образователна_помощ")</f>
        <v>образователна_помощ</v>
      </c>
    </row>
    <row r="2134" spans="1:8" ht="13.2" x14ac:dyDescent="0.25">
      <c r="A2134" s="1" t="str">
        <f ca="1">IFERROR(__xludf.DUMMYFUNCTION("GOOGLETRANSLATE(English!A2134, ""en"", ""bg"")"),"conv_05279")</f>
        <v>conv_05279</v>
      </c>
      <c r="B2134" s="1" t="str">
        <f ca="1">IFERROR(__xludf.DUMMYFUNCTION("GOOGLETRANSLATE(English!B2134, ""en"", ""bg"")"),"физика")</f>
        <v>физика</v>
      </c>
      <c r="C2134" s="1" t="str">
        <f ca="1">IFERROR(__xludf.DUMMYFUNCTION("GOOGLETRANSLATE(English!C2134, ""en"", ""bg"")"),"средата")</f>
        <v>средата</v>
      </c>
      <c r="D2134" s="1" t="str">
        <f ca="1">IFERROR(__xludf.DUMMYFUNCTION("GOOGLETRANSLATE(English!D2134, ""en"", ""bg"")"),"състояния на материята")</f>
        <v>състояния на материята</v>
      </c>
      <c r="E2134" s="1" t="str">
        <f ca="1">IFERROR(__xludf.DUMMYFUNCTION("GOOGLETRANSLATE(English!E2134, ""en"", ""bg"")"),"Можете ли да ми помогнете? Какво трябва да знам за състоянията на материята?")</f>
        <v>Можете ли да ми помогнете? Какво трябва да знам за състоянията на материята?</v>
      </c>
      <c r="F2134" s="1" t="str">
        <f ca="1">IFERROR(__xludf.DUMMYFUNCTION("GOOGLETRANSLATE(English!F2134,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2134" s="1" t="str">
        <f ca="1">IFERROR(__xludf.DUMMYFUNCTION("GOOGLETRANSLATE(English!G2134, ""en"", ""bg"")"),"разговор")</f>
        <v>разговор</v>
      </c>
      <c r="H2134" s="1" t="str">
        <f ca="1">IFERROR(__xludf.DUMMYFUNCTION("GOOGLETRANSLATE(English!H2134, ""en"", ""bg"")"),"образователна_помощ")</f>
        <v>образователна_помощ</v>
      </c>
    </row>
    <row r="2135" spans="1:8" ht="13.2" x14ac:dyDescent="0.25">
      <c r="A2135" s="1" t="str">
        <f ca="1">IFERROR(__xludf.DUMMYFUNCTION("GOOGLETRANSLATE(English!A2135, ""en"", ""bg"")"),"hw_06391")</f>
        <v>hw_06391</v>
      </c>
      <c r="B2135" s="1" t="str">
        <f ca="1">IFERROR(__xludf.DUMMYFUNCTION("GOOGLETRANSLATE(English!B2135, ""en"", ""bg"")"),"биология")</f>
        <v>биология</v>
      </c>
      <c r="C2135" s="1" t="str">
        <f ca="1">IFERROR(__xludf.DUMMYFUNCTION("GOOGLETRANSLATE(English!C2135, ""en"", ""bg"")"),"средата")</f>
        <v>средата</v>
      </c>
      <c r="D2135" s="1" t="str">
        <f ca="1">IFERROR(__xludf.DUMMYFUNCTION("GOOGLETRANSLATE(English!D2135, ""en"", ""bg"")"),"екосистеми")</f>
        <v>екосистеми</v>
      </c>
      <c r="E2135" s="1" t="str">
        <f ca="1">IFERROR(__xludf.DUMMYFUNCTION("GOOGLETRANSLATE(English!E2135, ""en"", ""bg"")"),"Можете ли да обясните екосистемите за моя научен проект?")</f>
        <v>Можете ли да обясните екосистемите за моя научен проект?</v>
      </c>
      <c r="F2135" s="1" t="str">
        <f ca="1">IFERROR(__xludf.DUMMYFUNCTION("GOOGLETRANSLATE(English!F2135,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2135" s="1" t="str">
        <f ca="1">IFERROR(__xludf.DUMMYFUNCTION("GOOGLETRANSLATE(English!G2135, ""en"", ""bg"")"),"помощ_за_домашно_изпълнение")</f>
        <v>помощ_за_домашно_изпълнение</v>
      </c>
      <c r="H2135" s="1" t="str">
        <f ca="1">IFERROR(__xludf.DUMMYFUNCTION("GOOGLETRANSLATE(English!H2135, ""en"", ""bg"")"),"помощ_за_домашно_задаване")</f>
        <v>помощ_за_домашно_задаване</v>
      </c>
    </row>
    <row r="2136" spans="1:8" ht="13.2" x14ac:dyDescent="0.25">
      <c r="A2136" s="1" t="str">
        <f ca="1">IFERROR(__xludf.DUMMYFUNCTION("GOOGLETRANSLATE(English!A2136, ""en"", ""bg"")"),"hw_08591")</f>
        <v>hw_08591</v>
      </c>
      <c r="B2136" s="1" t="str">
        <f ca="1">IFERROR(__xludf.DUMMYFUNCTION("GOOGLETRANSLATE(English!B2136, ""en"", ""bg"")"),"физика")</f>
        <v>физика</v>
      </c>
      <c r="C2136" s="1" t="str">
        <f ca="1">IFERROR(__xludf.DUMMYFUNCTION("GOOGLETRANSLATE(English!C2136, ""en"", ""bg"")"),"елементарен")</f>
        <v>елементарен</v>
      </c>
      <c r="D2136" s="1" t="str">
        <f ca="1">IFERROR(__xludf.DUMMYFUNCTION("GOOGLETRANSLATE(English!D2136, ""en"", ""bg"")"),"бутане и дърпане")</f>
        <v>бутане и дърпане</v>
      </c>
      <c r="E2136" s="1" t="str">
        <f ca="1">IFERROR(__xludf.DUMMYFUNCTION("GOOGLETRANSLATE(English!E2136,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2136" s="1" t="str">
        <f ca="1">IFERROR(__xludf.DUMMYFUNCTION("GOOGLETRANSLATE(English!F2136,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2136" s="1" t="str">
        <f ca="1">IFERROR(__xludf.DUMMYFUNCTION("GOOGLETRANSLATE(English!G2136, ""en"", ""bg"")"),"помощ_за_домашно_изпълнение")</f>
        <v>помощ_за_домашно_изпълнение</v>
      </c>
      <c r="H2136" s="1" t="str">
        <f ca="1">IFERROR(__xludf.DUMMYFUNCTION("GOOGLETRANSLATE(English!H2136, ""en"", ""bg"")"),"помощ_за_домашно_задаване")</f>
        <v>помощ_за_домашно_задаване</v>
      </c>
    </row>
    <row r="2137" spans="1:8" ht="13.2" x14ac:dyDescent="0.25">
      <c r="A2137" s="1" t="str">
        <f ca="1">IFERROR(__xludf.DUMMYFUNCTION("GOOGLETRANSLATE(English!A2137, ""en"", ""bg"")"),"conv_13773")</f>
        <v>conv_13773</v>
      </c>
      <c r="B2137" s="1" t="str">
        <f ca="1">IFERROR(__xludf.DUMMYFUNCTION("GOOGLETRANSLATE(English!B2137, ""en"", ""bg"")"),"физика")</f>
        <v>физика</v>
      </c>
      <c r="C2137" s="1" t="str">
        <f ca="1">IFERROR(__xludf.DUMMYFUNCTION("GOOGLETRANSLATE(English!C2137, ""en"", ""bg"")"),"средата")</f>
        <v>средата</v>
      </c>
      <c r="D2137" s="1" t="str">
        <f ca="1">IFERROR(__xludf.DUMMYFUNCTION("GOOGLETRANSLATE(English!D2137, ""en"", ""bg"")"),"състояния на материята")</f>
        <v>състояния на материята</v>
      </c>
      <c r="E2137" s="1" t="str">
        <f ca="1">IFERROR(__xludf.DUMMYFUNCTION("GOOGLETRANSLATE(English!E2137, ""en"", ""bg"")"),"Имам нужда от помощ с домашното. Можете ли да ми обясните състоянията на материята?")</f>
        <v>Имам нужда от помощ с домашното. Можете ли да ми обясните състоянията на материята?</v>
      </c>
      <c r="F2137" s="1" t="str">
        <f ca="1">IFERROR(__xludf.DUMMYFUNCTION("GOOGLETRANSLATE(English!F2137,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2137" s="1" t="str">
        <f ca="1">IFERROR(__xludf.DUMMYFUNCTION("GOOGLETRANSLATE(English!G2137, ""en"", ""bg"")"),"разговор")</f>
        <v>разговор</v>
      </c>
      <c r="H2137" s="1" t="str">
        <f ca="1">IFERROR(__xludf.DUMMYFUNCTION("GOOGLETRANSLATE(English!H2137, ""en"", ""bg"")"),"образователна_помощ")</f>
        <v>образователна_помощ</v>
      </c>
    </row>
    <row r="2138" spans="1:8" ht="13.2" x14ac:dyDescent="0.25">
      <c r="A2138" s="1" t="str">
        <f ca="1">IFERROR(__xludf.DUMMYFUNCTION("GOOGLETRANSLATE(English!A2138, ""en"", ""bg"")"),"conv_09794")</f>
        <v>conv_09794</v>
      </c>
      <c r="B2138" s="1" t="str">
        <f ca="1">IFERROR(__xludf.DUMMYFUNCTION("GOOGLETRANSLATE(English!B2138, ""en"", ""bg"")"),"физика")</f>
        <v>физика</v>
      </c>
      <c r="C2138" s="1" t="str">
        <f ca="1">IFERROR(__xludf.DUMMYFUNCTION("GOOGLETRANSLATE(English!C2138, ""en"", ""bg"")"),"високо")</f>
        <v>високо</v>
      </c>
      <c r="D2138" s="1" t="str">
        <f ca="1">IFERROR(__xludf.DUMMYFUNCTION("GOOGLETRANSLATE(English!D2138, ""en"", ""bg"")"),"радиоактивност")</f>
        <v>радиоактивност</v>
      </c>
      <c r="E2138" s="1" t="str">
        <f ca="1">IFERROR(__xludf.DUMMYFUNCTION("GOOGLETRANSLATE(English!E2138, ""en"", ""bg"")"),"Можете ли да ми помогнете? Защо радиоактивността е важна?")</f>
        <v>Можете ли да ми помогнете? Защо радиоактивността е важна?</v>
      </c>
      <c r="F2138" s="1" t="str">
        <f ca="1">IFERROR(__xludf.DUMMYFUNCTION("GOOGLETRANSLATE(English!F2138,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2138" s="1" t="str">
        <f ca="1">IFERROR(__xludf.DUMMYFUNCTION("GOOGLETRANSLATE(English!G2138, ""en"", ""bg"")"),"разговор")</f>
        <v>разговор</v>
      </c>
      <c r="H2138" s="1" t="str">
        <f ca="1">IFERROR(__xludf.DUMMYFUNCTION("GOOGLETRANSLATE(English!H2138, ""en"", ""bg"")"),"образователна_помощ")</f>
        <v>образователна_помощ</v>
      </c>
    </row>
    <row r="2139" spans="1:8" ht="13.2" x14ac:dyDescent="0.25">
      <c r="A2139" s="1" t="str">
        <f ca="1">IFERROR(__xludf.DUMMYFUNCTION("GOOGLETRANSLATE(English!A2139, ""en"", ""bg"")"),"hw_11191")</f>
        <v>hw_11191</v>
      </c>
      <c r="B2139" s="1" t="str">
        <f ca="1">IFERROR(__xludf.DUMMYFUNCTION("GOOGLETRANSLATE(English!B2139, ""en"", ""bg"")"),"физика")</f>
        <v>физика</v>
      </c>
      <c r="C2139" s="1" t="str">
        <f ca="1">IFERROR(__xludf.DUMMYFUNCTION("GOOGLETRANSLATE(English!C2139, ""en"", ""bg"")"),"средата")</f>
        <v>средата</v>
      </c>
      <c r="D2139" s="1" t="str">
        <f ca="1">IFERROR(__xludf.DUMMYFUNCTION("GOOGLETRANSLATE(English!D2139, ""en"", ""bg"")"),"видове енергия")</f>
        <v>видове енергия</v>
      </c>
      <c r="E2139" s="1" t="str">
        <f ca="1">IFERROR(__xludf.DUMMYFUNCTION("GOOGLETRANSLATE(English!E2139, ""en"", ""bg"")"),"Домашното ми по физика е за видовете енергия. Объркващо е!")</f>
        <v>Домашното ми по физика е за видовете енергия. Объркващо е!</v>
      </c>
      <c r="F2139" s="1" t="str">
        <f ca="1">IFERROR(__xludf.DUMMYFUNCTION("GOOGLETRANSLATE(English!F2139,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139" s="1" t="str">
        <f ca="1">IFERROR(__xludf.DUMMYFUNCTION("GOOGLETRANSLATE(English!G2139, ""en"", ""bg"")"),"помощ_за_домашно_изпълнение")</f>
        <v>помощ_за_домашно_изпълнение</v>
      </c>
      <c r="H2139" s="1" t="str">
        <f ca="1">IFERROR(__xludf.DUMMYFUNCTION("GOOGLETRANSLATE(English!H2139, ""en"", ""bg"")"),"помощ_за_домашно_задаване")</f>
        <v>помощ_за_домашно_задаване</v>
      </c>
    </row>
    <row r="2140" spans="1:8" ht="13.2" x14ac:dyDescent="0.25">
      <c r="A2140" s="1" t="str">
        <f ca="1">IFERROR(__xludf.DUMMYFUNCTION("GOOGLETRANSLATE(English!A2140, ""en"", ""bg"")"),"conv_08549")</f>
        <v>conv_08549</v>
      </c>
      <c r="B2140" s="1" t="str">
        <f ca="1">IFERROR(__xludf.DUMMYFUNCTION("GOOGLETRANSLATE(English!B2140, ""en"", ""bg"")"),"биология")</f>
        <v>биология</v>
      </c>
      <c r="C2140" s="1" t="str">
        <f ca="1">IFERROR(__xludf.DUMMYFUNCTION("GOOGLETRANSLATE(English!C2140, ""en"", ""bg"")"),"елементарен")</f>
        <v>елементарен</v>
      </c>
      <c r="D2140" s="1" t="str">
        <f ca="1">IFERROR(__xludf.DUMMYFUNCTION("GOOGLETRANSLATE(English!D2140, ""en"", ""bg"")"),"местообитания")</f>
        <v>местообитания</v>
      </c>
      <c r="E2140" s="1" t="str">
        <f ca="1">IFERROR(__xludf.DUMMYFUNCTION("GOOGLETRANSLATE(English!E2140, ""en"", ""bg"")"),"Помогни ми да уча за теста. Можеш ли да ми разкажеш за местообитанията?")</f>
        <v>Помогни ми да уча за теста. Можеш ли да ми разкажеш за местообитанията?</v>
      </c>
      <c r="F2140" s="1" t="str">
        <f ca="1">IFERROR(__xludf.DUMMYFUNCTION("GOOGLETRANSLATE(English!F2140,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2140" s="1" t="str">
        <f ca="1">IFERROR(__xludf.DUMMYFUNCTION("GOOGLETRANSLATE(English!G2140, ""en"", ""bg"")"),"разговор")</f>
        <v>разговор</v>
      </c>
      <c r="H2140" s="1" t="str">
        <f ca="1">IFERROR(__xludf.DUMMYFUNCTION("GOOGLETRANSLATE(English!H2140, ""en"", ""bg"")"),"образователна_помощ")</f>
        <v>образователна_помощ</v>
      </c>
    </row>
    <row r="2141" spans="1:8" ht="13.2" x14ac:dyDescent="0.25">
      <c r="A2141" s="1" t="str">
        <f ca="1">IFERROR(__xludf.DUMMYFUNCTION("GOOGLETRANSLATE(English!A2141, ""en"", ""bg"")"),"conv_04893")</f>
        <v>conv_04893</v>
      </c>
      <c r="B2141" s="1" t="str">
        <f ca="1">IFERROR(__xludf.DUMMYFUNCTION("GOOGLETRANSLATE(English!B2141, ""en"", ""bg"")"),"химия")</f>
        <v>химия</v>
      </c>
      <c r="C2141" s="1" t="str">
        <f ca="1">IFERROR(__xludf.DUMMYFUNCTION("GOOGLETRANSLATE(English!C2141, ""en"", ""bg"")"),"високо")</f>
        <v>високо</v>
      </c>
      <c r="D2141" s="1" t="str">
        <f ca="1">IFERROR(__xludf.DUMMYFUNCTION("GOOGLETRANSLATE(English!D2141, ""en"", ""bg"")"),"органична химия")</f>
        <v>органична химия</v>
      </c>
      <c r="E2141" s="1" t="str">
        <f ca="1">IFERROR(__xludf.DUMMYFUNCTION("GOOGLETRANSLATE(English!E2141, ""en"", ""bg"")"),"Имам научен въпрос. Защо е важно да се учи органична химия?")</f>
        <v>Имам научен въпрос. Защо е важно да се учи органична химия?</v>
      </c>
      <c r="F2141" s="1" t="str">
        <f ca="1">IFERROR(__xludf.DUMMYFUNCTION("GOOGLETRANSLATE(English!F2141,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2141" s="1" t="str">
        <f ca="1">IFERROR(__xludf.DUMMYFUNCTION("GOOGLETRANSLATE(English!G2141, ""en"", ""bg"")"),"разговор")</f>
        <v>разговор</v>
      </c>
      <c r="H2141" s="1" t="str">
        <f ca="1">IFERROR(__xludf.DUMMYFUNCTION("GOOGLETRANSLATE(English!H2141, ""en"", ""bg"")"),"образователна_помощ")</f>
        <v>образователна_помощ</v>
      </c>
    </row>
    <row r="2142" spans="1:8" ht="13.2" x14ac:dyDescent="0.25">
      <c r="A2142" s="1" t="str">
        <f ca="1">IFERROR(__xludf.DUMMYFUNCTION("GOOGLETRANSLATE(English!A2142, ""en"", ""bg"")"),"hw_01773")</f>
        <v>hw_01773</v>
      </c>
      <c r="B2142" s="1" t="str">
        <f ca="1">IFERROR(__xludf.DUMMYFUNCTION("GOOGLETRANSLATE(English!B2142, ""en"", ""bg"")"),"биология")</f>
        <v>биология</v>
      </c>
      <c r="C2142" s="1" t="str">
        <f ca="1">IFERROR(__xludf.DUMMYFUNCTION("GOOGLETRANSLATE(English!C2142, ""en"", ""bg"")"),"високо")</f>
        <v>високо</v>
      </c>
      <c r="D2142" s="1" t="str">
        <f ca="1">IFERROR(__xludf.DUMMYFUNCTION("GOOGLETRANSLATE(English!D2142, ""en"", ""bg"")"),"клетъчно дишане")</f>
        <v>клетъчно дишане</v>
      </c>
      <c r="E2142" s="1" t="str">
        <f ca="1">IFERROR(__xludf.DUMMYFUNCTION("GOOGLETRANSLATE(English!E2142, ""en"", ""bg"")"),"Утре имам тест по клетъчно дишане. Помогни ми да уча!")</f>
        <v>Утре имам тест по клетъчно дишане. Помогни ми да уча!</v>
      </c>
      <c r="F2142" s="1" t="str">
        <f ca="1">IFERROR(__xludf.DUMMYFUNCTION("GOOGLETRANSLATE(English!F2142,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142" s="1" t="str">
        <f ca="1">IFERROR(__xludf.DUMMYFUNCTION("GOOGLETRANSLATE(English!G2142, ""en"", ""bg"")"),"помощ_за_домашно_изпълнение")</f>
        <v>помощ_за_домашно_изпълнение</v>
      </c>
      <c r="H2142" s="1" t="str">
        <f ca="1">IFERROR(__xludf.DUMMYFUNCTION("GOOGLETRANSLATE(English!H2142, ""en"", ""bg"")"),"помощ_за_домашно_задаване")</f>
        <v>помощ_за_домашно_задаване</v>
      </c>
    </row>
    <row r="2143" spans="1:8" ht="13.2" x14ac:dyDescent="0.25">
      <c r="A2143" s="1" t="str">
        <f ca="1">IFERROR(__xludf.DUMMYFUNCTION("GOOGLETRANSLATE(English!A2143, ""en"", ""bg"")"),"hw_05448")</f>
        <v>hw_05448</v>
      </c>
      <c r="B2143" s="1" t="str">
        <f ca="1">IFERROR(__xludf.DUMMYFUNCTION("GOOGLETRANSLATE(English!B2143, ""en"", ""bg"")"),"физика")</f>
        <v>физика</v>
      </c>
      <c r="C2143" s="1" t="str">
        <f ca="1">IFERROR(__xludf.DUMMYFUNCTION("GOOGLETRANSLATE(English!C2143, ""en"", ""bg"")"),"високо")</f>
        <v>високо</v>
      </c>
      <c r="D2143" s="1" t="str">
        <f ca="1">IFERROR(__xludf.DUMMYFUNCTION("GOOGLETRANSLATE(English!D2143, ""en"", ""bg"")"),"радиоактивност")</f>
        <v>радиоактивност</v>
      </c>
      <c r="E2143" s="1" t="str">
        <f ca="1">IFERROR(__xludf.DUMMYFUNCTION("GOOGLETRANSLATE(English!E2143,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2143" s="1" t="str">
        <f ca="1">IFERROR(__xludf.DUMMYFUNCTION("GOOGLETRANSLATE(English!F2143,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2143" s="1" t="str">
        <f ca="1">IFERROR(__xludf.DUMMYFUNCTION("GOOGLETRANSLATE(English!G2143, ""en"", ""bg"")"),"помощ_за_домашно_изпълнение")</f>
        <v>помощ_за_домашно_изпълнение</v>
      </c>
      <c r="H2143" s="1" t="str">
        <f ca="1">IFERROR(__xludf.DUMMYFUNCTION("GOOGLETRANSLATE(English!H2143, ""en"", ""bg"")"),"помощ_за_домашно_задаване")</f>
        <v>помощ_за_домашно_задаване</v>
      </c>
    </row>
    <row r="2144" spans="1:8" ht="13.2" x14ac:dyDescent="0.25">
      <c r="A2144" s="1" t="str">
        <f ca="1">IFERROR(__xludf.DUMMYFUNCTION("GOOGLETRANSLATE(English!A2144, ""en"", ""bg"")"),"qa_06067")</f>
        <v>qa_06067</v>
      </c>
      <c r="B2144" s="1" t="str">
        <f ca="1">IFERROR(__xludf.DUMMYFUNCTION("GOOGLETRANSLATE(English!B2144, ""en"", ""bg"")"),"физика")</f>
        <v>физика</v>
      </c>
      <c r="C2144" s="1" t="str">
        <f ca="1">IFERROR(__xludf.DUMMYFUNCTION("GOOGLETRANSLATE(English!C2144, ""en"", ""bg"")"),"високо")</f>
        <v>високо</v>
      </c>
      <c r="D2144" s="1" t="str">
        <f ca="1">IFERROR(__xludf.DUMMYFUNCTION("GOOGLETRANSLATE(English!D2144, ""en"", ""bg"")"),"термодинамика")</f>
        <v>термодинамика</v>
      </c>
      <c r="E2144" s="1" t="str">
        <f ca="1">IFERROR(__xludf.DUMMYFUNCTION("GOOGLETRANSLATE(English!E2144, ""en"", ""bg"")"),"Можете ли да ми обясните термодинамиката?")</f>
        <v>Можете ли да ми обясните термодинамиката?</v>
      </c>
      <c r="F2144" s="1" t="str">
        <f ca="1">IFERROR(__xludf.DUMMYFUNCTION("GOOGLETRANSLATE(English!F2144,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2144" s="1" t="str">
        <f ca="1">IFERROR(__xludf.DUMMYFUNCTION("GOOGLETRANSLATE(English!G2144, ""en"", ""bg"")"),"direct_qa")</f>
        <v>direct_qa</v>
      </c>
      <c r="H2144" s="1" t="str">
        <f ca="1">IFERROR(__xludf.DUMMYFUNCTION("GOOGLETRANSLATE(English!H2144, ""en"", ""bg"")"),"заявка_за_знание")</f>
        <v>заявка_за_знание</v>
      </c>
    </row>
    <row r="2145" spans="1:8" ht="13.2" x14ac:dyDescent="0.25">
      <c r="A2145" s="1" t="str">
        <f ca="1">IFERROR(__xludf.DUMMYFUNCTION("GOOGLETRANSLATE(English!A2145, ""en"", ""bg"")"),"qa_02785")</f>
        <v>qa_02785</v>
      </c>
      <c r="B2145" s="1" t="str">
        <f ca="1">IFERROR(__xludf.DUMMYFUNCTION("GOOGLETRANSLATE(English!B2145, ""en"", ""bg"")"),"физика")</f>
        <v>физика</v>
      </c>
      <c r="C2145" s="1" t="str">
        <f ca="1">IFERROR(__xludf.DUMMYFUNCTION("GOOGLETRANSLATE(English!C2145, ""en"", ""bg"")"),"високо")</f>
        <v>високо</v>
      </c>
      <c r="D2145" s="1" t="str">
        <f ca="1">IFERROR(__xludf.DUMMYFUNCTION("GOOGLETRANSLATE(English!D2145, ""en"", ""bg"")"),"атомна структура")</f>
        <v>атомна структура</v>
      </c>
      <c r="E2145" s="1" t="str">
        <f ca="1">IFERROR(__xludf.DUMMYFUNCTION("GOOGLETRANSLATE(English!E2145, ""en"", ""bg"")"),"Как работи атомната структура във физиката?")</f>
        <v>Как работи атомната структура във физиката?</v>
      </c>
      <c r="F2145" s="1" t="str">
        <f ca="1">IFERROR(__xludf.DUMMYFUNCTION("GOOGLETRANSLATE(English!F2145,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2145" s="1" t="str">
        <f ca="1">IFERROR(__xludf.DUMMYFUNCTION("GOOGLETRANSLATE(English!G2145, ""en"", ""bg"")"),"direct_qa")</f>
        <v>direct_qa</v>
      </c>
      <c r="H2145" s="1" t="str">
        <f ca="1">IFERROR(__xludf.DUMMYFUNCTION("GOOGLETRANSLATE(English!H2145, ""en"", ""bg"")"),"заявка_за_знание")</f>
        <v>заявка_за_знание</v>
      </c>
    </row>
    <row r="2146" spans="1:8" ht="13.2" x14ac:dyDescent="0.25">
      <c r="A2146" s="1" t="str">
        <f ca="1">IFERROR(__xludf.DUMMYFUNCTION("GOOGLETRANSLATE(English!A2146, ""en"", ""bg"")"),"qa_05898")</f>
        <v>qa_05898</v>
      </c>
      <c r="B2146" s="1" t="str">
        <f ca="1">IFERROR(__xludf.DUMMYFUNCTION("GOOGLETRANSLATE(English!B2146, ""en"", ""bg"")"),"физика")</f>
        <v>физика</v>
      </c>
      <c r="C2146" s="1" t="str">
        <f ca="1">IFERROR(__xludf.DUMMYFUNCTION("GOOGLETRANSLATE(English!C2146, ""en"", ""bg"")"),"елементарен")</f>
        <v>елементарен</v>
      </c>
      <c r="D2146" s="1" t="str">
        <f ca="1">IFERROR(__xludf.DUMMYFUNCTION("GOOGLETRANSLATE(English!D2146, ""en"", ""bg"")"),"звук")</f>
        <v>звук</v>
      </c>
      <c r="E2146" s="1" t="str">
        <f ca="1">IFERROR(__xludf.DUMMYFUNCTION("GOOGLETRANSLATE(English!E2146, ""en"", ""bg"")"),"Как работи звукът във физиката?")</f>
        <v>Как работи звукът във физиката?</v>
      </c>
      <c r="F2146" s="1" t="str">
        <f ca="1">IFERROR(__xludf.DUMMYFUNCTION("GOOGLETRANSLATE(English!F2146,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146" s="1" t="str">
        <f ca="1">IFERROR(__xludf.DUMMYFUNCTION("GOOGLETRANSLATE(English!G2146, ""en"", ""bg"")"),"direct_qa")</f>
        <v>direct_qa</v>
      </c>
      <c r="H2146" s="1" t="str">
        <f ca="1">IFERROR(__xludf.DUMMYFUNCTION("GOOGLETRANSLATE(English!H2146, ""en"", ""bg"")"),"заявка_за_знание")</f>
        <v>заявка_за_знание</v>
      </c>
    </row>
    <row r="2147" spans="1:8" ht="13.2" x14ac:dyDescent="0.25">
      <c r="A2147" s="1" t="str">
        <f ca="1">IFERROR(__xludf.DUMMYFUNCTION("GOOGLETRANSLATE(English!A2147, ""en"", ""bg"")"),"qa_12238")</f>
        <v>qa_12238</v>
      </c>
      <c r="B2147" s="1" t="str">
        <f ca="1">IFERROR(__xludf.DUMMYFUNCTION("GOOGLETRANSLATE(English!B2147, ""en"", ""bg"")"),"биология")</f>
        <v>биология</v>
      </c>
      <c r="C2147" s="1" t="str">
        <f ca="1">IFERROR(__xludf.DUMMYFUNCTION("GOOGLETRANSLATE(English!C2147, ""en"", ""bg"")"),"високо")</f>
        <v>високо</v>
      </c>
      <c r="D2147" s="1" t="str">
        <f ca="1">IFERROR(__xludf.DUMMYFUNCTION("GOOGLETRANSLATE(English!D2147, ""en"", ""bg"")"),"Структура на ДНК")</f>
        <v>Структура на ДНК</v>
      </c>
      <c r="E2147" s="1" t="str">
        <f ca="1">IFERROR(__xludf.DUMMYFUNCTION("GOOGLETRANSLATE(English!E2147, ""en"", ""bg"")"),"Какво е важно да знаем за структурата на ДНК?")</f>
        <v>Какво е важно да знаем за структурата на ДНК?</v>
      </c>
      <c r="F2147" s="1" t="str">
        <f ca="1">IFERROR(__xludf.DUMMYFUNCTION("GOOGLETRANSLATE(English!F2147,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2147" s="1" t="str">
        <f ca="1">IFERROR(__xludf.DUMMYFUNCTION("GOOGLETRANSLATE(English!G2147, ""en"", ""bg"")"),"direct_qa")</f>
        <v>direct_qa</v>
      </c>
      <c r="H2147" s="1" t="str">
        <f ca="1">IFERROR(__xludf.DUMMYFUNCTION("GOOGLETRANSLATE(English!H2147, ""en"", ""bg"")"),"заявка_за_знание")</f>
        <v>заявка_за_знание</v>
      </c>
    </row>
    <row r="2148" spans="1:8" ht="13.2" x14ac:dyDescent="0.25">
      <c r="A2148" s="1" t="str">
        <f ca="1">IFERROR(__xludf.DUMMYFUNCTION("GOOGLETRANSLATE(English!A2148, ""en"", ""bg"")"),"hw_00040")</f>
        <v>hw_00040</v>
      </c>
      <c r="B2148" s="1" t="str">
        <f ca="1">IFERROR(__xludf.DUMMYFUNCTION("GOOGLETRANSLATE(English!B2148, ""en"", ""bg"")"),"физика")</f>
        <v>физика</v>
      </c>
      <c r="C2148" s="1" t="str">
        <f ca="1">IFERROR(__xludf.DUMMYFUNCTION("GOOGLETRANSLATE(English!C2148, ""en"", ""bg"")"),"средата")</f>
        <v>средата</v>
      </c>
      <c r="D2148" s="1" t="str">
        <f ca="1">IFERROR(__xludf.DUMMYFUNCTION("GOOGLETRANSLATE(English!D2148, ""en"", ""bg"")"),"основи на електричеството")</f>
        <v>основи на електричеството</v>
      </c>
      <c r="E2148" s="1" t="str">
        <f ca="1">IFERROR(__xludf.DUMMYFUNCTION("GOOGLETRANSLATE(English!E2148, ""en"", ""bg"")"),"Можете ли да решите този въпрос по основи на електричеството с мен?")</f>
        <v>Можете ли да решите този въпрос по основи на електричеството с мен?</v>
      </c>
      <c r="F2148" s="1" t="str">
        <f ca="1">IFERROR(__xludf.DUMMYFUNCTION("GOOGLETRANSLATE(English!F2148,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2148" s="1" t="str">
        <f ca="1">IFERROR(__xludf.DUMMYFUNCTION("GOOGLETRANSLATE(English!G2148, ""en"", ""bg"")"),"помощ_за_домашно_изпълнение")</f>
        <v>помощ_за_домашно_изпълнение</v>
      </c>
      <c r="H2148" s="1" t="str">
        <f ca="1">IFERROR(__xludf.DUMMYFUNCTION("GOOGLETRANSLATE(English!H2148, ""en"", ""bg"")"),"помощ_за_домашно_задаване")</f>
        <v>помощ_за_домашно_задаване</v>
      </c>
    </row>
    <row r="2149" spans="1:8" ht="13.2" x14ac:dyDescent="0.25">
      <c r="A2149" s="1" t="str">
        <f ca="1">IFERROR(__xludf.DUMMYFUNCTION("GOOGLETRANSLATE(English!A2149, ""en"", ""bg"")"),"qa_08413")</f>
        <v>qa_08413</v>
      </c>
      <c r="B2149" s="1" t="str">
        <f ca="1">IFERROR(__xludf.DUMMYFUNCTION("GOOGLETRANSLATE(English!B2149, ""en"", ""bg"")"),"химия")</f>
        <v>химия</v>
      </c>
      <c r="C2149" s="1" t="str">
        <f ca="1">IFERROR(__xludf.DUMMYFUNCTION("GOOGLETRANSLATE(English!C2149, ""en"", ""bg"")"),"елементарен")</f>
        <v>елементарен</v>
      </c>
      <c r="D2149" s="1" t="str">
        <f ca="1">IFERROR(__xludf.DUMMYFUNCTION("GOOGLETRANSLATE(English!D2149, ""en"", ""bg"")"),"безопасност")</f>
        <v>безопасност</v>
      </c>
      <c r="E2149" s="1" t="str">
        <f ca="1">IFERROR(__xludf.DUMMYFUNCTION("GOOGLETRANSLATE(English!E2149, ""en"", ""bg"")"),"Можете ли да ми помогнете да разбера безопасността?")</f>
        <v>Можете ли да ми помогнете да разбера безопасността?</v>
      </c>
      <c r="F2149" s="1" t="str">
        <f ca="1">IFERROR(__xludf.DUMMYFUNCTION("GOOGLETRANSLATE(English!F2149,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2149" s="1" t="str">
        <f ca="1">IFERROR(__xludf.DUMMYFUNCTION("GOOGLETRANSLATE(English!G2149, ""en"", ""bg"")"),"direct_qa")</f>
        <v>direct_qa</v>
      </c>
      <c r="H2149" s="1" t="str">
        <f ca="1">IFERROR(__xludf.DUMMYFUNCTION("GOOGLETRANSLATE(English!H2149, ""en"", ""bg"")"),"заявка_за_знание")</f>
        <v>заявка_за_знание</v>
      </c>
    </row>
    <row r="2150" spans="1:8" ht="13.2" x14ac:dyDescent="0.25">
      <c r="A2150" s="1" t="str">
        <f ca="1">IFERROR(__xludf.DUMMYFUNCTION("GOOGLETRANSLATE(English!A2150, ""en"", ""bg"")"),"hw_13800")</f>
        <v>hw_13800</v>
      </c>
      <c r="B2150" s="1" t="str">
        <f ca="1">IFERROR(__xludf.DUMMYFUNCTION("GOOGLETRANSLATE(English!B2150, ""en"", ""bg"")"),"физика")</f>
        <v>физика</v>
      </c>
      <c r="C2150" s="1" t="str">
        <f ca="1">IFERROR(__xludf.DUMMYFUNCTION("GOOGLETRANSLATE(English!C2150, ""en"", ""bg"")"),"средата")</f>
        <v>средата</v>
      </c>
      <c r="D2150" s="1" t="str">
        <f ca="1">IFERROR(__xludf.DUMMYFUNCTION("GOOGLETRANSLATE(English!D2150, ""en"", ""bg"")"),"състояния на материята")</f>
        <v>състояния на материята</v>
      </c>
      <c r="E2150" s="1" t="str">
        <f ca="1">IFERROR(__xludf.DUMMYFUNCTION("GOOGLETRANSLATE(English!E2150, ""en"", ""bg"")"),"Трябва да разбера състоянията на материята за изпита си.")</f>
        <v>Трябва да разбера състоянията на материята за изпита си.</v>
      </c>
      <c r="F2150" s="1" t="str">
        <f ca="1">IFERROR(__xludf.DUMMYFUNCTION("GOOGLETRANSLATE(English!F2150,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2150" s="1" t="str">
        <f ca="1">IFERROR(__xludf.DUMMYFUNCTION("GOOGLETRANSLATE(English!G2150, ""en"", ""bg"")"),"помощ_за_домашно_изпълнение")</f>
        <v>помощ_за_домашно_изпълнение</v>
      </c>
      <c r="H2150" s="1" t="str">
        <f ca="1">IFERROR(__xludf.DUMMYFUNCTION("GOOGLETRANSLATE(English!H2150, ""en"", ""bg"")"),"помощ_за_домашно_задаване")</f>
        <v>помощ_за_домашно_задаване</v>
      </c>
    </row>
    <row r="2151" spans="1:8" ht="13.2" x14ac:dyDescent="0.25">
      <c r="A2151" s="1" t="str">
        <f ca="1">IFERROR(__xludf.DUMMYFUNCTION("GOOGLETRANSLATE(English!A2151, ""en"", ""bg"")"),"hw_08966")</f>
        <v>hw_08966</v>
      </c>
      <c r="B2151" s="1" t="str">
        <f ca="1">IFERROR(__xludf.DUMMYFUNCTION("GOOGLETRANSLATE(English!B2151, ""en"", ""bg"")"),"физика")</f>
        <v>физика</v>
      </c>
      <c r="C2151" s="1" t="str">
        <f ca="1">IFERROR(__xludf.DUMMYFUNCTION("GOOGLETRANSLATE(English!C2151, ""en"", ""bg"")"),"елементарен")</f>
        <v>елементарен</v>
      </c>
      <c r="D2151" s="1" t="str">
        <f ca="1">IFERROR(__xludf.DUMMYFUNCTION("GOOGLETRANSLATE(English!D2151, ""en"", ""bg"")"),"прости машини")</f>
        <v>прости машини</v>
      </c>
      <c r="E2151" s="1" t="str">
        <f ca="1">IFERROR(__xludf.DUMMYFUNCTION("GOOGLETRANSLATE(English!E2151, ""en"", ""bg"")"),"Домашното ми по физика е за прости машини. Объркващо е!")</f>
        <v>Домашното ми по физика е за прости машини. Объркващо е!</v>
      </c>
      <c r="F2151" s="1" t="str">
        <f ca="1">IFERROR(__xludf.DUMMYFUNCTION("GOOGLETRANSLATE(English!F2151,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2151" s="1" t="str">
        <f ca="1">IFERROR(__xludf.DUMMYFUNCTION("GOOGLETRANSLATE(English!G2151, ""en"", ""bg"")"),"помощ_за_домашно_изпълнение")</f>
        <v>помощ_за_домашно_изпълнение</v>
      </c>
      <c r="H2151" s="1" t="str">
        <f ca="1">IFERROR(__xludf.DUMMYFUNCTION("GOOGLETRANSLATE(English!H2151, ""en"", ""bg"")"),"помощ_за_домашно_задаване")</f>
        <v>помощ_за_домашно_задаване</v>
      </c>
    </row>
    <row r="2152" spans="1:8" ht="13.2" x14ac:dyDescent="0.25">
      <c r="A2152" s="1" t="str">
        <f ca="1">IFERROR(__xludf.DUMMYFUNCTION("GOOGLETRANSLATE(English!A2152, ""en"", ""bg"")"),"conv_05315")</f>
        <v>conv_05315</v>
      </c>
      <c r="B2152" s="1" t="str">
        <f ca="1">IFERROR(__xludf.DUMMYFUNCTION("GOOGLETRANSLATE(English!B2152, ""en"", ""bg"")"),"биология")</f>
        <v>биология</v>
      </c>
      <c r="C2152" s="1" t="str">
        <f ca="1">IFERROR(__xludf.DUMMYFUNCTION("GOOGLETRANSLATE(English!C2152, ""en"", ""bg"")"),"елементарен")</f>
        <v>елементарен</v>
      </c>
      <c r="D2152" s="1" t="str">
        <f ca="1">IFERROR(__xludf.DUMMYFUNCTION("GOOGLETRANSLATE(English!D2152, ""en"", ""bg"")"),"жизнени цикли")</f>
        <v>жизнени цикли</v>
      </c>
      <c r="E2152" s="1" t="str">
        <f ca="1">IFERROR(__xludf.DUMMYFUNCTION("GOOGLETRANSLATE(English!E2152, ""en"", ""bg"")"),"Можете ли да ми помогнете? Какво е важно да знаем за жизнените цикли?")</f>
        <v>Можете ли да ми помогнете? Какво е важно да знаем за жизнените цикли?</v>
      </c>
      <c r="F2152" s="1" t="str">
        <f ca="1">IFERROR(__xludf.DUMMYFUNCTION("GOOGLETRANSLATE(English!F2152,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2152" s="1" t="str">
        <f ca="1">IFERROR(__xludf.DUMMYFUNCTION("GOOGLETRANSLATE(English!G2152, ""en"", ""bg"")"),"разговор")</f>
        <v>разговор</v>
      </c>
      <c r="H2152" s="1" t="str">
        <f ca="1">IFERROR(__xludf.DUMMYFUNCTION("GOOGLETRANSLATE(English!H2152, ""en"", ""bg"")"),"образователна_помощ")</f>
        <v>образователна_помощ</v>
      </c>
    </row>
    <row r="2153" spans="1:8" ht="13.2" x14ac:dyDescent="0.25">
      <c r="A2153" s="1" t="str">
        <f ca="1">IFERROR(__xludf.DUMMYFUNCTION("GOOGLETRANSLATE(English!A2153, ""en"", ""bg"")"),"conv_06307")</f>
        <v>conv_06307</v>
      </c>
      <c r="B2153" s="1" t="str">
        <f ca="1">IFERROR(__xludf.DUMMYFUNCTION("GOOGLETRANSLATE(English!B2153, ""en"", ""bg"")"),"физика")</f>
        <v>физика</v>
      </c>
      <c r="C2153" s="1" t="str">
        <f ca="1">IFERROR(__xludf.DUMMYFUNCTION("GOOGLETRANSLATE(English!C2153, ""en"", ""bg"")"),"елементарен")</f>
        <v>елементарен</v>
      </c>
      <c r="D2153" s="1" t="str">
        <f ca="1">IFERROR(__xludf.DUMMYFUNCTION("GOOGLETRANSLATE(English!D2153, ""en"", ""bg"")"),"бутане и дърпане")</f>
        <v>бутане и дърпане</v>
      </c>
      <c r="E2153" s="1" t="str">
        <f ca="1">IFERROR(__xludf.DUMMYFUNCTION("GOOGLETRANSLATE(English!E2153, ""en"", ""bg"")"),"Здравей, преподавателю! Какво трябва да знам за бутането и дърпането?")</f>
        <v>Здравей, преподавателю! Какво трябва да знам за бутането и дърпането?</v>
      </c>
      <c r="F2153" s="1" t="str">
        <f ca="1">IFERROR(__xludf.DUMMYFUNCTION("GOOGLETRANSLATE(English!F2153,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2153" s="1" t="str">
        <f ca="1">IFERROR(__xludf.DUMMYFUNCTION("GOOGLETRANSLATE(English!G2153, ""en"", ""bg"")"),"разговор")</f>
        <v>разговор</v>
      </c>
      <c r="H2153" s="1" t="str">
        <f ca="1">IFERROR(__xludf.DUMMYFUNCTION("GOOGLETRANSLATE(English!H2153, ""en"", ""bg"")"),"образователна_помощ")</f>
        <v>образователна_помощ</v>
      </c>
    </row>
    <row r="2154" spans="1:8" ht="13.2" x14ac:dyDescent="0.25">
      <c r="A2154" s="1" t="str">
        <f ca="1">IFERROR(__xludf.DUMMYFUNCTION("GOOGLETRANSLATE(English!A2154, ""en"", ""bg"")"),"qa_10850")</f>
        <v>qa_10850</v>
      </c>
      <c r="B2154" s="1" t="str">
        <f ca="1">IFERROR(__xludf.DUMMYFUNCTION("GOOGLETRANSLATE(English!B2154, ""en"", ""bg"")"),"химия")</f>
        <v>химия</v>
      </c>
      <c r="C2154" s="1" t="str">
        <f ca="1">IFERROR(__xludf.DUMMYFUNCTION("GOOGLETRANSLATE(English!C2154, ""en"", ""bg"")"),"средата")</f>
        <v>средата</v>
      </c>
      <c r="D2154" s="1" t="str">
        <f ca="1">IFERROR(__xludf.DUMMYFUNCTION("GOOGLETRANSLATE(English!D2154, ""en"", ""bg"")"),"основи на периодичната таблица")</f>
        <v>основи на периодичната таблица</v>
      </c>
      <c r="E2154" s="1" t="str">
        <f ca="1">IFERROR(__xludf.DUMMYFUNCTION("GOOGLETRANSLATE(English!E2154,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2154" s="1" t="str">
        <f ca="1">IFERROR(__xludf.DUMMYFUNCTION("GOOGLETRANSLATE(English!F2154,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2154" s="1" t="str">
        <f ca="1">IFERROR(__xludf.DUMMYFUNCTION("GOOGLETRANSLATE(English!G2154, ""en"", ""bg"")"),"direct_qa")</f>
        <v>direct_qa</v>
      </c>
      <c r="H2154" s="1" t="str">
        <f ca="1">IFERROR(__xludf.DUMMYFUNCTION("GOOGLETRANSLATE(English!H2154, ""en"", ""bg"")"),"заявка_за_знание")</f>
        <v>заявка_за_знание</v>
      </c>
    </row>
    <row r="2155" spans="1:8" ht="13.2" x14ac:dyDescent="0.25">
      <c r="A2155" s="1" t="str">
        <f ca="1">IFERROR(__xludf.DUMMYFUNCTION("GOOGLETRANSLATE(English!A2155, ""en"", ""bg"")"),"qa_11177")</f>
        <v>qa_11177</v>
      </c>
      <c r="B2155" s="1" t="str">
        <f ca="1">IFERROR(__xludf.DUMMYFUNCTION("GOOGLETRANSLATE(English!B2155, ""en"", ""bg"")"),"биология")</f>
        <v>биология</v>
      </c>
      <c r="C2155" s="1" t="str">
        <f ca="1">IFERROR(__xludf.DUMMYFUNCTION("GOOGLETRANSLATE(English!C2155, ""en"", ""bg"")"),"високо")</f>
        <v>високо</v>
      </c>
      <c r="D2155" s="1" t="str">
        <f ca="1">IFERROR(__xludf.DUMMYFUNCTION("GOOGLETRANSLATE(English!D2155, ""en"", ""bg"")"),"синтез на протеини")</f>
        <v>синтез на протеини</v>
      </c>
      <c r="E2155" s="1" t="str">
        <f ca="1">IFERROR(__xludf.DUMMYFUNCTION("GOOGLETRANSLATE(English!E2155, ""en"", ""bg"")"),"Можете ли да ми разкажете за синтеза на протеини?")</f>
        <v>Можете ли да ми разкажете за синтеза на протеини?</v>
      </c>
      <c r="F2155" s="1" t="str">
        <f ca="1">IFERROR(__xludf.DUMMYFUNCTION("GOOGLETRANSLATE(English!F2155,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2155" s="1" t="str">
        <f ca="1">IFERROR(__xludf.DUMMYFUNCTION("GOOGLETRANSLATE(English!G2155, ""en"", ""bg"")"),"direct_qa")</f>
        <v>direct_qa</v>
      </c>
      <c r="H2155" s="1" t="str">
        <f ca="1">IFERROR(__xludf.DUMMYFUNCTION("GOOGLETRANSLATE(English!H2155, ""en"", ""bg"")"),"заявка_за_знание")</f>
        <v>заявка_за_знание</v>
      </c>
    </row>
    <row r="2156" spans="1:8" ht="13.2" x14ac:dyDescent="0.25">
      <c r="A2156" s="1" t="str">
        <f ca="1">IFERROR(__xludf.DUMMYFUNCTION("GOOGLETRANSLATE(English!A2156, ""en"", ""bg"")"),"qa_07627")</f>
        <v>qa_07627</v>
      </c>
      <c r="B2156" s="1" t="str">
        <f ca="1">IFERROR(__xludf.DUMMYFUNCTION("GOOGLETRANSLATE(English!B2156, ""en"", ""bg"")"),"химия")</f>
        <v>химия</v>
      </c>
      <c r="C2156" s="1" t="str">
        <f ca="1">IFERROR(__xludf.DUMMYFUNCTION("GOOGLETRANSLATE(English!C2156, ""en"", ""bg"")"),"високо")</f>
        <v>високо</v>
      </c>
      <c r="D2156" s="1" t="str">
        <f ca="1">IFERROR(__xludf.DUMMYFUNCTION("GOOGLETRANSLATE(English!D2156, ""en"", ""bg"")"),"електрохимия")</f>
        <v>електрохимия</v>
      </c>
      <c r="E2156" s="1" t="str">
        <f ca="1">IFERROR(__xludf.DUMMYFUNCTION("GOOGLETRANSLATE(English!E2156, ""en"", ""bg"")"),"Какво представлява електрохимията?")</f>
        <v>Какво представлява електрохимията?</v>
      </c>
      <c r="F2156" s="1" t="str">
        <f ca="1">IFERROR(__xludf.DUMMYFUNCTION("GOOGLETRANSLATE(English!F2156,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2156" s="1" t="str">
        <f ca="1">IFERROR(__xludf.DUMMYFUNCTION("GOOGLETRANSLATE(English!G2156, ""en"", ""bg"")"),"direct_qa")</f>
        <v>direct_qa</v>
      </c>
      <c r="H2156" s="1" t="str">
        <f ca="1">IFERROR(__xludf.DUMMYFUNCTION("GOOGLETRANSLATE(English!H2156, ""en"", ""bg"")"),"заявка_за_знание")</f>
        <v>заявка_за_знание</v>
      </c>
    </row>
    <row r="2157" spans="1:8" ht="13.2" x14ac:dyDescent="0.25">
      <c r="A2157" s="1" t="str">
        <f ca="1">IFERROR(__xludf.DUMMYFUNCTION("GOOGLETRANSLATE(English!A2157, ""en"", ""bg"")"),"conv_12722")</f>
        <v>conv_12722</v>
      </c>
      <c r="B2157" s="1" t="str">
        <f ca="1">IFERROR(__xludf.DUMMYFUNCTION("GOOGLETRANSLATE(English!B2157, ""en"", ""bg"")"),"химия")</f>
        <v>химия</v>
      </c>
      <c r="C2157" s="1" t="str">
        <f ca="1">IFERROR(__xludf.DUMMYFUNCTION("GOOGLETRANSLATE(English!C2157, ""en"", ""bg"")"),"елементарен")</f>
        <v>елементарен</v>
      </c>
      <c r="D2157" s="1" t="str">
        <f ca="1">IFERROR(__xludf.DUMMYFUNCTION("GOOGLETRANSLATE(English!D2157, ""en"", ""bg"")"),"безопасност")</f>
        <v>безопасност</v>
      </c>
      <c r="E2157" s="1" t="str">
        <f ca="1">IFERROR(__xludf.DUMMYFUNCTION("GOOGLETRANSLATE(English!E2157, ""en"", ""bg"")"),"Помогнете ми да уча за теста си. Защо е важно да се учим с безопасност?")</f>
        <v>Помогнете ми да уча за теста си. Защо е важно да се учим с безопасност?</v>
      </c>
      <c r="F2157" s="1" t="str">
        <f ca="1">IFERROR(__xludf.DUMMYFUNCTION("GOOGLETRANSLATE(English!F2157,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2157" s="1" t="str">
        <f ca="1">IFERROR(__xludf.DUMMYFUNCTION("GOOGLETRANSLATE(English!G2157, ""en"", ""bg"")"),"разговор")</f>
        <v>разговор</v>
      </c>
      <c r="H2157" s="1" t="str">
        <f ca="1">IFERROR(__xludf.DUMMYFUNCTION("GOOGLETRANSLATE(English!H2157, ""en"", ""bg"")"),"образователна_помощ")</f>
        <v>образователна_помощ</v>
      </c>
    </row>
    <row r="2158" spans="1:8" ht="13.2" x14ac:dyDescent="0.25">
      <c r="A2158" s="1" t="str">
        <f ca="1">IFERROR(__xludf.DUMMYFUNCTION("GOOGLETRANSLATE(English!A2158, ""en"", ""bg"")"),"conv_18520")</f>
        <v>conv_18520</v>
      </c>
      <c r="B2158" s="1" t="str">
        <f ca="1">IFERROR(__xludf.DUMMYFUNCTION("GOOGLETRANSLATE(English!B2158, ""en"", ""bg"")"),"химия")</f>
        <v>химия</v>
      </c>
      <c r="C2158" s="1" t="str">
        <f ca="1">IFERROR(__xludf.DUMMYFUNCTION("GOOGLETRANSLATE(English!C2158, ""en"", ""bg"")"),"елементарен")</f>
        <v>елементарен</v>
      </c>
      <c r="D2158" s="1" t="str">
        <f ca="1">IFERROR(__xludf.DUMMYFUNCTION("GOOGLETRANSLATE(English!D2158, ""en"", ""bg"")"),"твърди вещества, течности, газове")</f>
        <v>твърди вещества, течности, газове</v>
      </c>
      <c r="E2158" s="1" t="str">
        <f ca="1">IFERROR(__xludf.DUMMYFUNCTION("GOOGLETRANSLATE(English!E2158, ""en"", ""bg"")"),"Имам научен въпрос. Кои са трите агрегатни състояния на материята?")</f>
        <v>Имам научен въпрос. Кои са трите агрегатни състояния на материята?</v>
      </c>
      <c r="F2158" s="1" t="str">
        <f ca="1">IFERROR(__xludf.DUMMYFUNCTION("GOOGLETRANSLATE(English!F2158,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2158" s="1" t="str">
        <f ca="1">IFERROR(__xludf.DUMMYFUNCTION("GOOGLETRANSLATE(English!G2158, ""en"", ""bg"")"),"разговор")</f>
        <v>разговор</v>
      </c>
      <c r="H2158" s="1" t="str">
        <f ca="1">IFERROR(__xludf.DUMMYFUNCTION("GOOGLETRANSLATE(English!H2158, ""en"", ""bg"")"),"образователна_помощ")</f>
        <v>образователна_помощ</v>
      </c>
    </row>
    <row r="2159" spans="1:8" ht="13.2" x14ac:dyDescent="0.25">
      <c r="A2159" s="1" t="str">
        <f ca="1">IFERROR(__xludf.DUMMYFUNCTION("GOOGLETRANSLATE(English!A2159, ""en"", ""bg"")"),"qa_06977")</f>
        <v>qa_06977</v>
      </c>
      <c r="B2159" s="1" t="str">
        <f ca="1">IFERROR(__xludf.DUMMYFUNCTION("GOOGLETRANSLATE(English!B2159, ""en"", ""bg"")"),"химия")</f>
        <v>химия</v>
      </c>
      <c r="C2159" s="1" t="str">
        <f ca="1">IFERROR(__xludf.DUMMYFUNCTION("GOOGLETRANSLATE(English!C2159, ""en"", ""bg"")"),"средата")</f>
        <v>средата</v>
      </c>
      <c r="D2159" s="1" t="str">
        <f ca="1">IFERROR(__xludf.DUMMYFUNCTION("GOOGLETRANSLATE(English!D2159, ""en"", ""bg"")"),"химични реакции")</f>
        <v>химични реакции</v>
      </c>
      <c r="E2159" s="1" t="str">
        <f ca="1">IFERROR(__xludf.DUMMYFUNCTION("GOOGLETRANSLATE(English!E2159, ""en"", ""bg"")"),"Какво е химична реакция?")</f>
        <v>Какво е химична реакция?</v>
      </c>
      <c r="F2159" s="1" t="str">
        <f ca="1">IFERROR(__xludf.DUMMYFUNCTION("GOOGLETRANSLATE(English!F2159,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2159" s="1" t="str">
        <f ca="1">IFERROR(__xludf.DUMMYFUNCTION("GOOGLETRANSLATE(English!G2159, ""en"", ""bg"")"),"direct_qa")</f>
        <v>direct_qa</v>
      </c>
      <c r="H2159" s="1" t="str">
        <f ca="1">IFERROR(__xludf.DUMMYFUNCTION("GOOGLETRANSLATE(English!H2159, ""en"", ""bg"")"),"заявка_за_знание")</f>
        <v>заявка_за_знание</v>
      </c>
    </row>
    <row r="2160" spans="1:8" ht="13.2" x14ac:dyDescent="0.25">
      <c r="A2160" s="1" t="str">
        <f ca="1">IFERROR(__xludf.DUMMYFUNCTION("GOOGLETRANSLATE(English!A2160, ""en"", ""bg"")"),"conv_02051")</f>
        <v>conv_02051</v>
      </c>
      <c r="B2160" s="1" t="str">
        <f ca="1">IFERROR(__xludf.DUMMYFUNCTION("GOOGLETRANSLATE(English!B2160, ""en"", ""bg"")"),"химия")</f>
        <v>химия</v>
      </c>
      <c r="C2160" s="1" t="str">
        <f ca="1">IFERROR(__xludf.DUMMYFUNCTION("GOOGLETRANSLATE(English!C2160, ""en"", ""bg"")"),"високо")</f>
        <v>високо</v>
      </c>
      <c r="D2160" s="1" t="str">
        <f ca="1">IFERROR(__xludf.DUMMYFUNCTION("GOOGLETRANSLATE(English!D2160, ""en"", ""bg"")"),"органична химия")</f>
        <v>органична химия</v>
      </c>
      <c r="E2160" s="1" t="str">
        <f ca="1">IFERROR(__xludf.DUMMYFUNCTION("GOOGLETRANSLATE(English!E2160, ""en"", ""bg"")"),"Помогнете ми да уча за теста. Какво представлява органичната химия?")</f>
        <v>Помогнете ми да уча за теста. Какво представлява органичната химия?</v>
      </c>
      <c r="F2160" s="1" t="str">
        <f ca="1">IFERROR(__xludf.DUMMYFUNCTION("GOOGLETRANSLATE(English!F2160,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2160" s="1" t="str">
        <f ca="1">IFERROR(__xludf.DUMMYFUNCTION("GOOGLETRANSLATE(English!G2160, ""en"", ""bg"")"),"разговор")</f>
        <v>разговор</v>
      </c>
      <c r="H2160" s="1" t="str">
        <f ca="1">IFERROR(__xludf.DUMMYFUNCTION("GOOGLETRANSLATE(English!H2160, ""en"", ""bg"")"),"образователна_помощ")</f>
        <v>образователна_помощ</v>
      </c>
    </row>
    <row r="2161" spans="1:8" ht="13.2" x14ac:dyDescent="0.25">
      <c r="A2161" s="1" t="str">
        <f ca="1">IFERROR(__xludf.DUMMYFUNCTION("GOOGLETRANSLATE(English!A2161, ""en"", ""bg"")"),"conv_13747")</f>
        <v>conv_13747</v>
      </c>
      <c r="B2161" s="1" t="str">
        <f ca="1">IFERROR(__xludf.DUMMYFUNCTION("GOOGLETRANSLATE(English!B2161, ""en"", ""bg"")"),"химия")</f>
        <v>химия</v>
      </c>
      <c r="C2161" s="1" t="str">
        <f ca="1">IFERROR(__xludf.DUMMYFUNCTION("GOOGLETRANSLATE(English!C2161, ""en"", ""bg"")"),"средата")</f>
        <v>средата</v>
      </c>
      <c r="D2161" s="1" t="str">
        <f ca="1">IFERROR(__xludf.DUMMYFUNCTION("GOOGLETRANSLATE(English!D2161, ""en"", ""bg"")"),"съединения срещу елементи")</f>
        <v>съединения срещу елементи</v>
      </c>
      <c r="E2161" s="1" t="str">
        <f ca="1">IFERROR(__xludf.DUMMYFUNCTION("GOOGLETRANSLATE(English!E2161, ""en"", ""bg"")"),"Помогнете ми да уча за теста. Можете ли да ми помогнете да разбера по-добре съединенията спрямо елементите?")</f>
        <v>Помогнете ми да уча за теста. Можете ли да ми помогнете да разбера по-добре съединенията спрямо елементите?</v>
      </c>
      <c r="F2161" s="1" t="str">
        <f ca="1">IFERROR(__xludf.DUMMYFUNCTION("GOOGLETRANSLATE(English!F2161,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2161" s="1" t="str">
        <f ca="1">IFERROR(__xludf.DUMMYFUNCTION("GOOGLETRANSLATE(English!G2161, ""en"", ""bg"")"),"разговор")</f>
        <v>разговор</v>
      </c>
      <c r="H2161" s="1" t="str">
        <f ca="1">IFERROR(__xludf.DUMMYFUNCTION("GOOGLETRANSLATE(English!H2161, ""en"", ""bg"")"),"образователна_помощ")</f>
        <v>образователна_помощ</v>
      </c>
    </row>
    <row r="2162" spans="1:8" ht="13.2" x14ac:dyDescent="0.25">
      <c r="A2162" s="1" t="str">
        <f ca="1">IFERROR(__xludf.DUMMYFUNCTION("GOOGLETRANSLATE(English!A2162, ""en"", ""bg"")"),"qa_09344")</f>
        <v>qa_09344</v>
      </c>
      <c r="B2162" s="1" t="str">
        <f ca="1">IFERROR(__xludf.DUMMYFUNCTION("GOOGLETRANSLATE(English!B2162, ""en"", ""bg"")"),"химия")</f>
        <v>химия</v>
      </c>
      <c r="C2162" s="1" t="str">
        <f ca="1">IFERROR(__xludf.DUMMYFUNCTION("GOOGLETRANSLATE(English!C2162, ""en"", ""bg"")"),"елементарен")</f>
        <v>елементарен</v>
      </c>
      <c r="D2162" s="1" t="str">
        <f ca="1">IFERROR(__xludf.DUMMYFUNCTION("GOOGLETRANSLATE(English!D2162, ""en"", ""bg"")"),"промени в материалите")</f>
        <v>промени в материалите</v>
      </c>
      <c r="E2162" s="1" t="str">
        <f ca="1">IFERROR(__xludf.DUMMYFUNCTION("GOOGLETRANSLATE(English!E2162, ""en"", ""bg"")"),"Какво представляват промените в материалите?")</f>
        <v>Какво представляват промените в материалите?</v>
      </c>
      <c r="F2162" s="1" t="str">
        <f ca="1">IFERROR(__xludf.DUMMYFUNCTION("GOOGLETRANSLATE(English!F2162,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2162" s="1" t="str">
        <f ca="1">IFERROR(__xludf.DUMMYFUNCTION("GOOGLETRANSLATE(English!G2162, ""en"", ""bg"")"),"direct_qa")</f>
        <v>direct_qa</v>
      </c>
      <c r="H2162" s="1" t="str">
        <f ca="1">IFERROR(__xludf.DUMMYFUNCTION("GOOGLETRANSLATE(English!H2162, ""en"", ""bg"")"),"заявка_за_знание")</f>
        <v>заявка_за_знание</v>
      </c>
    </row>
    <row r="2163" spans="1:8" ht="13.2" x14ac:dyDescent="0.25">
      <c r="A2163" s="1" t="str">
        <f ca="1">IFERROR(__xludf.DUMMYFUNCTION("GOOGLETRANSLATE(English!A2163, ""en"", ""bg"")"),"qa_12056")</f>
        <v>qa_12056</v>
      </c>
      <c r="B2163" s="1" t="str">
        <f ca="1">IFERROR(__xludf.DUMMYFUNCTION("GOOGLETRANSLATE(English!B2163, ""en"", ""bg"")"),"химия")</f>
        <v>химия</v>
      </c>
      <c r="C2163" s="1" t="str">
        <f ca="1">IFERROR(__xludf.DUMMYFUNCTION("GOOGLETRANSLATE(English!C2163, ""en"", ""bg"")"),"елементарен")</f>
        <v>елементарен</v>
      </c>
      <c r="D2163" s="1" t="str">
        <f ca="1">IFERROR(__xludf.DUMMYFUNCTION("GOOGLETRANSLATE(English!D2163, ""en"", ""bg"")"),"безопасност")</f>
        <v>безопасност</v>
      </c>
      <c r="E2163" s="1" t="str">
        <f ca="1">IFERROR(__xludf.DUMMYFUNCTION("GOOGLETRANSLATE(English!E2163, ""en"", ""bg"")"),"Как работи безопасността в химията?")</f>
        <v>Как работи безопасността в химията?</v>
      </c>
      <c r="F2163" s="1" t="str">
        <f ca="1">IFERROR(__xludf.DUMMYFUNCTION("GOOGLETRANSLATE(English!F2163,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2163" s="1" t="str">
        <f ca="1">IFERROR(__xludf.DUMMYFUNCTION("GOOGLETRANSLATE(English!G2163, ""en"", ""bg"")"),"direct_qa")</f>
        <v>direct_qa</v>
      </c>
      <c r="H2163" s="1" t="str">
        <f ca="1">IFERROR(__xludf.DUMMYFUNCTION("GOOGLETRANSLATE(English!H2163, ""en"", ""bg"")"),"заявка_за_знание")</f>
        <v>заявка_за_знание</v>
      </c>
    </row>
    <row r="2164" spans="1:8" ht="13.2" x14ac:dyDescent="0.25">
      <c r="A2164" s="1" t="str">
        <f ca="1">IFERROR(__xludf.DUMMYFUNCTION("GOOGLETRANSLATE(English!A2164, ""en"", ""bg"")"),"conv_02507")</f>
        <v>conv_02507</v>
      </c>
      <c r="B2164" s="1" t="str">
        <f ca="1">IFERROR(__xludf.DUMMYFUNCTION("GOOGLETRANSLATE(English!B2164, ""en"", ""bg"")"),"химия")</f>
        <v>химия</v>
      </c>
      <c r="C2164" s="1" t="str">
        <f ca="1">IFERROR(__xludf.DUMMYFUNCTION("GOOGLETRANSLATE(English!C2164, ""en"", ""bg"")"),"елементарен")</f>
        <v>елементарен</v>
      </c>
      <c r="D2164" s="1" t="str">
        <f ca="1">IFERROR(__xludf.DUMMYFUNCTION("GOOGLETRANSLATE(English!D2164, ""en"", ""bg"")"),"безопасност")</f>
        <v>безопасност</v>
      </c>
      <c r="E2164" s="1" t="str">
        <f ca="1">IFERROR(__xludf.DUMMYFUNCTION("GOOGLETRANSLATE(English!E2164, ""en"", ""bg"")"),"Можете ли да ми обясните това? Защо е важно да се учим на безопасността?")</f>
        <v>Можете ли да ми обясните това? Защо е важно да се учим на безопасността?</v>
      </c>
      <c r="F2164" s="1" t="str">
        <f ca="1">IFERROR(__xludf.DUMMYFUNCTION("GOOGLETRANSLATE(English!F2164,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2164" s="1" t="str">
        <f ca="1">IFERROR(__xludf.DUMMYFUNCTION("GOOGLETRANSLATE(English!G2164, ""en"", ""bg"")"),"разговор")</f>
        <v>разговор</v>
      </c>
      <c r="H2164" s="1" t="str">
        <f ca="1">IFERROR(__xludf.DUMMYFUNCTION("GOOGLETRANSLATE(English!H2164, ""en"", ""bg"")"),"образователна_помощ")</f>
        <v>образователна_помощ</v>
      </c>
    </row>
    <row r="2165" spans="1:8" ht="13.2" x14ac:dyDescent="0.25">
      <c r="A2165" s="1" t="str">
        <f ca="1">IFERROR(__xludf.DUMMYFUNCTION("GOOGLETRANSLATE(English!A2165, ""en"", ""bg"")"),"qa_08941")</f>
        <v>qa_08941</v>
      </c>
      <c r="B2165" s="1" t="str">
        <f ca="1">IFERROR(__xludf.DUMMYFUNCTION("GOOGLETRANSLATE(English!B2165, ""en"", ""bg"")"),"физика")</f>
        <v>физика</v>
      </c>
      <c r="C2165" s="1" t="str">
        <f ca="1">IFERROR(__xludf.DUMMYFUNCTION("GOOGLETRANSLATE(English!C2165, ""en"", ""bg"")"),"елементарен")</f>
        <v>елементарен</v>
      </c>
      <c r="D2165" s="1" t="str">
        <f ca="1">IFERROR(__xludf.DUMMYFUNCTION("GOOGLETRANSLATE(English!D2165, ""en"", ""bg"")"),"светлина и сянка")</f>
        <v>светлина и сянка</v>
      </c>
      <c r="E2165" s="1" t="str">
        <f ca="1">IFERROR(__xludf.DUMMYFUNCTION("GOOGLETRANSLATE(English!E2165, ""en"", ""bg"")"),"Какво се случва, когато светлината попадне в огледало?")</f>
        <v>Какво се случва, когато светлината попадне в огледало?</v>
      </c>
      <c r="F2165" s="1" t="str">
        <f ca="1">IFERROR(__xludf.DUMMYFUNCTION("GOOGLETRANSLATE(English!F2165,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2165" s="1" t="str">
        <f ca="1">IFERROR(__xludf.DUMMYFUNCTION("GOOGLETRANSLATE(English!G2165, ""en"", ""bg"")"),"direct_qa")</f>
        <v>direct_qa</v>
      </c>
      <c r="H2165" s="1" t="str">
        <f ca="1">IFERROR(__xludf.DUMMYFUNCTION("GOOGLETRANSLATE(English!H2165, ""en"", ""bg"")"),"заявка_за_знание")</f>
        <v>заявка_за_знание</v>
      </c>
    </row>
    <row r="2166" spans="1:8" ht="13.2" x14ac:dyDescent="0.25">
      <c r="A2166" s="1" t="str">
        <f ca="1">IFERROR(__xludf.DUMMYFUNCTION("GOOGLETRANSLATE(English!A2166, ""en"", ""bg"")"),"qa_01736")</f>
        <v>qa_01736</v>
      </c>
      <c r="B2166" s="1" t="str">
        <f ca="1">IFERROR(__xludf.DUMMYFUNCTION("GOOGLETRANSLATE(English!B2166, ""en"", ""bg"")"),"физика")</f>
        <v>физика</v>
      </c>
      <c r="C2166" s="1" t="str">
        <f ca="1">IFERROR(__xludf.DUMMYFUNCTION("GOOGLETRANSLATE(English!C2166, ""en"", ""bg"")"),"високо")</f>
        <v>високо</v>
      </c>
      <c r="D2166" s="1" t="str">
        <f ca="1">IFERROR(__xludf.DUMMYFUNCTION("GOOGLETRANSLATE(English!D2166, ""en"", ""bg"")"),"оптика")</f>
        <v>оптика</v>
      </c>
      <c r="E2166" s="1" t="str">
        <f ca="1">IFERROR(__xludf.DUMMYFUNCTION("GOOGLETRANSLATE(English!E2166, ""en"", ""bg"")"),"Какво трябва да знам за оптиката?")</f>
        <v>Какво трябва да знам за оптиката?</v>
      </c>
      <c r="F2166" s="1" t="str">
        <f ca="1">IFERROR(__xludf.DUMMYFUNCTION("GOOGLETRANSLATE(English!F2166,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2166" s="1" t="str">
        <f ca="1">IFERROR(__xludf.DUMMYFUNCTION("GOOGLETRANSLATE(English!G2166, ""en"", ""bg"")"),"direct_qa")</f>
        <v>direct_qa</v>
      </c>
      <c r="H2166" s="1" t="str">
        <f ca="1">IFERROR(__xludf.DUMMYFUNCTION("GOOGLETRANSLATE(English!H2166, ""en"", ""bg"")"),"заявка_за_знание")</f>
        <v>заявка_за_знание</v>
      </c>
    </row>
    <row r="2167" spans="1:8" ht="13.2" x14ac:dyDescent="0.25">
      <c r="A2167" s="1" t="str">
        <f ca="1">IFERROR(__xludf.DUMMYFUNCTION("GOOGLETRANSLATE(English!A2167, ""en"", ""bg"")"),"conv_07840")</f>
        <v>conv_07840</v>
      </c>
      <c r="B2167" s="1" t="str">
        <f ca="1">IFERROR(__xludf.DUMMYFUNCTION("GOOGLETRANSLATE(English!B2167, ""en"", ""bg"")"),"химия")</f>
        <v>химия</v>
      </c>
      <c r="C2167" s="1" t="str">
        <f ca="1">IFERROR(__xludf.DUMMYFUNCTION("GOOGLETRANSLATE(English!C2167, ""en"", ""bg"")"),"елементарен")</f>
        <v>елементарен</v>
      </c>
      <c r="D2167" s="1" t="str">
        <f ca="1">IFERROR(__xludf.DUMMYFUNCTION("GOOGLETRANSLATE(English!D2167, ""en"", ""bg"")"),"смесване на материали")</f>
        <v>смесване на материали</v>
      </c>
      <c r="E2167" s="1" t="str">
        <f ca="1">IFERROR(__xludf.DUMMYFUNCTION("GOOGLETRANSLATE(English!E2167, ""en"", ""bg"")"),"Можете ли да ми помогнете? Какво е решение?")</f>
        <v>Можете ли да ми помогнете? Какво е решение?</v>
      </c>
      <c r="F2167" s="1" t="str">
        <f ca="1">IFERROR(__xludf.DUMMYFUNCTION("GOOGLETRANSLATE(English!F2167,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2167" s="1" t="str">
        <f ca="1">IFERROR(__xludf.DUMMYFUNCTION("GOOGLETRANSLATE(English!G2167, ""en"", ""bg"")"),"разговор")</f>
        <v>разговор</v>
      </c>
      <c r="H2167" s="1" t="str">
        <f ca="1">IFERROR(__xludf.DUMMYFUNCTION("GOOGLETRANSLATE(English!H2167, ""en"", ""bg"")"),"образователна_помощ")</f>
        <v>образователна_помощ</v>
      </c>
    </row>
    <row r="2168" spans="1:8" ht="13.2" x14ac:dyDescent="0.25">
      <c r="A2168" s="1" t="str">
        <f ca="1">IFERROR(__xludf.DUMMYFUNCTION("GOOGLETRANSLATE(English!A2168, ""en"", ""bg"")"),"hw_05791")</f>
        <v>hw_05791</v>
      </c>
      <c r="B2168" s="1" t="str">
        <f ca="1">IFERROR(__xludf.DUMMYFUNCTION("GOOGLETRANSLATE(English!B2168, ""en"", ""bg"")"),"биология")</f>
        <v>биология</v>
      </c>
      <c r="C2168" s="1" t="str">
        <f ca="1">IFERROR(__xludf.DUMMYFUNCTION("GOOGLETRANSLATE(English!C2168, ""en"", ""bg"")"),"високо")</f>
        <v>високо</v>
      </c>
      <c r="D2168" s="1" t="str">
        <f ca="1">IFERROR(__xludf.DUMMYFUNCTION("GOOGLETRANSLATE(English!D2168, ""en"", ""bg"")"),"модели на наследяване")</f>
        <v>модели на наследяване</v>
      </c>
      <c r="E2168" s="1" t="str">
        <f ca="1">IFERROR(__xludf.DUMMYFUNCTION("GOOGLETRANSLATE(English!E2168, ""en"", ""bg"")"),"Трябва да напиша доклад за моделите на наследяване. Можете ли да ми помогнете да започна?")</f>
        <v>Трябва да напиша доклад за моделите на наследяване. Можете ли да ми помогнете да започна?</v>
      </c>
      <c r="F2168" s="1" t="str">
        <f ca="1">IFERROR(__xludf.DUMMYFUNCTION("GOOGLETRANSLATE(English!F2168,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2168" s="1" t="str">
        <f ca="1">IFERROR(__xludf.DUMMYFUNCTION("GOOGLETRANSLATE(English!G2168, ""en"", ""bg"")"),"помощ_за_домашно_изпълнение")</f>
        <v>помощ_за_домашно_изпълнение</v>
      </c>
      <c r="H2168" s="1" t="str">
        <f ca="1">IFERROR(__xludf.DUMMYFUNCTION("GOOGLETRANSLATE(English!H2168, ""en"", ""bg"")"),"помощ_за_домашно_задаване")</f>
        <v>помощ_за_домашно_задаване</v>
      </c>
    </row>
    <row r="2169" spans="1:8" ht="13.2" x14ac:dyDescent="0.25">
      <c r="A2169" s="1" t="str">
        <f ca="1">IFERROR(__xludf.DUMMYFUNCTION("GOOGLETRANSLATE(English!A2169, ""en"", ""bg"")"),"conv_02199")</f>
        <v>conv_02199</v>
      </c>
      <c r="B2169" s="1" t="str">
        <f ca="1">IFERROR(__xludf.DUMMYFUNCTION("GOOGLETRANSLATE(English!B2169, ""en"", ""bg"")"),"химия")</f>
        <v>химия</v>
      </c>
      <c r="C2169" s="1" t="str">
        <f ca="1">IFERROR(__xludf.DUMMYFUNCTION("GOOGLETRANSLATE(English!C2169, ""en"", ""bg"")"),"елементарен")</f>
        <v>елементарен</v>
      </c>
      <c r="D2169" s="1" t="str">
        <f ca="1">IFERROR(__xludf.DUMMYFUNCTION("GOOGLETRANSLATE(English!D2169, ""en"", ""bg"")"),"промени в материалите")</f>
        <v>промени в материалите</v>
      </c>
      <c r="E2169" s="1" t="str">
        <f ca="1">IFERROR(__xludf.DUMMYFUNCTION("GOOGLETRANSLATE(English!E2169, ""en"", ""bg"")"),"Можете ли да ми помогнете? Как протичат промените в материалите в химията?")</f>
        <v>Можете ли да ми помогнете? Как протичат промените в материалите в химията?</v>
      </c>
      <c r="F2169" s="1" t="str">
        <f ca="1">IFERROR(__xludf.DUMMYFUNCTION("GOOGLETRANSLATE(English!F2169,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2169" s="1" t="str">
        <f ca="1">IFERROR(__xludf.DUMMYFUNCTION("GOOGLETRANSLATE(English!G2169, ""en"", ""bg"")"),"разговор")</f>
        <v>разговор</v>
      </c>
      <c r="H2169" s="1" t="str">
        <f ca="1">IFERROR(__xludf.DUMMYFUNCTION("GOOGLETRANSLATE(English!H2169, ""en"", ""bg"")"),"образователна_помощ")</f>
        <v>образователна_помощ</v>
      </c>
    </row>
    <row r="2170" spans="1:8" ht="13.2" x14ac:dyDescent="0.25">
      <c r="A2170" s="1" t="str">
        <f ca="1">IFERROR(__xludf.DUMMYFUNCTION("GOOGLETRANSLATE(English!A2170, ""en"", ""bg"")"),"qa_13317")</f>
        <v>qa_13317</v>
      </c>
      <c r="B2170" s="1" t="str">
        <f ca="1">IFERROR(__xludf.DUMMYFUNCTION("GOOGLETRANSLATE(English!B2170, ""en"", ""bg"")"),"физика")</f>
        <v>физика</v>
      </c>
      <c r="C2170" s="1" t="str">
        <f ca="1">IFERROR(__xludf.DUMMYFUNCTION("GOOGLETRANSLATE(English!C2170, ""en"", ""bg"")"),"елементарен")</f>
        <v>елементарен</v>
      </c>
      <c r="D2170" s="1" t="str">
        <f ca="1">IFERROR(__xludf.DUMMYFUNCTION("GOOGLETRANSLATE(English!D2170, ""en"", ""bg"")"),"горещо и студено")</f>
        <v>горещо и студено</v>
      </c>
      <c r="E2170" s="1" t="str">
        <f ca="1">IFERROR(__xludf.DUMMYFUNCTION("GOOGLETRANSLATE(English!E2170, ""en"", ""bg"")"),"Какво трябва да знам за топлото и студеното?")</f>
        <v>Какво трябва да знам за топлото и студеното?</v>
      </c>
      <c r="F2170" s="1" t="str">
        <f ca="1">IFERROR(__xludf.DUMMYFUNCTION("GOOGLETRANSLATE(English!F2170,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2170" s="1" t="str">
        <f ca="1">IFERROR(__xludf.DUMMYFUNCTION("GOOGLETRANSLATE(English!G2170, ""en"", ""bg"")"),"direct_qa")</f>
        <v>direct_qa</v>
      </c>
      <c r="H2170" s="1" t="str">
        <f ca="1">IFERROR(__xludf.DUMMYFUNCTION("GOOGLETRANSLATE(English!H2170, ""en"", ""bg"")"),"заявка_за_знание")</f>
        <v>заявка_за_знание</v>
      </c>
    </row>
    <row r="2171" spans="1:8" ht="13.2" x14ac:dyDescent="0.25">
      <c r="A2171" s="1" t="str">
        <f ca="1">IFERROR(__xludf.DUMMYFUNCTION("GOOGLETRANSLATE(English!A2171, ""en"", ""bg"")"),"qa_00844")</f>
        <v>qa_00844</v>
      </c>
      <c r="B2171" s="1" t="str">
        <f ca="1">IFERROR(__xludf.DUMMYFUNCTION("GOOGLETRANSLATE(English!B2171, ""en"", ""bg"")"),"биология")</f>
        <v>биология</v>
      </c>
      <c r="C2171" s="1" t="str">
        <f ca="1">IFERROR(__xludf.DUMMYFUNCTION("GOOGLETRANSLATE(English!C2171, ""en"", ""bg"")"),"високо")</f>
        <v>високо</v>
      </c>
      <c r="D2171" s="1" t="str">
        <f ca="1">IFERROR(__xludf.DUMMYFUNCTION("GOOGLETRANSLATE(English!D2171, ""en"", ""bg"")"),"молекулярна биология")</f>
        <v>молекулярна биология</v>
      </c>
      <c r="E2171" s="1" t="str">
        <f ca="1">IFERROR(__xludf.DUMMYFUNCTION("GOOGLETRANSLATE(English!E2171, ""en"", ""bg"")"),"Можете ли да ми разкажете за молекулярната биология?")</f>
        <v>Можете ли да ми разкажете за молекулярната биология?</v>
      </c>
      <c r="F2171" s="1" t="str">
        <f ca="1">IFERROR(__xludf.DUMMYFUNCTION("GOOGLETRANSLATE(English!F2171,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2171" s="1" t="str">
        <f ca="1">IFERROR(__xludf.DUMMYFUNCTION("GOOGLETRANSLATE(English!G2171, ""en"", ""bg"")"),"direct_qa")</f>
        <v>direct_qa</v>
      </c>
      <c r="H2171" s="1" t="str">
        <f ca="1">IFERROR(__xludf.DUMMYFUNCTION("GOOGLETRANSLATE(English!H2171, ""en"", ""bg"")"),"заявка_за_знание")</f>
        <v>заявка_за_знание</v>
      </c>
    </row>
    <row r="2172" spans="1:8" ht="13.2" x14ac:dyDescent="0.25">
      <c r="A2172" s="1" t="str">
        <f ca="1">IFERROR(__xludf.DUMMYFUNCTION("GOOGLETRANSLATE(English!A2172, ""en"", ""bg"")"),"conv_01160")</f>
        <v>conv_01160</v>
      </c>
      <c r="B2172" s="1" t="str">
        <f ca="1">IFERROR(__xludf.DUMMYFUNCTION("GOOGLETRANSLATE(English!B2172, ""en"", ""bg"")"),"химия")</f>
        <v>химия</v>
      </c>
      <c r="C2172" s="1" t="str">
        <f ca="1">IFERROR(__xludf.DUMMYFUNCTION("GOOGLETRANSLATE(English!C2172, ""en"", ""bg"")"),"елементарен")</f>
        <v>елементарен</v>
      </c>
      <c r="D2172" s="1" t="str">
        <f ca="1">IFERROR(__xludf.DUMMYFUNCTION("GOOGLETRANSLATE(English!D2172, ""en"", ""bg"")"),"разтваряне")</f>
        <v>разтваряне</v>
      </c>
      <c r="E2172" s="1" t="str">
        <f ca="1">IFERROR(__xludf.DUMMYFUNCTION("GOOGLETRANSLATE(English!E2172, ""en"", ""bg"")"),"Не разбирам тази тема. Защо е важно да се учи разтварянето?")</f>
        <v>Не разбирам тази тема. Защо е важно да се учи разтварянето?</v>
      </c>
      <c r="F2172" s="1" t="str">
        <f ca="1">IFERROR(__xludf.DUMMYFUNCTION("GOOGLETRANSLATE(English!F2172,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2172" s="1" t="str">
        <f ca="1">IFERROR(__xludf.DUMMYFUNCTION("GOOGLETRANSLATE(English!G2172, ""en"", ""bg"")"),"разговор")</f>
        <v>разговор</v>
      </c>
      <c r="H2172" s="1" t="str">
        <f ca="1">IFERROR(__xludf.DUMMYFUNCTION("GOOGLETRANSLATE(English!H2172, ""en"", ""bg"")"),"образователна_помощ")</f>
        <v>образователна_помощ</v>
      </c>
    </row>
    <row r="2173" spans="1:8" ht="13.2" x14ac:dyDescent="0.25">
      <c r="A2173" s="1" t="str">
        <f ca="1">IFERROR(__xludf.DUMMYFUNCTION("GOOGLETRANSLATE(English!A2173, ""en"", ""bg"")"),"hw_07316")</f>
        <v>hw_07316</v>
      </c>
      <c r="B2173" s="1" t="str">
        <f ca="1">IFERROR(__xludf.DUMMYFUNCTION("GOOGLETRANSLATE(English!B2173, ""en"", ""bg"")"),"химия")</f>
        <v>химия</v>
      </c>
      <c r="C2173" s="1" t="str">
        <f ca="1">IFERROR(__xludf.DUMMYFUNCTION("GOOGLETRANSLATE(English!C2173, ""en"", ""bg"")"),"средата")</f>
        <v>средата</v>
      </c>
      <c r="D2173" s="1" t="str">
        <f ca="1">IFERROR(__xludf.DUMMYFUNCTION("GOOGLETRANSLATE(English!D2173, ""en"", ""bg"")"),"атоми и молекули")</f>
        <v>атоми и молекули</v>
      </c>
      <c r="E2173" s="1" t="str">
        <f ca="1">IFERROR(__xludf.DUMMYFUNCTION("GOOGLETRANSLATE(English!E2173,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2173" s="1" t="str">
        <f ca="1">IFERROR(__xludf.DUMMYFUNCTION("GOOGLETRANSLATE(English!F2173,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173" s="1" t="str">
        <f ca="1">IFERROR(__xludf.DUMMYFUNCTION("GOOGLETRANSLATE(English!G2173, ""en"", ""bg"")"),"помощ_за_домашно_изпълнение")</f>
        <v>помощ_за_домашно_изпълнение</v>
      </c>
      <c r="H2173" s="1" t="str">
        <f ca="1">IFERROR(__xludf.DUMMYFUNCTION("GOOGLETRANSLATE(English!H2173, ""en"", ""bg"")"),"помощ_за_домашно_задаване")</f>
        <v>помощ_за_домашно_задаване</v>
      </c>
    </row>
    <row r="2174" spans="1:8" ht="13.2" x14ac:dyDescent="0.25">
      <c r="A2174" s="1" t="str">
        <f ca="1">IFERROR(__xludf.DUMMYFUNCTION("GOOGLETRANSLATE(English!A2174, ""en"", ""bg"")"),"qa_04553")</f>
        <v>qa_04553</v>
      </c>
      <c r="B2174" s="1" t="str">
        <f ca="1">IFERROR(__xludf.DUMMYFUNCTION("GOOGLETRANSLATE(English!B2174, ""en"", ""bg"")"),"физика")</f>
        <v>физика</v>
      </c>
      <c r="C2174" s="1" t="str">
        <f ca="1">IFERROR(__xludf.DUMMYFUNCTION("GOOGLETRANSLATE(English!C2174, ""en"", ""bg"")"),"високо")</f>
        <v>високо</v>
      </c>
      <c r="D2174" s="1" t="str">
        <f ca="1">IFERROR(__xludf.DUMMYFUNCTION("GOOGLETRANSLATE(English!D2174, ""en"", ""bg"")"),"електромагнетизъм")</f>
        <v>електромагнетизъм</v>
      </c>
      <c r="E2174" s="1" t="str">
        <f ca="1">IFERROR(__xludf.DUMMYFUNCTION("GOOGLETRANSLATE(English!E2174, ""en"", ""bg"")"),"Можете ли да ми обясните електромагнетизма?")</f>
        <v>Можете ли да ми обясните електромагнетизма?</v>
      </c>
      <c r="F2174" s="1" t="str">
        <f ca="1">IFERROR(__xludf.DUMMYFUNCTION("GOOGLETRANSLATE(English!F2174,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2174" s="1" t="str">
        <f ca="1">IFERROR(__xludf.DUMMYFUNCTION("GOOGLETRANSLATE(English!G2174, ""en"", ""bg"")"),"direct_qa")</f>
        <v>direct_qa</v>
      </c>
      <c r="H2174" s="1" t="str">
        <f ca="1">IFERROR(__xludf.DUMMYFUNCTION("GOOGLETRANSLATE(English!H2174, ""en"", ""bg"")"),"заявка_за_знание")</f>
        <v>заявка_за_знание</v>
      </c>
    </row>
    <row r="2175" spans="1:8" ht="13.2" x14ac:dyDescent="0.25">
      <c r="A2175" s="1" t="str">
        <f ca="1">IFERROR(__xludf.DUMMYFUNCTION("GOOGLETRANSLATE(English!A2175, ""en"", ""bg"")"),"hw_09858")</f>
        <v>hw_09858</v>
      </c>
      <c r="B2175" s="1" t="str">
        <f ca="1">IFERROR(__xludf.DUMMYFUNCTION("GOOGLETRANSLATE(English!B2175, ""en"", ""bg"")"),"биология")</f>
        <v>биология</v>
      </c>
      <c r="C2175" s="1" t="str">
        <f ca="1">IFERROR(__xludf.DUMMYFUNCTION("GOOGLETRANSLATE(English!C2175, ""en"", ""bg"")"),"високо")</f>
        <v>високо</v>
      </c>
      <c r="D2175" s="1" t="str">
        <f ca="1">IFERROR(__xludf.DUMMYFUNCTION("GOOGLETRANSLATE(English!D2175, ""en"", ""bg"")"),"модели на наследяване")</f>
        <v>модели на наследяване</v>
      </c>
      <c r="E2175" s="1" t="str">
        <f ca="1">IFERROR(__xludf.DUMMYFUNCTION("GOOGLETRANSLATE(English!E2175,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2175" s="1" t="str">
        <f ca="1">IFERROR(__xludf.DUMMYFUNCTION("GOOGLETRANSLATE(English!F2175,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2175" s="1" t="str">
        <f ca="1">IFERROR(__xludf.DUMMYFUNCTION("GOOGLETRANSLATE(English!G2175, ""en"", ""bg"")"),"помощ_за_домашно_изпълнение")</f>
        <v>помощ_за_домашно_изпълнение</v>
      </c>
      <c r="H2175" s="1" t="str">
        <f ca="1">IFERROR(__xludf.DUMMYFUNCTION("GOOGLETRANSLATE(English!H2175, ""en"", ""bg"")"),"помощ_за_домашно_задаване")</f>
        <v>помощ_за_домашно_задаване</v>
      </c>
    </row>
    <row r="2176" spans="1:8" ht="13.2" x14ac:dyDescent="0.25">
      <c r="A2176" s="1" t="str">
        <f ca="1">IFERROR(__xludf.DUMMYFUNCTION("GOOGLETRANSLATE(English!A2176, ""en"", ""bg"")"),"qa_13360")</f>
        <v>qa_13360</v>
      </c>
      <c r="B2176" s="1" t="str">
        <f ca="1">IFERROR(__xludf.DUMMYFUNCTION("GOOGLETRANSLATE(English!B2176, ""en"", ""bg"")"),"биология")</f>
        <v>биология</v>
      </c>
      <c r="C2176" s="1" t="str">
        <f ca="1">IFERROR(__xludf.DUMMYFUNCTION("GOOGLETRANSLATE(English!C2176, ""en"", ""bg"")"),"високо")</f>
        <v>високо</v>
      </c>
      <c r="D2176" s="1" t="str">
        <f ca="1">IFERROR(__xludf.DUMMYFUNCTION("GOOGLETRANSLATE(English!D2176, ""en"", ""bg"")"),"митоза и мейоза")</f>
        <v>митоза и мейоза</v>
      </c>
      <c r="E2176" s="1" t="str">
        <f ca="1">IFERROR(__xludf.DUMMYFUNCTION("GOOGLETRANSLATE(English!E2176, ""en"", ""bg"")"),"Защо митозата и мейозата са важни в биологията?")</f>
        <v>Защо митозата и мейозата са важни в биологията?</v>
      </c>
      <c r="F2176" s="1" t="str">
        <f ca="1">IFERROR(__xludf.DUMMYFUNCTION("GOOGLETRANSLATE(English!F2176,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2176" s="1" t="str">
        <f ca="1">IFERROR(__xludf.DUMMYFUNCTION("GOOGLETRANSLATE(English!G2176, ""en"", ""bg"")"),"direct_qa")</f>
        <v>direct_qa</v>
      </c>
      <c r="H2176" s="1" t="str">
        <f ca="1">IFERROR(__xludf.DUMMYFUNCTION("GOOGLETRANSLATE(English!H2176, ""en"", ""bg"")"),"заявка_за_знание")</f>
        <v>заявка_за_знание</v>
      </c>
    </row>
    <row r="2177" spans="1:8" ht="13.2" x14ac:dyDescent="0.25">
      <c r="A2177" s="1" t="str">
        <f ca="1">IFERROR(__xludf.DUMMYFUNCTION("GOOGLETRANSLATE(English!A2177, ""en"", ""bg"")"),"qa_08995")</f>
        <v>qa_08995</v>
      </c>
      <c r="B2177" s="1" t="str">
        <f ca="1">IFERROR(__xludf.DUMMYFUNCTION("GOOGLETRANSLATE(English!B2177, ""en"", ""bg"")"),"химия")</f>
        <v>химия</v>
      </c>
      <c r="C2177" s="1" t="str">
        <f ca="1">IFERROR(__xludf.DUMMYFUNCTION("GOOGLETRANSLATE(English!C2177, ""en"", ""bg"")"),"средата")</f>
        <v>средата</v>
      </c>
      <c r="D2177" s="1" t="str">
        <f ca="1">IFERROR(__xludf.DUMMYFUNCTION("GOOGLETRANSLATE(English!D2177, ""en"", ""bg"")"),"химични реакции")</f>
        <v>химични реакции</v>
      </c>
      <c r="E2177" s="1" t="str">
        <f ca="1">IFERROR(__xludf.DUMMYFUNCTION("GOOGLETRANSLATE(English!E2177, ""en"", ""bg"")"),"Какво е химична реакция?")</f>
        <v>Какво е химична реакция?</v>
      </c>
      <c r="F2177" s="1" t="str">
        <f ca="1">IFERROR(__xludf.DUMMYFUNCTION("GOOGLETRANSLATE(English!F2177,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2177" s="1" t="str">
        <f ca="1">IFERROR(__xludf.DUMMYFUNCTION("GOOGLETRANSLATE(English!G2177, ""en"", ""bg"")"),"direct_qa")</f>
        <v>direct_qa</v>
      </c>
      <c r="H2177" s="1" t="str">
        <f ca="1">IFERROR(__xludf.DUMMYFUNCTION("GOOGLETRANSLATE(English!H2177, ""en"", ""bg"")"),"заявка_за_знание")</f>
        <v>заявка_за_знание</v>
      </c>
    </row>
    <row r="2178" spans="1:8" ht="13.2" x14ac:dyDescent="0.25">
      <c r="A2178" s="1" t="str">
        <f ca="1">IFERROR(__xludf.DUMMYFUNCTION("GOOGLETRANSLATE(English!A2178, ""en"", ""bg"")"),"conv_11518")</f>
        <v>conv_11518</v>
      </c>
      <c r="B2178" s="1" t="str">
        <f ca="1">IFERROR(__xludf.DUMMYFUNCTION("GOOGLETRANSLATE(English!B2178, ""en"", ""bg"")"),"биология")</f>
        <v>биология</v>
      </c>
      <c r="C2178" s="1" t="str">
        <f ca="1">IFERROR(__xludf.DUMMYFUNCTION("GOOGLETRANSLATE(English!C2178, ""en"", ""bg"")"),"елементарен")</f>
        <v>елементарен</v>
      </c>
      <c r="D2178" s="1" t="str">
        <f ca="1">IFERROR(__xludf.DUMMYFUNCTION("GOOGLETRANSLATE(English!D2178, ""en"", ""bg"")"),"хранителни вериги")</f>
        <v>хранителни вериги</v>
      </c>
      <c r="E2178" s="1" t="str">
        <f ca="1">IFERROR(__xludf.DUMMYFUNCTION("GOOGLETRANSLATE(English!E2178, ""en"", ""bg"")"),"Можете ли да ми обясните това? Какво е важно да знаем за хранителните вериги?")</f>
        <v>Можете ли да ми обясните това? Какво е важно да знаем за хранителните вериги?</v>
      </c>
      <c r="F2178" s="1" t="str">
        <f ca="1">IFERROR(__xludf.DUMMYFUNCTION("GOOGLETRANSLATE(English!F2178,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2178" s="1" t="str">
        <f ca="1">IFERROR(__xludf.DUMMYFUNCTION("GOOGLETRANSLATE(English!G2178, ""en"", ""bg"")"),"разговор")</f>
        <v>разговор</v>
      </c>
      <c r="H2178" s="1" t="str">
        <f ca="1">IFERROR(__xludf.DUMMYFUNCTION("GOOGLETRANSLATE(English!H2178, ""en"", ""bg"")"),"образователна_помощ")</f>
        <v>образователна_помощ</v>
      </c>
    </row>
    <row r="2179" spans="1:8" ht="13.2" x14ac:dyDescent="0.25">
      <c r="A2179" s="1" t="str">
        <f ca="1">IFERROR(__xludf.DUMMYFUNCTION("GOOGLETRANSLATE(English!A2179, ""en"", ""bg"")"),"hw_02873")</f>
        <v>hw_02873</v>
      </c>
      <c r="B2179" s="1" t="str">
        <f ca="1">IFERROR(__xludf.DUMMYFUNCTION("GOOGLETRANSLATE(English!B2179, ""en"", ""bg"")"),"биология")</f>
        <v>биология</v>
      </c>
      <c r="C2179" s="1" t="str">
        <f ca="1">IFERROR(__xludf.DUMMYFUNCTION("GOOGLETRANSLATE(English!C2179, ""en"", ""bg"")"),"елементарен")</f>
        <v>елементарен</v>
      </c>
      <c r="D2179" s="1" t="str">
        <f ca="1">IFERROR(__xludf.DUMMYFUNCTION("GOOGLETRANSLATE(English!D2179, ""en"", ""bg"")"),"животни")</f>
        <v>животни</v>
      </c>
      <c r="E2179" s="1" t="str">
        <f ca="1">IFERROR(__xludf.DUMMYFUNCTION("GOOGLETRANSLATE(English!E2179, ""en"", ""bg"")"),"Можете ли да обясните за животните за моя научен проект?")</f>
        <v>Можете ли да обясните за животните за моя научен проект?</v>
      </c>
      <c r="F2179" s="1" t="str">
        <f ca="1">IFERROR(__xludf.DUMMYFUNCTION("GOOGLETRANSLATE(English!F2179,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2179" s="1" t="str">
        <f ca="1">IFERROR(__xludf.DUMMYFUNCTION("GOOGLETRANSLATE(English!G2179, ""en"", ""bg"")"),"помощ_за_домашно_изпълнение")</f>
        <v>помощ_за_домашно_изпълнение</v>
      </c>
      <c r="H2179" s="1" t="str">
        <f ca="1">IFERROR(__xludf.DUMMYFUNCTION("GOOGLETRANSLATE(English!H2179, ""en"", ""bg"")"),"помощ_за_домашно_задаване")</f>
        <v>помощ_за_домашно_задаване</v>
      </c>
    </row>
    <row r="2180" spans="1:8" ht="13.2" x14ac:dyDescent="0.25">
      <c r="A2180" s="1" t="str">
        <f ca="1">IFERROR(__xludf.DUMMYFUNCTION("GOOGLETRANSLATE(English!A2180, ""en"", ""bg"")"),"hw_07273")</f>
        <v>hw_07273</v>
      </c>
      <c r="B2180" s="1" t="str">
        <f ca="1">IFERROR(__xludf.DUMMYFUNCTION("GOOGLETRANSLATE(English!B2180, ""en"", ""bg"")"),"физика")</f>
        <v>физика</v>
      </c>
      <c r="C2180" s="1" t="str">
        <f ca="1">IFERROR(__xludf.DUMMYFUNCTION("GOOGLETRANSLATE(English!C2180, ""en"", ""bg"")"),"средата")</f>
        <v>средата</v>
      </c>
      <c r="D2180" s="1" t="str">
        <f ca="1">IFERROR(__xludf.DUMMYFUNCTION("GOOGLETRANSLATE(English!D2180, ""en"", ""bg"")"),"състояния на материята")</f>
        <v>състояния на материята</v>
      </c>
      <c r="E2180" s="1" t="str">
        <f ca="1">IFERROR(__xludf.DUMMYFUNCTION("GOOGLETRANSLATE(English!E2180, ""en"", ""bg"")"),"Заседнал съм с този проблем със състоянията на материята. Можете ли да помогнете?")</f>
        <v>Заседнал съм с този проблем със състоянията на материята. Можете ли да помогнете?</v>
      </c>
      <c r="F2180" s="1" t="str">
        <f ca="1">IFERROR(__xludf.DUMMYFUNCTION("GOOGLETRANSLATE(English!F2180,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2180" s="1" t="str">
        <f ca="1">IFERROR(__xludf.DUMMYFUNCTION("GOOGLETRANSLATE(English!G2180, ""en"", ""bg"")"),"помощ_за_домашно_изпълнение")</f>
        <v>помощ_за_домашно_изпълнение</v>
      </c>
      <c r="H2180" s="1" t="str">
        <f ca="1">IFERROR(__xludf.DUMMYFUNCTION("GOOGLETRANSLATE(English!H2180, ""en"", ""bg"")"),"помощ_за_домашно_задаване")</f>
        <v>помощ_за_домашно_задаване</v>
      </c>
    </row>
    <row r="2181" spans="1:8" ht="13.2" x14ac:dyDescent="0.25">
      <c r="A2181" s="1" t="str">
        <f ca="1">IFERROR(__xludf.DUMMYFUNCTION("GOOGLETRANSLATE(English!A2181, ""en"", ""bg"")"),"conv_04695")</f>
        <v>conv_04695</v>
      </c>
      <c r="B2181" s="1" t="str">
        <f ca="1">IFERROR(__xludf.DUMMYFUNCTION("GOOGLETRANSLATE(English!B2181, ""en"", ""bg"")"),"химия")</f>
        <v>химия</v>
      </c>
      <c r="C2181" s="1" t="str">
        <f ca="1">IFERROR(__xludf.DUMMYFUNCTION("GOOGLETRANSLATE(English!C2181, ""en"", ""bg"")"),"високо")</f>
        <v>високо</v>
      </c>
      <c r="D2181" s="1" t="str">
        <f ca="1">IFERROR(__xludf.DUMMYFUNCTION("GOOGLETRANSLATE(English!D2181, ""en"", ""bg"")"),"скорости на реакция")</f>
        <v>скорости на реакция</v>
      </c>
      <c r="E2181" s="1" t="str">
        <f ca="1">IFERROR(__xludf.DUMMYFUNCTION("GOOGLETRANSLATE(English!E2181,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2181" s="1" t="str">
        <f ca="1">IFERROR(__xludf.DUMMYFUNCTION("GOOGLETRANSLATE(English!F2181,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2181" s="1" t="str">
        <f ca="1">IFERROR(__xludf.DUMMYFUNCTION("GOOGLETRANSLATE(English!G2181, ""en"", ""bg"")"),"разговор")</f>
        <v>разговор</v>
      </c>
      <c r="H2181" s="1" t="str">
        <f ca="1">IFERROR(__xludf.DUMMYFUNCTION("GOOGLETRANSLATE(English!H2181, ""en"", ""bg"")"),"образователна_помощ")</f>
        <v>образователна_помощ</v>
      </c>
    </row>
    <row r="2182" spans="1:8" ht="13.2" x14ac:dyDescent="0.25">
      <c r="A2182" s="1" t="str">
        <f ca="1">IFERROR(__xludf.DUMMYFUNCTION("GOOGLETRANSLATE(English!A2182, ""en"", ""bg"")"),"hw_09291")</f>
        <v>hw_09291</v>
      </c>
      <c r="B2182" s="1" t="str">
        <f ca="1">IFERROR(__xludf.DUMMYFUNCTION("GOOGLETRANSLATE(English!B2182, ""en"", ""bg"")"),"физика")</f>
        <v>физика</v>
      </c>
      <c r="C2182" s="1" t="str">
        <f ca="1">IFERROR(__xludf.DUMMYFUNCTION("GOOGLETRANSLATE(English!C2182, ""en"", ""bg"")"),"елементарен")</f>
        <v>елементарен</v>
      </c>
      <c r="D2182" s="1" t="str">
        <f ca="1">IFERROR(__xludf.DUMMYFUNCTION("GOOGLETRANSLATE(English!D2182, ""en"", ""bg"")"),"светлина и сянка")</f>
        <v>светлина и сянка</v>
      </c>
      <c r="E2182" s="1" t="str">
        <f ca="1">IFERROR(__xludf.DUMMYFUNCTION("GOOGLETRANSLATE(English!E2182,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2182" s="1" t="str">
        <f ca="1">IFERROR(__xludf.DUMMYFUNCTION("GOOGLETRANSLATE(English!F2182,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2182" s="1" t="str">
        <f ca="1">IFERROR(__xludf.DUMMYFUNCTION("GOOGLETRANSLATE(English!G2182, ""en"", ""bg"")"),"помощ_за_домашно_изпълнение")</f>
        <v>помощ_за_домашно_изпълнение</v>
      </c>
      <c r="H2182" s="1" t="str">
        <f ca="1">IFERROR(__xludf.DUMMYFUNCTION("GOOGLETRANSLATE(English!H2182, ""en"", ""bg"")"),"помощ_за_домашно_задаване")</f>
        <v>помощ_за_домашно_задаване</v>
      </c>
    </row>
    <row r="2183" spans="1:8" ht="13.2" x14ac:dyDescent="0.25">
      <c r="A2183" s="1" t="str">
        <f ca="1">IFERROR(__xludf.DUMMYFUNCTION("GOOGLETRANSLATE(English!A2183, ""en"", ""bg"")"),"qa_13412")</f>
        <v>qa_13412</v>
      </c>
      <c r="B2183" s="1" t="str">
        <f ca="1">IFERROR(__xludf.DUMMYFUNCTION("GOOGLETRANSLATE(English!B2183, ""en"", ""bg"")"),"биология")</f>
        <v>биология</v>
      </c>
      <c r="C2183" s="1" t="str">
        <f ca="1">IFERROR(__xludf.DUMMYFUNCTION("GOOGLETRANSLATE(English!C2183, ""en"", ""bg"")"),"елементарен")</f>
        <v>елементарен</v>
      </c>
      <c r="D2183" s="1" t="str">
        <f ca="1">IFERROR(__xludf.DUMMYFUNCTION("GOOGLETRANSLATE(English!D2183, ""en"", ""bg"")"),"основни нужди")</f>
        <v>основни нужди</v>
      </c>
      <c r="E2183" s="1" t="str">
        <f ca="1">IFERROR(__xludf.DUMMYFUNCTION("GOOGLETRANSLATE(English!E2183, ""en"", ""bg"")"),"Можете ли да ми кажете за основните нужди?")</f>
        <v>Можете ли да ми кажете за основните нужди?</v>
      </c>
      <c r="F2183" s="1" t="str">
        <f ca="1">IFERROR(__xludf.DUMMYFUNCTION("GOOGLETRANSLATE(English!F2183,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2183" s="1" t="str">
        <f ca="1">IFERROR(__xludf.DUMMYFUNCTION("GOOGLETRANSLATE(English!G2183, ""en"", ""bg"")"),"direct_qa")</f>
        <v>direct_qa</v>
      </c>
      <c r="H2183" s="1" t="str">
        <f ca="1">IFERROR(__xludf.DUMMYFUNCTION("GOOGLETRANSLATE(English!H2183, ""en"", ""bg"")"),"заявка_за_знание")</f>
        <v>заявка_за_знание</v>
      </c>
    </row>
    <row r="2184" spans="1:8" ht="13.2" x14ac:dyDescent="0.25">
      <c r="A2184" s="1" t="str">
        <f ca="1">IFERROR(__xludf.DUMMYFUNCTION("GOOGLETRANSLATE(English!A2184, ""en"", ""bg"")"),"hw_01874")</f>
        <v>hw_01874</v>
      </c>
      <c r="B2184" s="1" t="str">
        <f ca="1">IFERROR(__xludf.DUMMYFUNCTION("GOOGLETRANSLATE(English!B2184, ""en"", ""bg"")"),"физика")</f>
        <v>физика</v>
      </c>
      <c r="C2184" s="1" t="str">
        <f ca="1">IFERROR(__xludf.DUMMYFUNCTION("GOOGLETRANSLATE(English!C2184, ""en"", ""bg"")"),"високо")</f>
        <v>високо</v>
      </c>
      <c r="D2184" s="1" t="str">
        <f ca="1">IFERROR(__xludf.DUMMYFUNCTION("GOOGLETRANSLATE(English!D2184, ""en"", ""bg"")"),"електромагнетизъм")</f>
        <v>електромагнетизъм</v>
      </c>
      <c r="E2184" s="1" t="str">
        <f ca="1">IFERROR(__xludf.DUMMYFUNCTION("GOOGLETRANSLATE(English!E2184, ""en"", ""bg"")"),"Домашното ми по физика е за електромагнетизъм. Объркващо е!")</f>
        <v>Домашното ми по физика е за електромагнетизъм. Объркващо е!</v>
      </c>
      <c r="F2184" s="1" t="str">
        <f ca="1">IFERROR(__xludf.DUMMYFUNCTION("GOOGLETRANSLATE(English!F2184,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2184" s="1" t="str">
        <f ca="1">IFERROR(__xludf.DUMMYFUNCTION("GOOGLETRANSLATE(English!G2184, ""en"", ""bg"")"),"помощ_за_домашно_изпълнение")</f>
        <v>помощ_за_домашно_изпълнение</v>
      </c>
      <c r="H2184" s="1" t="str">
        <f ca="1">IFERROR(__xludf.DUMMYFUNCTION("GOOGLETRANSLATE(English!H2184, ""en"", ""bg"")"),"помощ_за_домашно_задаване")</f>
        <v>помощ_за_домашно_задаване</v>
      </c>
    </row>
    <row r="2185" spans="1:8" ht="13.2" x14ac:dyDescent="0.25">
      <c r="A2185" s="1" t="str">
        <f ca="1">IFERROR(__xludf.DUMMYFUNCTION("GOOGLETRANSLATE(English!A2185, ""en"", ""bg"")"),"qa_07702")</f>
        <v>qa_07702</v>
      </c>
      <c r="B2185" s="1" t="str">
        <f ca="1">IFERROR(__xludf.DUMMYFUNCTION("GOOGLETRANSLATE(English!B2185, ""en"", ""bg"")"),"физика")</f>
        <v>физика</v>
      </c>
      <c r="C2185" s="1" t="str">
        <f ca="1">IFERROR(__xludf.DUMMYFUNCTION("GOOGLETRANSLATE(English!C2185, ""en"", ""bg"")"),"елементарен")</f>
        <v>елементарен</v>
      </c>
      <c r="D2185" s="1" t="str">
        <f ca="1">IFERROR(__xludf.DUMMYFUNCTION("GOOGLETRANSLATE(English!D2185, ""en"", ""bg"")"),"бутане и дърпане")</f>
        <v>бутане и дърпане</v>
      </c>
      <c r="E2185" s="1" t="str">
        <f ca="1">IFERROR(__xludf.DUMMYFUNCTION("GOOGLETRANSLATE(English!E2185, ""en"", ""bg"")"),"Как работят бутането и дърпането във физиката?")</f>
        <v>Как работят бутането и дърпането във физиката?</v>
      </c>
      <c r="F2185" s="1" t="str">
        <f ca="1">IFERROR(__xludf.DUMMYFUNCTION("GOOGLETRANSLATE(English!F2185,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2185" s="1" t="str">
        <f ca="1">IFERROR(__xludf.DUMMYFUNCTION("GOOGLETRANSLATE(English!G2185, ""en"", ""bg"")"),"direct_qa")</f>
        <v>direct_qa</v>
      </c>
      <c r="H2185" s="1" t="str">
        <f ca="1">IFERROR(__xludf.DUMMYFUNCTION("GOOGLETRANSLATE(English!H2185, ""en"", ""bg"")"),"заявка_за_знание")</f>
        <v>заявка_за_знание</v>
      </c>
    </row>
    <row r="2186" spans="1:8" ht="13.2" x14ac:dyDescent="0.25">
      <c r="A2186" s="1" t="str">
        <f ca="1">IFERROR(__xludf.DUMMYFUNCTION("GOOGLETRANSLATE(English!A2186, ""en"", ""bg"")"),"hw_00836")</f>
        <v>hw_00836</v>
      </c>
      <c r="B2186" s="1" t="str">
        <f ca="1">IFERROR(__xludf.DUMMYFUNCTION("GOOGLETRANSLATE(English!B2186, ""en"", ""bg"")"),"биология")</f>
        <v>биология</v>
      </c>
      <c r="C2186" s="1" t="str">
        <f ca="1">IFERROR(__xludf.DUMMYFUNCTION("GOOGLETRANSLATE(English!C2186, ""en"", ""bg"")"),"елементарен")</f>
        <v>елементарен</v>
      </c>
      <c r="D2186" s="1" t="str">
        <f ca="1">IFERROR(__xludf.DUMMYFUNCTION("GOOGLETRANSLATE(English!D2186, ""en"", ""bg"")"),"домашни любимци срещу диви животни")</f>
        <v>домашни любимци срещу диви животни</v>
      </c>
      <c r="E2186" s="1" t="str">
        <f ca="1">IFERROR(__xludf.DUMMYFUNCTION("GOOGLETRANSLATE(English!E2186, ""en"", ""bg"")"),"Трябва да напиша доклад за домашни любимци срещу диви животни. Можете ли да ми помогнете да започна?")</f>
        <v>Трябва да напиша доклад за домашни любимци срещу диви животни. Можете ли да ми помогнете да започна?</v>
      </c>
      <c r="F2186" s="1" t="str">
        <f ca="1">IFERROR(__xludf.DUMMYFUNCTION("GOOGLETRANSLATE(English!F2186,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2186" s="1" t="str">
        <f ca="1">IFERROR(__xludf.DUMMYFUNCTION("GOOGLETRANSLATE(English!G2186, ""en"", ""bg"")"),"помощ_за_домашно_изпълнение")</f>
        <v>помощ_за_домашно_изпълнение</v>
      </c>
      <c r="H2186" s="1" t="str">
        <f ca="1">IFERROR(__xludf.DUMMYFUNCTION("GOOGLETRANSLATE(English!H2186, ""en"", ""bg"")"),"помощ_за_домашно_задаване")</f>
        <v>помощ_за_домашно_задаване</v>
      </c>
    </row>
    <row r="2187" spans="1:8" ht="13.2" x14ac:dyDescent="0.25">
      <c r="A2187" s="1" t="str">
        <f ca="1">IFERROR(__xludf.DUMMYFUNCTION("GOOGLETRANSLATE(English!A2187, ""en"", ""bg"")"),"hw_01586")</f>
        <v>hw_01586</v>
      </c>
      <c r="B2187" s="1" t="str">
        <f ca="1">IFERROR(__xludf.DUMMYFUNCTION("GOOGLETRANSLATE(English!B2187, ""en"", ""bg"")"),"физика")</f>
        <v>физика</v>
      </c>
      <c r="C2187" s="1" t="str">
        <f ca="1">IFERROR(__xludf.DUMMYFUNCTION("GOOGLETRANSLATE(English!C2187, ""en"", ""bg"")"),"средата")</f>
        <v>средата</v>
      </c>
      <c r="D2187" s="1" t="str">
        <f ca="1">IFERROR(__xludf.DUMMYFUNCTION("GOOGLETRANSLATE(English!D2187, ""en"", ""bg"")"),"плътност")</f>
        <v>плътност</v>
      </c>
      <c r="E2187" s="1" t="str">
        <f ca="1">IFERROR(__xludf.DUMMYFUNCTION("GOOGLETRANSLATE(English!E2187,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2187" s="1" t="str">
        <f ca="1">IFERROR(__xludf.DUMMYFUNCTION("GOOGLETRANSLATE(English!F2187,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187" s="1" t="str">
        <f ca="1">IFERROR(__xludf.DUMMYFUNCTION("GOOGLETRANSLATE(English!G2187, ""en"", ""bg"")"),"помощ_за_домашно_изпълнение")</f>
        <v>помощ_за_домашно_изпълнение</v>
      </c>
      <c r="H2187" s="1" t="str">
        <f ca="1">IFERROR(__xludf.DUMMYFUNCTION("GOOGLETRANSLATE(English!H2187, ""en"", ""bg"")"),"помощ_за_домашно_задаване")</f>
        <v>помощ_за_домашно_задаване</v>
      </c>
    </row>
    <row r="2188" spans="1:8" ht="13.2" x14ac:dyDescent="0.25">
      <c r="A2188" s="1" t="str">
        <f ca="1">IFERROR(__xludf.DUMMYFUNCTION("GOOGLETRANSLATE(English!A2188, ""en"", ""bg"")"),"hw_05443")</f>
        <v>hw_05443</v>
      </c>
      <c r="B2188" s="1" t="str">
        <f ca="1">IFERROR(__xludf.DUMMYFUNCTION("GOOGLETRANSLATE(English!B2188, ""en"", ""bg"")"),"физика")</f>
        <v>физика</v>
      </c>
      <c r="C2188" s="1" t="str">
        <f ca="1">IFERROR(__xludf.DUMMYFUNCTION("GOOGLETRANSLATE(English!C2188, ""en"", ""bg"")"),"високо")</f>
        <v>високо</v>
      </c>
      <c r="D2188" s="1" t="str">
        <f ca="1">IFERROR(__xludf.DUMMYFUNCTION("GOOGLETRANSLATE(English!D2188, ""en"", ""bg"")"),"оптика")</f>
        <v>оптика</v>
      </c>
      <c r="E2188" s="1" t="str">
        <f ca="1">IFERROR(__xludf.DUMMYFUNCTION("GOOGLETRANSLATE(English!E2188, ""en"", ""bg"")"),"Можете ли да решите този въпрос с оптиката с мен?")</f>
        <v>Можете ли да решите този въпрос с оптиката с мен?</v>
      </c>
      <c r="F2188" s="1" t="str">
        <f ca="1">IFERROR(__xludf.DUMMYFUNCTION("GOOGLETRANSLATE(English!F2188,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2188" s="1" t="str">
        <f ca="1">IFERROR(__xludf.DUMMYFUNCTION("GOOGLETRANSLATE(English!G2188, ""en"", ""bg"")"),"помощ_за_домашно_изпълнение")</f>
        <v>помощ_за_домашно_изпълнение</v>
      </c>
      <c r="H2188" s="1" t="str">
        <f ca="1">IFERROR(__xludf.DUMMYFUNCTION("GOOGLETRANSLATE(English!H2188, ""en"", ""bg"")"),"помощ_за_домашно_задаване")</f>
        <v>помощ_за_домашно_задаване</v>
      </c>
    </row>
    <row r="2189" spans="1:8" ht="13.2" x14ac:dyDescent="0.25">
      <c r="A2189" s="1" t="str">
        <f ca="1">IFERROR(__xludf.DUMMYFUNCTION("GOOGLETRANSLATE(English!A2189, ""en"", ""bg"")"),"hw_14927")</f>
        <v>hw_14927</v>
      </c>
      <c r="B2189" s="1" t="str">
        <f ca="1">IFERROR(__xludf.DUMMYFUNCTION("GOOGLETRANSLATE(English!B2189, ""en"", ""bg"")"),"химия")</f>
        <v>химия</v>
      </c>
      <c r="C2189" s="1" t="str">
        <f ca="1">IFERROR(__xludf.DUMMYFUNCTION("GOOGLETRANSLATE(English!C2189, ""en"", ""bg"")"),"средата")</f>
        <v>средата</v>
      </c>
      <c r="D2189" s="1" t="str">
        <f ca="1">IFERROR(__xludf.DUMMYFUNCTION("GOOGLETRANSLATE(English!D2189, ""en"", ""bg"")"),"основи на периодичната таблица")</f>
        <v>основи на периодичната таблица</v>
      </c>
      <c r="E2189" s="1" t="str">
        <f ca="1">IFERROR(__xludf.DUMMYFUNCTION("GOOGLETRANSLATE(English!E2189, ""en"", ""bg"")"),"Можете ли да ми помогнете с основните изчисления на периодичната таблица?")</f>
        <v>Можете ли да ми помогнете с основните изчисления на периодичната таблица?</v>
      </c>
      <c r="F2189" s="1" t="str">
        <f ca="1">IFERROR(__xludf.DUMMYFUNCTION("GOOGLETRANSLATE(English!F2189,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2189" s="1" t="str">
        <f ca="1">IFERROR(__xludf.DUMMYFUNCTION("GOOGLETRANSLATE(English!G2189, ""en"", ""bg"")"),"помощ_за_домашно_изпълнение")</f>
        <v>помощ_за_домашно_изпълнение</v>
      </c>
      <c r="H2189" s="1" t="str">
        <f ca="1">IFERROR(__xludf.DUMMYFUNCTION("GOOGLETRANSLATE(English!H2189, ""en"", ""bg"")"),"помощ_за_домашно_задаване")</f>
        <v>помощ_за_домашно_задаване</v>
      </c>
    </row>
    <row r="2190" spans="1:8" ht="13.2" x14ac:dyDescent="0.25">
      <c r="A2190" s="1" t="str">
        <f ca="1">IFERROR(__xludf.DUMMYFUNCTION("GOOGLETRANSLATE(English!A2190, ""en"", ""bg"")"),"conv_07164")</f>
        <v>conv_07164</v>
      </c>
      <c r="B2190" s="1" t="str">
        <f ca="1">IFERROR(__xludf.DUMMYFUNCTION("GOOGLETRANSLATE(English!B2190, ""en"", ""bg"")"),"химия")</f>
        <v>химия</v>
      </c>
      <c r="C2190" s="1" t="str">
        <f ca="1">IFERROR(__xludf.DUMMYFUNCTION("GOOGLETRANSLATE(English!C2190, ""en"", ""bg"")"),"средата")</f>
        <v>средата</v>
      </c>
      <c r="D2190" s="1" t="str">
        <f ca="1">IFERROR(__xludf.DUMMYFUNCTION("GOOGLETRANSLATE(English!D2190, ""en"", ""bg"")"),"химични реакции")</f>
        <v>химични реакции</v>
      </c>
      <c r="E2190" s="1" t="str">
        <f ca="1">IFERROR(__xludf.DUMMYFUNCTION("GOOGLETRANSLATE(English!E2190, ""en"", ""bg"")"),"Помогнете ми да уча за теста. Могат ли химичните реакции да бъдат обратими?")</f>
        <v>Помогнете ми да уча за теста. Могат ли химичните реакции да бъдат обратими?</v>
      </c>
      <c r="F2190" s="1" t="str">
        <f ca="1">IFERROR(__xludf.DUMMYFUNCTION("GOOGLETRANSLATE(English!F2190,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2190" s="1" t="str">
        <f ca="1">IFERROR(__xludf.DUMMYFUNCTION("GOOGLETRANSLATE(English!G2190, ""en"", ""bg"")"),"разговор")</f>
        <v>разговор</v>
      </c>
      <c r="H2190" s="1" t="str">
        <f ca="1">IFERROR(__xludf.DUMMYFUNCTION("GOOGLETRANSLATE(English!H2190, ""en"", ""bg"")"),"образователна_помощ")</f>
        <v>образователна_помощ</v>
      </c>
    </row>
    <row r="2191" spans="1:8" ht="13.2" x14ac:dyDescent="0.25">
      <c r="A2191" s="1" t="str">
        <f ca="1">IFERROR(__xludf.DUMMYFUNCTION("GOOGLETRANSLATE(English!A2191, ""en"", ""bg"")"),"conv_14070")</f>
        <v>conv_14070</v>
      </c>
      <c r="B2191" s="1" t="str">
        <f ca="1">IFERROR(__xludf.DUMMYFUNCTION("GOOGLETRANSLATE(English!B2191, ""en"", ""bg"")"),"химия")</f>
        <v>химия</v>
      </c>
      <c r="C2191" s="1" t="str">
        <f ca="1">IFERROR(__xludf.DUMMYFUNCTION("GOOGLETRANSLATE(English!C2191, ""en"", ""bg"")"),"високо")</f>
        <v>високо</v>
      </c>
      <c r="D2191" s="1" t="str">
        <f ca="1">IFERROR(__xludf.DUMMYFUNCTION("GOOGLETRANSLATE(English!D2191, ""en"", ""bg"")"),"органична химия")</f>
        <v>органична химия</v>
      </c>
      <c r="E2191" s="1" t="str">
        <f ca="1">IFERROR(__xludf.DUMMYFUNCTION("GOOGLETRANSLATE(English!E2191, ""en"", ""bg"")"),"Здравей, преподавателю! Как се прилага органичната химия в химията?")</f>
        <v>Здравей, преподавателю! Как се прилага органичната химия в химията?</v>
      </c>
      <c r="F2191" s="1" t="str">
        <f ca="1">IFERROR(__xludf.DUMMYFUNCTION("GOOGLETRANSLATE(English!F2191,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2191" s="1" t="str">
        <f ca="1">IFERROR(__xludf.DUMMYFUNCTION("GOOGLETRANSLATE(English!G2191, ""en"", ""bg"")"),"разговор")</f>
        <v>разговор</v>
      </c>
      <c r="H2191" s="1" t="str">
        <f ca="1">IFERROR(__xludf.DUMMYFUNCTION("GOOGLETRANSLATE(English!H2191, ""en"", ""bg"")"),"образователна_помощ")</f>
        <v>образователна_помощ</v>
      </c>
    </row>
    <row r="2192" spans="1:8" ht="13.2" x14ac:dyDescent="0.25">
      <c r="A2192" s="1" t="str">
        <f ca="1">IFERROR(__xludf.DUMMYFUNCTION("GOOGLETRANSLATE(English!A2192, ""en"", ""bg"")"),"conv_00959")</f>
        <v>conv_00959</v>
      </c>
      <c r="B2192" s="1" t="str">
        <f ca="1">IFERROR(__xludf.DUMMYFUNCTION("GOOGLETRANSLATE(English!B2192, ""en"", ""bg"")"),"физика")</f>
        <v>физика</v>
      </c>
      <c r="C2192" s="1" t="str">
        <f ca="1">IFERROR(__xludf.DUMMYFUNCTION("GOOGLETRANSLATE(English!C2192, ""en"", ""bg"")"),"елементарен")</f>
        <v>елементарен</v>
      </c>
      <c r="D2192" s="1" t="str">
        <f ca="1">IFERROR(__xludf.DUMMYFUNCTION("GOOGLETRANSLATE(English!D2192, ""en"", ""bg"")"),"плаващ и потъващ")</f>
        <v>плаващ и потъващ</v>
      </c>
      <c r="E2192" s="1" t="str">
        <f ca="1">IFERROR(__xludf.DUMMYFUNCTION("GOOGLETRANSLATE(English!E2192, ""en"", ""bg"")"),"Можете ли да ми обясните това? Защо е важно да се носите и да потъвате?")</f>
        <v>Можете ли да ми обясните това? Защо е важно да се носите и да потъвате?</v>
      </c>
      <c r="F2192" s="1" t="str">
        <f ca="1">IFERROR(__xludf.DUMMYFUNCTION("GOOGLETRANSLATE(English!F2192,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2192" s="1" t="str">
        <f ca="1">IFERROR(__xludf.DUMMYFUNCTION("GOOGLETRANSLATE(English!G2192, ""en"", ""bg"")"),"разговор")</f>
        <v>разговор</v>
      </c>
      <c r="H2192" s="1" t="str">
        <f ca="1">IFERROR(__xludf.DUMMYFUNCTION("GOOGLETRANSLATE(English!H2192, ""en"", ""bg"")"),"образователна_помощ")</f>
        <v>образователна_помощ</v>
      </c>
    </row>
    <row r="2193" spans="1:8" ht="13.2" x14ac:dyDescent="0.25">
      <c r="A2193" s="1" t="str">
        <f ca="1">IFERROR(__xludf.DUMMYFUNCTION("GOOGLETRANSLATE(English!A2193, ""en"", ""bg"")"),"hw_08415")</f>
        <v>hw_08415</v>
      </c>
      <c r="B2193" s="1" t="str">
        <f ca="1">IFERROR(__xludf.DUMMYFUNCTION("GOOGLETRANSLATE(English!B2193, ""en"", ""bg"")"),"физика")</f>
        <v>физика</v>
      </c>
      <c r="C2193" s="1" t="str">
        <f ca="1">IFERROR(__xludf.DUMMYFUNCTION("GOOGLETRANSLATE(English!C2193, ""en"", ""bg"")"),"високо")</f>
        <v>високо</v>
      </c>
      <c r="D2193" s="1" t="str">
        <f ca="1">IFERROR(__xludf.DUMMYFUNCTION("GOOGLETRANSLATE(English!D2193, ""en"", ""bg"")"),"атомна структура")</f>
        <v>атомна структура</v>
      </c>
      <c r="E2193" s="1" t="str">
        <f ca="1">IFERROR(__xludf.DUMMYFUNCTION("GOOGLETRANSLATE(English!E2193, ""en"", ""bg"")"),"Трябва да разбера атомната структура за изпита си.")</f>
        <v>Трябва да разбера атомната структура за изпита си.</v>
      </c>
      <c r="F2193" s="1" t="str">
        <f ca="1">IFERROR(__xludf.DUMMYFUNCTION("GOOGLETRANSLATE(English!F2193,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193" s="1" t="str">
        <f ca="1">IFERROR(__xludf.DUMMYFUNCTION("GOOGLETRANSLATE(English!G2193, ""en"", ""bg"")"),"помощ_за_домашно_изпълнение")</f>
        <v>помощ_за_домашно_изпълнение</v>
      </c>
      <c r="H2193" s="1" t="str">
        <f ca="1">IFERROR(__xludf.DUMMYFUNCTION("GOOGLETRANSLATE(English!H2193, ""en"", ""bg"")"),"помощ_за_домашно_задаване")</f>
        <v>помощ_за_домашно_задаване</v>
      </c>
    </row>
    <row r="2194" spans="1:8" ht="13.2" x14ac:dyDescent="0.25">
      <c r="A2194" s="1" t="str">
        <f ca="1">IFERROR(__xludf.DUMMYFUNCTION("GOOGLETRANSLATE(English!A2194, ""en"", ""bg"")"),"conv_12156")</f>
        <v>conv_12156</v>
      </c>
      <c r="B2194" s="1" t="str">
        <f ca="1">IFERROR(__xludf.DUMMYFUNCTION("GOOGLETRANSLATE(English!B2194, ""en"", ""bg"")"),"химия")</f>
        <v>химия</v>
      </c>
      <c r="C2194" s="1" t="str">
        <f ca="1">IFERROR(__xludf.DUMMYFUNCTION("GOOGLETRANSLATE(English!C2194, ""en"", ""bg"")"),"средата")</f>
        <v>средата</v>
      </c>
      <c r="D2194" s="1" t="str">
        <f ca="1">IFERROR(__xludf.DUMMYFUNCTION("GOOGLETRANSLATE(English!D2194, ""en"", ""bg"")"),"основи на периодичната таблица")</f>
        <v>основи на периодичната таблица</v>
      </c>
      <c r="E2194" s="1" t="str">
        <f ca="1">IFERROR(__xludf.DUMMYFUNCTION("GOOGLETRANSLATE(English!E2194, ""en"", ""bg"")"),"Можете ли да ми обясните това? Можете ли да ми помогнете да разбера основите на периодичната таблица?")</f>
        <v>Можете ли да ми обясните това? Можете ли да ми помогнете да разбера основите на периодичната таблица?</v>
      </c>
      <c r="F2194" s="1" t="str">
        <f ca="1">IFERROR(__xludf.DUMMYFUNCTION("GOOGLETRANSLATE(English!F2194,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2194" s="1" t="str">
        <f ca="1">IFERROR(__xludf.DUMMYFUNCTION("GOOGLETRANSLATE(English!G2194, ""en"", ""bg"")"),"разговор")</f>
        <v>разговор</v>
      </c>
      <c r="H2194" s="1" t="str">
        <f ca="1">IFERROR(__xludf.DUMMYFUNCTION("GOOGLETRANSLATE(English!H2194, ""en"", ""bg"")"),"образователна_помощ")</f>
        <v>образователна_помощ</v>
      </c>
    </row>
    <row r="2195" spans="1:8" ht="13.2" x14ac:dyDescent="0.25">
      <c r="A2195" s="1" t="str">
        <f ca="1">IFERROR(__xludf.DUMMYFUNCTION("GOOGLETRANSLATE(English!A2195, ""en"", ""bg"")"),"conv_03613")</f>
        <v>conv_03613</v>
      </c>
      <c r="B2195" s="1" t="str">
        <f ca="1">IFERROR(__xludf.DUMMYFUNCTION("GOOGLETRANSLATE(English!B2195, ""en"", ""bg"")"),"химия")</f>
        <v>химия</v>
      </c>
      <c r="C2195" s="1" t="str">
        <f ca="1">IFERROR(__xludf.DUMMYFUNCTION("GOOGLETRANSLATE(English!C2195, ""en"", ""bg"")"),"средата")</f>
        <v>средата</v>
      </c>
      <c r="D2195" s="1" t="str">
        <f ca="1">IFERROR(__xludf.DUMMYFUNCTION("GOOGLETRANSLATE(English!D2195, ""en"", ""bg"")"),"киселини и основи")</f>
        <v>киселини и основи</v>
      </c>
      <c r="E2195" s="1" t="str">
        <f ca="1">IFERROR(__xludf.DUMMYFUNCTION("GOOGLETRANSLATE(English!E2195, ""en"", ""bg"")"),"Имам нужда от помощ с домашното. Какво представляват киселините и основите?")</f>
        <v>Имам нужда от помощ с домашното. Какво представляват киселините и основите?</v>
      </c>
      <c r="F2195" s="1" t="str">
        <f ca="1">IFERROR(__xludf.DUMMYFUNCTION("GOOGLETRANSLATE(English!F2195,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2195" s="1" t="str">
        <f ca="1">IFERROR(__xludf.DUMMYFUNCTION("GOOGLETRANSLATE(English!G2195, ""en"", ""bg"")"),"разговор")</f>
        <v>разговор</v>
      </c>
      <c r="H2195" s="1" t="str">
        <f ca="1">IFERROR(__xludf.DUMMYFUNCTION("GOOGLETRANSLATE(English!H2195, ""en"", ""bg"")"),"образователна_помощ")</f>
        <v>образователна_помощ</v>
      </c>
    </row>
    <row r="2196" spans="1:8" ht="13.2" x14ac:dyDescent="0.25">
      <c r="A2196" s="1" t="str">
        <f ca="1">IFERROR(__xludf.DUMMYFUNCTION("GOOGLETRANSLATE(English!A2196, ""en"", ""bg"")"),"conv_04391")</f>
        <v>conv_04391</v>
      </c>
      <c r="B2196" s="1" t="str">
        <f ca="1">IFERROR(__xludf.DUMMYFUNCTION("GOOGLETRANSLATE(English!B2196, ""en"", ""bg"")"),"химия")</f>
        <v>химия</v>
      </c>
      <c r="C2196" s="1" t="str">
        <f ca="1">IFERROR(__xludf.DUMMYFUNCTION("GOOGLETRANSLATE(English!C2196, ""en"", ""bg"")"),"средата")</f>
        <v>средата</v>
      </c>
      <c r="D2196" s="1" t="str">
        <f ca="1">IFERROR(__xludf.DUMMYFUNCTION("GOOGLETRANSLATE(English!D2196, ""en"", ""bg"")"),"атоми и молекули")</f>
        <v>атоми и молекули</v>
      </c>
      <c r="E2196" s="1" t="str">
        <f ca="1">IFERROR(__xludf.DUMMYFUNCTION("GOOGLETRANSLATE(English!E2196, ""en"", ""bg"")"),"Помогни ми да уча за теста си. Какво е атом?")</f>
        <v>Помогни ми да уча за теста си. Какво е атом?</v>
      </c>
      <c r="F2196" s="1" t="str">
        <f ca="1">IFERROR(__xludf.DUMMYFUNCTION("GOOGLETRANSLATE(English!F2196,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2196" s="1" t="str">
        <f ca="1">IFERROR(__xludf.DUMMYFUNCTION("GOOGLETRANSLATE(English!G2196, ""en"", ""bg"")"),"разговор")</f>
        <v>разговор</v>
      </c>
      <c r="H2196" s="1" t="str">
        <f ca="1">IFERROR(__xludf.DUMMYFUNCTION("GOOGLETRANSLATE(English!H2196, ""en"", ""bg"")"),"образователна_помощ")</f>
        <v>образователна_помощ</v>
      </c>
    </row>
    <row r="2197" spans="1:8" ht="13.2" x14ac:dyDescent="0.25">
      <c r="A2197" s="1" t="str">
        <f ca="1">IFERROR(__xludf.DUMMYFUNCTION("GOOGLETRANSLATE(English!A2197, ""en"", ""bg"")"),"conv_02403")</f>
        <v>conv_02403</v>
      </c>
      <c r="B2197" s="1" t="str">
        <f ca="1">IFERROR(__xludf.DUMMYFUNCTION("GOOGLETRANSLATE(English!B2197, ""en"", ""bg"")"),"физика")</f>
        <v>физика</v>
      </c>
      <c r="C2197" s="1" t="str">
        <f ca="1">IFERROR(__xludf.DUMMYFUNCTION("GOOGLETRANSLATE(English!C2197, ""en"", ""bg"")"),"елементарен")</f>
        <v>елементарен</v>
      </c>
      <c r="D2197" s="1" t="str">
        <f ca="1">IFERROR(__xludf.DUMMYFUNCTION("GOOGLETRANSLATE(English!D2197, ""en"", ""bg"")"),"звук")</f>
        <v>звук</v>
      </c>
      <c r="E2197" s="1" t="str">
        <f ca="1">IFERROR(__xludf.DUMMYFUNCTION("GOOGLETRANSLATE(English!E2197, ""en"", ""bg"")"),"Помогнете ми да уча за теста си. Как работи звукът във физиката?")</f>
        <v>Помогнете ми да уча за теста си. Как работи звукът във физиката?</v>
      </c>
      <c r="F2197" s="1" t="str">
        <f ca="1">IFERROR(__xludf.DUMMYFUNCTION("GOOGLETRANSLATE(English!F2197,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197" s="1" t="str">
        <f ca="1">IFERROR(__xludf.DUMMYFUNCTION("GOOGLETRANSLATE(English!G2197, ""en"", ""bg"")"),"разговор")</f>
        <v>разговор</v>
      </c>
      <c r="H2197" s="1" t="str">
        <f ca="1">IFERROR(__xludf.DUMMYFUNCTION("GOOGLETRANSLATE(English!H2197, ""en"", ""bg"")"),"образователна_помощ")</f>
        <v>образователна_помощ</v>
      </c>
    </row>
    <row r="2198" spans="1:8" ht="13.2" x14ac:dyDescent="0.25">
      <c r="A2198" s="1" t="str">
        <f ca="1">IFERROR(__xludf.DUMMYFUNCTION("GOOGLETRANSLATE(English!A2198, ""en"", ""bg"")"),"conv_09571")</f>
        <v>conv_09571</v>
      </c>
      <c r="B2198" s="1" t="str">
        <f ca="1">IFERROR(__xludf.DUMMYFUNCTION("GOOGLETRANSLATE(English!B2198, ""en"", ""bg"")"),"химия")</f>
        <v>химия</v>
      </c>
      <c r="C2198" s="1" t="str">
        <f ca="1">IFERROR(__xludf.DUMMYFUNCTION("GOOGLETRANSLATE(English!C2198, ""en"", ""bg"")"),"високо")</f>
        <v>високо</v>
      </c>
      <c r="D2198" s="1" t="str">
        <f ca="1">IFERROR(__xludf.DUMMYFUNCTION("GOOGLETRANSLATE(English!D2198, ""en"", ""bg"")"),"скорости на реакция")</f>
        <v>скорости на реакция</v>
      </c>
      <c r="E2198" s="1" t="str">
        <f ca="1">IFERROR(__xludf.DUMMYFUNCTION("GOOGLETRANSLATE(English!E2198, ""en"", ""bg"")"),"Можете ли да ми помогнете? Защо е важно да се учи скоростта на реакция?")</f>
        <v>Можете ли да ми помогнете? Защо е важно да се учи скоростта на реакция?</v>
      </c>
      <c r="F2198" s="1" t="str">
        <f ca="1">IFERROR(__xludf.DUMMYFUNCTION("GOOGLETRANSLATE(English!F2198,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2198" s="1" t="str">
        <f ca="1">IFERROR(__xludf.DUMMYFUNCTION("GOOGLETRANSLATE(English!G2198, ""en"", ""bg"")"),"разговор")</f>
        <v>разговор</v>
      </c>
      <c r="H2198" s="1" t="str">
        <f ca="1">IFERROR(__xludf.DUMMYFUNCTION("GOOGLETRANSLATE(English!H2198, ""en"", ""bg"")"),"образователна_помощ")</f>
        <v>образователна_помощ</v>
      </c>
    </row>
    <row r="2199" spans="1:8" ht="13.2" x14ac:dyDescent="0.25">
      <c r="A2199" s="1" t="str">
        <f ca="1">IFERROR(__xludf.DUMMYFUNCTION("GOOGLETRANSLATE(English!A2199, ""en"", ""bg"")"),"hw_11477")</f>
        <v>hw_11477</v>
      </c>
      <c r="B2199" s="1" t="str">
        <f ca="1">IFERROR(__xludf.DUMMYFUNCTION("GOOGLETRANSLATE(English!B2199, ""en"", ""bg"")"),"биология")</f>
        <v>биология</v>
      </c>
      <c r="C2199" s="1" t="str">
        <f ca="1">IFERROR(__xludf.DUMMYFUNCTION("GOOGLETRANSLATE(English!C2199, ""en"", ""bg"")"),"високо")</f>
        <v>високо</v>
      </c>
      <c r="D2199" s="1" t="str">
        <f ca="1">IFERROR(__xludf.DUMMYFUNCTION("GOOGLETRANSLATE(English!D2199, ""en"", ""bg"")"),"молекулярна биология")</f>
        <v>молекулярна биология</v>
      </c>
      <c r="E2199" s="1" t="str">
        <f ca="1">IFERROR(__xludf.DUMMYFUNCTION("GOOGLETRANSLATE(English!E2199,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2199" s="1" t="str">
        <f ca="1">IFERROR(__xludf.DUMMYFUNCTION("GOOGLETRANSLATE(English!F2199,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2199" s="1" t="str">
        <f ca="1">IFERROR(__xludf.DUMMYFUNCTION("GOOGLETRANSLATE(English!G2199, ""en"", ""bg"")"),"помощ_за_домашно_изпълнение")</f>
        <v>помощ_за_домашно_изпълнение</v>
      </c>
      <c r="H2199" s="1" t="str">
        <f ca="1">IFERROR(__xludf.DUMMYFUNCTION("GOOGLETRANSLATE(English!H2199, ""en"", ""bg"")"),"помощ_за_домашно_задаване")</f>
        <v>помощ_за_домашно_задаване</v>
      </c>
    </row>
    <row r="2200" spans="1:8" ht="13.2" x14ac:dyDescent="0.25">
      <c r="A2200" s="1" t="str">
        <f ca="1">IFERROR(__xludf.DUMMYFUNCTION("GOOGLETRANSLATE(English!A2200, ""en"", ""bg"")"),"qa_07882")</f>
        <v>qa_07882</v>
      </c>
      <c r="B2200" s="1" t="str">
        <f ca="1">IFERROR(__xludf.DUMMYFUNCTION("GOOGLETRANSLATE(English!B2200, ""en"", ""bg"")"),"физика")</f>
        <v>физика</v>
      </c>
      <c r="C2200" s="1" t="str">
        <f ca="1">IFERROR(__xludf.DUMMYFUNCTION("GOOGLETRANSLATE(English!C2200, ""en"", ""bg"")"),"високо")</f>
        <v>високо</v>
      </c>
      <c r="D2200" s="1" t="str">
        <f ca="1">IFERROR(__xludf.DUMMYFUNCTION("GOOGLETRANSLATE(English!D2200, ""en"", ""bg"")"),"оптика")</f>
        <v>оптика</v>
      </c>
      <c r="E2200" s="1" t="str">
        <f ca="1">IFERROR(__xludf.DUMMYFUNCTION("GOOGLETRANSLATE(English!E2200, ""en"", ""bg"")"),"Защо е важна оптиката?")</f>
        <v>Защо е важна оптиката?</v>
      </c>
      <c r="F2200" s="1" t="str">
        <f ca="1">IFERROR(__xludf.DUMMYFUNCTION("GOOGLETRANSLATE(English!F2200,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2200" s="1" t="str">
        <f ca="1">IFERROR(__xludf.DUMMYFUNCTION("GOOGLETRANSLATE(English!G2200, ""en"", ""bg"")"),"direct_qa")</f>
        <v>direct_qa</v>
      </c>
      <c r="H2200" s="1" t="str">
        <f ca="1">IFERROR(__xludf.DUMMYFUNCTION("GOOGLETRANSLATE(English!H2200, ""en"", ""bg"")"),"заявка_за_знание")</f>
        <v>заявка_за_знание</v>
      </c>
    </row>
    <row r="2201" spans="1:8" ht="13.2" x14ac:dyDescent="0.25">
      <c r="A2201" s="1" t="str">
        <f ca="1">IFERROR(__xludf.DUMMYFUNCTION("GOOGLETRANSLATE(English!A2201, ""en"", ""bg"")"),"hw_09408")</f>
        <v>hw_09408</v>
      </c>
      <c r="B2201" s="1" t="str">
        <f ca="1">IFERROR(__xludf.DUMMYFUNCTION("GOOGLETRANSLATE(English!B2201, ""en"", ""bg"")"),"физика")</f>
        <v>физика</v>
      </c>
      <c r="C2201" s="1" t="str">
        <f ca="1">IFERROR(__xludf.DUMMYFUNCTION("GOOGLETRANSLATE(English!C2201, ""en"", ""bg"")"),"средата")</f>
        <v>средата</v>
      </c>
      <c r="D2201" s="1" t="str">
        <f ca="1">IFERROR(__xludf.DUMMYFUNCTION("GOOGLETRANSLATE(English!D2201, ""en"", ""bg"")"),"вълни")</f>
        <v>вълни</v>
      </c>
      <c r="E2201" s="1" t="str">
        <f ca="1">IFERROR(__xludf.DUMMYFUNCTION("GOOGLETRANSLATE(English!E2201, ""en"", ""bg"")"),"Можеш ли да решиш тази задача за вълните с мен?")</f>
        <v>Можеш ли да решиш тази задача за вълните с мен?</v>
      </c>
      <c r="F2201" s="1" t="str">
        <f ca="1">IFERROR(__xludf.DUMMYFUNCTION("GOOGLETRANSLATE(English!F2201,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2201" s="1" t="str">
        <f ca="1">IFERROR(__xludf.DUMMYFUNCTION("GOOGLETRANSLATE(English!G2201, ""en"", ""bg"")"),"помощ_за_домашно_изпълнение")</f>
        <v>помощ_за_домашно_изпълнение</v>
      </c>
      <c r="H2201" s="1" t="str">
        <f ca="1">IFERROR(__xludf.DUMMYFUNCTION("GOOGLETRANSLATE(English!H2201, ""en"", ""bg"")"),"помощ_за_домашно_задаване")</f>
        <v>помощ_за_домашно_задаване</v>
      </c>
    </row>
    <row r="2202" spans="1:8" ht="13.2" x14ac:dyDescent="0.25">
      <c r="A2202" s="1" t="str">
        <f ca="1">IFERROR(__xludf.DUMMYFUNCTION("GOOGLETRANSLATE(English!A2202, ""en"", ""bg"")"),"hw_04921")</f>
        <v>hw_04921</v>
      </c>
      <c r="B2202" s="1" t="str">
        <f ca="1">IFERROR(__xludf.DUMMYFUNCTION("GOOGLETRANSLATE(English!B2202, ""en"", ""bg"")"),"биология")</f>
        <v>биология</v>
      </c>
      <c r="C2202" s="1" t="str">
        <f ca="1">IFERROR(__xludf.DUMMYFUNCTION("GOOGLETRANSLATE(English!C2202, ""en"", ""bg"")"),"средата")</f>
        <v>средата</v>
      </c>
      <c r="D2202" s="1" t="str">
        <f ca="1">IFERROR(__xludf.DUMMYFUNCTION("GOOGLETRANSLATE(English!D2202, ""en"", ""bg"")"),"основи на еволюцията")</f>
        <v>основи на еволюцията</v>
      </c>
      <c r="E2202" s="1" t="str">
        <f ca="1">IFERROR(__xludf.DUMMYFUNCTION("GOOGLETRANSLATE(English!E2202, ""en"", ""bg"")"),"Утре имам тест по основи на еволюцията. Помогни ми да уча!")</f>
        <v>Утре имам тест по основи на еволюцията. Помогни ми да уча!</v>
      </c>
      <c r="F2202" s="1" t="str">
        <f ca="1">IFERROR(__xludf.DUMMYFUNCTION("GOOGLETRANSLATE(English!F2202,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202" s="1" t="str">
        <f ca="1">IFERROR(__xludf.DUMMYFUNCTION("GOOGLETRANSLATE(English!G2202, ""en"", ""bg"")"),"помощ_за_домашно_изпълнение")</f>
        <v>помощ_за_домашно_изпълнение</v>
      </c>
      <c r="H2202" s="1" t="str">
        <f ca="1">IFERROR(__xludf.DUMMYFUNCTION("GOOGLETRANSLATE(English!H2202, ""en"", ""bg"")"),"помощ_за_домашно_задаване")</f>
        <v>помощ_за_домашно_задаване</v>
      </c>
    </row>
    <row r="2203" spans="1:8" ht="13.2" x14ac:dyDescent="0.25">
      <c r="A2203" s="1" t="str">
        <f ca="1">IFERROR(__xludf.DUMMYFUNCTION("GOOGLETRANSLATE(English!A2203, ""en"", ""bg"")"),"conv_01854")</f>
        <v>conv_01854</v>
      </c>
      <c r="B2203" s="1" t="str">
        <f ca="1">IFERROR(__xludf.DUMMYFUNCTION("GOOGLETRANSLATE(English!B2203, ""en"", ""bg"")"),"физика")</f>
        <v>физика</v>
      </c>
      <c r="C2203" s="1" t="str">
        <f ca="1">IFERROR(__xludf.DUMMYFUNCTION("GOOGLETRANSLATE(English!C2203, ""en"", ""bg"")"),"елементарен")</f>
        <v>елементарен</v>
      </c>
      <c r="D2203" s="1" t="str">
        <f ca="1">IFERROR(__xludf.DUMMYFUNCTION("GOOGLETRANSLATE(English!D2203, ""en"", ""bg"")"),"звук")</f>
        <v>звук</v>
      </c>
      <c r="E2203" s="1" t="str">
        <f ca="1">IFERROR(__xludf.DUMMYFUNCTION("GOOGLETRANSLATE(English!E2203, ""en"", ""bg"")"),"Не разбирам тази тема. Защо звукът е важен?")</f>
        <v>Не разбирам тази тема. Защо звукът е важен?</v>
      </c>
      <c r="F2203" s="1" t="str">
        <f ca="1">IFERROR(__xludf.DUMMYFUNCTION("GOOGLETRANSLATE(English!F2203,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2203" s="1" t="str">
        <f ca="1">IFERROR(__xludf.DUMMYFUNCTION("GOOGLETRANSLATE(English!G2203, ""en"", ""bg"")"),"разговор")</f>
        <v>разговор</v>
      </c>
      <c r="H2203" s="1" t="str">
        <f ca="1">IFERROR(__xludf.DUMMYFUNCTION("GOOGLETRANSLATE(English!H2203, ""en"", ""bg"")"),"образователна_помощ")</f>
        <v>образователна_помощ</v>
      </c>
    </row>
    <row r="2204" spans="1:8" ht="13.2" x14ac:dyDescent="0.25">
      <c r="A2204" s="1" t="str">
        <f ca="1">IFERROR(__xludf.DUMMYFUNCTION("GOOGLETRANSLATE(English!A2204, ""en"", ""bg"")"),"hw_09572")</f>
        <v>hw_09572</v>
      </c>
      <c r="B2204" s="1" t="str">
        <f ca="1">IFERROR(__xludf.DUMMYFUNCTION("GOOGLETRANSLATE(English!B2204, ""en"", ""bg"")"),"биология")</f>
        <v>биология</v>
      </c>
      <c r="C2204" s="1" t="str">
        <f ca="1">IFERROR(__xludf.DUMMYFUNCTION("GOOGLETRANSLATE(English!C2204, ""en"", ""bg"")"),"средата")</f>
        <v>средата</v>
      </c>
      <c r="D2204" s="1" t="str">
        <f ca="1">IFERROR(__xludf.DUMMYFUNCTION("GOOGLETRANSLATE(English!D2204, ""en"", ""bg"")"),"дишане")</f>
        <v>дишане</v>
      </c>
      <c r="E2204" s="1" t="str">
        <f ca="1">IFERROR(__xludf.DUMMYFUNCTION("GOOGLETRANSLATE(English!E2204, ""en"", ""bg"")"),"Можете ли да обясните дишането за моя научен проект?")</f>
        <v>Можете ли да обясните дишането за моя научен проект?</v>
      </c>
      <c r="F2204" s="1" t="str">
        <f ca="1">IFERROR(__xludf.DUMMYFUNCTION("GOOGLETRANSLATE(English!F2204,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2204" s="1" t="str">
        <f ca="1">IFERROR(__xludf.DUMMYFUNCTION("GOOGLETRANSLATE(English!G2204, ""en"", ""bg"")"),"помощ_за_домашно_изпълнение")</f>
        <v>помощ_за_домашно_изпълнение</v>
      </c>
      <c r="H2204" s="1" t="str">
        <f ca="1">IFERROR(__xludf.DUMMYFUNCTION("GOOGLETRANSLATE(English!H2204, ""en"", ""bg"")"),"помощ_за_домашно_задаване")</f>
        <v>помощ_за_домашно_задаване</v>
      </c>
    </row>
    <row r="2205" spans="1:8" ht="13.2" x14ac:dyDescent="0.25">
      <c r="A2205" s="1" t="str">
        <f ca="1">IFERROR(__xludf.DUMMYFUNCTION("GOOGLETRANSLATE(English!A2205, ""en"", ""bg"")"),"qa_09178")</f>
        <v>qa_09178</v>
      </c>
      <c r="B2205" s="1" t="str">
        <f ca="1">IFERROR(__xludf.DUMMYFUNCTION("GOOGLETRANSLATE(English!B2205, ""en"", ""bg"")"),"биология")</f>
        <v>биология</v>
      </c>
      <c r="C2205" s="1" t="str">
        <f ca="1">IFERROR(__xludf.DUMMYFUNCTION("GOOGLETRANSLATE(English!C2205, ""en"", ""bg"")"),"елементарен")</f>
        <v>елементарен</v>
      </c>
      <c r="D2205" s="1" t="str">
        <f ca="1">IFERROR(__xludf.DUMMYFUNCTION("GOOGLETRANSLATE(English!D2205, ""en"", ""bg"")"),"жизнени цикли")</f>
        <v>жизнени цикли</v>
      </c>
      <c r="E2205" s="1" t="str">
        <f ca="1">IFERROR(__xludf.DUMMYFUNCTION("GOOGLETRANSLATE(English!E2205, ""en"", ""bg"")"),"Какво е важно да знаем за жизнените цикли?")</f>
        <v>Какво е важно да знаем за жизнените цикли?</v>
      </c>
      <c r="F2205" s="1" t="str">
        <f ca="1">IFERROR(__xludf.DUMMYFUNCTION("GOOGLETRANSLATE(English!F2205,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2205" s="1" t="str">
        <f ca="1">IFERROR(__xludf.DUMMYFUNCTION("GOOGLETRANSLATE(English!G2205, ""en"", ""bg"")"),"direct_qa")</f>
        <v>direct_qa</v>
      </c>
      <c r="H2205" s="1" t="str">
        <f ca="1">IFERROR(__xludf.DUMMYFUNCTION("GOOGLETRANSLATE(English!H2205, ""en"", ""bg"")"),"заявка_за_знание")</f>
        <v>заявка_за_знание</v>
      </c>
    </row>
    <row r="2206" spans="1:8" ht="13.2" x14ac:dyDescent="0.25">
      <c r="A2206" s="1" t="str">
        <f ca="1">IFERROR(__xludf.DUMMYFUNCTION("GOOGLETRANSLATE(English!A2206, ""en"", ""bg"")"),"qa_13633")</f>
        <v>qa_13633</v>
      </c>
      <c r="B2206" s="1" t="str">
        <f ca="1">IFERROR(__xludf.DUMMYFUNCTION("GOOGLETRANSLATE(English!B2206, ""en"", ""bg"")"),"физика")</f>
        <v>физика</v>
      </c>
      <c r="C2206" s="1" t="str">
        <f ca="1">IFERROR(__xludf.DUMMYFUNCTION("GOOGLETRANSLATE(English!C2206, ""en"", ""bg"")"),"високо")</f>
        <v>високо</v>
      </c>
      <c r="D2206" s="1" t="str">
        <f ca="1">IFERROR(__xludf.DUMMYFUNCTION("GOOGLETRANSLATE(English!D2206, ""en"", ""bg"")"),"термодинамика")</f>
        <v>термодинамика</v>
      </c>
      <c r="E2206" s="1" t="str">
        <f ca="1">IFERROR(__xludf.DUMMYFUNCTION("GOOGLETRANSLATE(English!E2206, ""en"", ""bg"")"),"Защо термодинамиката е важна?")</f>
        <v>Защо термодинамиката е важна?</v>
      </c>
      <c r="F2206" s="1" t="str">
        <f ca="1">IFERROR(__xludf.DUMMYFUNCTION("GOOGLETRANSLATE(English!F2206,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2206" s="1" t="str">
        <f ca="1">IFERROR(__xludf.DUMMYFUNCTION("GOOGLETRANSLATE(English!G2206, ""en"", ""bg"")"),"direct_qa")</f>
        <v>direct_qa</v>
      </c>
      <c r="H2206" s="1" t="str">
        <f ca="1">IFERROR(__xludf.DUMMYFUNCTION("GOOGLETRANSLATE(English!H2206, ""en"", ""bg"")"),"заявка_за_знание")</f>
        <v>заявка_за_знание</v>
      </c>
    </row>
    <row r="2207" spans="1:8" ht="13.2" x14ac:dyDescent="0.25">
      <c r="A2207" s="1" t="str">
        <f ca="1">IFERROR(__xludf.DUMMYFUNCTION("GOOGLETRANSLATE(English!A2207, ""en"", ""bg"")"),"qa_10097")</f>
        <v>qa_10097</v>
      </c>
      <c r="B2207" s="1" t="str">
        <f ca="1">IFERROR(__xludf.DUMMYFUNCTION("GOOGLETRANSLATE(English!B2207, ""en"", ""bg"")"),"биология")</f>
        <v>биология</v>
      </c>
      <c r="C2207" s="1" t="str">
        <f ca="1">IFERROR(__xludf.DUMMYFUNCTION("GOOGLETRANSLATE(English!C2207, ""en"", ""bg"")"),"елементарен")</f>
        <v>елементарен</v>
      </c>
      <c r="D2207" s="1" t="str">
        <f ca="1">IFERROR(__xludf.DUMMYFUNCTION("GOOGLETRANSLATE(English!D2207, ""en"", ""bg"")"),"човешкото тяло")</f>
        <v>човешкото тяло</v>
      </c>
      <c r="E2207" s="1" t="str">
        <f ca="1">IFERROR(__xludf.DUMMYFUNCTION("GOOGLETRANSLATE(English!E2207, ""en"", ""bg"")"),"Как работи човешкото тяло?")</f>
        <v>Как работи човешкото тяло?</v>
      </c>
      <c r="F2207" s="1" t="str">
        <f ca="1">IFERROR(__xludf.DUMMYFUNCTION("GOOGLETRANSLATE(English!F2207,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2207" s="1" t="str">
        <f ca="1">IFERROR(__xludf.DUMMYFUNCTION("GOOGLETRANSLATE(English!G2207, ""en"", ""bg"")"),"direct_qa")</f>
        <v>direct_qa</v>
      </c>
      <c r="H2207" s="1" t="str">
        <f ca="1">IFERROR(__xludf.DUMMYFUNCTION("GOOGLETRANSLATE(English!H2207, ""en"", ""bg"")"),"заявка_за_знание")</f>
        <v>заявка_за_знание</v>
      </c>
    </row>
    <row r="2208" spans="1:8" ht="13.2" x14ac:dyDescent="0.25">
      <c r="A2208" s="1" t="str">
        <f ca="1">IFERROR(__xludf.DUMMYFUNCTION("GOOGLETRANSLATE(English!A2208, ""en"", ""bg"")"),"conv_08538")</f>
        <v>conv_08538</v>
      </c>
      <c r="B2208" s="1" t="str">
        <f ca="1">IFERROR(__xludf.DUMMYFUNCTION("GOOGLETRANSLATE(English!B2208, ""en"", ""bg"")"),"биология")</f>
        <v>биология</v>
      </c>
      <c r="C2208" s="1" t="str">
        <f ca="1">IFERROR(__xludf.DUMMYFUNCTION("GOOGLETRANSLATE(English!C2208, ""en"", ""bg"")"),"елементарен")</f>
        <v>елементарен</v>
      </c>
      <c r="D2208" s="1" t="str">
        <f ca="1">IFERROR(__xludf.DUMMYFUNCTION("GOOGLETRANSLATE(English!D2208, ""en"", ""bg"")"),"местообитания")</f>
        <v>местообитания</v>
      </c>
      <c r="E2208" s="1" t="str">
        <f ca="1">IFERROR(__xludf.DUMMYFUNCTION("GOOGLETRANSLATE(English!E2208, ""en"", ""bg"")"),"Помогнете ми да уча за теста си. Как функционират местообитанията?")</f>
        <v>Помогнете ми да уча за теста си. Как функционират местообитанията?</v>
      </c>
      <c r="F2208" s="1" t="str">
        <f ca="1">IFERROR(__xludf.DUMMYFUNCTION("GOOGLETRANSLATE(English!F2208, ""en"", ""bg"")"),"Хабитатите функционират чрез естествени процеси, които учените изучават от много години.")</f>
        <v>Хабитатите функционират чрез естествени процеси, които учените изучават от много години.</v>
      </c>
      <c r="G2208" s="1" t="str">
        <f ca="1">IFERROR(__xludf.DUMMYFUNCTION("GOOGLETRANSLATE(English!G2208, ""en"", ""bg"")"),"разговор")</f>
        <v>разговор</v>
      </c>
      <c r="H2208" s="1" t="str">
        <f ca="1">IFERROR(__xludf.DUMMYFUNCTION("GOOGLETRANSLATE(English!H2208, ""en"", ""bg"")"),"образователна_помощ")</f>
        <v>образователна_помощ</v>
      </c>
    </row>
    <row r="2209" spans="1:8" ht="13.2" x14ac:dyDescent="0.25">
      <c r="A2209" s="1" t="str">
        <f ca="1">IFERROR(__xludf.DUMMYFUNCTION("GOOGLETRANSLATE(English!A2209, ""en"", ""bg"")"),"qa_06859")</f>
        <v>qa_06859</v>
      </c>
      <c r="B2209" s="1" t="str">
        <f ca="1">IFERROR(__xludf.DUMMYFUNCTION("GOOGLETRANSLATE(English!B2209, ""en"", ""bg"")"),"биология")</f>
        <v>биология</v>
      </c>
      <c r="C2209" s="1" t="str">
        <f ca="1">IFERROR(__xludf.DUMMYFUNCTION("GOOGLETRANSLATE(English!C2209, ""en"", ""bg"")"),"елементарен")</f>
        <v>елементарен</v>
      </c>
      <c r="D2209" s="1" t="str">
        <f ca="1">IFERROR(__xludf.DUMMYFUNCTION("GOOGLETRANSLATE(English!D2209, ""en"", ""bg"")"),"домашни любимци срещу диви животни")</f>
        <v>домашни любимци срещу диви животни</v>
      </c>
      <c r="E2209" s="1" t="str">
        <f ca="1">IFERROR(__xludf.DUMMYFUNCTION("GOOGLETRANSLATE(English!E2209, ""en"", ""bg"")"),"Как се различават домашните любимци от дивите животни?")</f>
        <v>Как се различават домашните любимци от дивите животни?</v>
      </c>
      <c r="F2209" s="1" t="str">
        <f ca="1">IFERROR(__xludf.DUMMYFUNCTION("GOOGLETRANSLATE(English!F2209,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2209" s="1" t="str">
        <f ca="1">IFERROR(__xludf.DUMMYFUNCTION("GOOGLETRANSLATE(English!G2209, ""en"", ""bg"")"),"direct_qa")</f>
        <v>direct_qa</v>
      </c>
      <c r="H2209" s="1" t="str">
        <f ca="1">IFERROR(__xludf.DUMMYFUNCTION("GOOGLETRANSLATE(English!H2209, ""en"", ""bg"")"),"заявка_за_знание")</f>
        <v>заявка_за_знание</v>
      </c>
    </row>
    <row r="2210" spans="1:8" ht="13.2" x14ac:dyDescent="0.25">
      <c r="A2210" s="1" t="str">
        <f ca="1">IFERROR(__xludf.DUMMYFUNCTION("GOOGLETRANSLATE(English!A2210, ""en"", ""bg"")"),"conv_15296")</f>
        <v>conv_15296</v>
      </c>
      <c r="B2210" s="1" t="str">
        <f ca="1">IFERROR(__xludf.DUMMYFUNCTION("GOOGLETRANSLATE(English!B2210, ""en"", ""bg"")"),"химия")</f>
        <v>химия</v>
      </c>
      <c r="C2210" s="1" t="str">
        <f ca="1">IFERROR(__xludf.DUMMYFUNCTION("GOOGLETRANSLATE(English!C2210, ""en"", ""bg"")"),"елементарен")</f>
        <v>елементарен</v>
      </c>
      <c r="D2210" s="1" t="str">
        <f ca="1">IFERROR(__xludf.DUMMYFUNCTION("GOOGLETRANSLATE(English!D2210, ""en"", ""bg"")"),"смесване на материали")</f>
        <v>смесване на материали</v>
      </c>
      <c r="E2210" s="1" t="str">
        <f ca="1">IFERROR(__xludf.DUMMYFUNCTION("GOOGLETRANSLATE(English!E2210, ""en"", ""bg"")"),"Можете ли да ми помогнете? Какво е решение?")</f>
        <v>Можете ли да ми помогнете? Какво е решение?</v>
      </c>
      <c r="F2210" s="1" t="str">
        <f ca="1">IFERROR(__xludf.DUMMYFUNCTION("GOOGLETRANSLATE(English!F2210,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2210" s="1" t="str">
        <f ca="1">IFERROR(__xludf.DUMMYFUNCTION("GOOGLETRANSLATE(English!G2210, ""en"", ""bg"")"),"разговор")</f>
        <v>разговор</v>
      </c>
      <c r="H2210" s="1" t="str">
        <f ca="1">IFERROR(__xludf.DUMMYFUNCTION("GOOGLETRANSLATE(English!H2210, ""en"", ""bg"")"),"образователна_помощ")</f>
        <v>образователна_помощ</v>
      </c>
    </row>
    <row r="2211" spans="1:8" ht="13.2" x14ac:dyDescent="0.25">
      <c r="A2211" s="1" t="str">
        <f ca="1">IFERROR(__xludf.DUMMYFUNCTION("GOOGLETRANSLATE(English!A2211, ""en"", ""bg"")"),"conv_15341")</f>
        <v>conv_15341</v>
      </c>
      <c r="B2211" s="1" t="str">
        <f ca="1">IFERROR(__xludf.DUMMYFUNCTION("GOOGLETRANSLATE(English!B2211, ""en"", ""bg"")"),"химия")</f>
        <v>химия</v>
      </c>
      <c r="C2211" s="1" t="str">
        <f ca="1">IFERROR(__xludf.DUMMYFUNCTION("GOOGLETRANSLATE(English!C2211, ""en"", ""bg"")"),"елементарен")</f>
        <v>елементарен</v>
      </c>
      <c r="D2211" s="1" t="str">
        <f ca="1">IFERROR(__xludf.DUMMYFUNCTION("GOOGLETRANSLATE(English!D2211, ""en"", ""bg"")"),"твърди вещества, течности, газове")</f>
        <v>твърди вещества, течности, газове</v>
      </c>
      <c r="E2211" s="1" t="str">
        <f ca="1">IFERROR(__xludf.DUMMYFUNCTION("GOOGLETRANSLATE(English!E2211, ""en"", ""bg"")"),"Помогнете ми да уча за теста си. Защо ледът плава по водата?")</f>
        <v>Помогнете ми да уча за теста си. Защо ледът плава по водата?</v>
      </c>
      <c r="F2211" s="1" t="str">
        <f ca="1">IFERROR(__xludf.DUMMYFUNCTION("GOOGLETRANSLATE(English!F2211,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2211" s="1" t="str">
        <f ca="1">IFERROR(__xludf.DUMMYFUNCTION("GOOGLETRANSLATE(English!G2211, ""en"", ""bg"")"),"разговор")</f>
        <v>разговор</v>
      </c>
      <c r="H2211" s="1" t="str">
        <f ca="1">IFERROR(__xludf.DUMMYFUNCTION("GOOGLETRANSLATE(English!H2211, ""en"", ""bg"")"),"образователна_помощ")</f>
        <v>образователна_помощ</v>
      </c>
    </row>
    <row r="2212" spans="1:8" ht="13.2" x14ac:dyDescent="0.25">
      <c r="A2212" s="1" t="str">
        <f ca="1">IFERROR(__xludf.DUMMYFUNCTION("GOOGLETRANSLATE(English!A2212, ""en"", ""bg"")"),"hw_08673")</f>
        <v>hw_08673</v>
      </c>
      <c r="B2212" s="1" t="str">
        <f ca="1">IFERROR(__xludf.DUMMYFUNCTION("GOOGLETRANSLATE(English!B2212, ""en"", ""bg"")"),"химия")</f>
        <v>химия</v>
      </c>
      <c r="C2212" s="1" t="str">
        <f ca="1">IFERROR(__xludf.DUMMYFUNCTION("GOOGLETRANSLATE(English!C2212, ""en"", ""bg"")"),"елементарен")</f>
        <v>елементарен</v>
      </c>
      <c r="D2212" s="1" t="str">
        <f ca="1">IFERROR(__xludf.DUMMYFUNCTION("GOOGLETRANSLATE(English!D2212, ""en"", ""bg"")"),"безопасност")</f>
        <v>безопасност</v>
      </c>
      <c r="E2212" s="1" t="str">
        <f ca="1">IFERROR(__xludf.DUMMYFUNCTION("GOOGLETRANSLATE(English!E2212, ""en"", ""bg"")"),"Трудно ми е с безопасността при домашното.")</f>
        <v>Трудно ми е с безопасността при домашното.</v>
      </c>
      <c r="F2212" s="1" t="str">
        <f ca="1">IFERROR(__xludf.DUMMYFUNCTION("GOOGLETRANSLATE(English!F2212,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212" s="1" t="str">
        <f ca="1">IFERROR(__xludf.DUMMYFUNCTION("GOOGLETRANSLATE(English!G2212, ""en"", ""bg"")"),"помощ_за_домашно_изпълнение")</f>
        <v>помощ_за_домашно_изпълнение</v>
      </c>
      <c r="H2212" s="1" t="str">
        <f ca="1">IFERROR(__xludf.DUMMYFUNCTION("GOOGLETRANSLATE(English!H2212, ""en"", ""bg"")"),"помощ_за_домашно_задаване")</f>
        <v>помощ_за_домашно_задаване</v>
      </c>
    </row>
    <row r="2213" spans="1:8" ht="13.2" x14ac:dyDescent="0.25">
      <c r="A2213" s="1" t="str">
        <f ca="1">IFERROR(__xludf.DUMMYFUNCTION("GOOGLETRANSLATE(English!A2213, ""en"", ""bg"")"),"conv_12530")</f>
        <v>conv_12530</v>
      </c>
      <c r="B2213" s="1" t="str">
        <f ca="1">IFERROR(__xludf.DUMMYFUNCTION("GOOGLETRANSLATE(English!B2213, ""en"", ""bg"")"),"биология")</f>
        <v>биология</v>
      </c>
      <c r="C2213" s="1" t="str">
        <f ca="1">IFERROR(__xludf.DUMMYFUNCTION("GOOGLETRANSLATE(English!C2213, ""en"", ""bg"")"),"високо")</f>
        <v>високо</v>
      </c>
      <c r="D2213" s="1" t="str">
        <f ca="1">IFERROR(__xludf.DUMMYFUNCTION("GOOGLETRANSLATE(English!D2213, ""en"", ""bg"")"),"митоза и мейоза")</f>
        <v>митоза и мейоза</v>
      </c>
      <c r="E2213" s="1" t="str">
        <f ca="1">IFERROR(__xludf.DUMMYFUNCTION("GOOGLETRANSLATE(English!E2213, ""en"", ""bg"")"),"Можете ли да ми обясните това? Можете ли да ми разкажете за митозата и мейозата?")</f>
        <v>Можете ли да ми обясните това? Можете ли да ми разкажете за митозата и мейозата?</v>
      </c>
      <c r="F2213" s="1" t="str">
        <f ca="1">IFERROR(__xludf.DUMMYFUNCTION("GOOGLETRANSLATE(English!F2213,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2213" s="1" t="str">
        <f ca="1">IFERROR(__xludf.DUMMYFUNCTION("GOOGLETRANSLATE(English!G2213, ""en"", ""bg"")"),"разговор")</f>
        <v>разговор</v>
      </c>
      <c r="H2213" s="1" t="str">
        <f ca="1">IFERROR(__xludf.DUMMYFUNCTION("GOOGLETRANSLATE(English!H2213, ""en"", ""bg"")"),"образователна_помощ")</f>
        <v>образователна_помощ</v>
      </c>
    </row>
    <row r="2214" spans="1:8" ht="13.2" x14ac:dyDescent="0.25">
      <c r="A2214" s="1" t="str">
        <f ca="1">IFERROR(__xludf.DUMMYFUNCTION("GOOGLETRANSLATE(English!A2214, ""en"", ""bg"")"),"hw_03385")</f>
        <v>hw_03385</v>
      </c>
      <c r="B2214" s="1" t="str">
        <f ca="1">IFERROR(__xludf.DUMMYFUNCTION("GOOGLETRANSLATE(English!B2214, ""en"", ""bg"")"),"химия")</f>
        <v>химия</v>
      </c>
      <c r="C2214" s="1" t="str">
        <f ca="1">IFERROR(__xludf.DUMMYFUNCTION("GOOGLETRANSLATE(English!C2214, ""en"", ""bg"")"),"елементарен")</f>
        <v>елементарен</v>
      </c>
      <c r="D2214" s="1" t="str">
        <f ca="1">IFERROR(__xludf.DUMMYFUNCTION("GOOGLETRANSLATE(English!D2214, ""en"", ""bg"")"),"промени в материалите")</f>
        <v>промени в материалите</v>
      </c>
      <c r="E2214" s="1" t="str">
        <f ca="1">IFERROR(__xludf.DUMMYFUNCTION("GOOGLETRANSLATE(English!E2214,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2214" s="1" t="str">
        <f ca="1">IFERROR(__xludf.DUMMYFUNCTION("GOOGLETRANSLATE(English!F2214,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214" s="1" t="str">
        <f ca="1">IFERROR(__xludf.DUMMYFUNCTION("GOOGLETRANSLATE(English!G2214, ""en"", ""bg"")"),"помощ_за_домашно_изпълнение")</f>
        <v>помощ_за_домашно_изпълнение</v>
      </c>
      <c r="H2214" s="1" t="str">
        <f ca="1">IFERROR(__xludf.DUMMYFUNCTION("GOOGLETRANSLATE(English!H2214, ""en"", ""bg"")"),"помощ_за_домашно_задаване")</f>
        <v>помощ_за_домашно_задаване</v>
      </c>
    </row>
    <row r="2215" spans="1:8" ht="13.2" x14ac:dyDescent="0.25">
      <c r="A2215" s="1" t="str">
        <f ca="1">IFERROR(__xludf.DUMMYFUNCTION("GOOGLETRANSLATE(English!A2215, ""en"", ""bg"")"),"hw_01088")</f>
        <v>hw_01088</v>
      </c>
      <c r="B2215" s="1" t="str">
        <f ca="1">IFERROR(__xludf.DUMMYFUNCTION("GOOGLETRANSLATE(English!B2215, ""en"", ""bg"")"),"биология")</f>
        <v>биология</v>
      </c>
      <c r="C2215" s="1" t="str">
        <f ca="1">IFERROR(__xludf.DUMMYFUNCTION("GOOGLETRANSLATE(English!C2215, ""en"", ""bg"")"),"високо")</f>
        <v>високо</v>
      </c>
      <c r="D2215" s="1" t="str">
        <f ca="1">IFERROR(__xludf.DUMMYFUNCTION("GOOGLETRANSLATE(English!D2215, ""en"", ""bg"")"),"митоза и мейоза")</f>
        <v>митоза и мейоза</v>
      </c>
      <c r="E2215" s="1" t="str">
        <f ca="1">IFERROR(__xludf.DUMMYFUNCTION("GOOGLETRANSLATE(English!E2215, ""en"", ""bg"")"),"Трябва да напиша доклад за митозата и мейозата. Можете ли да ми помогнете да започна?")</f>
        <v>Трябва да напиша доклад за митозата и мейозата. Можете ли да ми помогнете да започна?</v>
      </c>
      <c r="F2215" s="1" t="str">
        <f ca="1">IFERROR(__xludf.DUMMYFUNCTION("GOOGLETRANSLATE(English!F2215,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2215" s="1" t="str">
        <f ca="1">IFERROR(__xludf.DUMMYFUNCTION("GOOGLETRANSLATE(English!G2215, ""en"", ""bg"")"),"помощ_за_домашно_изпълнение")</f>
        <v>помощ_за_домашно_изпълнение</v>
      </c>
      <c r="H2215" s="1" t="str">
        <f ca="1">IFERROR(__xludf.DUMMYFUNCTION("GOOGLETRANSLATE(English!H2215, ""en"", ""bg"")"),"помощ_за_домашно_задаване")</f>
        <v>помощ_за_домашно_задаване</v>
      </c>
    </row>
    <row r="2216" spans="1:8" ht="13.2" x14ac:dyDescent="0.25">
      <c r="A2216" s="1" t="str">
        <f ca="1">IFERROR(__xludf.DUMMYFUNCTION("GOOGLETRANSLATE(English!A2216, ""en"", ""bg"")"),"qa_02859")</f>
        <v>qa_02859</v>
      </c>
      <c r="B2216" s="1" t="str">
        <f ca="1">IFERROR(__xludf.DUMMYFUNCTION("GOOGLETRANSLATE(English!B2216, ""en"", ""bg"")"),"биология")</f>
        <v>биология</v>
      </c>
      <c r="C2216" s="1" t="str">
        <f ca="1">IFERROR(__xludf.DUMMYFUNCTION("GOOGLETRANSLATE(English!C2216, ""en"", ""bg"")"),"елементарен")</f>
        <v>елементарен</v>
      </c>
      <c r="D2216" s="1" t="str">
        <f ca="1">IFERROR(__xludf.DUMMYFUNCTION("GOOGLETRANSLATE(English!D2216, ""en"", ""bg"")"),"сетива")</f>
        <v>сетива</v>
      </c>
      <c r="E2216" s="1" t="str">
        <f ca="1">IFERROR(__xludf.DUMMYFUNCTION("GOOGLETRANSLATE(English!E2216, ""en"", ""bg"")"),"Как работят сетивата?")</f>
        <v>Как работят сетивата?</v>
      </c>
      <c r="F2216" s="1" t="str">
        <f ca="1">IFERROR(__xludf.DUMMYFUNCTION("GOOGLETRANSLATE(English!F2216,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2216" s="1" t="str">
        <f ca="1">IFERROR(__xludf.DUMMYFUNCTION("GOOGLETRANSLATE(English!G2216, ""en"", ""bg"")"),"direct_qa")</f>
        <v>direct_qa</v>
      </c>
      <c r="H2216" s="1" t="str">
        <f ca="1">IFERROR(__xludf.DUMMYFUNCTION("GOOGLETRANSLATE(English!H2216, ""en"", ""bg"")"),"заявка_за_знание")</f>
        <v>заявка_за_знание</v>
      </c>
    </row>
    <row r="2217" spans="1:8" ht="13.2" x14ac:dyDescent="0.25">
      <c r="A2217" s="1" t="str">
        <f ca="1">IFERROR(__xludf.DUMMYFUNCTION("GOOGLETRANSLATE(English!A2217, ""en"", ""bg"")"),"conv_11595")</f>
        <v>conv_11595</v>
      </c>
      <c r="B2217" s="1" t="str">
        <f ca="1">IFERROR(__xludf.DUMMYFUNCTION("GOOGLETRANSLATE(English!B2217, ""en"", ""bg"")"),"физика")</f>
        <v>физика</v>
      </c>
      <c r="C2217" s="1" t="str">
        <f ca="1">IFERROR(__xludf.DUMMYFUNCTION("GOOGLETRANSLATE(English!C2217, ""en"", ""bg"")"),"високо")</f>
        <v>високо</v>
      </c>
      <c r="D2217" s="1" t="str">
        <f ca="1">IFERROR(__xludf.DUMMYFUNCTION("GOOGLETRANSLATE(English!D2217, ""en"", ""bg"")"),"термодинамика")</f>
        <v>термодинамика</v>
      </c>
      <c r="E2217" s="1" t="str">
        <f ca="1">IFERROR(__xludf.DUMMYFUNCTION("GOOGLETRANSLATE(English!E2217, ""en"", ""bg"")"),"Здравей, преподавателю! Как работи термодинамиката във физиката?")</f>
        <v>Здравей, преподавателю! Как работи термодинамиката във физиката?</v>
      </c>
      <c r="F2217" s="1" t="str">
        <f ca="1">IFERROR(__xludf.DUMMYFUNCTION("GOOGLETRANSLATE(English!F2217,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2217" s="1" t="str">
        <f ca="1">IFERROR(__xludf.DUMMYFUNCTION("GOOGLETRANSLATE(English!G2217, ""en"", ""bg"")"),"разговор")</f>
        <v>разговор</v>
      </c>
      <c r="H2217" s="1" t="str">
        <f ca="1">IFERROR(__xludf.DUMMYFUNCTION("GOOGLETRANSLATE(English!H2217, ""en"", ""bg"")"),"образователна_помощ")</f>
        <v>образователна_помощ</v>
      </c>
    </row>
    <row r="2218" spans="1:8" ht="13.2" x14ac:dyDescent="0.25">
      <c r="A2218" s="1" t="str">
        <f ca="1">IFERROR(__xludf.DUMMYFUNCTION("GOOGLETRANSLATE(English!A2218, ""en"", ""bg"")"),"conv_07754")</f>
        <v>conv_07754</v>
      </c>
      <c r="B2218" s="1" t="str">
        <f ca="1">IFERROR(__xludf.DUMMYFUNCTION("GOOGLETRANSLATE(English!B2218, ""en"", ""bg"")"),"биология")</f>
        <v>биология</v>
      </c>
      <c r="C2218" s="1" t="str">
        <f ca="1">IFERROR(__xludf.DUMMYFUNCTION("GOOGLETRANSLATE(English!C2218, ""en"", ""bg"")"),"елементарен")</f>
        <v>елементарен</v>
      </c>
      <c r="D2218" s="1" t="str">
        <f ca="1">IFERROR(__xludf.DUMMYFUNCTION("GOOGLETRANSLATE(English!D2218, ""en"", ""bg"")"),"местообитания")</f>
        <v>местообитания</v>
      </c>
      <c r="E2218" s="1" t="str">
        <f ca="1">IFERROR(__xludf.DUMMYFUNCTION("GOOGLETRANSLATE(English!E2218, ""en"", ""bg"")"),"Не разбирам тази тема. Какво е важно да знаем за местообитанията?")</f>
        <v>Не разбирам тази тема. Какво е важно да знаем за местообитанията?</v>
      </c>
      <c r="F2218" s="1" t="str">
        <f ca="1">IFERROR(__xludf.DUMMYFUNCTION("GOOGLETRANSLATE(English!F2218, ""en"", ""bg"")"),"Най-важното нещо за местообитанията е как те се свързват с други части на живота и природата.")</f>
        <v>Най-важното нещо за местообитанията е как те се свързват с други части на живота и природата.</v>
      </c>
      <c r="G2218" s="1" t="str">
        <f ca="1">IFERROR(__xludf.DUMMYFUNCTION("GOOGLETRANSLATE(English!G2218, ""en"", ""bg"")"),"разговор")</f>
        <v>разговор</v>
      </c>
      <c r="H2218" s="1" t="str">
        <f ca="1">IFERROR(__xludf.DUMMYFUNCTION("GOOGLETRANSLATE(English!H2218, ""en"", ""bg"")"),"образователна_помощ")</f>
        <v>образователна_помощ</v>
      </c>
    </row>
    <row r="2219" spans="1:8" ht="13.2" x14ac:dyDescent="0.25">
      <c r="A2219" s="1" t="str">
        <f ca="1">IFERROR(__xludf.DUMMYFUNCTION("GOOGLETRANSLATE(English!A2219, ""en"", ""bg"")"),"conv_01577")</f>
        <v>conv_01577</v>
      </c>
      <c r="B2219" s="1" t="str">
        <f ca="1">IFERROR(__xludf.DUMMYFUNCTION("GOOGLETRANSLATE(English!B2219, ""en"", ""bg"")"),"химия")</f>
        <v>химия</v>
      </c>
      <c r="C2219" s="1" t="str">
        <f ca="1">IFERROR(__xludf.DUMMYFUNCTION("GOOGLETRANSLATE(English!C2219, ""en"", ""bg"")"),"високо")</f>
        <v>високо</v>
      </c>
      <c r="D2219" s="1" t="str">
        <f ca="1">IFERROR(__xludf.DUMMYFUNCTION("GOOGLETRANSLATE(English!D2219, ""en"", ""bg"")"),"електрохимия")</f>
        <v>електрохимия</v>
      </c>
      <c r="E2219" s="1" t="str">
        <f ca="1">IFERROR(__xludf.DUMMYFUNCTION("GOOGLETRANSLATE(English!E2219, ""en"", ""bg"")"),"Помогнете ми да уча за теста. Защо е важно да се учи електрохимия?")</f>
        <v>Помогнете ми да уча за теста. Защо е важно да се учи електрохимия?</v>
      </c>
      <c r="F2219" s="1" t="str">
        <f ca="1">IFERROR(__xludf.DUMMYFUNCTION("GOOGLETRANSLATE(English!F2219,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2219" s="1" t="str">
        <f ca="1">IFERROR(__xludf.DUMMYFUNCTION("GOOGLETRANSLATE(English!G2219, ""en"", ""bg"")"),"разговор")</f>
        <v>разговор</v>
      </c>
      <c r="H2219" s="1" t="str">
        <f ca="1">IFERROR(__xludf.DUMMYFUNCTION("GOOGLETRANSLATE(English!H2219, ""en"", ""bg"")"),"образователна_помощ")</f>
        <v>образователна_помощ</v>
      </c>
    </row>
    <row r="2220" spans="1:8" ht="13.2" x14ac:dyDescent="0.25">
      <c r="A2220" s="1" t="str">
        <f ca="1">IFERROR(__xludf.DUMMYFUNCTION("GOOGLETRANSLATE(English!A2220, ""en"", ""bg"")"),"qa_04146")</f>
        <v>qa_04146</v>
      </c>
      <c r="B2220" s="1" t="str">
        <f ca="1">IFERROR(__xludf.DUMMYFUNCTION("GOOGLETRANSLATE(English!B2220, ""en"", ""bg"")"),"физика")</f>
        <v>физика</v>
      </c>
      <c r="C2220" s="1" t="str">
        <f ca="1">IFERROR(__xludf.DUMMYFUNCTION("GOOGLETRANSLATE(English!C2220, ""en"", ""bg"")"),"средата")</f>
        <v>средата</v>
      </c>
      <c r="D2220" s="1" t="str">
        <f ca="1">IFERROR(__xludf.DUMMYFUNCTION("GOOGLETRANSLATE(English!D2220, ""en"", ""bg"")"),"основи на електричеството")</f>
        <v>основи на електричеството</v>
      </c>
      <c r="E2220" s="1" t="str">
        <f ca="1">IFERROR(__xludf.DUMMYFUNCTION("GOOGLETRANSLATE(English!E2220, ""en"", ""bg"")"),"Какво трябва да знам за основите на електричеството?")</f>
        <v>Какво трябва да знам за основите на електричеството?</v>
      </c>
      <c r="F2220" s="1" t="str">
        <f ca="1">IFERROR(__xludf.DUMMYFUNCTION("GOOGLETRANSLATE(English!F2220, ""en"", ""bg"")"),"Ключовото нещо за основите на електричеството е как то следва законите на физиката, които управляват нашата вселена.")</f>
        <v>Ключовото нещо за основите на електричеството е как то следва законите на физиката, които управляват нашата вселена.</v>
      </c>
      <c r="G2220" s="1" t="str">
        <f ca="1">IFERROR(__xludf.DUMMYFUNCTION("GOOGLETRANSLATE(English!G2220, ""en"", ""bg"")"),"direct_qa")</f>
        <v>direct_qa</v>
      </c>
      <c r="H2220" s="1" t="str">
        <f ca="1">IFERROR(__xludf.DUMMYFUNCTION("GOOGLETRANSLATE(English!H2220, ""en"", ""bg"")"),"заявка_за_знание")</f>
        <v>заявка_за_знание</v>
      </c>
    </row>
    <row r="2221" spans="1:8" ht="13.2" x14ac:dyDescent="0.25">
      <c r="A2221" s="1" t="str">
        <f ca="1">IFERROR(__xludf.DUMMYFUNCTION("GOOGLETRANSLATE(English!A2221, ""en"", ""bg"")"),"qa_00836")</f>
        <v>qa_00836</v>
      </c>
      <c r="B2221" s="1" t="str">
        <f ca="1">IFERROR(__xludf.DUMMYFUNCTION("GOOGLETRANSLATE(English!B2221, ""en"", ""bg"")"),"химия")</f>
        <v>химия</v>
      </c>
      <c r="C2221" s="1" t="str">
        <f ca="1">IFERROR(__xludf.DUMMYFUNCTION("GOOGLETRANSLATE(English!C2221, ""en"", ""bg"")"),"средата")</f>
        <v>средата</v>
      </c>
      <c r="D2221" s="1" t="str">
        <f ca="1">IFERROR(__xludf.DUMMYFUNCTION("GOOGLETRANSLATE(English!D2221, ""en"", ""bg"")"),"съединения срещу елементи")</f>
        <v>съединения срещу елементи</v>
      </c>
      <c r="E2221" s="1" t="str">
        <f ca="1">IFERROR(__xludf.DUMMYFUNCTION("GOOGLETRANSLATE(English!E2221, ""en"", ""bg"")"),"Какво представляват съединенията срещу елементите?")</f>
        <v>Какво представляват съединенията срещу елементите?</v>
      </c>
      <c r="F2221" s="1" t="str">
        <f ca="1">IFERROR(__xludf.DUMMYFUNCTION("GOOGLETRANSLATE(English!F2221,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2221" s="1" t="str">
        <f ca="1">IFERROR(__xludf.DUMMYFUNCTION("GOOGLETRANSLATE(English!G2221, ""en"", ""bg"")"),"direct_qa")</f>
        <v>direct_qa</v>
      </c>
      <c r="H2221" s="1" t="str">
        <f ca="1">IFERROR(__xludf.DUMMYFUNCTION("GOOGLETRANSLATE(English!H2221, ""en"", ""bg"")"),"заявка_за_знание")</f>
        <v>заявка_за_знание</v>
      </c>
    </row>
    <row r="2222" spans="1:8" ht="13.2" x14ac:dyDescent="0.25">
      <c r="A2222" s="1" t="str">
        <f ca="1">IFERROR(__xludf.DUMMYFUNCTION("GOOGLETRANSLATE(English!A2222, ""en"", ""bg"")"),"conv_03274")</f>
        <v>conv_03274</v>
      </c>
      <c r="B2222" s="1" t="str">
        <f ca="1">IFERROR(__xludf.DUMMYFUNCTION("GOOGLETRANSLATE(English!B2222, ""en"", ""bg"")"),"химия")</f>
        <v>химия</v>
      </c>
      <c r="C2222" s="1" t="str">
        <f ca="1">IFERROR(__xludf.DUMMYFUNCTION("GOOGLETRANSLATE(English!C2222, ""en"", ""bg"")"),"елементарен")</f>
        <v>елементарен</v>
      </c>
      <c r="D2222" s="1" t="str">
        <f ca="1">IFERROR(__xludf.DUMMYFUNCTION("GOOGLETRANSLATE(English!D2222, ""en"", ""bg"")"),"ежедневни химикали")</f>
        <v>ежедневни химикали</v>
      </c>
      <c r="E2222" s="1" t="str">
        <f ca="1">IFERROR(__xludf.DUMMYFUNCTION("GOOGLETRANSLATE(English!E2222, ""en"", ""bg"")"),"Имам нужда от помощ с домашното. Можете ли да ми помогнете да разбера ежедневните химикали?")</f>
        <v>Имам нужда от помощ с домашното. Можете ли да ми помогнете да разбера ежедневните химикали?</v>
      </c>
      <c r="F2222" s="1" t="str">
        <f ca="1">IFERROR(__xludf.DUMMYFUNCTION("GOOGLETRANSLATE(English!F2222,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2222" s="1" t="str">
        <f ca="1">IFERROR(__xludf.DUMMYFUNCTION("GOOGLETRANSLATE(English!G2222, ""en"", ""bg"")"),"разговор")</f>
        <v>разговор</v>
      </c>
      <c r="H2222" s="1" t="str">
        <f ca="1">IFERROR(__xludf.DUMMYFUNCTION("GOOGLETRANSLATE(English!H2222, ""en"", ""bg"")"),"образователна_помощ")</f>
        <v>образователна_помощ</v>
      </c>
    </row>
    <row r="2223" spans="1:8" ht="13.2" x14ac:dyDescent="0.25">
      <c r="A2223" s="1" t="str">
        <f ca="1">IFERROR(__xludf.DUMMYFUNCTION("GOOGLETRANSLATE(English!A2223, ""en"", ""bg"")"),"conv_10300")</f>
        <v>conv_10300</v>
      </c>
      <c r="B2223" s="1" t="str">
        <f ca="1">IFERROR(__xludf.DUMMYFUNCTION("GOOGLETRANSLATE(English!B2223, ""en"", ""bg"")"),"биология")</f>
        <v>биология</v>
      </c>
      <c r="C2223" s="1" t="str">
        <f ca="1">IFERROR(__xludf.DUMMYFUNCTION("GOOGLETRANSLATE(English!C2223, ""en"", ""bg"")"),"високо")</f>
        <v>високо</v>
      </c>
      <c r="D2223" s="1" t="str">
        <f ca="1">IFERROR(__xludf.DUMMYFUNCTION("GOOGLETRANSLATE(English!D2223, ""en"", ""bg"")"),"Структура на ДНК")</f>
        <v>Структура на ДНК</v>
      </c>
      <c r="E2223" s="1" t="str">
        <f ca="1">IFERROR(__xludf.DUMMYFUNCTION("GOOGLETRANSLATE(English!E2223, ""en"", ""bg"")"),"Можете ли да ми помогнете? Какво е важно да знаем за структурата на ДНК?")</f>
        <v>Можете ли да ми помогнете? Какво е важно да знаем за структурата на ДНК?</v>
      </c>
      <c r="F2223" s="1" t="str">
        <f ca="1">IFERROR(__xludf.DUMMYFUNCTION("GOOGLETRANSLATE(English!F2223,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2223" s="1" t="str">
        <f ca="1">IFERROR(__xludf.DUMMYFUNCTION("GOOGLETRANSLATE(English!G2223, ""en"", ""bg"")"),"разговор")</f>
        <v>разговор</v>
      </c>
      <c r="H2223" s="1" t="str">
        <f ca="1">IFERROR(__xludf.DUMMYFUNCTION("GOOGLETRANSLATE(English!H2223, ""en"", ""bg"")"),"образователна_помощ")</f>
        <v>образователна_помощ</v>
      </c>
    </row>
    <row r="2224" spans="1:8" ht="13.2" x14ac:dyDescent="0.25">
      <c r="A2224" s="1" t="str">
        <f ca="1">IFERROR(__xludf.DUMMYFUNCTION("GOOGLETRANSLATE(English!A2224, ""en"", ""bg"")"),"conv_08109")</f>
        <v>conv_08109</v>
      </c>
      <c r="B2224" s="1" t="str">
        <f ca="1">IFERROR(__xludf.DUMMYFUNCTION("GOOGLETRANSLATE(English!B2224, ""en"", ""bg"")"),"химия")</f>
        <v>химия</v>
      </c>
      <c r="C2224" s="1" t="str">
        <f ca="1">IFERROR(__xludf.DUMMYFUNCTION("GOOGLETRANSLATE(English!C2224, ""en"", ""bg"")"),"високо")</f>
        <v>високо</v>
      </c>
      <c r="D2224" s="1" t="str">
        <f ca="1">IFERROR(__xludf.DUMMYFUNCTION("GOOGLETRANSLATE(English!D2224, ""en"", ""bg"")"),"стехиометрия")</f>
        <v>стехиометрия</v>
      </c>
      <c r="E2224" s="1" t="str">
        <f ca="1">IFERROR(__xludf.DUMMYFUNCTION("GOOGLETRANSLATE(English!E2224, ""en"", ""bg"")"),"Помогнете ми да уча за теста. Как работи стехиометрията в химията?")</f>
        <v>Помогнете ми да уча за теста. Как работи стехиометрията в химията?</v>
      </c>
      <c r="F2224" s="1" t="str">
        <f ca="1">IFERROR(__xludf.DUMMYFUNCTION("GOOGLETRANSLATE(English!F2224,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2224" s="1" t="str">
        <f ca="1">IFERROR(__xludf.DUMMYFUNCTION("GOOGLETRANSLATE(English!G2224, ""en"", ""bg"")"),"разговор")</f>
        <v>разговор</v>
      </c>
      <c r="H2224" s="1" t="str">
        <f ca="1">IFERROR(__xludf.DUMMYFUNCTION("GOOGLETRANSLATE(English!H2224, ""en"", ""bg"")"),"образователна_помощ")</f>
        <v>образователна_помощ</v>
      </c>
    </row>
    <row r="2225" spans="1:8" ht="13.2" x14ac:dyDescent="0.25">
      <c r="A2225" s="1" t="str">
        <f ca="1">IFERROR(__xludf.DUMMYFUNCTION("GOOGLETRANSLATE(English!A2225, ""en"", ""bg"")"),"conv_04468")</f>
        <v>conv_04468</v>
      </c>
      <c r="B2225" s="1" t="str">
        <f ca="1">IFERROR(__xludf.DUMMYFUNCTION("GOOGLETRANSLATE(English!B2225, ""en"", ""bg"")"),"физика")</f>
        <v>физика</v>
      </c>
      <c r="C2225" s="1" t="str">
        <f ca="1">IFERROR(__xludf.DUMMYFUNCTION("GOOGLETRANSLATE(English!C2225, ""en"", ""bg"")"),"елементарен")</f>
        <v>елементарен</v>
      </c>
      <c r="D2225" s="1" t="str">
        <f ca="1">IFERROR(__xludf.DUMMYFUNCTION("GOOGLETRANSLATE(English!D2225, ""en"", ""bg"")"),"прости машини")</f>
        <v>прости машини</v>
      </c>
      <c r="E2225" s="1" t="str">
        <f ca="1">IFERROR(__xludf.DUMMYFUNCTION("GOOGLETRANSLATE(English!E2225, ""en"", ""bg"")"),"Можете ли да ми обясните това? Какво трябва да знам за простите машини?")</f>
        <v>Можете ли да ми обясните това? Какво трябва да знам за простите машини?</v>
      </c>
      <c r="F2225" s="1" t="str">
        <f ca="1">IFERROR(__xludf.DUMMYFUNCTION("GOOGLETRANSLATE(English!F2225,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2225" s="1" t="str">
        <f ca="1">IFERROR(__xludf.DUMMYFUNCTION("GOOGLETRANSLATE(English!G2225, ""en"", ""bg"")"),"разговор")</f>
        <v>разговор</v>
      </c>
      <c r="H2225" s="1" t="str">
        <f ca="1">IFERROR(__xludf.DUMMYFUNCTION("GOOGLETRANSLATE(English!H2225, ""en"", ""bg"")"),"образователна_помощ")</f>
        <v>образователна_помощ</v>
      </c>
    </row>
    <row r="2226" spans="1:8" ht="13.2" x14ac:dyDescent="0.25">
      <c r="A2226" s="1" t="str">
        <f ca="1">IFERROR(__xludf.DUMMYFUNCTION("GOOGLETRANSLATE(English!A2226, ""en"", ""bg"")"),"conv_02842")</f>
        <v>conv_02842</v>
      </c>
      <c r="B2226" s="1" t="str">
        <f ca="1">IFERROR(__xludf.DUMMYFUNCTION("GOOGLETRANSLATE(English!B2226, ""en"", ""bg"")"),"физика")</f>
        <v>физика</v>
      </c>
      <c r="C2226" s="1" t="str">
        <f ca="1">IFERROR(__xludf.DUMMYFUNCTION("GOOGLETRANSLATE(English!C2226, ""en"", ""bg"")"),"елементарен")</f>
        <v>елементарен</v>
      </c>
      <c r="D2226" s="1" t="str">
        <f ca="1">IFERROR(__xludf.DUMMYFUNCTION("GOOGLETRANSLATE(English!D2226, ""en"", ""bg"")"),"горещо и студено")</f>
        <v>горещо и студено</v>
      </c>
      <c r="E2226" s="1" t="str">
        <f ca="1">IFERROR(__xludf.DUMMYFUNCTION("GOOGLETRANSLATE(English!E2226, ""en"", ""bg"")"),"Имам нужда от помощ с домашното. Можете ли да ми обясните какво е топло и студено?")</f>
        <v>Имам нужда от помощ с домашното. Можете ли да ми обясните какво е топло и студено?</v>
      </c>
      <c r="F2226" s="1" t="str">
        <f ca="1">IFERROR(__xludf.DUMMYFUNCTION("GOOGLETRANSLATE(English!F2226,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2226" s="1" t="str">
        <f ca="1">IFERROR(__xludf.DUMMYFUNCTION("GOOGLETRANSLATE(English!G2226, ""en"", ""bg"")"),"разговор")</f>
        <v>разговор</v>
      </c>
      <c r="H2226" s="1" t="str">
        <f ca="1">IFERROR(__xludf.DUMMYFUNCTION("GOOGLETRANSLATE(English!H2226, ""en"", ""bg"")"),"образователна_помощ")</f>
        <v>образователна_помощ</v>
      </c>
    </row>
    <row r="2227" spans="1:8" ht="13.2" x14ac:dyDescent="0.25">
      <c r="A2227" s="1" t="str">
        <f ca="1">IFERROR(__xludf.DUMMYFUNCTION("GOOGLETRANSLATE(English!A2227, ""en"", ""bg"")"),"qa_14835")</f>
        <v>qa_14835</v>
      </c>
      <c r="B2227" s="1" t="str">
        <f ca="1">IFERROR(__xludf.DUMMYFUNCTION("GOOGLETRANSLATE(English!B2227, ""en"", ""bg"")"),"биология")</f>
        <v>биология</v>
      </c>
      <c r="C2227" s="1" t="str">
        <f ca="1">IFERROR(__xludf.DUMMYFUNCTION("GOOGLETRANSLATE(English!C2227, ""en"", ""bg"")"),"средата")</f>
        <v>средата</v>
      </c>
      <c r="D2227" s="1" t="str">
        <f ca="1">IFERROR(__xludf.DUMMYFUNCTION("GOOGLETRANSLATE(English!D2227, ""en"", ""bg"")"),"размножаване")</f>
        <v>размножаване</v>
      </c>
      <c r="E2227" s="1" t="str">
        <f ca="1">IFERROR(__xludf.DUMMYFUNCTION("GOOGLETRANSLATE(English!E2227, ""en"", ""bg"")"),"Можете ли да ми разкажете за размножаването?")</f>
        <v>Можете ли да ми разкажете за размножаването?</v>
      </c>
      <c r="F2227" s="1" t="str">
        <f ca="1">IFERROR(__xludf.DUMMYFUNCTION("GOOGLETRANSLATE(English!F2227,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2227" s="1" t="str">
        <f ca="1">IFERROR(__xludf.DUMMYFUNCTION("GOOGLETRANSLATE(English!G2227, ""en"", ""bg"")"),"direct_qa")</f>
        <v>direct_qa</v>
      </c>
      <c r="H2227" s="1" t="str">
        <f ca="1">IFERROR(__xludf.DUMMYFUNCTION("GOOGLETRANSLATE(English!H2227, ""en"", ""bg"")"),"заявка_за_знание")</f>
        <v>заявка_за_знание</v>
      </c>
    </row>
    <row r="2228" spans="1:8" ht="13.2" x14ac:dyDescent="0.25">
      <c r="A2228" s="1" t="str">
        <f ca="1">IFERROR(__xludf.DUMMYFUNCTION("GOOGLETRANSLATE(English!A2228, ""en"", ""bg"")"),"conv_08453")</f>
        <v>conv_08453</v>
      </c>
      <c r="B2228" s="1" t="str">
        <f ca="1">IFERROR(__xludf.DUMMYFUNCTION("GOOGLETRANSLATE(English!B2228, ""en"", ""bg"")"),"химия")</f>
        <v>химия</v>
      </c>
      <c r="C2228" s="1" t="str">
        <f ca="1">IFERROR(__xludf.DUMMYFUNCTION("GOOGLETRANSLATE(English!C2228, ""en"", ""bg"")"),"високо")</f>
        <v>високо</v>
      </c>
      <c r="D2228" s="1" t="str">
        <f ca="1">IFERROR(__xludf.DUMMYFUNCTION("GOOGLETRANSLATE(English!D2228, ""en"", ""bg"")"),"химическо свързване")</f>
        <v>химическо свързване</v>
      </c>
      <c r="E2228" s="1" t="str">
        <f ca="1">IFERROR(__xludf.DUMMYFUNCTION("GOOGLETRANSLATE(English!E2228, ""en"", ""bg"")"),"Имам научен въпрос. Защо е важно да се учи химичното свързване?")</f>
        <v>Имам научен въпрос. Защо е важно да се учи химичното свързване?</v>
      </c>
      <c r="F2228" s="1" t="str">
        <f ca="1">IFERROR(__xludf.DUMMYFUNCTION("GOOGLETRANSLATE(English!F2228,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2228" s="1" t="str">
        <f ca="1">IFERROR(__xludf.DUMMYFUNCTION("GOOGLETRANSLATE(English!G2228, ""en"", ""bg"")"),"разговор")</f>
        <v>разговор</v>
      </c>
      <c r="H2228" s="1" t="str">
        <f ca="1">IFERROR(__xludf.DUMMYFUNCTION("GOOGLETRANSLATE(English!H2228, ""en"", ""bg"")"),"образователна_помощ")</f>
        <v>образователна_помощ</v>
      </c>
    </row>
    <row r="2229" spans="1:8" ht="13.2" x14ac:dyDescent="0.25">
      <c r="A2229" s="1" t="str">
        <f ca="1">IFERROR(__xludf.DUMMYFUNCTION("GOOGLETRANSLATE(English!A2229, ""en"", ""bg"")"),"qa_12514")</f>
        <v>qa_12514</v>
      </c>
      <c r="B2229" s="1" t="str">
        <f ca="1">IFERROR(__xludf.DUMMYFUNCTION("GOOGLETRANSLATE(English!B2229, ""en"", ""bg"")"),"биология")</f>
        <v>биология</v>
      </c>
      <c r="C2229" s="1" t="str">
        <f ca="1">IFERROR(__xludf.DUMMYFUNCTION("GOOGLETRANSLATE(English!C2229, ""en"", ""bg"")"),"високо")</f>
        <v>високо</v>
      </c>
      <c r="D2229" s="1" t="str">
        <f ca="1">IFERROR(__xludf.DUMMYFUNCTION("GOOGLETRANSLATE(English!D2229, ""en"", ""bg"")"),"синтез на протеини")</f>
        <v>синтез на протеини</v>
      </c>
      <c r="E2229" s="1" t="str">
        <f ca="1">IFERROR(__xludf.DUMMYFUNCTION("GOOGLETRANSLATE(English!E2229, ""en"", ""bg"")"),"Какво е важно да знаем за синтеза на протеини?")</f>
        <v>Какво е важно да знаем за синтеза на протеини?</v>
      </c>
      <c r="F2229" s="1" t="str">
        <f ca="1">IFERROR(__xludf.DUMMYFUNCTION("GOOGLETRANSLATE(English!F2229,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2229" s="1" t="str">
        <f ca="1">IFERROR(__xludf.DUMMYFUNCTION("GOOGLETRANSLATE(English!G2229, ""en"", ""bg"")"),"direct_qa")</f>
        <v>direct_qa</v>
      </c>
      <c r="H2229" s="1" t="str">
        <f ca="1">IFERROR(__xludf.DUMMYFUNCTION("GOOGLETRANSLATE(English!H2229, ""en"", ""bg"")"),"заявка_за_знание")</f>
        <v>заявка_за_знание</v>
      </c>
    </row>
    <row r="2230" spans="1:8" ht="13.2" x14ac:dyDescent="0.25">
      <c r="A2230" s="1" t="str">
        <f ca="1">IFERROR(__xludf.DUMMYFUNCTION("GOOGLETRANSLATE(English!A2230, ""en"", ""bg"")"),"hw_11925")</f>
        <v>hw_11925</v>
      </c>
      <c r="B2230" s="1" t="str">
        <f ca="1">IFERROR(__xludf.DUMMYFUNCTION("GOOGLETRANSLATE(English!B2230, ""en"", ""bg"")"),"биология")</f>
        <v>биология</v>
      </c>
      <c r="C2230" s="1" t="str">
        <f ca="1">IFERROR(__xludf.DUMMYFUNCTION("GOOGLETRANSLATE(English!C2230, ""en"", ""bg"")"),"високо")</f>
        <v>високо</v>
      </c>
      <c r="D2230" s="1" t="str">
        <f ca="1">IFERROR(__xludf.DUMMYFUNCTION("GOOGLETRANSLATE(English!D2230, ""en"", ""bg"")"),"митоза и мейоза")</f>
        <v>митоза и мейоза</v>
      </c>
      <c r="E2230" s="1" t="str">
        <f ca="1">IFERROR(__xludf.DUMMYFUNCTION("GOOGLETRANSLATE(English!E2230, ""en"", ""bg"")"),"Домашното ми пита за митоза и мейоза. Не го разбирам.")</f>
        <v>Домашното ми пита за митоза и мейоза. Не го разбирам.</v>
      </c>
      <c r="F2230" s="1" t="str">
        <f ca="1">IFERROR(__xludf.DUMMYFUNCTION("GOOGLETRANSLATE(English!F2230,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2230" s="1" t="str">
        <f ca="1">IFERROR(__xludf.DUMMYFUNCTION("GOOGLETRANSLATE(English!G2230, ""en"", ""bg"")"),"помощ_за_домашно_изпълнение")</f>
        <v>помощ_за_домашно_изпълнение</v>
      </c>
      <c r="H2230" s="1" t="str">
        <f ca="1">IFERROR(__xludf.DUMMYFUNCTION("GOOGLETRANSLATE(English!H2230, ""en"", ""bg"")"),"помощ_за_домашно_задаване")</f>
        <v>помощ_за_домашно_задаване</v>
      </c>
    </row>
    <row r="2231" spans="1:8" ht="13.2" x14ac:dyDescent="0.25">
      <c r="A2231" s="1" t="str">
        <f ca="1">IFERROR(__xludf.DUMMYFUNCTION("GOOGLETRANSLATE(English!A2231, ""en"", ""bg"")"),"qa_08649")</f>
        <v>qa_08649</v>
      </c>
      <c r="B2231" s="1" t="str">
        <f ca="1">IFERROR(__xludf.DUMMYFUNCTION("GOOGLETRANSLATE(English!B2231, ""en"", ""bg"")"),"физика")</f>
        <v>физика</v>
      </c>
      <c r="C2231" s="1" t="str">
        <f ca="1">IFERROR(__xludf.DUMMYFUNCTION("GOOGLETRANSLATE(English!C2231, ""en"", ""bg"")"),"елементарен")</f>
        <v>елементарен</v>
      </c>
      <c r="D2231" s="1" t="str">
        <f ca="1">IFERROR(__xludf.DUMMYFUNCTION("GOOGLETRANSLATE(English!D2231, ""en"", ""bg"")"),"магнити")</f>
        <v>магнити</v>
      </c>
      <c r="E2231" s="1" t="str">
        <f ca="1">IFERROR(__xludf.DUMMYFUNCTION("GOOGLETRANSLATE(English!E2231, ""en"", ""bg"")"),"Защо някои неща се залепват за магнити?")</f>
        <v>Защо някои неща се залепват за магнити?</v>
      </c>
      <c r="F2231" s="1" t="str">
        <f ca="1">IFERROR(__xludf.DUMMYFUNCTION("GOOGLETRANSLATE(English!F2231,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2231" s="1" t="str">
        <f ca="1">IFERROR(__xludf.DUMMYFUNCTION("GOOGLETRANSLATE(English!G2231, ""en"", ""bg"")"),"direct_qa")</f>
        <v>direct_qa</v>
      </c>
      <c r="H2231" s="1" t="str">
        <f ca="1">IFERROR(__xludf.DUMMYFUNCTION("GOOGLETRANSLATE(English!H2231, ""en"", ""bg"")"),"заявка_за_знание")</f>
        <v>заявка_за_знание</v>
      </c>
    </row>
    <row r="2232" spans="1:8" ht="13.2" x14ac:dyDescent="0.25">
      <c r="A2232" s="1" t="str">
        <f ca="1">IFERROR(__xludf.DUMMYFUNCTION("GOOGLETRANSLATE(English!A2232, ""en"", ""bg"")"),"hw_01715")</f>
        <v>hw_01715</v>
      </c>
      <c r="B2232" s="1" t="str">
        <f ca="1">IFERROR(__xludf.DUMMYFUNCTION("GOOGLETRANSLATE(English!B2232, ""en"", ""bg"")"),"физика")</f>
        <v>физика</v>
      </c>
      <c r="C2232" s="1" t="str">
        <f ca="1">IFERROR(__xludf.DUMMYFUNCTION("GOOGLETRANSLATE(English!C2232, ""en"", ""bg"")"),"елементарен")</f>
        <v>елементарен</v>
      </c>
      <c r="D2232" s="1" t="str">
        <f ca="1">IFERROR(__xludf.DUMMYFUNCTION("GOOGLETRANSLATE(English!D2232, ""en"", ""bg"")"),"прости машини")</f>
        <v>прости машини</v>
      </c>
      <c r="E2232" s="1" t="str">
        <f ca="1">IFERROR(__xludf.DUMMYFUNCTION("GOOGLETRANSLATE(English!E2232, ""en"", ""bg"")"),"Заседнал съм с този прост проблем с машината. Можете ли да помогнете?")</f>
        <v>Заседнал съм с този прост проблем с машината. Можете ли да помогнете?</v>
      </c>
      <c r="F2232" s="1" t="str">
        <f ca="1">IFERROR(__xludf.DUMMYFUNCTION("GOOGLETRANSLATE(English!F2232,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2232" s="1" t="str">
        <f ca="1">IFERROR(__xludf.DUMMYFUNCTION("GOOGLETRANSLATE(English!G2232, ""en"", ""bg"")"),"помощ_за_домашно_изпълнение")</f>
        <v>помощ_за_домашно_изпълнение</v>
      </c>
      <c r="H2232" s="1" t="str">
        <f ca="1">IFERROR(__xludf.DUMMYFUNCTION("GOOGLETRANSLATE(English!H2232, ""en"", ""bg"")"),"помощ_за_домашно_задаване")</f>
        <v>помощ_за_домашно_задаване</v>
      </c>
    </row>
    <row r="2233" spans="1:8" ht="13.2" x14ac:dyDescent="0.25">
      <c r="A2233" s="1" t="str">
        <f ca="1">IFERROR(__xludf.DUMMYFUNCTION("GOOGLETRANSLATE(English!A2233, ""en"", ""bg"")"),"conv_15738")</f>
        <v>conv_15738</v>
      </c>
      <c r="B2233" s="1" t="str">
        <f ca="1">IFERROR(__xludf.DUMMYFUNCTION("GOOGLETRANSLATE(English!B2233, ""en"", ""bg"")"),"биология")</f>
        <v>биология</v>
      </c>
      <c r="C2233" s="1" t="str">
        <f ca="1">IFERROR(__xludf.DUMMYFUNCTION("GOOGLETRANSLATE(English!C2233, ""en"", ""bg"")"),"средата")</f>
        <v>средата</v>
      </c>
      <c r="D2233" s="1" t="str">
        <f ca="1">IFERROR(__xludf.DUMMYFUNCTION("GOOGLETRANSLATE(English!D2233, ""en"", ""bg"")"),"фотосинтеза")</f>
        <v>фотосинтеза</v>
      </c>
      <c r="E2233" s="1" t="str">
        <f ca="1">IFERROR(__xludf.DUMMYFUNCTION("GOOGLETRANSLATE(English!E2233, ""en"", ""bg"")"),"Здравей, преподавателю! Можеш ли да ми разкажеш за фотосинтезата?")</f>
        <v>Здравей, преподавателю! Можеш ли да ми разкажеш за фотосинтезата?</v>
      </c>
      <c r="F2233" s="1" t="str">
        <f ca="1">IFERROR(__xludf.DUMMYFUNCTION("GOOGLETRANSLATE(English!F2233,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2233" s="1" t="str">
        <f ca="1">IFERROR(__xludf.DUMMYFUNCTION("GOOGLETRANSLATE(English!G2233, ""en"", ""bg"")"),"разговор")</f>
        <v>разговор</v>
      </c>
      <c r="H2233" s="1" t="str">
        <f ca="1">IFERROR(__xludf.DUMMYFUNCTION("GOOGLETRANSLATE(English!H2233, ""en"", ""bg"")"),"образователна_помощ")</f>
        <v>образователна_помощ</v>
      </c>
    </row>
    <row r="2234" spans="1:8" ht="13.2" x14ac:dyDescent="0.25">
      <c r="A2234" s="1" t="str">
        <f ca="1">IFERROR(__xludf.DUMMYFUNCTION("GOOGLETRANSLATE(English!A2234, ""en"", ""bg"")"),"hw_03625")</f>
        <v>hw_03625</v>
      </c>
      <c r="B2234" s="1" t="str">
        <f ca="1">IFERROR(__xludf.DUMMYFUNCTION("GOOGLETRANSLATE(English!B2234, ""en"", ""bg"")"),"химия")</f>
        <v>химия</v>
      </c>
      <c r="C2234" s="1" t="str">
        <f ca="1">IFERROR(__xludf.DUMMYFUNCTION("GOOGLETRANSLATE(English!C2234, ""en"", ""bg"")"),"елементарен")</f>
        <v>елементарен</v>
      </c>
      <c r="D2234" s="1" t="str">
        <f ca="1">IFERROR(__xludf.DUMMYFUNCTION("GOOGLETRANSLATE(English!D2234, ""en"", ""bg"")"),"смесване на материали")</f>
        <v>смесване на материали</v>
      </c>
      <c r="E2234" s="1" t="str">
        <f ca="1">IFERROR(__xludf.DUMMYFUNCTION("GOOGLETRANSLATE(English!E2234, ""en"", ""bg"")"),"Трудно ми е да смесвам материали в домашните си.")</f>
        <v>Трудно ми е да смесвам материали в домашните си.</v>
      </c>
      <c r="F2234" s="1" t="str">
        <f ca="1">IFERROR(__xludf.DUMMYFUNCTION("GOOGLETRANSLATE(English!F2234,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2234" s="1" t="str">
        <f ca="1">IFERROR(__xludf.DUMMYFUNCTION("GOOGLETRANSLATE(English!G2234, ""en"", ""bg"")"),"помощ_за_домашно_изпълнение")</f>
        <v>помощ_за_домашно_изпълнение</v>
      </c>
      <c r="H2234" s="1" t="str">
        <f ca="1">IFERROR(__xludf.DUMMYFUNCTION("GOOGLETRANSLATE(English!H2234, ""en"", ""bg"")"),"помощ_за_домашно_задаване")</f>
        <v>помощ_за_домашно_задаване</v>
      </c>
    </row>
    <row r="2235" spans="1:8" ht="13.2" x14ac:dyDescent="0.25">
      <c r="A2235" s="1" t="str">
        <f ca="1">IFERROR(__xludf.DUMMYFUNCTION("GOOGLETRANSLATE(English!A2235, ""en"", ""bg"")"),"conv_03372")</f>
        <v>conv_03372</v>
      </c>
      <c r="B2235" s="1" t="str">
        <f ca="1">IFERROR(__xludf.DUMMYFUNCTION("GOOGLETRANSLATE(English!B2235, ""en"", ""bg"")"),"биология")</f>
        <v>биология</v>
      </c>
      <c r="C2235" s="1" t="str">
        <f ca="1">IFERROR(__xludf.DUMMYFUNCTION("GOOGLETRANSLATE(English!C2235, ""en"", ""bg"")"),"високо")</f>
        <v>високо</v>
      </c>
      <c r="D2235" s="1" t="str">
        <f ca="1">IFERROR(__xludf.DUMMYFUNCTION("GOOGLETRANSLATE(English!D2235, ""en"", ""bg"")"),"митоза и мейоза")</f>
        <v>митоза и мейоза</v>
      </c>
      <c r="E2235" s="1" t="str">
        <f ca="1">IFERROR(__xludf.DUMMYFUNCTION("GOOGLETRANSLATE(English!E2235, ""en"", ""bg"")"),"Не разбирам тази тема. Защо митозата и мейозата са важни в биологията?")</f>
        <v>Не разбирам тази тема. Защо митозата и мейозата са важни в биологията?</v>
      </c>
      <c r="F2235" s="1" t="str">
        <f ca="1">IFERROR(__xludf.DUMMYFUNCTION("GOOGLETRANSLATE(English!F2235,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2235" s="1" t="str">
        <f ca="1">IFERROR(__xludf.DUMMYFUNCTION("GOOGLETRANSLATE(English!G2235, ""en"", ""bg"")"),"разговор")</f>
        <v>разговор</v>
      </c>
      <c r="H2235" s="1" t="str">
        <f ca="1">IFERROR(__xludf.DUMMYFUNCTION("GOOGLETRANSLATE(English!H2235, ""en"", ""bg"")"),"образователна_помощ")</f>
        <v>образователна_помощ</v>
      </c>
    </row>
    <row r="2236" spans="1:8" ht="13.2" x14ac:dyDescent="0.25">
      <c r="A2236" s="1" t="str">
        <f ca="1">IFERROR(__xludf.DUMMYFUNCTION("GOOGLETRANSLATE(English!A2236, ""en"", ""bg"")"),"qa_04950")</f>
        <v>qa_04950</v>
      </c>
      <c r="B2236" s="1" t="str">
        <f ca="1">IFERROR(__xludf.DUMMYFUNCTION("GOOGLETRANSLATE(English!B2236, ""en"", ""bg"")"),"химия")</f>
        <v>химия</v>
      </c>
      <c r="C2236" s="1" t="str">
        <f ca="1">IFERROR(__xludf.DUMMYFUNCTION("GOOGLETRANSLATE(English!C2236, ""en"", ""bg"")"),"средата")</f>
        <v>средата</v>
      </c>
      <c r="D2236" s="1" t="str">
        <f ca="1">IFERROR(__xludf.DUMMYFUNCTION("GOOGLETRANSLATE(English!D2236, ""en"", ""bg"")"),"киселини и основи")</f>
        <v>киселини и основи</v>
      </c>
      <c r="E2236" s="1" t="str">
        <f ca="1">IFERROR(__xludf.DUMMYFUNCTION("GOOGLETRANSLATE(English!E2236, ""en"", ""bg"")"),"Защо е важно да се изучават киселини и основи?")</f>
        <v>Защо е важно да се изучават киселини и основи?</v>
      </c>
      <c r="F2236" s="1" t="str">
        <f ca="1">IFERROR(__xludf.DUMMYFUNCTION("GOOGLETRANSLATE(English!F2236,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2236" s="1" t="str">
        <f ca="1">IFERROR(__xludf.DUMMYFUNCTION("GOOGLETRANSLATE(English!G2236, ""en"", ""bg"")"),"direct_qa")</f>
        <v>direct_qa</v>
      </c>
      <c r="H2236" s="1" t="str">
        <f ca="1">IFERROR(__xludf.DUMMYFUNCTION("GOOGLETRANSLATE(English!H2236, ""en"", ""bg"")"),"заявка_за_знание")</f>
        <v>заявка_за_знание</v>
      </c>
    </row>
    <row r="2237" spans="1:8" ht="13.2" x14ac:dyDescent="0.25">
      <c r="A2237" s="1" t="str">
        <f ca="1">IFERROR(__xludf.DUMMYFUNCTION("GOOGLETRANSLATE(English!A2237, ""en"", ""bg"")"),"hw_10314")</f>
        <v>hw_10314</v>
      </c>
      <c r="B2237" s="1" t="str">
        <f ca="1">IFERROR(__xludf.DUMMYFUNCTION("GOOGLETRANSLATE(English!B2237, ""en"", ""bg"")"),"физика")</f>
        <v>физика</v>
      </c>
      <c r="C2237" s="1" t="str">
        <f ca="1">IFERROR(__xludf.DUMMYFUNCTION("GOOGLETRANSLATE(English!C2237, ""en"", ""bg"")"),"елементарен")</f>
        <v>елементарен</v>
      </c>
      <c r="D2237" s="1" t="str">
        <f ca="1">IFERROR(__xludf.DUMMYFUNCTION("GOOGLETRANSLATE(English!D2237, ""en"", ""bg"")"),"светлина и сянка")</f>
        <v>светлина и сянка</v>
      </c>
      <c r="E2237" s="1" t="str">
        <f ca="1">IFERROR(__xludf.DUMMYFUNCTION("GOOGLETRANSLATE(English!E2237, ""en"", ""bg"")"),"Трябва да разбера светлината и сянката за изпита си.")</f>
        <v>Трябва да разбера светлината и сянката за изпита си.</v>
      </c>
      <c r="F2237" s="1" t="str">
        <f ca="1">IFERROR(__xludf.DUMMYFUNCTION("GOOGLETRANSLATE(English!F2237,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2237" s="1" t="str">
        <f ca="1">IFERROR(__xludf.DUMMYFUNCTION("GOOGLETRANSLATE(English!G2237, ""en"", ""bg"")"),"помощ_за_домашно_изпълнение")</f>
        <v>помощ_за_домашно_изпълнение</v>
      </c>
      <c r="H2237" s="1" t="str">
        <f ca="1">IFERROR(__xludf.DUMMYFUNCTION("GOOGLETRANSLATE(English!H2237, ""en"", ""bg"")"),"помощ_за_домашно_задаване")</f>
        <v>помощ_за_домашно_задаване</v>
      </c>
    </row>
    <row r="2238" spans="1:8" ht="13.2" x14ac:dyDescent="0.25">
      <c r="A2238" s="1" t="str">
        <f ca="1">IFERROR(__xludf.DUMMYFUNCTION("GOOGLETRANSLATE(English!A2238, ""en"", ""bg"")"),"hw_01585")</f>
        <v>hw_01585</v>
      </c>
      <c r="B2238" s="1" t="str">
        <f ca="1">IFERROR(__xludf.DUMMYFUNCTION("GOOGLETRANSLATE(English!B2238, ""en"", ""bg"")"),"химия")</f>
        <v>химия</v>
      </c>
      <c r="C2238" s="1" t="str">
        <f ca="1">IFERROR(__xludf.DUMMYFUNCTION("GOOGLETRANSLATE(English!C2238, ""en"", ""bg"")"),"елементарен")</f>
        <v>елементарен</v>
      </c>
      <c r="D2238" s="1" t="str">
        <f ca="1">IFERROR(__xludf.DUMMYFUNCTION("GOOGLETRANSLATE(English!D2238, ""en"", ""bg"")"),"твърди вещества, течности, газове")</f>
        <v>твърди вещества, течности, газове</v>
      </c>
      <c r="E2238" s="1" t="str">
        <f ca="1">IFERROR(__xludf.DUMMYFUNCTION("GOOGLETRANSLATE(English!E2238,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2238" s="1" t="str">
        <f ca="1">IFERROR(__xludf.DUMMYFUNCTION("GOOGLETRANSLATE(English!F2238,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238" s="1" t="str">
        <f ca="1">IFERROR(__xludf.DUMMYFUNCTION("GOOGLETRANSLATE(English!G2238, ""en"", ""bg"")"),"помощ_за_домашно_изпълнение")</f>
        <v>помощ_за_домашно_изпълнение</v>
      </c>
      <c r="H2238" s="1" t="str">
        <f ca="1">IFERROR(__xludf.DUMMYFUNCTION("GOOGLETRANSLATE(English!H2238, ""en"", ""bg"")"),"помощ_за_домашно_задаване")</f>
        <v>помощ_за_домашно_задаване</v>
      </c>
    </row>
    <row r="2239" spans="1:8" ht="13.2" x14ac:dyDescent="0.25">
      <c r="A2239" s="1" t="str">
        <f ca="1">IFERROR(__xludf.DUMMYFUNCTION("GOOGLETRANSLATE(English!A2239, ""en"", ""bg"")"),"qa_12769")</f>
        <v>qa_12769</v>
      </c>
      <c r="B2239" s="1" t="str">
        <f ca="1">IFERROR(__xludf.DUMMYFUNCTION("GOOGLETRANSLATE(English!B2239, ""en"", ""bg"")"),"физика")</f>
        <v>физика</v>
      </c>
      <c r="C2239" s="1" t="str">
        <f ca="1">IFERROR(__xludf.DUMMYFUNCTION("GOOGLETRANSLATE(English!C2239, ""en"", ""bg"")"),"средата")</f>
        <v>средата</v>
      </c>
      <c r="D2239" s="1" t="str">
        <f ca="1">IFERROR(__xludf.DUMMYFUNCTION("GOOGLETRANSLATE(English!D2239, ""en"", ""bg"")"),"плътност")</f>
        <v>плътност</v>
      </c>
      <c r="E2239" s="1" t="str">
        <f ca="1">IFERROR(__xludf.DUMMYFUNCTION("GOOGLETRANSLATE(English!E2239, ""en"", ""bg"")"),"Какво трябва да знам за плътността?")</f>
        <v>Какво трябва да знам за плътността?</v>
      </c>
      <c r="F2239" s="1" t="str">
        <f ca="1">IFERROR(__xludf.DUMMYFUNCTION("GOOGLETRANSLATE(English!F2239,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2239" s="1" t="str">
        <f ca="1">IFERROR(__xludf.DUMMYFUNCTION("GOOGLETRANSLATE(English!G2239, ""en"", ""bg"")"),"direct_qa")</f>
        <v>direct_qa</v>
      </c>
      <c r="H2239" s="1" t="str">
        <f ca="1">IFERROR(__xludf.DUMMYFUNCTION("GOOGLETRANSLATE(English!H2239, ""en"", ""bg"")"),"заявка_за_знание")</f>
        <v>заявка_за_знание</v>
      </c>
    </row>
    <row r="2240" spans="1:8" ht="13.2" x14ac:dyDescent="0.25">
      <c r="A2240" s="1" t="str">
        <f ca="1">IFERROR(__xludf.DUMMYFUNCTION("GOOGLETRANSLATE(English!A2240, ""en"", ""bg"")"),"conv_03202")</f>
        <v>conv_03202</v>
      </c>
      <c r="B2240" s="1" t="str">
        <f ca="1">IFERROR(__xludf.DUMMYFUNCTION("GOOGLETRANSLATE(English!B2240, ""en"", ""bg"")"),"физика")</f>
        <v>физика</v>
      </c>
      <c r="C2240" s="1" t="str">
        <f ca="1">IFERROR(__xludf.DUMMYFUNCTION("GOOGLETRANSLATE(English!C2240, ""en"", ""bg"")"),"високо")</f>
        <v>високо</v>
      </c>
      <c r="D2240" s="1" t="str">
        <f ca="1">IFERROR(__xludf.DUMMYFUNCTION("GOOGLETRANSLATE(English!D2240, ""en"", ""bg"")"),"радиоактивност")</f>
        <v>радиоактивност</v>
      </c>
      <c r="E2240" s="1" t="str">
        <f ca="1">IFERROR(__xludf.DUMMYFUNCTION("GOOGLETRANSLATE(English!E2240, ""en"", ""bg"")"),"Можете ли да ми помогнете? Защо радиоактивността е важна?")</f>
        <v>Можете ли да ми помогнете? Защо радиоактивността е важна?</v>
      </c>
      <c r="F2240" s="1" t="str">
        <f ca="1">IFERROR(__xludf.DUMMYFUNCTION("GOOGLETRANSLATE(English!F2240,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2240" s="1" t="str">
        <f ca="1">IFERROR(__xludf.DUMMYFUNCTION("GOOGLETRANSLATE(English!G2240, ""en"", ""bg"")"),"разговор")</f>
        <v>разговор</v>
      </c>
      <c r="H2240" s="1" t="str">
        <f ca="1">IFERROR(__xludf.DUMMYFUNCTION("GOOGLETRANSLATE(English!H2240, ""en"", ""bg"")"),"образователна_помощ")</f>
        <v>образователна_помощ</v>
      </c>
    </row>
    <row r="2241" spans="1:8" ht="13.2" x14ac:dyDescent="0.25">
      <c r="A2241" s="1" t="str">
        <f ca="1">IFERROR(__xludf.DUMMYFUNCTION("GOOGLETRANSLATE(English!A2241, ""en"", ""bg"")"),"qa_14400")</f>
        <v>qa_14400</v>
      </c>
      <c r="B2241" s="1" t="str">
        <f ca="1">IFERROR(__xludf.DUMMYFUNCTION("GOOGLETRANSLATE(English!B2241, ""en"", ""bg"")"),"физика")</f>
        <v>физика</v>
      </c>
      <c r="C2241" s="1" t="str">
        <f ca="1">IFERROR(__xludf.DUMMYFUNCTION("GOOGLETRANSLATE(English!C2241, ""en"", ""bg"")"),"елементарен")</f>
        <v>елементарен</v>
      </c>
      <c r="D2241" s="1" t="str">
        <f ca="1">IFERROR(__xludf.DUMMYFUNCTION("GOOGLETRANSLATE(English!D2241, ""en"", ""bg"")"),"магнити")</f>
        <v>магнити</v>
      </c>
      <c r="E2241" s="1" t="str">
        <f ca="1">IFERROR(__xludf.DUMMYFUNCTION("GOOGLETRANSLATE(English!E2241, ""en"", ""bg"")"),"Какво се случва, когато сложите два магнита заедно?")</f>
        <v>Какво се случва, когато сложите два магнита заедно?</v>
      </c>
      <c r="F2241" s="1" t="str">
        <f ca="1">IFERROR(__xludf.DUMMYFUNCTION("GOOGLETRANSLATE(English!F2241, ""en"", ""bg"")"),"Когато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друг!")</f>
        <v>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</v>
      </c>
      <c r="G2241" s="1" t="str">
        <f ca="1">IFERROR(__xludf.DUMMYFUNCTION("GOOGLETRANSLATE(English!G2241, ""en"", ""bg"")"),"direct_qa")</f>
        <v>direct_qa</v>
      </c>
      <c r="H2241" s="1" t="str">
        <f ca="1">IFERROR(__xludf.DUMMYFUNCTION("GOOGLETRANSLATE(English!H2241, ""en"", ""bg"")"),"заявка_за_знание")</f>
        <v>заявка_за_знание</v>
      </c>
    </row>
    <row r="2242" spans="1:8" ht="13.2" x14ac:dyDescent="0.25">
      <c r="A2242" s="1" t="str">
        <f ca="1">IFERROR(__xludf.DUMMYFUNCTION("GOOGLETRANSLATE(English!A2242, ""en"", ""bg"")"),"qa_03718")</f>
        <v>qa_03718</v>
      </c>
      <c r="B2242" s="1" t="str">
        <f ca="1">IFERROR(__xludf.DUMMYFUNCTION("GOOGLETRANSLATE(English!B2242, ""en"", ""bg"")"),"химия")</f>
        <v>химия</v>
      </c>
      <c r="C2242" s="1" t="str">
        <f ca="1">IFERROR(__xludf.DUMMYFUNCTION("GOOGLETRANSLATE(English!C2242, ""en"", ""bg"")"),"елементарен")</f>
        <v>елементарен</v>
      </c>
      <c r="D2242" s="1" t="str">
        <f ca="1">IFERROR(__xludf.DUMMYFUNCTION("GOOGLETRANSLATE(English!D2242, ""en"", ""bg"")"),"твърди вещества, течности, газове")</f>
        <v>твърди вещества, течности, газове</v>
      </c>
      <c r="E2242" s="1" t="str">
        <f ca="1">IFERROR(__xludf.DUMMYFUNCTION("GOOGLETRANSLATE(English!E2242, ""en"", ""bg"")"),"Кои са трите състояния на материята?")</f>
        <v>Кои са трите състояния на материята?</v>
      </c>
      <c r="F2242" s="1" t="str">
        <f ca="1">IFERROR(__xludf.DUMMYFUNCTION("GOOGLETRANSLATE(English!F2242,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2242" s="1" t="str">
        <f ca="1">IFERROR(__xludf.DUMMYFUNCTION("GOOGLETRANSLATE(English!G2242, ""en"", ""bg"")"),"direct_qa")</f>
        <v>direct_qa</v>
      </c>
      <c r="H2242" s="1" t="str">
        <f ca="1">IFERROR(__xludf.DUMMYFUNCTION("GOOGLETRANSLATE(English!H2242, ""en"", ""bg"")"),"заявка_за_знание")</f>
        <v>заявка_за_знание</v>
      </c>
    </row>
    <row r="2243" spans="1:8" ht="13.2" x14ac:dyDescent="0.25">
      <c r="A2243" s="1" t="str">
        <f ca="1">IFERROR(__xludf.DUMMYFUNCTION("GOOGLETRANSLATE(English!A2243, ""en"", ""bg"")"),"conv_13042")</f>
        <v>conv_13042</v>
      </c>
      <c r="B2243" s="1" t="str">
        <f ca="1">IFERROR(__xludf.DUMMYFUNCTION("GOOGLETRANSLATE(English!B2243, ""en"", ""bg"")"),"физика")</f>
        <v>физика</v>
      </c>
      <c r="C2243" s="1" t="str">
        <f ca="1">IFERROR(__xludf.DUMMYFUNCTION("GOOGLETRANSLATE(English!C2243, ""en"", ""bg"")"),"средата")</f>
        <v>средата</v>
      </c>
      <c r="D2243" s="1" t="str">
        <f ca="1">IFERROR(__xludf.DUMMYFUNCTION("GOOGLETRANSLATE(English!D2243, ""en"", ""bg"")"),"прости схеми")</f>
        <v>прости схеми</v>
      </c>
      <c r="E2243" s="1" t="str">
        <f ca="1">IFERROR(__xludf.DUMMYFUNCTION("GOOGLETRANSLATE(English!E2243, ""en"", ""bg"")"),"Здравей, преподавателю! Можеш ли да ми обясниш прости електрически вериги?")</f>
        <v>Здравей, преподавателю! Можеш ли да ми обясниш прости електрически вериги?</v>
      </c>
      <c r="F2243" s="1" t="str">
        <f ca="1">IFERROR(__xludf.DUMMYFUNCTION("GOOGLETRANSLATE(English!F2243, ""en"", ""bg"")"),"Простите електрически вериги са интересна физическа концепция, която ни помага да разберем как работят нещата в нашия свят!")</f>
        <v>Простите електрически вериги са интересна физическа концепция, която ни помага да разберем как работят нещата в нашия свят!</v>
      </c>
      <c r="G2243" s="1" t="str">
        <f ca="1">IFERROR(__xludf.DUMMYFUNCTION("GOOGLETRANSLATE(English!G2243, ""en"", ""bg"")"),"разговор")</f>
        <v>разговор</v>
      </c>
      <c r="H2243" s="1" t="str">
        <f ca="1">IFERROR(__xludf.DUMMYFUNCTION("GOOGLETRANSLATE(English!H2243, ""en"", ""bg"")"),"образователна_помощ")</f>
        <v>образователна_помощ</v>
      </c>
    </row>
    <row r="2244" spans="1:8" ht="13.2" x14ac:dyDescent="0.25">
      <c r="A2244" s="1" t="str">
        <f ca="1">IFERROR(__xludf.DUMMYFUNCTION("GOOGLETRANSLATE(English!A2244, ""en"", ""bg"")"),"conv_03233")</f>
        <v>conv_03233</v>
      </c>
      <c r="B2244" s="1" t="str">
        <f ca="1">IFERROR(__xludf.DUMMYFUNCTION("GOOGLETRANSLATE(English!B2244, ""en"", ""bg"")"),"физика")</f>
        <v>физика</v>
      </c>
      <c r="C2244" s="1" t="str">
        <f ca="1">IFERROR(__xludf.DUMMYFUNCTION("GOOGLETRANSLATE(English!C2244, ""en"", ""bg"")"),"елементарен")</f>
        <v>елементарен</v>
      </c>
      <c r="D2244" s="1" t="str">
        <f ca="1">IFERROR(__xludf.DUMMYFUNCTION("GOOGLETRANSLATE(English!D2244, ""en"", ""bg"")"),"звук")</f>
        <v>звук</v>
      </c>
      <c r="E2244" s="1" t="str">
        <f ca="1">IFERROR(__xludf.DUMMYFUNCTION("GOOGLETRANSLATE(English!E2244, ""en"", ""bg"")"),"Можете ли да ми обясните това? Можете ли да ми обясните звука?")</f>
        <v>Можете ли да ми обясните това? Можете ли да ми обясните звука?</v>
      </c>
      <c r="F2244" s="1" t="str">
        <f ca="1">IFERROR(__xludf.DUMMYFUNCTION("GOOGLETRANSLATE(English!F2244,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2244" s="1" t="str">
        <f ca="1">IFERROR(__xludf.DUMMYFUNCTION("GOOGLETRANSLATE(English!G2244, ""en"", ""bg"")"),"разговор")</f>
        <v>разговор</v>
      </c>
      <c r="H2244" s="1" t="str">
        <f ca="1">IFERROR(__xludf.DUMMYFUNCTION("GOOGLETRANSLATE(English!H2244, ""en"", ""bg"")"),"образователна_помощ")</f>
        <v>образователна_помощ</v>
      </c>
    </row>
    <row r="2245" spans="1:8" ht="13.2" x14ac:dyDescent="0.25">
      <c r="A2245" s="1" t="str">
        <f ca="1">IFERROR(__xludf.DUMMYFUNCTION("GOOGLETRANSLATE(English!A2245, ""en"", ""bg"")"),"conv_05604")</f>
        <v>conv_05604</v>
      </c>
      <c r="B2245" s="1" t="str">
        <f ca="1">IFERROR(__xludf.DUMMYFUNCTION("GOOGLETRANSLATE(English!B2245, ""en"", ""bg"")"),"химия")</f>
        <v>химия</v>
      </c>
      <c r="C2245" s="1" t="str">
        <f ca="1">IFERROR(__xludf.DUMMYFUNCTION("GOOGLETRANSLATE(English!C2245, ""en"", ""bg"")"),"високо")</f>
        <v>високо</v>
      </c>
      <c r="D2245" s="1" t="str">
        <f ca="1">IFERROR(__xludf.DUMMYFUNCTION("GOOGLETRANSLATE(English!D2245, ""en"", ""bg"")"),"органична химия")</f>
        <v>органична химия</v>
      </c>
      <c r="E2245" s="1" t="str">
        <f ca="1">IFERROR(__xludf.DUMMYFUNCTION("GOOGLETRANSLATE(English!E2245, ""en"", ""bg"")"),"Можете ли да ми обясните това? Можете ли да ми помогнете да разбера органичната химия?")</f>
        <v>Можете ли да ми обясните това? Можете ли да ми помогнете да разбера органичната химия?</v>
      </c>
      <c r="F2245" s="1" t="str">
        <f ca="1">IFERROR(__xludf.DUMMYFUNCTION("GOOGLETRANSLATE(English!F2245,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2245" s="1" t="str">
        <f ca="1">IFERROR(__xludf.DUMMYFUNCTION("GOOGLETRANSLATE(English!G2245, ""en"", ""bg"")"),"разговор")</f>
        <v>разговор</v>
      </c>
      <c r="H2245" s="1" t="str">
        <f ca="1">IFERROR(__xludf.DUMMYFUNCTION("GOOGLETRANSLATE(English!H2245, ""en"", ""bg"")"),"образователна_помощ")</f>
        <v>образователна_помощ</v>
      </c>
    </row>
    <row r="2246" spans="1:8" ht="13.2" x14ac:dyDescent="0.25">
      <c r="A2246" s="1" t="str">
        <f ca="1">IFERROR(__xludf.DUMMYFUNCTION("GOOGLETRANSLATE(English!A2246, ""en"", ""bg"")"),"conv_04027")</f>
        <v>conv_04027</v>
      </c>
      <c r="B2246" s="1" t="str">
        <f ca="1">IFERROR(__xludf.DUMMYFUNCTION("GOOGLETRANSLATE(English!B2246, ""en"", ""bg"")"),"физика")</f>
        <v>физика</v>
      </c>
      <c r="C2246" s="1" t="str">
        <f ca="1">IFERROR(__xludf.DUMMYFUNCTION("GOOGLETRANSLATE(English!C2246, ""en"", ""bg"")"),"средата")</f>
        <v>средата</v>
      </c>
      <c r="D2246" s="1" t="str">
        <f ca="1">IFERROR(__xludf.DUMMYFUNCTION("GOOGLETRANSLATE(English!D2246, ""en"", ""bg"")"),"сили и движение")</f>
        <v>сили и движение</v>
      </c>
      <c r="E2246" s="1" t="str">
        <f ca="1">IFERROR(__xludf.DUMMYFUNCTION("GOOGLETRANSLATE(English!E2246, ""en"", ""bg"")"),"Имам нужда от помощ с домашното. Какво е ускорение?")</f>
        <v>Имам нужда от помощ с домашното. Какво е ускорение?</v>
      </c>
      <c r="F2246" s="1" t="str">
        <f ca="1">IFERROR(__xludf.DUMMYFUNCTION("GOOGLETRANSLATE(English!F2246,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2246" s="1" t="str">
        <f ca="1">IFERROR(__xludf.DUMMYFUNCTION("GOOGLETRANSLATE(English!G2246, ""en"", ""bg"")"),"разговор")</f>
        <v>разговор</v>
      </c>
      <c r="H2246" s="1" t="str">
        <f ca="1">IFERROR(__xludf.DUMMYFUNCTION("GOOGLETRANSLATE(English!H2246, ""en"", ""bg"")"),"образователна_помощ")</f>
        <v>образователна_помощ</v>
      </c>
    </row>
    <row r="2247" spans="1:8" ht="13.2" x14ac:dyDescent="0.25">
      <c r="A2247" s="1" t="str">
        <f ca="1">IFERROR(__xludf.DUMMYFUNCTION("GOOGLETRANSLATE(English!A2247, ""en"", ""bg"")"),"hw_02853")</f>
        <v>hw_02853</v>
      </c>
      <c r="B2247" s="1" t="str">
        <f ca="1">IFERROR(__xludf.DUMMYFUNCTION("GOOGLETRANSLATE(English!B2247, ""en"", ""bg"")"),"физика")</f>
        <v>физика</v>
      </c>
      <c r="C2247" s="1" t="str">
        <f ca="1">IFERROR(__xludf.DUMMYFUNCTION("GOOGLETRANSLATE(English!C2247, ""en"", ""bg"")"),"средата")</f>
        <v>средата</v>
      </c>
      <c r="D2247" s="1" t="str">
        <f ca="1">IFERROR(__xludf.DUMMYFUNCTION("GOOGLETRANSLATE(English!D2247, ""en"", ""bg"")"),"видове енергия")</f>
        <v>видове енергия</v>
      </c>
      <c r="E2247" s="1" t="str">
        <f ca="1">IFERROR(__xludf.DUMMYFUNCTION("GOOGLETRANSLATE(English!E2247, ""en"", ""bg"")"),"Заседнал съм с този проблем с видовете енергия. Можете ли да помогнете?")</f>
        <v>Заседнал съм с този проблем с видовете енергия. Можете ли да помогнете?</v>
      </c>
      <c r="F2247" s="1" t="str">
        <f ca="1">IFERROR(__xludf.DUMMYFUNCTION("GOOGLETRANSLATE(English!F2247,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247" s="1" t="str">
        <f ca="1">IFERROR(__xludf.DUMMYFUNCTION("GOOGLETRANSLATE(English!G2247, ""en"", ""bg"")"),"помощ_за_домашно_изпълнение")</f>
        <v>помощ_за_домашно_изпълнение</v>
      </c>
      <c r="H2247" s="1" t="str">
        <f ca="1">IFERROR(__xludf.DUMMYFUNCTION("GOOGLETRANSLATE(English!H2247, ""en"", ""bg"")"),"помощ_за_домашно_задаване")</f>
        <v>помощ_за_домашно_задаване</v>
      </c>
    </row>
    <row r="2248" spans="1:8" ht="13.2" x14ac:dyDescent="0.25">
      <c r="A2248" s="1" t="str">
        <f ca="1">IFERROR(__xludf.DUMMYFUNCTION("GOOGLETRANSLATE(English!A2248, ""en"", ""bg"")"),"qa_11521")</f>
        <v>qa_11521</v>
      </c>
      <c r="B2248" s="1" t="str">
        <f ca="1">IFERROR(__xludf.DUMMYFUNCTION("GOOGLETRANSLATE(English!B2248, ""en"", ""bg"")"),"физика")</f>
        <v>физика</v>
      </c>
      <c r="C2248" s="1" t="str">
        <f ca="1">IFERROR(__xludf.DUMMYFUNCTION("GOOGLETRANSLATE(English!C2248, ""en"", ""bg"")"),"елементарен")</f>
        <v>елементарен</v>
      </c>
      <c r="D2248" s="1" t="str">
        <f ca="1">IFERROR(__xludf.DUMMYFUNCTION("GOOGLETRANSLATE(English!D2248, ""en"", ""bg"")"),"звук")</f>
        <v>звук</v>
      </c>
      <c r="E2248" s="1" t="str">
        <f ca="1">IFERROR(__xludf.DUMMYFUNCTION("GOOGLETRANSLATE(English!E2248, ""en"", ""bg"")"),"Как работи звукът във физиката?")</f>
        <v>Как работи звукът във физиката?</v>
      </c>
      <c r="F2248" s="1" t="str">
        <f ca="1">IFERROR(__xludf.DUMMYFUNCTION("GOOGLETRANSLATE(English!F2248,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248" s="1" t="str">
        <f ca="1">IFERROR(__xludf.DUMMYFUNCTION("GOOGLETRANSLATE(English!G2248, ""en"", ""bg"")"),"direct_qa")</f>
        <v>direct_qa</v>
      </c>
      <c r="H2248" s="1" t="str">
        <f ca="1">IFERROR(__xludf.DUMMYFUNCTION("GOOGLETRANSLATE(English!H2248, ""en"", ""bg"")"),"заявка_за_знание")</f>
        <v>заявка_за_знание</v>
      </c>
    </row>
    <row r="2249" spans="1:8" ht="13.2" x14ac:dyDescent="0.25">
      <c r="A2249" s="1" t="str">
        <f ca="1">IFERROR(__xludf.DUMMYFUNCTION("GOOGLETRANSLATE(English!A2249, ""en"", ""bg"")"),"hw_06805")</f>
        <v>hw_06805</v>
      </c>
      <c r="B2249" s="1" t="str">
        <f ca="1">IFERROR(__xludf.DUMMYFUNCTION("GOOGLETRANSLATE(English!B2249, ""en"", ""bg"")"),"химия")</f>
        <v>химия</v>
      </c>
      <c r="C2249" s="1" t="str">
        <f ca="1">IFERROR(__xludf.DUMMYFUNCTION("GOOGLETRANSLATE(English!C2249, ""en"", ""bg"")"),"елементарен")</f>
        <v>елементарен</v>
      </c>
      <c r="D2249" s="1" t="str">
        <f ca="1">IFERROR(__xludf.DUMMYFUNCTION("GOOGLETRANSLATE(English!D2249, ""en"", ""bg"")"),"безопасност")</f>
        <v>безопасност</v>
      </c>
      <c r="E2249" s="1" t="str">
        <f ca="1">IFERROR(__xludf.DUMMYFUNCTION("GOOGLETRANSLATE(English!E2249, ""en"", ""bg"")"),"Трудно ми е с безопасността при домашното.")</f>
        <v>Трудно ми е с безопасността при домашното.</v>
      </c>
      <c r="F2249" s="1" t="str">
        <f ca="1">IFERROR(__xludf.DUMMYFUNCTION("GOOGLETRANSLATE(English!F2249,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249" s="1" t="str">
        <f ca="1">IFERROR(__xludf.DUMMYFUNCTION("GOOGLETRANSLATE(English!G2249, ""en"", ""bg"")"),"помощ_за_домашно_изпълнение")</f>
        <v>помощ_за_домашно_изпълнение</v>
      </c>
      <c r="H2249" s="1" t="str">
        <f ca="1">IFERROR(__xludf.DUMMYFUNCTION("GOOGLETRANSLATE(English!H2249, ""en"", ""bg"")"),"помощ_за_домашно_задаване")</f>
        <v>помощ_за_домашно_задаване</v>
      </c>
    </row>
    <row r="2250" spans="1:8" ht="13.2" x14ac:dyDescent="0.25">
      <c r="A2250" s="1" t="str">
        <f ca="1">IFERROR(__xludf.DUMMYFUNCTION("GOOGLETRANSLATE(English!A2250, ""en"", ""bg"")"),"conv_00112")</f>
        <v>conv_00112</v>
      </c>
      <c r="B2250" s="1" t="str">
        <f ca="1">IFERROR(__xludf.DUMMYFUNCTION("GOOGLETRANSLATE(English!B2250, ""en"", ""bg"")"),"физика")</f>
        <v>физика</v>
      </c>
      <c r="C2250" s="1" t="str">
        <f ca="1">IFERROR(__xludf.DUMMYFUNCTION("GOOGLETRANSLATE(English!C2250, ""en"", ""bg"")"),"елементарен")</f>
        <v>елементарен</v>
      </c>
      <c r="D2250" s="1" t="str">
        <f ca="1">IFERROR(__xludf.DUMMYFUNCTION("GOOGLETRANSLATE(English!D2250, ""en"", ""bg"")"),"звук")</f>
        <v>звук</v>
      </c>
      <c r="E2250" s="1" t="str">
        <f ca="1">IFERROR(__xludf.DUMMYFUNCTION("GOOGLETRANSLATE(English!E2250, ""en"", ""bg"")"),"Имам нужда от помощ с домашното. Как работи звукът във физиката?")</f>
        <v>Имам нужда от помощ с домашното. Как работи звукът във физиката?</v>
      </c>
      <c r="F2250" s="1" t="str">
        <f ca="1">IFERROR(__xludf.DUMMYFUNCTION("GOOGLETRANSLATE(English!F2250,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250" s="1" t="str">
        <f ca="1">IFERROR(__xludf.DUMMYFUNCTION("GOOGLETRANSLATE(English!G2250, ""en"", ""bg"")"),"разговор")</f>
        <v>разговор</v>
      </c>
      <c r="H2250" s="1" t="str">
        <f ca="1">IFERROR(__xludf.DUMMYFUNCTION("GOOGLETRANSLATE(English!H2250, ""en"", ""bg"")"),"образователна_помощ")</f>
        <v>образователна_помощ</v>
      </c>
    </row>
    <row r="2251" spans="1:8" ht="13.2" x14ac:dyDescent="0.25">
      <c r="A2251" s="1" t="str">
        <f ca="1">IFERROR(__xludf.DUMMYFUNCTION("GOOGLETRANSLATE(English!A2251, ""en"", ""bg"")"),"conv_17016")</f>
        <v>conv_17016</v>
      </c>
      <c r="B2251" s="1" t="str">
        <f ca="1">IFERROR(__xludf.DUMMYFUNCTION("GOOGLETRANSLATE(English!B2251, ""en"", ""bg"")"),"физика")</f>
        <v>физика</v>
      </c>
      <c r="C2251" s="1" t="str">
        <f ca="1">IFERROR(__xludf.DUMMYFUNCTION("GOOGLETRANSLATE(English!C2251, ""en"", ""bg"")"),"елементарен")</f>
        <v>елементарен</v>
      </c>
      <c r="D2251" s="1" t="str">
        <f ca="1">IFERROR(__xludf.DUMMYFUNCTION("GOOGLETRANSLATE(English!D2251, ""en"", ""bg"")"),"горещо и студено")</f>
        <v>горещо и студено</v>
      </c>
      <c r="E2251" s="1" t="str">
        <f ca="1">IFERROR(__xludf.DUMMYFUNCTION("GOOGLETRANSLATE(English!E2251, ""en"", ""bg"")"),"Имам научен въпрос. Можете ли да ми обясните какво е топло и студено?")</f>
        <v>Имам научен въпрос. Можете ли да ми обясните какво е топло и студено?</v>
      </c>
      <c r="F2251" s="1" t="str">
        <f ca="1">IFERROR(__xludf.DUMMYFUNCTION("GOOGLETRANSLATE(English!F2251,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2251" s="1" t="str">
        <f ca="1">IFERROR(__xludf.DUMMYFUNCTION("GOOGLETRANSLATE(English!G2251, ""en"", ""bg"")"),"разговор")</f>
        <v>разговор</v>
      </c>
      <c r="H2251" s="1" t="str">
        <f ca="1">IFERROR(__xludf.DUMMYFUNCTION("GOOGLETRANSLATE(English!H2251, ""en"", ""bg"")"),"образователна_помощ")</f>
        <v>образователна_помощ</v>
      </c>
    </row>
    <row r="2252" spans="1:8" ht="13.2" x14ac:dyDescent="0.25">
      <c r="A2252" s="1" t="str">
        <f ca="1">IFERROR(__xludf.DUMMYFUNCTION("GOOGLETRANSLATE(English!A2252, ""en"", ""bg"")"),"conv_05800")</f>
        <v>conv_05800</v>
      </c>
      <c r="B2252" s="1" t="str">
        <f ca="1">IFERROR(__xludf.DUMMYFUNCTION("GOOGLETRANSLATE(English!B2252, ""en"", ""bg"")"),"физика")</f>
        <v>физика</v>
      </c>
      <c r="C2252" s="1" t="str">
        <f ca="1">IFERROR(__xludf.DUMMYFUNCTION("GOOGLETRANSLATE(English!C2252, ""en"", ""bg"")"),"средата")</f>
        <v>средата</v>
      </c>
      <c r="D2252" s="1" t="str">
        <f ca="1">IFERROR(__xludf.DUMMYFUNCTION("GOOGLETRANSLATE(English!D2252, ""en"", ""bg"")"),"плътност")</f>
        <v>плътност</v>
      </c>
      <c r="E2252" s="1" t="str">
        <f ca="1">IFERROR(__xludf.DUMMYFUNCTION("GOOGLETRANSLATE(English!E2252, ""en"", ""bg"")"),"Можете ли да ми обясните това? Как работи плътността във физиката?")</f>
        <v>Можете ли да ми обясните това? Как работи плътността във физиката?</v>
      </c>
      <c r="F2252" s="1" t="str">
        <f ca="1">IFERROR(__xludf.DUMMYFUNCTION("GOOGLETRANSLATE(English!F2252,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2252" s="1" t="str">
        <f ca="1">IFERROR(__xludf.DUMMYFUNCTION("GOOGLETRANSLATE(English!G2252, ""en"", ""bg"")"),"разговор")</f>
        <v>разговор</v>
      </c>
      <c r="H2252" s="1" t="str">
        <f ca="1">IFERROR(__xludf.DUMMYFUNCTION("GOOGLETRANSLATE(English!H2252, ""en"", ""bg"")"),"образователна_помощ")</f>
        <v>образователна_помощ</v>
      </c>
    </row>
    <row r="2253" spans="1:8" ht="13.2" x14ac:dyDescent="0.25">
      <c r="A2253" s="1" t="str">
        <f ca="1">IFERROR(__xludf.DUMMYFUNCTION("GOOGLETRANSLATE(English!A2253, ""en"", ""bg"")"),"hw_00694")</f>
        <v>hw_00694</v>
      </c>
      <c r="B2253" s="1" t="str">
        <f ca="1">IFERROR(__xludf.DUMMYFUNCTION("GOOGLETRANSLATE(English!B2253, ""en"", ""bg"")"),"химия")</f>
        <v>химия</v>
      </c>
      <c r="C2253" s="1" t="str">
        <f ca="1">IFERROR(__xludf.DUMMYFUNCTION("GOOGLETRANSLATE(English!C2253, ""en"", ""bg"")"),"високо")</f>
        <v>високо</v>
      </c>
      <c r="D2253" s="1" t="str">
        <f ca="1">IFERROR(__xludf.DUMMYFUNCTION("GOOGLETRANSLATE(English!D2253, ""en"", ""bg"")"),"стехиометрия")</f>
        <v>стехиометрия</v>
      </c>
      <c r="E2253" s="1" t="str">
        <f ca="1">IFERROR(__xludf.DUMMYFUNCTION("GOOGLETRANSLATE(English!E2253,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2253" s="1" t="str">
        <f ca="1">IFERROR(__xludf.DUMMYFUNCTION("GOOGLETRANSLATE(English!F2253,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2253" s="1" t="str">
        <f ca="1">IFERROR(__xludf.DUMMYFUNCTION("GOOGLETRANSLATE(English!G2253, ""en"", ""bg"")"),"помощ_за_домашно_изпълнение")</f>
        <v>помощ_за_домашно_изпълнение</v>
      </c>
      <c r="H2253" s="1" t="str">
        <f ca="1">IFERROR(__xludf.DUMMYFUNCTION("GOOGLETRANSLATE(English!H2253, ""en"", ""bg"")"),"помощ_за_домашно_задаване")</f>
        <v>помощ_за_домашно_задаване</v>
      </c>
    </row>
    <row r="2254" spans="1:8" ht="13.2" x14ac:dyDescent="0.25">
      <c r="A2254" s="1" t="str">
        <f ca="1">IFERROR(__xludf.DUMMYFUNCTION("GOOGLETRANSLATE(English!A2254, ""en"", ""bg"")"),"qa_02862")</f>
        <v>qa_02862</v>
      </c>
      <c r="B2254" s="1" t="str">
        <f ca="1">IFERROR(__xludf.DUMMYFUNCTION("GOOGLETRANSLATE(English!B2254, ""en"", ""bg"")"),"биология")</f>
        <v>биология</v>
      </c>
      <c r="C2254" s="1" t="str">
        <f ca="1">IFERROR(__xludf.DUMMYFUNCTION("GOOGLETRANSLATE(English!C2254, ""en"", ""bg"")"),"средата")</f>
        <v>средата</v>
      </c>
      <c r="D2254" s="1" t="str">
        <f ca="1">IFERROR(__xludf.DUMMYFUNCTION("GOOGLETRANSLATE(English!D2254, ""en"", ""bg"")"),"основи на генетиката")</f>
        <v>основи на генетиката</v>
      </c>
      <c r="E2254" s="1" t="str">
        <f ca="1">IFERROR(__xludf.DUMMYFUNCTION("GOOGLETRANSLATE(English!E2254, ""en"", ""bg"")"),"Как работят основите на генетиката?")</f>
        <v>Как работят основите на генетиката?</v>
      </c>
      <c r="F2254" s="1" t="str">
        <f ca="1">IFERROR(__xludf.DUMMYFUNCTION("GOOGLETRANSLATE(English!F2254,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2254" s="1" t="str">
        <f ca="1">IFERROR(__xludf.DUMMYFUNCTION("GOOGLETRANSLATE(English!G2254, ""en"", ""bg"")"),"direct_qa")</f>
        <v>direct_qa</v>
      </c>
      <c r="H2254" s="1" t="str">
        <f ca="1">IFERROR(__xludf.DUMMYFUNCTION("GOOGLETRANSLATE(English!H2254, ""en"", ""bg"")"),"заявка_за_знание")</f>
        <v>заявка_за_знание</v>
      </c>
    </row>
    <row r="2255" spans="1:8" ht="13.2" x14ac:dyDescent="0.25">
      <c r="A2255" s="1" t="str">
        <f ca="1">IFERROR(__xludf.DUMMYFUNCTION("GOOGLETRANSLATE(English!A2255, ""en"", ""bg"")"),"conv_07629")</f>
        <v>conv_07629</v>
      </c>
      <c r="B2255" s="1" t="str">
        <f ca="1">IFERROR(__xludf.DUMMYFUNCTION("GOOGLETRANSLATE(English!B2255, ""en"", ""bg"")"),"химия")</f>
        <v>химия</v>
      </c>
      <c r="C2255" s="1" t="str">
        <f ca="1">IFERROR(__xludf.DUMMYFUNCTION("GOOGLETRANSLATE(English!C2255, ""en"", ""bg"")"),"високо")</f>
        <v>високо</v>
      </c>
      <c r="D2255" s="1" t="str">
        <f ca="1">IFERROR(__xludf.DUMMYFUNCTION("GOOGLETRANSLATE(English!D2255, ""en"", ""bg"")"),"химическо свързване")</f>
        <v>химическо свързване</v>
      </c>
      <c r="E2255" s="1" t="str">
        <f ca="1">IFERROR(__xludf.DUMMYFUNCTION("GOOGLETRANSLATE(English!E2255, ""en"", ""bg"")"),"Здравей, преподавателю! Можеш ли да ми помогнеш да разбера химичната връзка?")</f>
        <v>Здравей, преподавателю! Можеш ли да ми помогнеш да разбера химичната връзка?</v>
      </c>
      <c r="F2255" s="1" t="str">
        <f ca="1">IFERROR(__xludf.DUMMYFUNCTION("GOOGLETRANSLATE(English!F2255,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2255" s="1" t="str">
        <f ca="1">IFERROR(__xludf.DUMMYFUNCTION("GOOGLETRANSLATE(English!G2255, ""en"", ""bg"")"),"разговор")</f>
        <v>разговор</v>
      </c>
      <c r="H2255" s="1" t="str">
        <f ca="1">IFERROR(__xludf.DUMMYFUNCTION("GOOGLETRANSLATE(English!H2255, ""en"", ""bg"")"),"образователна_помощ")</f>
        <v>образователна_помощ</v>
      </c>
    </row>
    <row r="2256" spans="1:8" ht="13.2" x14ac:dyDescent="0.25">
      <c r="A2256" s="1" t="str">
        <f ca="1">IFERROR(__xludf.DUMMYFUNCTION("GOOGLETRANSLATE(English!A2256, ""en"", ""bg"")"),"conv_03016")</f>
        <v>conv_03016</v>
      </c>
      <c r="B2256" s="1" t="str">
        <f ca="1">IFERROR(__xludf.DUMMYFUNCTION("GOOGLETRANSLATE(English!B2256, ""en"", ""bg"")"),"химия")</f>
        <v>химия</v>
      </c>
      <c r="C2256" s="1" t="str">
        <f ca="1">IFERROR(__xludf.DUMMYFUNCTION("GOOGLETRANSLATE(English!C2256, ""en"", ""bg"")"),"елементарен")</f>
        <v>елементарен</v>
      </c>
      <c r="D2256" s="1" t="str">
        <f ca="1">IFERROR(__xludf.DUMMYFUNCTION("GOOGLETRANSLATE(English!D2256, ""en"", ""bg"")"),"безопасност")</f>
        <v>безопасност</v>
      </c>
      <c r="E2256" s="1" t="str">
        <f ca="1">IFERROR(__xludf.DUMMYFUNCTION("GOOGLETRANSLATE(English!E2256, ""en"", ""bg"")"),"Имам научен въпрос. Можете ли да ми помогнете да разбера безопасността?")</f>
        <v>Имам научен въпрос. Можете ли да ми помогнете да разбера безопасността?</v>
      </c>
      <c r="F2256" s="1" t="str">
        <f ca="1">IFERROR(__xludf.DUMMYFUNCTION("GOOGLETRANSLATE(English!F2256,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2256" s="1" t="str">
        <f ca="1">IFERROR(__xludf.DUMMYFUNCTION("GOOGLETRANSLATE(English!G2256, ""en"", ""bg"")"),"разговор")</f>
        <v>разговор</v>
      </c>
      <c r="H2256" s="1" t="str">
        <f ca="1">IFERROR(__xludf.DUMMYFUNCTION("GOOGLETRANSLATE(English!H2256, ""en"", ""bg"")"),"образователна_помощ")</f>
        <v>образователна_помощ</v>
      </c>
    </row>
    <row r="2257" spans="1:8" ht="13.2" x14ac:dyDescent="0.25">
      <c r="A2257" s="1" t="str">
        <f ca="1">IFERROR(__xludf.DUMMYFUNCTION("GOOGLETRANSLATE(English!A2257, ""en"", ""bg"")"),"conv_14460")</f>
        <v>conv_14460</v>
      </c>
      <c r="B2257" s="1" t="str">
        <f ca="1">IFERROR(__xludf.DUMMYFUNCTION("GOOGLETRANSLATE(English!B2257, ""en"", ""bg"")"),"химия")</f>
        <v>химия</v>
      </c>
      <c r="C2257" s="1" t="str">
        <f ca="1">IFERROR(__xludf.DUMMYFUNCTION("GOOGLETRANSLATE(English!C2257, ""en"", ""bg"")"),"високо")</f>
        <v>високо</v>
      </c>
      <c r="D2257" s="1" t="str">
        <f ca="1">IFERROR(__xludf.DUMMYFUNCTION("GOOGLETRANSLATE(English!D2257, ""en"", ""bg"")"),"електрохимия")</f>
        <v>електрохимия</v>
      </c>
      <c r="E2257" s="1" t="str">
        <f ca="1">IFERROR(__xludf.DUMMYFUNCTION("GOOGLETRANSLATE(English!E2257, ""en"", ""bg"")"),"Можете ли да ми обясните това? Как работи електрохимията в химията?")</f>
        <v>Можете ли да ми обясните това? Как работи електрохимията в химията?</v>
      </c>
      <c r="F2257" s="1" t="str">
        <f ca="1">IFERROR(__xludf.DUMMYFUNCTION("GOOGLETRANSLATE(English!F2257,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2257" s="1" t="str">
        <f ca="1">IFERROR(__xludf.DUMMYFUNCTION("GOOGLETRANSLATE(English!G2257, ""en"", ""bg"")"),"разговор")</f>
        <v>разговор</v>
      </c>
      <c r="H2257" s="1" t="str">
        <f ca="1">IFERROR(__xludf.DUMMYFUNCTION("GOOGLETRANSLATE(English!H2257, ""en"", ""bg"")"),"образователна_помощ")</f>
        <v>образователна_помощ</v>
      </c>
    </row>
    <row r="2258" spans="1:8" ht="13.2" x14ac:dyDescent="0.25">
      <c r="A2258" s="1" t="str">
        <f ca="1">IFERROR(__xludf.DUMMYFUNCTION("GOOGLETRANSLATE(English!A2258, ""en"", ""bg"")"),"hw_11071")</f>
        <v>hw_11071</v>
      </c>
      <c r="B2258" s="1" t="str">
        <f ca="1">IFERROR(__xludf.DUMMYFUNCTION("GOOGLETRANSLATE(English!B2258, ""en"", ""bg"")"),"химия")</f>
        <v>химия</v>
      </c>
      <c r="C2258" s="1" t="str">
        <f ca="1">IFERROR(__xludf.DUMMYFUNCTION("GOOGLETRANSLATE(English!C2258, ""en"", ""bg"")"),"елементарен")</f>
        <v>елементарен</v>
      </c>
      <c r="D2258" s="1" t="str">
        <f ca="1">IFERROR(__xludf.DUMMYFUNCTION("GOOGLETRANSLATE(English!D2258, ""en"", ""bg"")"),"промени в материалите")</f>
        <v>промени в материалите</v>
      </c>
      <c r="E2258" s="1" t="str">
        <f ca="1">IFERROR(__xludf.DUMMYFUNCTION("GOOGLETRANSLATE(English!E2258,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2258" s="1" t="str">
        <f ca="1">IFERROR(__xludf.DUMMYFUNCTION("GOOGLETRANSLATE(English!F2258,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258" s="1" t="str">
        <f ca="1">IFERROR(__xludf.DUMMYFUNCTION("GOOGLETRANSLATE(English!G2258, ""en"", ""bg"")"),"помощ_за_домашно_изпълнение")</f>
        <v>помощ_за_домашно_изпълнение</v>
      </c>
      <c r="H2258" s="1" t="str">
        <f ca="1">IFERROR(__xludf.DUMMYFUNCTION("GOOGLETRANSLATE(English!H2258, ""en"", ""bg"")"),"помощ_за_домашно_задаване")</f>
        <v>помощ_за_домашно_задаване</v>
      </c>
    </row>
    <row r="2259" spans="1:8" ht="13.2" x14ac:dyDescent="0.25">
      <c r="A2259" s="1" t="str">
        <f ca="1">IFERROR(__xludf.DUMMYFUNCTION("GOOGLETRANSLATE(English!A2259, ""en"", ""bg"")"),"conv_04390")</f>
        <v>conv_04390</v>
      </c>
      <c r="B2259" s="1" t="str">
        <f ca="1">IFERROR(__xludf.DUMMYFUNCTION("GOOGLETRANSLATE(English!B2259, ""en"", ""bg"")"),"биология")</f>
        <v>биология</v>
      </c>
      <c r="C2259" s="1" t="str">
        <f ca="1">IFERROR(__xludf.DUMMYFUNCTION("GOOGLETRANSLATE(English!C2259, ""en"", ""bg"")"),"средата")</f>
        <v>средата</v>
      </c>
      <c r="D2259" s="1" t="str">
        <f ca="1">IFERROR(__xludf.DUMMYFUNCTION("GOOGLETRANSLATE(English!D2259, ""en"", ""bg"")"),"клетки")</f>
        <v>клетки</v>
      </c>
      <c r="E2259" s="1" t="str">
        <f ca="1">IFERROR(__xludf.DUMMYFUNCTION("GOOGLETRANSLATE(English!E2259, ""en"", ""bg"")"),"Имам нужда от помощ с домашното. Защо клетките са толкова малки?")</f>
        <v>Имам нужда от помощ с домашното. Защо клетките са толкова малки?</v>
      </c>
      <c r="F2259" s="1" t="str">
        <f ca="1">IFERROR(__xludf.DUMMYFUNCTION("GOOGLETRANSLATE(English!F2259,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2259" s="1" t="str">
        <f ca="1">IFERROR(__xludf.DUMMYFUNCTION("GOOGLETRANSLATE(English!G2259, ""en"", ""bg"")"),"разговор")</f>
        <v>разговор</v>
      </c>
      <c r="H2259" s="1" t="str">
        <f ca="1">IFERROR(__xludf.DUMMYFUNCTION("GOOGLETRANSLATE(English!H2259, ""en"", ""bg"")"),"образователна_помощ")</f>
        <v>образователна_помощ</v>
      </c>
    </row>
    <row r="2260" spans="1:8" ht="13.2" x14ac:dyDescent="0.25">
      <c r="A2260" s="1" t="str">
        <f ca="1">IFERROR(__xludf.DUMMYFUNCTION("GOOGLETRANSLATE(English!A2260, ""en"", ""bg"")"),"qa_06205")</f>
        <v>qa_06205</v>
      </c>
      <c r="B2260" s="1" t="str">
        <f ca="1">IFERROR(__xludf.DUMMYFUNCTION("GOOGLETRANSLATE(English!B2260, ""en"", ""bg"")"),"биология")</f>
        <v>биология</v>
      </c>
      <c r="C2260" s="1" t="str">
        <f ca="1">IFERROR(__xludf.DUMMYFUNCTION("GOOGLETRANSLATE(English!C2260, ""en"", ""bg"")"),"средата")</f>
        <v>средата</v>
      </c>
      <c r="D2260" s="1" t="str">
        <f ca="1">IFERROR(__xludf.DUMMYFUNCTION("GOOGLETRANSLATE(English!D2260, ""en"", ""bg"")"),"дишане")</f>
        <v>дишане</v>
      </c>
      <c r="E2260" s="1" t="str">
        <f ca="1">IFERROR(__xludf.DUMMYFUNCTION("GOOGLETRANSLATE(English!E2260, ""en"", ""bg"")"),"Какво е важно да знаем за дишането?")</f>
        <v>Какво е важно да знаем за дишането?</v>
      </c>
      <c r="F2260" s="1" t="str">
        <f ca="1">IFERROR(__xludf.DUMMYFUNCTION("GOOGLETRANSLATE(English!F2260,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2260" s="1" t="str">
        <f ca="1">IFERROR(__xludf.DUMMYFUNCTION("GOOGLETRANSLATE(English!G2260, ""en"", ""bg"")"),"direct_qa")</f>
        <v>direct_qa</v>
      </c>
      <c r="H2260" s="1" t="str">
        <f ca="1">IFERROR(__xludf.DUMMYFUNCTION("GOOGLETRANSLATE(English!H2260, ""en"", ""bg"")"),"заявка_за_знание")</f>
        <v>заявка_за_знание</v>
      </c>
    </row>
    <row r="2261" spans="1:8" ht="13.2" x14ac:dyDescent="0.25">
      <c r="A2261" s="1" t="str">
        <f ca="1">IFERROR(__xludf.DUMMYFUNCTION("GOOGLETRANSLATE(English!A2261, ""en"", ""bg"")"),"hw_08701")</f>
        <v>hw_08701</v>
      </c>
      <c r="B2261" s="1" t="str">
        <f ca="1">IFERROR(__xludf.DUMMYFUNCTION("GOOGLETRANSLATE(English!B2261, ""en"", ""bg"")"),"физика")</f>
        <v>физика</v>
      </c>
      <c r="C2261" s="1" t="str">
        <f ca="1">IFERROR(__xludf.DUMMYFUNCTION("GOOGLETRANSLATE(English!C2261, ""en"", ""bg"")"),"елементарен")</f>
        <v>елементарен</v>
      </c>
      <c r="D2261" s="1" t="str">
        <f ca="1">IFERROR(__xludf.DUMMYFUNCTION("GOOGLETRANSLATE(English!D2261, ""en"", ""bg"")"),"плаващ и потъващ")</f>
        <v>плаващ и потъващ</v>
      </c>
      <c r="E2261" s="1" t="str">
        <f ca="1">IFERROR(__xludf.DUMMYFUNCTION("GOOGLETRANSLATE(English!E2261, ""en"", ""bg"")"),"Можеш ли да решиш този плаващ и потъващ въпрос с мен?")</f>
        <v>Можеш ли да решиш този плаващ и потъващ въпрос с мен?</v>
      </c>
      <c r="F2261" s="1" t="str">
        <f ca="1">IFERROR(__xludf.DUMMYFUNCTION("GOOGLETRANSLATE(English!F2261,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261" s="1" t="str">
        <f ca="1">IFERROR(__xludf.DUMMYFUNCTION("GOOGLETRANSLATE(English!G2261, ""en"", ""bg"")"),"помощ_за_домашно_изпълнение")</f>
        <v>помощ_за_домашно_изпълнение</v>
      </c>
      <c r="H2261" s="1" t="str">
        <f ca="1">IFERROR(__xludf.DUMMYFUNCTION("GOOGLETRANSLATE(English!H2261, ""en"", ""bg"")"),"помощ_за_домашно_задаване")</f>
        <v>помощ_за_домашно_задаване</v>
      </c>
    </row>
    <row r="2262" spans="1:8" ht="13.2" x14ac:dyDescent="0.25">
      <c r="A2262" s="1" t="str">
        <f ca="1">IFERROR(__xludf.DUMMYFUNCTION("GOOGLETRANSLATE(English!A2262, ""en"", ""bg"")"),"hw_06987")</f>
        <v>hw_06987</v>
      </c>
      <c r="B2262" s="1" t="str">
        <f ca="1">IFERROR(__xludf.DUMMYFUNCTION("GOOGLETRANSLATE(English!B2262, ""en"", ""bg"")"),"химия")</f>
        <v>химия</v>
      </c>
      <c r="C2262" s="1" t="str">
        <f ca="1">IFERROR(__xludf.DUMMYFUNCTION("GOOGLETRANSLATE(English!C2262, ""en"", ""bg"")"),"елементарен")</f>
        <v>елементарен</v>
      </c>
      <c r="D2262" s="1" t="str">
        <f ca="1">IFERROR(__xludf.DUMMYFUNCTION("GOOGLETRANSLATE(English!D2262, ""en"", ""bg"")"),"промени в материалите")</f>
        <v>промени в материалите</v>
      </c>
      <c r="E2262" s="1" t="str">
        <f ca="1">IFERROR(__xludf.DUMMYFUNCTION("GOOGLETRANSLATE(English!E2262,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2262" s="1" t="str">
        <f ca="1">IFERROR(__xludf.DUMMYFUNCTION("GOOGLETRANSLATE(English!F2262,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262" s="1" t="str">
        <f ca="1">IFERROR(__xludf.DUMMYFUNCTION("GOOGLETRANSLATE(English!G2262, ""en"", ""bg"")"),"помощ_за_домашно_изпълнение")</f>
        <v>помощ_за_домашно_изпълнение</v>
      </c>
      <c r="H2262" s="1" t="str">
        <f ca="1">IFERROR(__xludf.DUMMYFUNCTION("GOOGLETRANSLATE(English!H2262, ""en"", ""bg"")"),"помощ_за_домашно_задаване")</f>
        <v>помощ_за_домашно_задаване</v>
      </c>
    </row>
    <row r="2263" spans="1:8" ht="13.2" x14ac:dyDescent="0.25">
      <c r="A2263" s="1" t="str">
        <f ca="1">IFERROR(__xludf.DUMMYFUNCTION("GOOGLETRANSLATE(English!A2263, ""en"", ""bg"")"),"conv_07121")</f>
        <v>conv_07121</v>
      </c>
      <c r="B2263" s="1" t="str">
        <f ca="1">IFERROR(__xludf.DUMMYFUNCTION("GOOGLETRANSLATE(English!B2263, ""en"", ""bg"")"),"биология")</f>
        <v>биология</v>
      </c>
      <c r="C2263" s="1" t="str">
        <f ca="1">IFERROR(__xludf.DUMMYFUNCTION("GOOGLETRANSLATE(English!C2263, ""en"", ""bg"")"),"средата")</f>
        <v>средата</v>
      </c>
      <c r="D2263" s="1" t="str">
        <f ca="1">IFERROR(__xludf.DUMMYFUNCTION("GOOGLETRANSLATE(English!D2263, ""en"", ""bg"")"),"дишане")</f>
        <v>дишане</v>
      </c>
      <c r="E2263" s="1" t="str">
        <f ca="1">IFERROR(__xludf.DUMMYFUNCTION("GOOGLETRANSLATE(English!E2263, ""en"", ""bg"")"),"Можете ли да ми помогнете? Можете ли да ми разкажете за дишането?")</f>
        <v>Можете ли да ми помогнете? Можете ли да ми разкажете за дишането?</v>
      </c>
      <c r="F2263" s="1" t="str">
        <f ca="1">IFERROR(__xludf.DUMMYFUNCTION("GOOGLETRANSLATE(English!F2263,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2263" s="1" t="str">
        <f ca="1">IFERROR(__xludf.DUMMYFUNCTION("GOOGLETRANSLATE(English!G2263, ""en"", ""bg"")"),"разговор")</f>
        <v>разговор</v>
      </c>
      <c r="H2263" s="1" t="str">
        <f ca="1">IFERROR(__xludf.DUMMYFUNCTION("GOOGLETRANSLATE(English!H2263, ""en"", ""bg"")"),"образователна_помощ")</f>
        <v>образователна_помощ</v>
      </c>
    </row>
    <row r="2264" spans="1:8" ht="13.2" x14ac:dyDescent="0.25">
      <c r="A2264" s="1" t="str">
        <f ca="1">IFERROR(__xludf.DUMMYFUNCTION("GOOGLETRANSLATE(English!A2264, ""en"", ""bg"")"),"qa_04277")</f>
        <v>qa_04277</v>
      </c>
      <c r="B2264" s="1" t="str">
        <f ca="1">IFERROR(__xludf.DUMMYFUNCTION("GOOGLETRANSLATE(English!B2264, ""en"", ""bg"")"),"физика")</f>
        <v>физика</v>
      </c>
      <c r="C2264" s="1" t="str">
        <f ca="1">IFERROR(__xludf.DUMMYFUNCTION("GOOGLETRANSLATE(English!C2264, ""en"", ""bg"")"),"средата")</f>
        <v>средата</v>
      </c>
      <c r="D2264" s="1" t="str">
        <f ca="1">IFERROR(__xludf.DUMMYFUNCTION("GOOGLETRANSLATE(English!D2264, ""en"", ""bg"")"),"основи на електричеството")</f>
        <v>основи на електричеството</v>
      </c>
      <c r="E2264" s="1" t="str">
        <f ca="1">IFERROR(__xludf.DUMMYFUNCTION("GOOGLETRANSLATE(English!E2264, ""en"", ""bg"")"),"Как работят основите на електричеството във физиката?")</f>
        <v>Как работят основите на електричеството във физиката?</v>
      </c>
      <c r="F2264" s="1" t="str">
        <f ca="1">IFERROR(__xludf.DUMMYFUNCTION("GOOGLETRANSLATE(English!F2264,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2264" s="1" t="str">
        <f ca="1">IFERROR(__xludf.DUMMYFUNCTION("GOOGLETRANSLATE(English!G2264, ""en"", ""bg"")"),"direct_qa")</f>
        <v>direct_qa</v>
      </c>
      <c r="H2264" s="1" t="str">
        <f ca="1">IFERROR(__xludf.DUMMYFUNCTION("GOOGLETRANSLATE(English!H2264, ""en"", ""bg"")"),"заявка_за_знание")</f>
        <v>заявка_за_знание</v>
      </c>
    </row>
    <row r="2265" spans="1:8" ht="13.2" x14ac:dyDescent="0.25">
      <c r="A2265" s="1" t="str">
        <f ca="1">IFERROR(__xludf.DUMMYFUNCTION("GOOGLETRANSLATE(English!A2265, ""en"", ""bg"")"),"qa_03576")</f>
        <v>qa_03576</v>
      </c>
      <c r="B2265" s="1" t="str">
        <f ca="1">IFERROR(__xludf.DUMMYFUNCTION("GOOGLETRANSLATE(English!B2265, ""en"", ""bg"")"),"физика")</f>
        <v>физика</v>
      </c>
      <c r="C2265" s="1" t="str">
        <f ca="1">IFERROR(__xludf.DUMMYFUNCTION("GOOGLETRANSLATE(English!C2265, ""en"", ""bg"")"),"елементарен")</f>
        <v>елементарен</v>
      </c>
      <c r="D2265" s="1" t="str">
        <f ca="1">IFERROR(__xludf.DUMMYFUNCTION("GOOGLETRANSLATE(English!D2265, ""en"", ""bg"")"),"магнити")</f>
        <v>магнити</v>
      </c>
      <c r="E2265" s="1" t="str">
        <f ca="1">IFERROR(__xludf.DUMMYFUNCTION("GOOGLETRANSLATE(English!E2265, ""en"", ""bg"")"),"Какви са полюсите на магнита?")</f>
        <v>Какви са полюсите на магнита?</v>
      </c>
      <c r="F2265" s="1" t="str">
        <f ca="1">IFERROR(__xludf.DUMMYFUNCTION("GOOGLETRANSLATE(English!F2265,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2265" s="1" t="str">
        <f ca="1">IFERROR(__xludf.DUMMYFUNCTION("GOOGLETRANSLATE(English!G2265, ""en"", ""bg"")"),"direct_qa")</f>
        <v>direct_qa</v>
      </c>
      <c r="H2265" s="1" t="str">
        <f ca="1">IFERROR(__xludf.DUMMYFUNCTION("GOOGLETRANSLATE(English!H2265, ""en"", ""bg"")"),"заявка_за_знание")</f>
        <v>заявка_за_знание</v>
      </c>
    </row>
    <row r="2266" spans="1:8" ht="13.2" x14ac:dyDescent="0.25">
      <c r="A2266" s="1" t="str">
        <f ca="1">IFERROR(__xludf.DUMMYFUNCTION("GOOGLETRANSLATE(English!A2266, ""en"", ""bg"")"),"qa_11190")</f>
        <v>qa_11190</v>
      </c>
      <c r="B2266" s="1" t="str">
        <f ca="1">IFERROR(__xludf.DUMMYFUNCTION("GOOGLETRANSLATE(English!B2266, ""en"", ""bg"")"),"биология")</f>
        <v>биология</v>
      </c>
      <c r="C2266" s="1" t="str">
        <f ca="1">IFERROR(__xludf.DUMMYFUNCTION("GOOGLETRANSLATE(English!C2266, ""en"", ""bg"")"),"елементарен")</f>
        <v>елементарен</v>
      </c>
      <c r="D2266" s="1" t="str">
        <f ca="1">IFERROR(__xludf.DUMMYFUNCTION("GOOGLETRANSLATE(English!D2266, ""en"", ""bg"")"),"човешкото тяло")</f>
        <v>човешкото тяло</v>
      </c>
      <c r="E2266" s="1" t="str">
        <f ca="1">IFERROR(__xludf.DUMMYFUNCTION("GOOGLETRANSLATE(English!E2266, ""en"", ""bg"")"),"Как работи човешкото тяло?")</f>
        <v>Как работи човешкото тяло?</v>
      </c>
      <c r="F2266" s="1" t="str">
        <f ca="1">IFERROR(__xludf.DUMMYFUNCTION("GOOGLETRANSLATE(English!F2266,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2266" s="1" t="str">
        <f ca="1">IFERROR(__xludf.DUMMYFUNCTION("GOOGLETRANSLATE(English!G2266, ""en"", ""bg"")"),"direct_qa")</f>
        <v>direct_qa</v>
      </c>
      <c r="H2266" s="1" t="str">
        <f ca="1">IFERROR(__xludf.DUMMYFUNCTION("GOOGLETRANSLATE(English!H2266, ""en"", ""bg"")"),"заявка_за_знание")</f>
        <v>заявка_за_знание</v>
      </c>
    </row>
    <row r="2267" spans="1:8" ht="13.2" x14ac:dyDescent="0.25">
      <c r="A2267" s="1" t="str">
        <f ca="1">IFERROR(__xludf.DUMMYFUNCTION("GOOGLETRANSLATE(English!A2267, ""en"", ""bg"")"),"conv_17858")</f>
        <v>conv_17858</v>
      </c>
      <c r="B2267" s="1" t="str">
        <f ca="1">IFERROR(__xludf.DUMMYFUNCTION("GOOGLETRANSLATE(English!B2267, ""en"", ""bg"")"),"биология")</f>
        <v>биология</v>
      </c>
      <c r="C2267" s="1" t="str">
        <f ca="1">IFERROR(__xludf.DUMMYFUNCTION("GOOGLETRANSLATE(English!C2267, ""en"", ""bg"")"),"елементарен")</f>
        <v>елементарен</v>
      </c>
      <c r="D2267" s="1" t="str">
        <f ca="1">IFERROR(__xludf.DUMMYFUNCTION("GOOGLETRANSLATE(English!D2267, ""en"", ""bg"")"),"домашни любимци срещу диви животни")</f>
        <v>домашни любимци срещу диви животни</v>
      </c>
      <c r="E2267" s="1" t="str">
        <f ca="1">IFERROR(__xludf.DUMMYFUNCTION("GOOGLETRANSLATE(English!E2267, ""en"", ""bg"")"),"Помогнете ми да уча за теста си. Как се различават домашните любимци от дивите животни?")</f>
        <v>Помогнете ми да уча за теста си. Как се различават домашните любимци от дивите животни?</v>
      </c>
      <c r="F2267" s="1" t="str">
        <f ca="1">IFERROR(__xludf.DUMMYFUNCTION("GOOGLETRANSLATE(English!F2267,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2267" s="1" t="str">
        <f ca="1">IFERROR(__xludf.DUMMYFUNCTION("GOOGLETRANSLATE(English!G2267, ""en"", ""bg"")"),"разговор")</f>
        <v>разговор</v>
      </c>
      <c r="H2267" s="1" t="str">
        <f ca="1">IFERROR(__xludf.DUMMYFUNCTION("GOOGLETRANSLATE(English!H2267, ""en"", ""bg"")"),"образователна_помощ")</f>
        <v>образователна_помощ</v>
      </c>
    </row>
    <row r="2268" spans="1:8" ht="13.2" x14ac:dyDescent="0.25">
      <c r="A2268" s="1" t="str">
        <f ca="1">IFERROR(__xludf.DUMMYFUNCTION("GOOGLETRANSLATE(English!A2268, ""en"", ""bg"")"),"hw_00501")</f>
        <v>hw_00501</v>
      </c>
      <c r="B2268" s="1" t="str">
        <f ca="1">IFERROR(__xludf.DUMMYFUNCTION("GOOGLETRANSLATE(English!B2268, ""en"", ""bg"")"),"физика")</f>
        <v>физика</v>
      </c>
      <c r="C2268" s="1" t="str">
        <f ca="1">IFERROR(__xludf.DUMMYFUNCTION("GOOGLETRANSLATE(English!C2268, ""en"", ""bg"")"),"високо")</f>
        <v>високо</v>
      </c>
      <c r="D2268" s="1" t="str">
        <f ca="1">IFERROR(__xludf.DUMMYFUNCTION("GOOGLETRANSLATE(English!D2268, ""en"", ""bg"")"),"термодинамика")</f>
        <v>термодинамика</v>
      </c>
      <c r="E2268" s="1" t="str">
        <f ca="1">IFERROR(__xludf.DUMMYFUNCTION("GOOGLETRANSLATE(English!E2268, ""en"", ""bg"")"),"Заседнал съм с този термодинамичен проблем. Можете ли да помогнете?")</f>
        <v>Заседнал съм с този термодинамичен проблем. Можете ли да помогнете?</v>
      </c>
      <c r="F2268" s="1" t="str">
        <f ca="1">IFERROR(__xludf.DUMMYFUNCTION("GOOGLETRANSLATE(English!F2268,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268" s="1" t="str">
        <f ca="1">IFERROR(__xludf.DUMMYFUNCTION("GOOGLETRANSLATE(English!G2268, ""en"", ""bg"")"),"помощ_за_домашно_изпълнение")</f>
        <v>помощ_за_домашно_изпълнение</v>
      </c>
      <c r="H2268" s="1" t="str">
        <f ca="1">IFERROR(__xludf.DUMMYFUNCTION("GOOGLETRANSLATE(English!H2268, ""en"", ""bg"")"),"помощ_за_домашно_задаване")</f>
        <v>помощ_за_домашно_задаване</v>
      </c>
    </row>
    <row r="2269" spans="1:8" ht="13.2" x14ac:dyDescent="0.25">
      <c r="A2269" s="1" t="str">
        <f ca="1">IFERROR(__xludf.DUMMYFUNCTION("GOOGLETRANSLATE(English!A2269, ""en"", ""bg"")"),"conv_17007")</f>
        <v>conv_17007</v>
      </c>
      <c r="B2269" s="1" t="str">
        <f ca="1">IFERROR(__xludf.DUMMYFUNCTION("GOOGLETRANSLATE(English!B2269, ""en"", ""bg"")"),"биология")</f>
        <v>биология</v>
      </c>
      <c r="C2269" s="1" t="str">
        <f ca="1">IFERROR(__xludf.DUMMYFUNCTION("GOOGLETRANSLATE(English!C2269, ""en"", ""bg"")"),"високо")</f>
        <v>високо</v>
      </c>
      <c r="D2269" s="1" t="str">
        <f ca="1">IFERROR(__xludf.DUMMYFUNCTION("GOOGLETRANSLATE(English!D2269, ""en"", ""bg"")"),"модели на наследяване")</f>
        <v>модели на наследяване</v>
      </c>
      <c r="E2269" s="1" t="str">
        <f ca="1">IFERROR(__xludf.DUMMYFUNCTION("GOOGLETRANSLATE(English!E2269, ""en"", ""bg"")"),"Здравей, преподавателю! Защо моделите на наследяване са важни в биологията?")</f>
        <v>Здравей, преподавателю! Защо моделите на наследяване са важни в биологията?</v>
      </c>
      <c r="F2269" s="1" t="str">
        <f ca="1">IFERROR(__xludf.DUMMYFUNCTION("GOOGLETRANSLATE(English!F2269,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2269" s="1" t="str">
        <f ca="1">IFERROR(__xludf.DUMMYFUNCTION("GOOGLETRANSLATE(English!G2269, ""en"", ""bg"")"),"разговор")</f>
        <v>разговор</v>
      </c>
      <c r="H2269" s="1" t="str">
        <f ca="1">IFERROR(__xludf.DUMMYFUNCTION("GOOGLETRANSLATE(English!H2269, ""en"", ""bg"")"),"образователна_помощ")</f>
        <v>образователна_помощ</v>
      </c>
    </row>
    <row r="2270" spans="1:8" ht="13.2" x14ac:dyDescent="0.25">
      <c r="A2270" s="1" t="str">
        <f ca="1">IFERROR(__xludf.DUMMYFUNCTION("GOOGLETRANSLATE(English!A2270, ""en"", ""bg"")"),"qa_06691")</f>
        <v>qa_06691</v>
      </c>
      <c r="B2270" s="1" t="str">
        <f ca="1">IFERROR(__xludf.DUMMYFUNCTION("GOOGLETRANSLATE(English!B2270, ""en"", ""bg"")"),"биология")</f>
        <v>биология</v>
      </c>
      <c r="C2270" s="1" t="str">
        <f ca="1">IFERROR(__xludf.DUMMYFUNCTION("GOOGLETRANSLATE(English!C2270, ""en"", ""bg"")"),"високо")</f>
        <v>високо</v>
      </c>
      <c r="D2270" s="1" t="str">
        <f ca="1">IFERROR(__xludf.DUMMYFUNCTION("GOOGLETRANSLATE(English!D2270, ""en"", ""bg"")"),"Структура на ДНК")</f>
        <v>Структура на ДНК</v>
      </c>
      <c r="E2270" s="1" t="str">
        <f ca="1">IFERROR(__xludf.DUMMYFUNCTION("GOOGLETRANSLATE(English!E2270, ""en"", ""bg"")"),"Какво е важно да знаем за структурата на ДНК?")</f>
        <v>Какво е важно да знаем за структурата на ДНК?</v>
      </c>
      <c r="F2270" s="1" t="str">
        <f ca="1">IFERROR(__xludf.DUMMYFUNCTION("GOOGLETRANSLATE(English!F2270,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2270" s="1" t="str">
        <f ca="1">IFERROR(__xludf.DUMMYFUNCTION("GOOGLETRANSLATE(English!G2270, ""en"", ""bg"")"),"direct_qa")</f>
        <v>direct_qa</v>
      </c>
      <c r="H2270" s="1" t="str">
        <f ca="1">IFERROR(__xludf.DUMMYFUNCTION("GOOGLETRANSLATE(English!H2270, ""en"", ""bg"")"),"заявка_за_знание")</f>
        <v>заявка_за_знание</v>
      </c>
    </row>
    <row r="2271" spans="1:8" ht="13.2" x14ac:dyDescent="0.25">
      <c r="A2271" s="1" t="str">
        <f ca="1">IFERROR(__xludf.DUMMYFUNCTION("GOOGLETRANSLATE(English!A2271, ""en"", ""bg"")"),"conv_00376")</f>
        <v>conv_00376</v>
      </c>
      <c r="B2271" s="1" t="str">
        <f ca="1">IFERROR(__xludf.DUMMYFUNCTION("GOOGLETRANSLATE(English!B2271, ""en"", ""bg"")"),"физика")</f>
        <v>физика</v>
      </c>
      <c r="C2271" s="1" t="str">
        <f ca="1">IFERROR(__xludf.DUMMYFUNCTION("GOOGLETRANSLATE(English!C2271, ""en"", ""bg"")"),"средата")</f>
        <v>средата</v>
      </c>
      <c r="D2271" s="1" t="str">
        <f ca="1">IFERROR(__xludf.DUMMYFUNCTION("GOOGLETRANSLATE(English!D2271, ""en"", ""bg"")"),"плътност")</f>
        <v>плътност</v>
      </c>
      <c r="E2271" s="1" t="str">
        <f ca="1">IFERROR(__xludf.DUMMYFUNCTION("GOOGLETRANSLATE(English!E2271, ""en"", ""bg"")"),"Можете ли да ми обясните това? Какво трябва да знам за плътността?")</f>
        <v>Можете ли да ми обясните това? Какво трябва да знам за плътността?</v>
      </c>
      <c r="F2271" s="1" t="str">
        <f ca="1">IFERROR(__xludf.DUMMYFUNCTION("GOOGLETRANSLATE(English!F2271,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2271" s="1" t="str">
        <f ca="1">IFERROR(__xludf.DUMMYFUNCTION("GOOGLETRANSLATE(English!G2271, ""en"", ""bg"")"),"разговор")</f>
        <v>разговор</v>
      </c>
      <c r="H2271" s="1" t="str">
        <f ca="1">IFERROR(__xludf.DUMMYFUNCTION("GOOGLETRANSLATE(English!H2271, ""en"", ""bg"")"),"образователна_помощ")</f>
        <v>образователна_помощ</v>
      </c>
    </row>
    <row r="2272" spans="1:8" ht="13.2" x14ac:dyDescent="0.25">
      <c r="A2272" s="1" t="str">
        <f ca="1">IFERROR(__xludf.DUMMYFUNCTION("GOOGLETRANSLATE(English!A2272, ""en"", ""bg"")"),"conv_04737")</f>
        <v>conv_04737</v>
      </c>
      <c r="B2272" s="1" t="str">
        <f ca="1">IFERROR(__xludf.DUMMYFUNCTION("GOOGLETRANSLATE(English!B2272, ""en"", ""bg"")"),"химия")</f>
        <v>химия</v>
      </c>
      <c r="C2272" s="1" t="str">
        <f ca="1">IFERROR(__xludf.DUMMYFUNCTION("GOOGLETRANSLATE(English!C2272, ""en"", ""bg"")"),"високо")</f>
        <v>високо</v>
      </c>
      <c r="D2272" s="1" t="str">
        <f ca="1">IFERROR(__xludf.DUMMYFUNCTION("GOOGLETRANSLATE(English!D2272, ""en"", ""bg"")"),"органична химия")</f>
        <v>органична химия</v>
      </c>
      <c r="E2272" s="1" t="str">
        <f ca="1">IFERROR(__xludf.DUMMYFUNCTION("GOOGLETRANSLATE(English!E2272, ""en"", ""bg"")"),"Здравей, преподавателю! Какво представлява органичната химия?")</f>
        <v>Здравей, преподавателю! Какво представлява органичната химия?</v>
      </c>
      <c r="F2272" s="1" t="str">
        <f ca="1">IFERROR(__xludf.DUMMYFUNCTION("GOOGLETRANSLATE(English!F2272,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2272" s="1" t="str">
        <f ca="1">IFERROR(__xludf.DUMMYFUNCTION("GOOGLETRANSLATE(English!G2272, ""en"", ""bg"")"),"разговор")</f>
        <v>разговор</v>
      </c>
      <c r="H2272" s="1" t="str">
        <f ca="1">IFERROR(__xludf.DUMMYFUNCTION("GOOGLETRANSLATE(English!H2272, ""en"", ""bg"")"),"образователна_помощ")</f>
        <v>образователна_помощ</v>
      </c>
    </row>
    <row r="2273" spans="1:8" ht="13.2" x14ac:dyDescent="0.25">
      <c r="A2273" s="1" t="str">
        <f ca="1">IFERROR(__xludf.DUMMYFUNCTION("GOOGLETRANSLATE(English!A2273, ""en"", ""bg"")"),"qa_09752")</f>
        <v>qa_09752</v>
      </c>
      <c r="B2273" s="1" t="str">
        <f ca="1">IFERROR(__xludf.DUMMYFUNCTION("GOOGLETRANSLATE(English!B2273, ""en"", ""bg"")"),"биология")</f>
        <v>биология</v>
      </c>
      <c r="C2273" s="1" t="str">
        <f ca="1">IFERROR(__xludf.DUMMYFUNCTION("GOOGLETRANSLATE(English!C2273, ""en"", ""bg"")"),"средата")</f>
        <v>средата</v>
      </c>
      <c r="D2273" s="1" t="str">
        <f ca="1">IFERROR(__xludf.DUMMYFUNCTION("GOOGLETRANSLATE(English!D2273, ""en"", ""bg"")"),"фотосинтеза")</f>
        <v>фотосинтеза</v>
      </c>
      <c r="E2273" s="1" t="str">
        <f ca="1">IFERROR(__xludf.DUMMYFUNCTION("GOOGLETRANSLATE(English!E2273, ""en"", ""bg"")"),"Защо фотосинтезата е важна в биологията?")</f>
        <v>Защо фотосинтезата е важна в биологията?</v>
      </c>
      <c r="F2273" s="1" t="str">
        <f ca="1">IFERROR(__xludf.DUMMYFUNCTION("GOOGLETRANSLATE(English!F2273,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2273" s="1" t="str">
        <f ca="1">IFERROR(__xludf.DUMMYFUNCTION("GOOGLETRANSLATE(English!G2273, ""en"", ""bg"")"),"direct_qa")</f>
        <v>direct_qa</v>
      </c>
      <c r="H2273" s="1" t="str">
        <f ca="1">IFERROR(__xludf.DUMMYFUNCTION("GOOGLETRANSLATE(English!H2273, ""en"", ""bg"")"),"заявка_за_знание")</f>
        <v>заявка_за_знание</v>
      </c>
    </row>
    <row r="2274" spans="1:8" ht="13.2" x14ac:dyDescent="0.25">
      <c r="A2274" s="1" t="str">
        <f ca="1">IFERROR(__xludf.DUMMYFUNCTION("GOOGLETRANSLATE(English!A2274, ""en"", ""bg"")"),"qa_11903")</f>
        <v>qa_11903</v>
      </c>
      <c r="B2274" s="1" t="str">
        <f ca="1">IFERROR(__xludf.DUMMYFUNCTION("GOOGLETRANSLATE(English!B2274, ""en"", ""bg"")"),"биология")</f>
        <v>биология</v>
      </c>
      <c r="C2274" s="1" t="str">
        <f ca="1">IFERROR(__xludf.DUMMYFUNCTION("GOOGLETRANSLATE(English!C2274, ""en"", ""bg"")"),"високо")</f>
        <v>високо</v>
      </c>
      <c r="D2274" s="1" t="str">
        <f ca="1">IFERROR(__xludf.DUMMYFUNCTION("GOOGLETRANSLATE(English!D2274, ""en"", ""bg"")"),"синтез на протеини")</f>
        <v>синтез на протеини</v>
      </c>
      <c r="E2274" s="1" t="str">
        <f ca="1">IFERROR(__xludf.DUMMYFUNCTION("GOOGLETRANSLATE(English!E2274, ""en"", ""bg"")"),"Можете ли да ми разкажете за синтеза на протеини?")</f>
        <v>Можете ли да ми разкажете за синтеза на протеини?</v>
      </c>
      <c r="F2274" s="1" t="str">
        <f ca="1">IFERROR(__xludf.DUMMYFUNCTION("GOOGLETRANSLATE(English!F2274,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2274" s="1" t="str">
        <f ca="1">IFERROR(__xludf.DUMMYFUNCTION("GOOGLETRANSLATE(English!G2274, ""en"", ""bg"")"),"direct_qa")</f>
        <v>direct_qa</v>
      </c>
      <c r="H2274" s="1" t="str">
        <f ca="1">IFERROR(__xludf.DUMMYFUNCTION("GOOGLETRANSLATE(English!H2274, ""en"", ""bg"")"),"заявка_за_знание")</f>
        <v>заявка_за_знание</v>
      </c>
    </row>
    <row r="2275" spans="1:8" ht="13.2" x14ac:dyDescent="0.25">
      <c r="A2275" s="1" t="str">
        <f ca="1">IFERROR(__xludf.DUMMYFUNCTION("GOOGLETRANSLATE(English!A2275, ""en"", ""bg"")"),"conv_13090")</f>
        <v>conv_13090</v>
      </c>
      <c r="B2275" s="1" t="str">
        <f ca="1">IFERROR(__xludf.DUMMYFUNCTION("GOOGLETRANSLATE(English!B2275, ""en"", ""bg"")"),"химия")</f>
        <v>химия</v>
      </c>
      <c r="C2275" s="1" t="str">
        <f ca="1">IFERROR(__xludf.DUMMYFUNCTION("GOOGLETRANSLATE(English!C2275, ""en"", ""bg"")"),"високо")</f>
        <v>високо</v>
      </c>
      <c r="D2275" s="1" t="str">
        <f ca="1">IFERROR(__xludf.DUMMYFUNCTION("GOOGLETRANSLATE(English!D2275, ""en"", ""bg"")"),"химическо свързване")</f>
        <v>химическо свързване</v>
      </c>
      <c r="E2275" s="1" t="str">
        <f ca="1">IFERROR(__xludf.DUMMYFUNCTION("GOOGLETRANSLATE(English!E2275, ""en"", ""bg"")"),"Здравей, преподавателю! Как работи химическата връзка в химията?")</f>
        <v>Здравей, преподавателю! Как работи химическата връзка в химията?</v>
      </c>
      <c r="F2275" s="1" t="str">
        <f ca="1">IFERROR(__xludf.DUMMYFUNCTION("GOOGLETRANSLATE(English!F2275,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2275" s="1" t="str">
        <f ca="1">IFERROR(__xludf.DUMMYFUNCTION("GOOGLETRANSLATE(English!G2275, ""en"", ""bg"")"),"разговор")</f>
        <v>разговор</v>
      </c>
      <c r="H2275" s="1" t="str">
        <f ca="1">IFERROR(__xludf.DUMMYFUNCTION("GOOGLETRANSLATE(English!H2275, ""en"", ""bg"")"),"образователна_помощ")</f>
        <v>образователна_помощ</v>
      </c>
    </row>
    <row r="2276" spans="1:8" ht="13.2" x14ac:dyDescent="0.25">
      <c r="A2276" s="1" t="str">
        <f ca="1">IFERROR(__xludf.DUMMYFUNCTION("GOOGLETRANSLATE(English!A2276, ""en"", ""bg"")"),"conv_04844")</f>
        <v>conv_04844</v>
      </c>
      <c r="B2276" s="1" t="str">
        <f ca="1">IFERROR(__xludf.DUMMYFUNCTION("GOOGLETRANSLATE(English!B2276, ""en"", ""bg"")"),"физика")</f>
        <v>физика</v>
      </c>
      <c r="C2276" s="1" t="str">
        <f ca="1">IFERROR(__xludf.DUMMYFUNCTION("GOOGLETRANSLATE(English!C2276, ""en"", ""bg"")"),"високо")</f>
        <v>високо</v>
      </c>
      <c r="D2276" s="1" t="str">
        <f ca="1">IFERROR(__xludf.DUMMYFUNCTION("GOOGLETRANSLATE(English!D2276, ""en"", ""bg"")"),"механика")</f>
        <v>механика</v>
      </c>
      <c r="E2276" s="1" t="str">
        <f ca="1">IFERROR(__xludf.DUMMYFUNCTION("GOOGLETRANSLATE(English!E2276, ""en"", ""bg"")"),"Имам нужда от помощ с домашното. Защо механиката е важна?")</f>
        <v>Имам нужда от помощ с домашното. Защо механиката е важна?</v>
      </c>
      <c r="F2276" s="1" t="str">
        <f ca="1">IFERROR(__xludf.DUMMYFUNCTION("GOOGLETRANSLATE(English!F2276,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2276" s="1" t="str">
        <f ca="1">IFERROR(__xludf.DUMMYFUNCTION("GOOGLETRANSLATE(English!G2276, ""en"", ""bg"")"),"разговор")</f>
        <v>разговор</v>
      </c>
      <c r="H2276" s="1" t="str">
        <f ca="1">IFERROR(__xludf.DUMMYFUNCTION("GOOGLETRANSLATE(English!H2276, ""en"", ""bg"")"),"образователна_помощ")</f>
        <v>образователна_помощ</v>
      </c>
    </row>
    <row r="2277" spans="1:8" ht="13.2" x14ac:dyDescent="0.25">
      <c r="A2277" s="1" t="str">
        <f ca="1">IFERROR(__xludf.DUMMYFUNCTION("GOOGLETRANSLATE(English!A2277, ""en"", ""bg"")"),"conv_05916")</f>
        <v>conv_05916</v>
      </c>
      <c r="B2277" s="1" t="str">
        <f ca="1">IFERROR(__xludf.DUMMYFUNCTION("GOOGLETRANSLATE(English!B2277, ""en"", ""bg"")"),"химия")</f>
        <v>химия</v>
      </c>
      <c r="C2277" s="1" t="str">
        <f ca="1">IFERROR(__xludf.DUMMYFUNCTION("GOOGLETRANSLATE(English!C2277, ""en"", ""bg"")"),"високо")</f>
        <v>високо</v>
      </c>
      <c r="D2277" s="1" t="str">
        <f ca="1">IFERROR(__xludf.DUMMYFUNCTION("GOOGLETRANSLATE(English!D2277, ""en"", ""bg"")"),"органична химия")</f>
        <v>органична химия</v>
      </c>
      <c r="E2277" s="1" t="str">
        <f ca="1">IFERROR(__xludf.DUMMYFUNCTION("GOOGLETRANSLATE(English!E2277, ""en"", ""bg"")"),"Помогнете ми да уча за теста. Защо е важно да се учи органична химия?")</f>
        <v>Помогнете ми да уча за теста. Защо е важно да се учи органична химия?</v>
      </c>
      <c r="F2277" s="1" t="str">
        <f ca="1">IFERROR(__xludf.DUMMYFUNCTION("GOOGLETRANSLATE(English!F2277,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2277" s="1" t="str">
        <f ca="1">IFERROR(__xludf.DUMMYFUNCTION("GOOGLETRANSLATE(English!G2277, ""en"", ""bg"")"),"разговор")</f>
        <v>разговор</v>
      </c>
      <c r="H2277" s="1" t="str">
        <f ca="1">IFERROR(__xludf.DUMMYFUNCTION("GOOGLETRANSLATE(English!H2277, ""en"", ""bg"")"),"образователна_помощ")</f>
        <v>образователна_помощ</v>
      </c>
    </row>
    <row r="2278" spans="1:8" ht="13.2" x14ac:dyDescent="0.25">
      <c r="A2278" s="1" t="str">
        <f ca="1">IFERROR(__xludf.DUMMYFUNCTION("GOOGLETRANSLATE(English!A2278, ""en"", ""bg"")"),"qa_08197")</f>
        <v>qa_08197</v>
      </c>
      <c r="B2278" s="1" t="str">
        <f ca="1">IFERROR(__xludf.DUMMYFUNCTION("GOOGLETRANSLATE(English!B2278, ""en"", ""bg"")"),"биология")</f>
        <v>биология</v>
      </c>
      <c r="C2278" s="1" t="str">
        <f ca="1">IFERROR(__xludf.DUMMYFUNCTION("GOOGLETRANSLATE(English!C2278, ""en"", ""bg"")"),"високо")</f>
        <v>високо</v>
      </c>
      <c r="D2278" s="1" t="str">
        <f ca="1">IFERROR(__xludf.DUMMYFUNCTION("GOOGLETRANSLATE(English!D2278, ""en"", ""bg"")"),"клетъчно дишане")</f>
        <v>клетъчно дишане</v>
      </c>
      <c r="E2278" s="1" t="str">
        <f ca="1">IFERROR(__xludf.DUMMYFUNCTION("GOOGLETRANSLATE(English!E2278, ""en"", ""bg"")"),"Можете ли да ми разкажете за клетъчното дишане?")</f>
        <v>Можете ли да ми разкажете за клетъчното дишане?</v>
      </c>
      <c r="F2278" s="1" t="str">
        <f ca="1">IFERROR(__xludf.DUMMYFUNCTION("GOOGLETRANSLATE(English!F2278,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2278" s="1" t="str">
        <f ca="1">IFERROR(__xludf.DUMMYFUNCTION("GOOGLETRANSLATE(English!G2278, ""en"", ""bg"")"),"direct_qa")</f>
        <v>direct_qa</v>
      </c>
      <c r="H2278" s="1" t="str">
        <f ca="1">IFERROR(__xludf.DUMMYFUNCTION("GOOGLETRANSLATE(English!H2278, ""en"", ""bg"")"),"заявка_за_знание")</f>
        <v>заявка_за_знание</v>
      </c>
    </row>
    <row r="2279" spans="1:8" ht="13.2" x14ac:dyDescent="0.25">
      <c r="A2279" s="1" t="str">
        <f ca="1">IFERROR(__xludf.DUMMYFUNCTION("GOOGLETRANSLATE(English!A2279, ""en"", ""bg"")"),"conv_09147")</f>
        <v>conv_09147</v>
      </c>
      <c r="B2279" s="1" t="str">
        <f ca="1">IFERROR(__xludf.DUMMYFUNCTION("GOOGLETRANSLATE(English!B2279, ""en"", ""bg"")"),"физика")</f>
        <v>физика</v>
      </c>
      <c r="C2279" s="1" t="str">
        <f ca="1">IFERROR(__xludf.DUMMYFUNCTION("GOOGLETRANSLATE(English!C2279, ""en"", ""bg"")"),"средата")</f>
        <v>средата</v>
      </c>
      <c r="D2279" s="1" t="str">
        <f ca="1">IFERROR(__xludf.DUMMYFUNCTION("GOOGLETRANSLATE(English!D2279, ""en"", ""bg"")"),"сили и движение")</f>
        <v>сили и движение</v>
      </c>
      <c r="E2279" s="1" t="str">
        <f ca="1">IFERROR(__xludf.DUMMYFUNCTION("GOOGLETRANSLATE(English!E2279, ""en"", ""bg"")"),"Не разбирам тази тема. Как триенето влияе на движението?")</f>
        <v>Не разбирам тази тема. Как триенето влияе на движението?</v>
      </c>
      <c r="F2279" s="1" t="str">
        <f ca="1">IFERROR(__xludf.DUMMYFUNCTION("GOOGLETRANSLATE(English!F2279,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2279" s="1" t="str">
        <f ca="1">IFERROR(__xludf.DUMMYFUNCTION("GOOGLETRANSLATE(English!G2279, ""en"", ""bg"")"),"разговор")</f>
        <v>разговор</v>
      </c>
      <c r="H2279" s="1" t="str">
        <f ca="1">IFERROR(__xludf.DUMMYFUNCTION("GOOGLETRANSLATE(English!H2279, ""en"", ""bg"")"),"образователна_помощ")</f>
        <v>образователна_помощ</v>
      </c>
    </row>
    <row r="2280" spans="1:8" ht="13.2" x14ac:dyDescent="0.25">
      <c r="A2280" s="1" t="str">
        <f ca="1">IFERROR(__xludf.DUMMYFUNCTION("GOOGLETRANSLATE(English!A2280, ""en"", ""bg"")"),"qa_07351")</f>
        <v>qa_07351</v>
      </c>
      <c r="B2280" s="1" t="str">
        <f ca="1">IFERROR(__xludf.DUMMYFUNCTION("GOOGLETRANSLATE(English!B2280, ""en"", ""bg"")"),"физика")</f>
        <v>физика</v>
      </c>
      <c r="C2280" s="1" t="str">
        <f ca="1">IFERROR(__xludf.DUMMYFUNCTION("GOOGLETRANSLATE(English!C2280, ""en"", ""bg"")"),"средата")</f>
        <v>средата</v>
      </c>
      <c r="D2280" s="1" t="str">
        <f ca="1">IFERROR(__xludf.DUMMYFUNCTION("GOOGLETRANSLATE(English!D2280, ""en"", ""bg"")"),"сили и движение")</f>
        <v>сили и движение</v>
      </c>
      <c r="E2280" s="1" t="str">
        <f ca="1">IFERROR(__xludf.DUMMYFUNCTION("GOOGLETRANSLATE(English!E2280, ""en"", ""bg"")"),"Как триенето влияе на движението?")</f>
        <v>Как триенето влияе на движението?</v>
      </c>
      <c r="F2280" s="1" t="str">
        <f ca="1">IFERROR(__xludf.DUMMYFUNCTION("GOOGLETRANSLATE(English!F2280,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2280" s="1" t="str">
        <f ca="1">IFERROR(__xludf.DUMMYFUNCTION("GOOGLETRANSLATE(English!G2280, ""en"", ""bg"")"),"direct_qa")</f>
        <v>direct_qa</v>
      </c>
      <c r="H2280" s="1" t="str">
        <f ca="1">IFERROR(__xludf.DUMMYFUNCTION("GOOGLETRANSLATE(English!H2280, ""en"", ""bg"")"),"заявка_за_знание")</f>
        <v>заявка_за_знание</v>
      </c>
    </row>
    <row r="2281" spans="1:8" ht="13.2" x14ac:dyDescent="0.25">
      <c r="A2281" s="1" t="str">
        <f ca="1">IFERROR(__xludf.DUMMYFUNCTION("GOOGLETRANSLATE(English!A2281, ""en"", ""bg"")"),"qa_12419")</f>
        <v>qa_12419</v>
      </c>
      <c r="B2281" s="1" t="str">
        <f ca="1">IFERROR(__xludf.DUMMYFUNCTION("GOOGLETRANSLATE(English!B2281, ""en"", ""bg"")"),"химия")</f>
        <v>химия</v>
      </c>
      <c r="C2281" s="1" t="str">
        <f ca="1">IFERROR(__xludf.DUMMYFUNCTION("GOOGLETRANSLATE(English!C2281, ""en"", ""bg"")"),"средата")</f>
        <v>средата</v>
      </c>
      <c r="D2281" s="1" t="str">
        <f ca="1">IFERROR(__xludf.DUMMYFUNCTION("GOOGLETRANSLATE(English!D2281, ""en"", ""bg"")"),"киселини и основи")</f>
        <v>киселини и основи</v>
      </c>
      <c r="E2281" s="1" t="str">
        <f ca="1">IFERROR(__xludf.DUMMYFUNCTION("GOOGLETRANSLATE(English!E2281, ""en"", ""bg"")"),"Можете ли да ми помогнете да разбера понятията киселини и основи?")</f>
        <v>Можете ли да ми помогнете да разбера понятията киселини и основи?</v>
      </c>
      <c r="F2281" s="1" t="str">
        <f ca="1">IFERROR(__xludf.DUMMYFUNCTION("GOOGLETRANSLATE(English!F2281,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2281" s="1" t="str">
        <f ca="1">IFERROR(__xludf.DUMMYFUNCTION("GOOGLETRANSLATE(English!G2281, ""en"", ""bg"")"),"direct_qa")</f>
        <v>direct_qa</v>
      </c>
      <c r="H2281" s="1" t="str">
        <f ca="1">IFERROR(__xludf.DUMMYFUNCTION("GOOGLETRANSLATE(English!H2281, ""en"", ""bg"")"),"заявка_за_знание")</f>
        <v>заявка_за_знание</v>
      </c>
    </row>
    <row r="2282" spans="1:8" ht="13.2" x14ac:dyDescent="0.25">
      <c r="A2282" s="1" t="str">
        <f ca="1">IFERROR(__xludf.DUMMYFUNCTION("GOOGLETRANSLATE(English!A2282, ""en"", ""bg"")"),"conv_18791")</f>
        <v>conv_18791</v>
      </c>
      <c r="B2282" s="1" t="str">
        <f ca="1">IFERROR(__xludf.DUMMYFUNCTION("GOOGLETRANSLATE(English!B2282, ""en"", ""bg"")"),"физика")</f>
        <v>физика</v>
      </c>
      <c r="C2282" s="1" t="str">
        <f ca="1">IFERROR(__xludf.DUMMYFUNCTION("GOOGLETRANSLATE(English!C2282, ""en"", ""bg"")"),"средата")</f>
        <v>средата</v>
      </c>
      <c r="D2282" s="1" t="str">
        <f ca="1">IFERROR(__xludf.DUMMYFUNCTION("GOOGLETRANSLATE(English!D2282, ""en"", ""bg"")"),"видове енергия")</f>
        <v>видове енергия</v>
      </c>
      <c r="E2282" s="1" t="str">
        <f ca="1">IFERROR(__xludf.DUMMYFUNCTION("GOOGLETRANSLATE(English!E2282, ""en"", ""bg"")"),"Не разбирам тази тема. Какво е потенциална енергия?")</f>
        <v>Не разбирам тази тема. Какво е потенциална енергия?</v>
      </c>
      <c r="F2282" s="1" t="str">
        <f ca="1">IFERROR(__xludf.DUMMYFUNCTION("GOOGLETRANSLATE(English!F2282,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282" s="1" t="str">
        <f ca="1">IFERROR(__xludf.DUMMYFUNCTION("GOOGLETRANSLATE(English!G2282, ""en"", ""bg"")"),"разговор")</f>
        <v>разговор</v>
      </c>
      <c r="H2282" s="1" t="str">
        <f ca="1">IFERROR(__xludf.DUMMYFUNCTION("GOOGLETRANSLATE(English!H2282, ""en"", ""bg"")"),"образователна_помощ")</f>
        <v>образователна_помощ</v>
      </c>
    </row>
    <row r="2283" spans="1:8" ht="13.2" x14ac:dyDescent="0.25">
      <c r="A2283" s="1" t="str">
        <f ca="1">IFERROR(__xludf.DUMMYFUNCTION("GOOGLETRANSLATE(English!A2283, ""en"", ""bg"")"),"conv_16567")</f>
        <v>conv_16567</v>
      </c>
      <c r="B2283" s="1" t="str">
        <f ca="1">IFERROR(__xludf.DUMMYFUNCTION("GOOGLETRANSLATE(English!B2283, ""en"", ""bg"")"),"биология")</f>
        <v>биология</v>
      </c>
      <c r="C2283" s="1" t="str">
        <f ca="1">IFERROR(__xludf.DUMMYFUNCTION("GOOGLETRANSLATE(English!C2283, ""en"", ""bg"")"),"средата")</f>
        <v>средата</v>
      </c>
      <c r="D2283" s="1" t="str">
        <f ca="1">IFERROR(__xludf.DUMMYFUNCTION("GOOGLETRANSLATE(English!D2283, ""en"", ""bg"")"),"размножаване")</f>
        <v>размножаване</v>
      </c>
      <c r="E2283" s="1" t="str">
        <f ca="1">IFERROR(__xludf.DUMMYFUNCTION("GOOGLETRANSLATE(English!E2283, ""en"", ""bg"")"),"Здравей, преподавателю! Как работи размножаването?")</f>
        <v>Здравей, преподавателю! Как работи размножаването?</v>
      </c>
      <c r="F2283" s="1" t="str">
        <f ca="1">IFERROR(__xludf.DUMMYFUNCTION("GOOGLETRANSLATE(English!F2283,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2283" s="1" t="str">
        <f ca="1">IFERROR(__xludf.DUMMYFUNCTION("GOOGLETRANSLATE(English!G2283, ""en"", ""bg"")"),"разговор")</f>
        <v>разговор</v>
      </c>
      <c r="H2283" s="1" t="str">
        <f ca="1">IFERROR(__xludf.DUMMYFUNCTION("GOOGLETRANSLATE(English!H2283, ""en"", ""bg"")"),"образователна_помощ")</f>
        <v>образователна_помощ</v>
      </c>
    </row>
    <row r="2284" spans="1:8" ht="13.2" x14ac:dyDescent="0.25">
      <c r="A2284" s="1" t="str">
        <f ca="1">IFERROR(__xludf.DUMMYFUNCTION("GOOGLETRANSLATE(English!A2284, ""en"", ""bg"")"),"conv_12756")</f>
        <v>conv_12756</v>
      </c>
      <c r="B2284" s="1" t="str">
        <f ca="1">IFERROR(__xludf.DUMMYFUNCTION("GOOGLETRANSLATE(English!B2284, ""en"", ""bg"")"),"химия")</f>
        <v>химия</v>
      </c>
      <c r="C2284" s="1" t="str">
        <f ca="1">IFERROR(__xludf.DUMMYFUNCTION("GOOGLETRANSLATE(English!C2284, ""en"", ""bg"")"),"средата")</f>
        <v>средата</v>
      </c>
      <c r="D2284" s="1" t="str">
        <f ca="1">IFERROR(__xludf.DUMMYFUNCTION("GOOGLETRANSLATE(English!D2284, ""en"", ""bg"")"),"химични реакции")</f>
        <v>химични реакции</v>
      </c>
      <c r="E2284" s="1" t="str">
        <f ca="1">IFERROR(__xludf.DUMMYFUNCTION("GOOGLETRANSLATE(English!E2284, ""en"", ""bg"")"),"Можете ли да ми помогнете? Как да разберете дали е възникнала химическа реакция?")</f>
        <v>Можете ли да ми помогнете? Как да разберете дали е възникнала химическа реакция?</v>
      </c>
      <c r="F2284" s="1" t="str">
        <f ca="1">IFERROR(__xludf.DUMMYFUNCTION("GOOGLETRANSLATE(English!F2284,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2284" s="1" t="str">
        <f ca="1">IFERROR(__xludf.DUMMYFUNCTION("GOOGLETRANSLATE(English!G2284, ""en"", ""bg"")"),"разговор")</f>
        <v>разговор</v>
      </c>
      <c r="H2284" s="1" t="str">
        <f ca="1">IFERROR(__xludf.DUMMYFUNCTION("GOOGLETRANSLATE(English!H2284, ""en"", ""bg"")"),"образователна_помощ")</f>
        <v>образователна_помощ</v>
      </c>
    </row>
    <row r="2285" spans="1:8" ht="13.2" x14ac:dyDescent="0.25">
      <c r="A2285" s="1" t="str">
        <f ca="1">IFERROR(__xludf.DUMMYFUNCTION("GOOGLETRANSLATE(English!A2285, ""en"", ""bg"")"),"conv_16540")</f>
        <v>conv_16540</v>
      </c>
      <c r="B2285" s="1" t="str">
        <f ca="1">IFERROR(__xludf.DUMMYFUNCTION("GOOGLETRANSLATE(English!B2285, ""en"", ""bg"")"),"химия")</f>
        <v>химия</v>
      </c>
      <c r="C2285" s="1" t="str">
        <f ca="1">IFERROR(__xludf.DUMMYFUNCTION("GOOGLETRANSLATE(English!C2285, ""en"", ""bg"")"),"средата")</f>
        <v>средата</v>
      </c>
      <c r="D2285" s="1" t="str">
        <f ca="1">IFERROR(__xludf.DUMMYFUNCTION("GOOGLETRANSLATE(English!D2285, ""en"", ""bg"")"),"основи на периодичната таблица")</f>
        <v>основи на периодичната таблица</v>
      </c>
      <c r="E2285" s="1" t="str">
        <f ca="1">IFERROR(__xludf.DUMMYFUNCTION("GOOGLETRANSLATE(English!E2285, ""en"", ""bg"")"),"Не разбирам тази тема. Защо е важно да се изучат основите на периодичната таблица?")</f>
        <v>Не разбирам тази тема. Защо е важно да се изучат основите на периодичната таблица?</v>
      </c>
      <c r="F2285" s="1" t="str">
        <f ca="1">IFERROR(__xludf.DUMMYFUNCTION("GOOGLETRANSLATE(English!F2285,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2285" s="1" t="str">
        <f ca="1">IFERROR(__xludf.DUMMYFUNCTION("GOOGLETRANSLATE(English!G2285, ""en"", ""bg"")"),"разговор")</f>
        <v>разговор</v>
      </c>
      <c r="H2285" s="1" t="str">
        <f ca="1">IFERROR(__xludf.DUMMYFUNCTION("GOOGLETRANSLATE(English!H2285, ""en"", ""bg"")"),"образователна_помощ")</f>
        <v>образователна_помощ</v>
      </c>
    </row>
    <row r="2286" spans="1:8" ht="13.2" x14ac:dyDescent="0.25">
      <c r="A2286" s="1" t="str">
        <f ca="1">IFERROR(__xludf.DUMMYFUNCTION("GOOGLETRANSLATE(English!A2286, ""en"", ""bg"")"),"conv_09201")</f>
        <v>conv_09201</v>
      </c>
      <c r="B2286" s="1" t="str">
        <f ca="1">IFERROR(__xludf.DUMMYFUNCTION("GOOGLETRANSLATE(English!B2286, ""en"", ""bg"")"),"биология")</f>
        <v>биология</v>
      </c>
      <c r="C2286" s="1" t="str">
        <f ca="1">IFERROR(__xludf.DUMMYFUNCTION("GOOGLETRANSLATE(English!C2286, ""en"", ""bg"")"),"елементарен")</f>
        <v>елементарен</v>
      </c>
      <c r="D2286" s="1" t="str">
        <f ca="1">IFERROR(__xludf.DUMMYFUNCTION("GOOGLETRANSLATE(English!D2286, ""en"", ""bg"")"),"жизнени цикли")</f>
        <v>жизнени цикли</v>
      </c>
      <c r="E2286" s="1" t="str">
        <f ca="1">IFERROR(__xludf.DUMMYFUNCTION("GOOGLETRANSLATE(English!E2286, ""en"", ""bg"")"),"Имам нужда от помощ с домашното. Какво е важно да знаем за жизнените цикли?")</f>
        <v>Имам нужда от помощ с домашното. Какво е важно да знаем за жизнените цикли?</v>
      </c>
      <c r="F2286" s="1" t="str">
        <f ca="1">IFERROR(__xludf.DUMMYFUNCTION("GOOGLETRANSLATE(English!F2286,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2286" s="1" t="str">
        <f ca="1">IFERROR(__xludf.DUMMYFUNCTION("GOOGLETRANSLATE(English!G2286, ""en"", ""bg"")"),"разговор")</f>
        <v>разговор</v>
      </c>
      <c r="H2286" s="1" t="str">
        <f ca="1">IFERROR(__xludf.DUMMYFUNCTION("GOOGLETRANSLATE(English!H2286, ""en"", ""bg"")"),"образователна_помощ")</f>
        <v>образователна_помощ</v>
      </c>
    </row>
    <row r="2287" spans="1:8" ht="13.2" x14ac:dyDescent="0.25">
      <c r="A2287" s="1" t="str">
        <f ca="1">IFERROR(__xludf.DUMMYFUNCTION("GOOGLETRANSLATE(English!A2287, ""en"", ""bg"")"),"conv_15435")</f>
        <v>conv_15435</v>
      </c>
      <c r="B2287" s="1" t="str">
        <f ca="1">IFERROR(__xludf.DUMMYFUNCTION("GOOGLETRANSLATE(English!B2287, ""en"", ""bg"")"),"химия")</f>
        <v>химия</v>
      </c>
      <c r="C2287" s="1" t="str">
        <f ca="1">IFERROR(__xludf.DUMMYFUNCTION("GOOGLETRANSLATE(English!C2287, ""en"", ""bg"")"),"високо")</f>
        <v>високо</v>
      </c>
      <c r="D2287" s="1" t="str">
        <f ca="1">IFERROR(__xludf.DUMMYFUNCTION("GOOGLETRANSLATE(English!D2287, ""en"", ""bg"")"),"стехиометрия")</f>
        <v>стехиометрия</v>
      </c>
      <c r="E2287" s="1" t="str">
        <f ca="1">IFERROR(__xludf.DUMMYFUNCTION("GOOGLETRANSLATE(English!E2287, ""en"", ""bg"")"),"Имам нужда от помощ с домашното. Защо е важно да се учи стехиометрията?")</f>
        <v>Имам нужда от помощ с домашното. Защо е важно да се учи стехиометрията?</v>
      </c>
      <c r="F2287" s="1" t="str">
        <f ca="1">IFERROR(__xludf.DUMMYFUNCTION("GOOGLETRANSLATE(English!F2287,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2287" s="1" t="str">
        <f ca="1">IFERROR(__xludf.DUMMYFUNCTION("GOOGLETRANSLATE(English!G2287, ""en"", ""bg"")"),"разговор")</f>
        <v>разговор</v>
      </c>
      <c r="H2287" s="1" t="str">
        <f ca="1">IFERROR(__xludf.DUMMYFUNCTION("GOOGLETRANSLATE(English!H2287, ""en"", ""bg"")"),"образователна_помощ")</f>
        <v>образователна_помощ</v>
      </c>
    </row>
    <row r="2288" spans="1:8" ht="13.2" x14ac:dyDescent="0.25">
      <c r="A2288" s="1" t="str">
        <f ca="1">IFERROR(__xludf.DUMMYFUNCTION("GOOGLETRANSLATE(English!A2288, ""en"", ""bg"")"),"conv_01761")</f>
        <v>conv_01761</v>
      </c>
      <c r="B2288" s="1" t="str">
        <f ca="1">IFERROR(__xludf.DUMMYFUNCTION("GOOGLETRANSLATE(English!B2288, ""en"", ""bg"")"),"химия")</f>
        <v>химия</v>
      </c>
      <c r="C2288" s="1" t="str">
        <f ca="1">IFERROR(__xludf.DUMMYFUNCTION("GOOGLETRANSLATE(English!C2288, ""en"", ""bg"")"),"средата")</f>
        <v>средата</v>
      </c>
      <c r="D2288" s="1" t="str">
        <f ca="1">IFERROR(__xludf.DUMMYFUNCTION("GOOGLETRANSLATE(English!D2288, ""en"", ""bg"")"),"химични реакции")</f>
        <v>химични реакции</v>
      </c>
      <c r="E2288" s="1" t="str">
        <f ca="1">IFERROR(__xludf.DUMMYFUNCTION("GOOGLETRANSLATE(English!E2288, ""en"", ""bg"")"),"Не разбирам тази тема. Какво е химична реакция?")</f>
        <v>Не разбирам тази тема. Какво е химична реакция?</v>
      </c>
      <c r="F2288" s="1" t="str">
        <f ca="1">IFERROR(__xludf.DUMMYFUNCTION("GOOGLETRANSLATE(English!F2288,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2288" s="1" t="str">
        <f ca="1">IFERROR(__xludf.DUMMYFUNCTION("GOOGLETRANSLATE(English!G2288, ""en"", ""bg"")"),"разговор")</f>
        <v>разговор</v>
      </c>
      <c r="H2288" s="1" t="str">
        <f ca="1">IFERROR(__xludf.DUMMYFUNCTION("GOOGLETRANSLATE(English!H2288, ""en"", ""bg"")"),"образователна_помощ")</f>
        <v>образователна_помощ</v>
      </c>
    </row>
    <row r="2289" spans="1:8" ht="13.2" x14ac:dyDescent="0.25">
      <c r="A2289" s="1" t="str">
        <f ca="1">IFERROR(__xludf.DUMMYFUNCTION("GOOGLETRANSLATE(English!A2289, ""en"", ""bg"")"),"conv_18263")</f>
        <v>conv_18263</v>
      </c>
      <c r="B2289" s="1" t="str">
        <f ca="1">IFERROR(__xludf.DUMMYFUNCTION("GOOGLETRANSLATE(English!B2289, ""en"", ""bg"")"),"биология")</f>
        <v>биология</v>
      </c>
      <c r="C2289" s="1" t="str">
        <f ca="1">IFERROR(__xludf.DUMMYFUNCTION("GOOGLETRANSLATE(English!C2289, ""en"", ""bg"")"),"средата")</f>
        <v>средата</v>
      </c>
      <c r="D2289" s="1" t="str">
        <f ca="1">IFERROR(__xludf.DUMMYFUNCTION("GOOGLETRANSLATE(English!D2289, ""en"", ""bg"")"),"основи на еволюцията")</f>
        <v>основи на еволюцията</v>
      </c>
      <c r="E2289" s="1" t="str">
        <f ca="1">IFERROR(__xludf.DUMMYFUNCTION("GOOGLETRANSLATE(English!E2289, ""en"", ""bg"")"),"Можете ли да ми обясните това? Защо основите на еволюцията са важни в биологията?")</f>
        <v>Можете ли да ми обясните това? Защо основите на еволюцията са важни в биологията?</v>
      </c>
      <c r="F2289" s="1" t="str">
        <f ca="1">IFERROR(__xludf.DUMMYFUNCTION("GOOGLETRANSLATE(English!F2289,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2289" s="1" t="str">
        <f ca="1">IFERROR(__xludf.DUMMYFUNCTION("GOOGLETRANSLATE(English!G2289, ""en"", ""bg"")"),"разговор")</f>
        <v>разговор</v>
      </c>
      <c r="H2289" s="1" t="str">
        <f ca="1">IFERROR(__xludf.DUMMYFUNCTION("GOOGLETRANSLATE(English!H2289, ""en"", ""bg"")"),"образователна_помощ")</f>
        <v>образователна_помощ</v>
      </c>
    </row>
    <row r="2290" spans="1:8" ht="13.2" x14ac:dyDescent="0.25">
      <c r="A2290" s="1" t="str">
        <f ca="1">IFERROR(__xludf.DUMMYFUNCTION("GOOGLETRANSLATE(English!A2290, ""en"", ""bg"")"),"qa_11202")</f>
        <v>qa_11202</v>
      </c>
      <c r="B2290" s="1" t="str">
        <f ca="1">IFERROR(__xludf.DUMMYFUNCTION("GOOGLETRANSLATE(English!B2290, ""en"", ""bg"")"),"физика")</f>
        <v>физика</v>
      </c>
      <c r="C2290" s="1" t="str">
        <f ca="1">IFERROR(__xludf.DUMMYFUNCTION("GOOGLETRANSLATE(English!C2290, ""en"", ""bg"")"),"средата")</f>
        <v>средата</v>
      </c>
      <c r="D2290" s="1" t="str">
        <f ca="1">IFERROR(__xludf.DUMMYFUNCTION("GOOGLETRANSLATE(English!D2290, ""en"", ""bg"")"),"вълни")</f>
        <v>вълни</v>
      </c>
      <c r="E2290" s="1" t="str">
        <f ca="1">IFERROR(__xludf.DUMMYFUNCTION("GOOGLETRANSLATE(English!E2290, ""en"", ""bg"")"),"Можете ли да ми обясните какво представляват вълните?")</f>
        <v>Можете ли да ми обясните какво представляват вълните?</v>
      </c>
      <c r="F2290" s="1" t="str">
        <f ca="1">IFERROR(__xludf.DUMMYFUNCTION("GOOGLETRANSLATE(English!F2290,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2290" s="1" t="str">
        <f ca="1">IFERROR(__xludf.DUMMYFUNCTION("GOOGLETRANSLATE(English!G2290, ""en"", ""bg"")"),"direct_qa")</f>
        <v>direct_qa</v>
      </c>
      <c r="H2290" s="1" t="str">
        <f ca="1">IFERROR(__xludf.DUMMYFUNCTION("GOOGLETRANSLATE(English!H2290, ""en"", ""bg"")"),"заявка_за_знание")</f>
        <v>заявка_за_знание</v>
      </c>
    </row>
    <row r="2291" spans="1:8" ht="13.2" x14ac:dyDescent="0.25">
      <c r="A2291" s="1" t="str">
        <f ca="1">IFERROR(__xludf.DUMMYFUNCTION("GOOGLETRANSLATE(English!A2291, ""en"", ""bg"")"),"conv_12898")</f>
        <v>conv_12898</v>
      </c>
      <c r="B2291" s="1" t="str">
        <f ca="1">IFERROR(__xludf.DUMMYFUNCTION("GOOGLETRANSLATE(English!B2291, ""en"", ""bg"")"),"биология")</f>
        <v>биология</v>
      </c>
      <c r="C2291" s="1" t="str">
        <f ca="1">IFERROR(__xludf.DUMMYFUNCTION("GOOGLETRANSLATE(English!C2291, ""en"", ""bg"")"),"средата")</f>
        <v>средата</v>
      </c>
      <c r="D2291" s="1" t="str">
        <f ca="1">IFERROR(__xludf.DUMMYFUNCTION("GOOGLETRANSLATE(English!D2291, ""en"", ""bg"")"),"основи на генетиката")</f>
        <v>основи на генетиката</v>
      </c>
      <c r="E2291" s="1" t="str">
        <f ca="1">IFERROR(__xludf.DUMMYFUNCTION("GOOGLETRANSLATE(English!E2291, ""en"", ""bg"")"),"Не разбирам тази тема. Как работят основите на генетиката?")</f>
        <v>Не разбирам тази тема. Как работят основите на генетиката?</v>
      </c>
      <c r="F2291" s="1" t="str">
        <f ca="1">IFERROR(__xludf.DUMMYFUNCTION("GOOGLETRANSLATE(English!F2291,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2291" s="1" t="str">
        <f ca="1">IFERROR(__xludf.DUMMYFUNCTION("GOOGLETRANSLATE(English!G2291, ""en"", ""bg"")"),"разговор")</f>
        <v>разговор</v>
      </c>
      <c r="H2291" s="1" t="str">
        <f ca="1">IFERROR(__xludf.DUMMYFUNCTION("GOOGLETRANSLATE(English!H2291, ""en"", ""bg"")"),"образователна_помощ")</f>
        <v>образователна_помощ</v>
      </c>
    </row>
    <row r="2292" spans="1:8" ht="13.2" x14ac:dyDescent="0.25">
      <c r="A2292" s="1" t="str">
        <f ca="1">IFERROR(__xludf.DUMMYFUNCTION("GOOGLETRANSLATE(English!A2292, ""en"", ""bg"")"),"qa_09637")</f>
        <v>qa_09637</v>
      </c>
      <c r="B2292" s="1" t="str">
        <f ca="1">IFERROR(__xludf.DUMMYFUNCTION("GOOGLETRANSLATE(English!B2292, ""en"", ""bg"")"),"физика")</f>
        <v>физика</v>
      </c>
      <c r="C2292" s="1" t="str">
        <f ca="1">IFERROR(__xludf.DUMMYFUNCTION("GOOGLETRANSLATE(English!C2292, ""en"", ""bg"")"),"елементарен")</f>
        <v>елементарен</v>
      </c>
      <c r="D2292" s="1" t="str">
        <f ca="1">IFERROR(__xludf.DUMMYFUNCTION("GOOGLETRANSLATE(English!D2292, ""en"", ""bg"")"),"магнити")</f>
        <v>магнити</v>
      </c>
      <c r="E2292" s="1" t="str">
        <f ca="1">IFERROR(__xludf.DUMMYFUNCTION("GOOGLETRANSLATE(English!E2292, ""en"", ""bg"")"),"Как работят магнитите?")</f>
        <v>Как работят магнитите?</v>
      </c>
      <c r="F2292" s="1" t="str">
        <f ca="1">IFERROR(__xludf.DUMMYFUNCTION("GOOGLETRANSLATE(English!F2292,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2292" s="1" t="str">
        <f ca="1">IFERROR(__xludf.DUMMYFUNCTION("GOOGLETRANSLATE(English!G2292, ""en"", ""bg"")"),"direct_qa")</f>
        <v>direct_qa</v>
      </c>
      <c r="H2292" s="1" t="str">
        <f ca="1">IFERROR(__xludf.DUMMYFUNCTION("GOOGLETRANSLATE(English!H2292, ""en"", ""bg"")"),"заявка_за_знание")</f>
        <v>заявка_за_знание</v>
      </c>
    </row>
    <row r="2293" spans="1:8" ht="13.2" x14ac:dyDescent="0.25">
      <c r="A2293" s="1" t="str">
        <f ca="1">IFERROR(__xludf.DUMMYFUNCTION("GOOGLETRANSLATE(English!A2293, ""en"", ""bg"")"),"hw_02765")</f>
        <v>hw_02765</v>
      </c>
      <c r="B2293" s="1" t="str">
        <f ca="1">IFERROR(__xludf.DUMMYFUNCTION("GOOGLETRANSLATE(English!B2293, ""en"", ""bg"")"),"физика")</f>
        <v>физика</v>
      </c>
      <c r="C2293" s="1" t="str">
        <f ca="1">IFERROR(__xludf.DUMMYFUNCTION("GOOGLETRANSLATE(English!C2293, ""en"", ""bg"")"),"средата")</f>
        <v>средата</v>
      </c>
      <c r="D2293" s="1" t="str">
        <f ca="1">IFERROR(__xludf.DUMMYFUNCTION("GOOGLETRANSLATE(English!D2293, ""en"", ""bg"")"),"плътност")</f>
        <v>плътност</v>
      </c>
      <c r="E2293" s="1" t="str">
        <f ca="1">IFERROR(__xludf.DUMMYFUNCTION("GOOGLETRANSLATE(English!E2293, ""en"", ""bg"")"),"Домашното ми по физика е за плътността. Объркващо е!")</f>
        <v>Домашното ми по физика е за плътността. Объркващо е!</v>
      </c>
      <c r="F2293" s="1" t="str">
        <f ca="1">IFERROR(__xludf.DUMMYFUNCTION("GOOGLETRANSLATE(English!F2293,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293" s="1" t="str">
        <f ca="1">IFERROR(__xludf.DUMMYFUNCTION("GOOGLETRANSLATE(English!G2293, ""en"", ""bg"")"),"помощ_за_домашно_изпълнение")</f>
        <v>помощ_за_домашно_изпълнение</v>
      </c>
      <c r="H2293" s="1" t="str">
        <f ca="1">IFERROR(__xludf.DUMMYFUNCTION("GOOGLETRANSLATE(English!H2293, ""en"", ""bg"")"),"помощ_за_домашно_задаване")</f>
        <v>помощ_за_домашно_задаване</v>
      </c>
    </row>
    <row r="2294" spans="1:8" ht="13.2" x14ac:dyDescent="0.25">
      <c r="A2294" s="1" t="str">
        <f ca="1">IFERROR(__xludf.DUMMYFUNCTION("GOOGLETRANSLATE(English!A2294, ""en"", ""bg"")"),"qa_03711")</f>
        <v>qa_03711</v>
      </c>
      <c r="B2294" s="1" t="str">
        <f ca="1">IFERROR(__xludf.DUMMYFUNCTION("GOOGLETRANSLATE(English!B2294, ""en"", ""bg"")"),"физика")</f>
        <v>физика</v>
      </c>
      <c r="C2294" s="1" t="str">
        <f ca="1">IFERROR(__xludf.DUMMYFUNCTION("GOOGLETRANSLATE(English!C2294, ""en"", ""bg"")"),"високо")</f>
        <v>високо</v>
      </c>
      <c r="D2294" s="1" t="str">
        <f ca="1">IFERROR(__xludf.DUMMYFUNCTION("GOOGLETRANSLATE(English!D2294, ""en"", ""bg"")"),"механика")</f>
        <v>механика</v>
      </c>
      <c r="E2294" s="1" t="str">
        <f ca="1">IFERROR(__xludf.DUMMYFUNCTION("GOOGLETRANSLATE(English!E2294, ""en"", ""bg"")"),"Какво трябва да знам за механиката?")</f>
        <v>Какво трябва да знам за механиката?</v>
      </c>
      <c r="F2294" s="1" t="str">
        <f ca="1">IFERROR(__xludf.DUMMYFUNCTION("GOOGLETRANSLATE(English!F2294,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2294" s="1" t="str">
        <f ca="1">IFERROR(__xludf.DUMMYFUNCTION("GOOGLETRANSLATE(English!G2294, ""en"", ""bg"")"),"direct_qa")</f>
        <v>direct_qa</v>
      </c>
      <c r="H2294" s="1" t="str">
        <f ca="1">IFERROR(__xludf.DUMMYFUNCTION("GOOGLETRANSLATE(English!H2294, ""en"", ""bg"")"),"заявка_за_знание")</f>
        <v>заявка_за_знание</v>
      </c>
    </row>
    <row r="2295" spans="1:8" ht="13.2" x14ac:dyDescent="0.25">
      <c r="A2295" s="1" t="str">
        <f ca="1">IFERROR(__xludf.DUMMYFUNCTION("GOOGLETRANSLATE(English!A2295, ""en"", ""bg"")"),"conv_12455")</f>
        <v>conv_12455</v>
      </c>
      <c r="B2295" s="1" t="str">
        <f ca="1">IFERROR(__xludf.DUMMYFUNCTION("GOOGLETRANSLATE(English!B2295, ""en"", ""bg"")"),"биология")</f>
        <v>биология</v>
      </c>
      <c r="C2295" s="1" t="str">
        <f ca="1">IFERROR(__xludf.DUMMYFUNCTION("GOOGLETRANSLATE(English!C2295, ""en"", ""bg"")"),"високо")</f>
        <v>високо</v>
      </c>
      <c r="D2295" s="1" t="str">
        <f ca="1">IFERROR(__xludf.DUMMYFUNCTION("GOOGLETRANSLATE(English!D2295, ""en"", ""bg"")"),"молекулярна биология")</f>
        <v>молекулярна биология</v>
      </c>
      <c r="E2295" s="1" t="str">
        <f ca="1">IFERROR(__xludf.DUMMYFUNCTION("GOOGLETRANSLATE(English!E2295, ""en"", ""bg"")"),"Имам нужда от помощ с домашното. Можете ли да ми разкажете за молекулярната биология?")</f>
        <v>Имам нужда от помощ с домашното. Можете ли да ми разкажете за молекулярната биология?</v>
      </c>
      <c r="F2295" s="1" t="str">
        <f ca="1">IFERROR(__xludf.DUMMYFUNCTION("GOOGLETRANSLATE(English!F2295,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2295" s="1" t="str">
        <f ca="1">IFERROR(__xludf.DUMMYFUNCTION("GOOGLETRANSLATE(English!G2295, ""en"", ""bg"")"),"разговор")</f>
        <v>разговор</v>
      </c>
      <c r="H2295" s="1" t="str">
        <f ca="1">IFERROR(__xludf.DUMMYFUNCTION("GOOGLETRANSLATE(English!H2295, ""en"", ""bg"")"),"образователна_помощ")</f>
        <v>образователна_помощ</v>
      </c>
    </row>
    <row r="2296" spans="1:8" ht="13.2" x14ac:dyDescent="0.25">
      <c r="A2296" s="1" t="str">
        <f ca="1">IFERROR(__xludf.DUMMYFUNCTION("GOOGLETRANSLATE(English!A2296, ""en"", ""bg"")"),"conv_14306")</f>
        <v>conv_14306</v>
      </c>
      <c r="B2296" s="1" t="str">
        <f ca="1">IFERROR(__xludf.DUMMYFUNCTION("GOOGLETRANSLATE(English!B2296, ""en"", ""bg"")"),"химия")</f>
        <v>химия</v>
      </c>
      <c r="C2296" s="1" t="str">
        <f ca="1">IFERROR(__xludf.DUMMYFUNCTION("GOOGLETRANSLATE(English!C2296, ""en"", ""bg"")"),"елементарен")</f>
        <v>елементарен</v>
      </c>
      <c r="D2296" s="1" t="str">
        <f ca="1">IFERROR(__xludf.DUMMYFUNCTION("GOOGLETRANSLATE(English!D2296, ""en"", ""bg"")"),"промени в материалите")</f>
        <v>промени в материалите</v>
      </c>
      <c r="E2296" s="1" t="str">
        <f ca="1">IFERROR(__xludf.DUMMYFUNCTION("GOOGLETRANSLATE(English!E2296, ""en"", ""bg"")"),"Можете ли да ми помогнете? Защо е важно да се научат промените в материалите?")</f>
        <v>Можете ли да ми помогнете? Защо е важно да се научат промените в материалите?</v>
      </c>
      <c r="F2296" s="1" t="str">
        <f ca="1">IFERROR(__xludf.DUMMYFUNCTION("GOOGLETRANSLATE(English!F2296,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2296" s="1" t="str">
        <f ca="1">IFERROR(__xludf.DUMMYFUNCTION("GOOGLETRANSLATE(English!G2296, ""en"", ""bg"")"),"разговор")</f>
        <v>разговор</v>
      </c>
      <c r="H2296" s="1" t="str">
        <f ca="1">IFERROR(__xludf.DUMMYFUNCTION("GOOGLETRANSLATE(English!H2296, ""en"", ""bg"")"),"образователна_помощ")</f>
        <v>образователна_помощ</v>
      </c>
    </row>
    <row r="2297" spans="1:8" ht="13.2" x14ac:dyDescent="0.25">
      <c r="A2297" s="1" t="str">
        <f ca="1">IFERROR(__xludf.DUMMYFUNCTION("GOOGLETRANSLATE(English!A2297, ""en"", ""bg"")"),"conv_08578")</f>
        <v>conv_08578</v>
      </c>
      <c r="B2297" s="1" t="str">
        <f ca="1">IFERROR(__xludf.DUMMYFUNCTION("GOOGLETRANSLATE(English!B2297, ""en"", ""bg"")"),"физика")</f>
        <v>физика</v>
      </c>
      <c r="C2297" s="1" t="str">
        <f ca="1">IFERROR(__xludf.DUMMYFUNCTION("GOOGLETRANSLATE(English!C2297, ""en"", ""bg"")"),"средата")</f>
        <v>средата</v>
      </c>
      <c r="D2297" s="1" t="str">
        <f ca="1">IFERROR(__xludf.DUMMYFUNCTION("GOOGLETRANSLATE(English!D2297, ""en"", ""bg"")"),"вълни")</f>
        <v>вълни</v>
      </c>
      <c r="E2297" s="1" t="str">
        <f ca="1">IFERROR(__xludf.DUMMYFUNCTION("GOOGLETRANSLATE(English!E2297, ""en"", ""bg"")"),"Имам научен въпрос. Защо вълните са важни?")</f>
        <v>Имам научен въпрос. Защо вълните са важни?</v>
      </c>
      <c r="F2297" s="1" t="str">
        <f ca="1">IFERROR(__xludf.DUMMYFUNCTION("GOOGLETRANSLATE(English!F2297,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2297" s="1" t="str">
        <f ca="1">IFERROR(__xludf.DUMMYFUNCTION("GOOGLETRANSLATE(English!G2297, ""en"", ""bg"")"),"разговор")</f>
        <v>разговор</v>
      </c>
      <c r="H2297" s="1" t="str">
        <f ca="1">IFERROR(__xludf.DUMMYFUNCTION("GOOGLETRANSLATE(English!H2297, ""en"", ""bg"")"),"образователна_помощ")</f>
        <v>образователна_помощ</v>
      </c>
    </row>
    <row r="2298" spans="1:8" ht="13.2" x14ac:dyDescent="0.25">
      <c r="A2298" s="1" t="str">
        <f ca="1">IFERROR(__xludf.DUMMYFUNCTION("GOOGLETRANSLATE(English!A2298, ""en"", ""bg"")"),"qa_13212")</f>
        <v>qa_13212</v>
      </c>
      <c r="B2298" s="1" t="str">
        <f ca="1">IFERROR(__xludf.DUMMYFUNCTION("GOOGLETRANSLATE(English!B2298, ""en"", ""bg"")"),"физика")</f>
        <v>физика</v>
      </c>
      <c r="C2298" s="1" t="str">
        <f ca="1">IFERROR(__xludf.DUMMYFUNCTION("GOOGLETRANSLATE(English!C2298, ""en"", ""bg"")"),"високо")</f>
        <v>високо</v>
      </c>
      <c r="D2298" s="1" t="str">
        <f ca="1">IFERROR(__xludf.DUMMYFUNCTION("GOOGLETRANSLATE(English!D2298, ""en"", ""bg"")"),"атомна структура")</f>
        <v>атомна структура</v>
      </c>
      <c r="E2298" s="1" t="str">
        <f ca="1">IFERROR(__xludf.DUMMYFUNCTION("GOOGLETRANSLATE(English!E2298, ""en"", ""bg"")"),"Какво трябва да знам за атомната структура?")</f>
        <v>Какво трябва да знам за атомната структура?</v>
      </c>
      <c r="F2298" s="1" t="str">
        <f ca="1">IFERROR(__xludf.DUMMYFUNCTION("GOOGLETRANSLATE(English!F2298,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2298" s="1" t="str">
        <f ca="1">IFERROR(__xludf.DUMMYFUNCTION("GOOGLETRANSLATE(English!G2298, ""en"", ""bg"")"),"direct_qa")</f>
        <v>direct_qa</v>
      </c>
      <c r="H2298" s="1" t="str">
        <f ca="1">IFERROR(__xludf.DUMMYFUNCTION("GOOGLETRANSLATE(English!H2298, ""en"", ""bg"")"),"заявка_за_знание")</f>
        <v>заявка_за_знание</v>
      </c>
    </row>
    <row r="2299" spans="1:8" ht="13.2" x14ac:dyDescent="0.25">
      <c r="A2299" s="1" t="str">
        <f ca="1">IFERROR(__xludf.DUMMYFUNCTION("GOOGLETRANSLATE(English!A2299, ""en"", ""bg"")"),"conv_17185")</f>
        <v>conv_17185</v>
      </c>
      <c r="B2299" s="1" t="str">
        <f ca="1">IFERROR(__xludf.DUMMYFUNCTION("GOOGLETRANSLATE(English!B2299, ""en"", ""bg"")"),"физика")</f>
        <v>физика</v>
      </c>
      <c r="C2299" s="1" t="str">
        <f ca="1">IFERROR(__xludf.DUMMYFUNCTION("GOOGLETRANSLATE(English!C2299, ""en"", ""bg"")"),"високо")</f>
        <v>високо</v>
      </c>
      <c r="D2299" s="1" t="str">
        <f ca="1">IFERROR(__xludf.DUMMYFUNCTION("GOOGLETRANSLATE(English!D2299, ""en"", ""bg"")"),"електромагнетизъм")</f>
        <v>електромагнетизъм</v>
      </c>
      <c r="E2299" s="1" t="str">
        <f ca="1">IFERROR(__xludf.DUMMYFUNCTION("GOOGLETRANSLATE(English!E2299, ""en"", ""bg"")"),"Имам нужда от помощ с домашното си. Как работи електромагнетизмът във физиката?")</f>
        <v>Имам нужда от помощ с домашното си. Как работи електромагнетизмът във физиката?</v>
      </c>
      <c r="F2299" s="1" t="str">
        <f ca="1">IFERROR(__xludf.DUMMYFUNCTION("GOOGLETRANSLATE(English!F2299,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2299" s="1" t="str">
        <f ca="1">IFERROR(__xludf.DUMMYFUNCTION("GOOGLETRANSLATE(English!G2299, ""en"", ""bg"")"),"разговор")</f>
        <v>разговор</v>
      </c>
      <c r="H2299" s="1" t="str">
        <f ca="1">IFERROR(__xludf.DUMMYFUNCTION("GOOGLETRANSLATE(English!H2299, ""en"", ""bg"")"),"образователна_помощ")</f>
        <v>образователна_помощ</v>
      </c>
    </row>
    <row r="2300" spans="1:8" ht="13.2" x14ac:dyDescent="0.25">
      <c r="A2300" s="1" t="str">
        <f ca="1">IFERROR(__xludf.DUMMYFUNCTION("GOOGLETRANSLATE(English!A2300, ""en"", ""bg"")"),"hw_00894")</f>
        <v>hw_00894</v>
      </c>
      <c r="B2300" s="1" t="str">
        <f ca="1">IFERROR(__xludf.DUMMYFUNCTION("GOOGLETRANSLATE(English!B2300, ""en"", ""bg"")"),"физика")</f>
        <v>физика</v>
      </c>
      <c r="C2300" s="1" t="str">
        <f ca="1">IFERROR(__xludf.DUMMYFUNCTION("GOOGLETRANSLATE(English!C2300, ""en"", ""bg"")"),"елементарен")</f>
        <v>елементарен</v>
      </c>
      <c r="D2300" s="1" t="str">
        <f ca="1">IFERROR(__xludf.DUMMYFUNCTION("GOOGLETRANSLATE(English!D2300, ""en"", ""bg"")"),"звук")</f>
        <v>звук</v>
      </c>
      <c r="E2300" s="1" t="str">
        <f ca="1">IFERROR(__xludf.DUMMYFUNCTION("GOOGLETRANSLATE(English!E2300, ""en"", ""bg"")"),"Домашното ми по физика е за звук. Объркващо е!")</f>
        <v>Домашното ми по физика е за звук. Объркващо е!</v>
      </c>
      <c r="F2300" s="1" t="str">
        <f ca="1">IFERROR(__xludf.DUMMYFUNCTION("GOOGLETRANSLATE(English!F2300,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2300" s="1" t="str">
        <f ca="1">IFERROR(__xludf.DUMMYFUNCTION("GOOGLETRANSLATE(English!G2300, ""en"", ""bg"")"),"помощ_за_домашно_изпълнение")</f>
        <v>помощ_за_домашно_изпълнение</v>
      </c>
      <c r="H2300" s="1" t="str">
        <f ca="1">IFERROR(__xludf.DUMMYFUNCTION("GOOGLETRANSLATE(English!H2300, ""en"", ""bg"")"),"помощ_за_домашно_задаване")</f>
        <v>помощ_за_домашно_задаване</v>
      </c>
    </row>
    <row r="2301" spans="1:8" ht="13.2" x14ac:dyDescent="0.25">
      <c r="A2301" s="1" t="str">
        <f ca="1">IFERROR(__xludf.DUMMYFUNCTION("GOOGLETRANSLATE(English!A2301, ""en"", ""bg"")"),"conv_02386")</f>
        <v>conv_02386</v>
      </c>
      <c r="B2301" s="1" t="str">
        <f ca="1">IFERROR(__xludf.DUMMYFUNCTION("GOOGLETRANSLATE(English!B2301, ""en"", ""bg"")"),"физика")</f>
        <v>физика</v>
      </c>
      <c r="C2301" s="1" t="str">
        <f ca="1">IFERROR(__xludf.DUMMYFUNCTION("GOOGLETRANSLATE(English!C2301, ""en"", ""bg"")"),"високо")</f>
        <v>високо</v>
      </c>
      <c r="D2301" s="1" t="str">
        <f ca="1">IFERROR(__xludf.DUMMYFUNCTION("GOOGLETRANSLATE(English!D2301, ""en"", ""bg"")"),"атомна структура")</f>
        <v>атомна структура</v>
      </c>
      <c r="E2301" s="1" t="str">
        <f ca="1">IFERROR(__xludf.DUMMYFUNCTION("GOOGLETRANSLATE(English!E2301, ""en"", ""bg"")"),"Помогни ми да уча за теста. Можеш ли да ми обясниш структурата на атома?")</f>
        <v>Помогни ми да уча за теста. Можеш ли да ми обясниш структурата на атома?</v>
      </c>
      <c r="F2301" s="1" t="str">
        <f ca="1">IFERROR(__xludf.DUMMYFUNCTION("GOOGLETRANSLATE(English!F2301,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2301" s="1" t="str">
        <f ca="1">IFERROR(__xludf.DUMMYFUNCTION("GOOGLETRANSLATE(English!G2301, ""en"", ""bg"")"),"разговор")</f>
        <v>разговор</v>
      </c>
      <c r="H2301" s="1" t="str">
        <f ca="1">IFERROR(__xludf.DUMMYFUNCTION("GOOGLETRANSLATE(English!H2301, ""en"", ""bg"")"),"образователна_помощ")</f>
        <v>образователна_помощ</v>
      </c>
    </row>
    <row r="2302" spans="1:8" ht="13.2" x14ac:dyDescent="0.25">
      <c r="A2302" s="1" t="str">
        <f ca="1">IFERROR(__xludf.DUMMYFUNCTION("GOOGLETRANSLATE(English!A2302, ""en"", ""bg"")"),"hw_00886")</f>
        <v>hw_00886</v>
      </c>
      <c r="B2302" s="1" t="str">
        <f ca="1">IFERROR(__xludf.DUMMYFUNCTION("GOOGLETRANSLATE(English!B2302, ""en"", ""bg"")"),"физика")</f>
        <v>физика</v>
      </c>
      <c r="C2302" s="1" t="str">
        <f ca="1">IFERROR(__xludf.DUMMYFUNCTION("GOOGLETRANSLATE(English!C2302, ""en"", ""bg"")"),"елементарен")</f>
        <v>елементарен</v>
      </c>
      <c r="D2302" s="1" t="str">
        <f ca="1">IFERROR(__xludf.DUMMYFUNCTION("GOOGLETRANSLATE(English!D2302, ""en"", ""bg"")"),"бутане и дърпане")</f>
        <v>бутане и дърпане</v>
      </c>
      <c r="E2302" s="1" t="str">
        <f ca="1">IFERROR(__xludf.DUMMYFUNCTION("GOOGLETRANSLATE(English!E2302, ""en"", ""bg"")"),"Можеш ли да решиш тази задача с бутане и дърпане с мен?")</f>
        <v>Можеш ли да решиш тази задача с бутане и дърпане с мен?</v>
      </c>
      <c r="F2302" s="1" t="str">
        <f ca="1">IFERROR(__xludf.DUMMYFUNCTION("GOOGLETRANSLATE(English!F2302,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2302" s="1" t="str">
        <f ca="1">IFERROR(__xludf.DUMMYFUNCTION("GOOGLETRANSLATE(English!G2302, ""en"", ""bg"")"),"помощ_за_домашно_изпълнение")</f>
        <v>помощ_за_домашно_изпълнение</v>
      </c>
      <c r="H2302" s="1" t="str">
        <f ca="1">IFERROR(__xludf.DUMMYFUNCTION("GOOGLETRANSLATE(English!H2302, ""en"", ""bg"")"),"помощ_за_домашно_задаване")</f>
        <v>помощ_за_домашно_задаване</v>
      </c>
    </row>
    <row r="2303" spans="1:8" ht="13.2" x14ac:dyDescent="0.25">
      <c r="A2303" s="1" t="str">
        <f ca="1">IFERROR(__xludf.DUMMYFUNCTION("GOOGLETRANSLATE(English!A2303, ""en"", ""bg"")"),"hw_00055")</f>
        <v>hw_00055</v>
      </c>
      <c r="B2303" s="1" t="str">
        <f ca="1">IFERROR(__xludf.DUMMYFUNCTION("GOOGLETRANSLATE(English!B2303, ""en"", ""bg"")"),"биология")</f>
        <v>биология</v>
      </c>
      <c r="C2303" s="1" t="str">
        <f ca="1">IFERROR(__xludf.DUMMYFUNCTION("GOOGLETRANSLATE(English!C2303, ""en"", ""bg"")"),"високо")</f>
        <v>високо</v>
      </c>
      <c r="D2303" s="1" t="str">
        <f ca="1">IFERROR(__xludf.DUMMYFUNCTION("GOOGLETRANSLATE(English!D2303, ""en"", ""bg"")"),"модели на наследяване")</f>
        <v>модели на наследяване</v>
      </c>
      <c r="E2303" s="1" t="str">
        <f ca="1">IFERROR(__xludf.DUMMYFUNCTION("GOOGLETRANSLATE(English!E2303,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2303" s="1" t="str">
        <f ca="1">IFERROR(__xludf.DUMMYFUNCTION("GOOGLETRANSLATE(English!F2303,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2303" s="1" t="str">
        <f ca="1">IFERROR(__xludf.DUMMYFUNCTION("GOOGLETRANSLATE(English!G2303, ""en"", ""bg"")"),"помощ_за_домашно_изпълнение")</f>
        <v>помощ_за_домашно_изпълнение</v>
      </c>
      <c r="H2303" s="1" t="str">
        <f ca="1">IFERROR(__xludf.DUMMYFUNCTION("GOOGLETRANSLATE(English!H2303, ""en"", ""bg"")"),"помощ_за_домашно_задаване")</f>
        <v>помощ_за_домашно_задаване</v>
      </c>
    </row>
    <row r="2304" spans="1:8" ht="13.2" x14ac:dyDescent="0.25">
      <c r="A2304" s="1" t="str">
        <f ca="1">IFERROR(__xludf.DUMMYFUNCTION("GOOGLETRANSLATE(English!A2304, ""en"", ""bg"")"),"qa_06017")</f>
        <v>qa_06017</v>
      </c>
      <c r="B2304" s="1" t="str">
        <f ca="1">IFERROR(__xludf.DUMMYFUNCTION("GOOGLETRANSLATE(English!B2304, ""en"", ""bg"")"),"химия")</f>
        <v>химия</v>
      </c>
      <c r="C2304" s="1" t="str">
        <f ca="1">IFERROR(__xludf.DUMMYFUNCTION("GOOGLETRANSLATE(English!C2304, ""en"", ""bg"")"),"високо")</f>
        <v>високо</v>
      </c>
      <c r="D2304" s="1" t="str">
        <f ca="1">IFERROR(__xludf.DUMMYFUNCTION("GOOGLETRANSLATE(English!D2304, ""en"", ""bg"")"),"равновесие")</f>
        <v>равновесие</v>
      </c>
      <c r="E2304" s="1" t="str">
        <f ca="1">IFERROR(__xludf.DUMMYFUNCTION("GOOGLETRANSLATE(English!E2304, ""en"", ""bg"")"),"Как работи равновесието в химията?")</f>
        <v>Как работи равновесието в химията?</v>
      </c>
      <c r="F2304" s="1" t="str">
        <f ca="1">IFERROR(__xludf.DUMMYFUNCTION("GOOGLETRANSLATE(English!F2304,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2304" s="1" t="str">
        <f ca="1">IFERROR(__xludf.DUMMYFUNCTION("GOOGLETRANSLATE(English!G2304, ""en"", ""bg"")"),"direct_qa")</f>
        <v>direct_qa</v>
      </c>
      <c r="H2304" s="1" t="str">
        <f ca="1">IFERROR(__xludf.DUMMYFUNCTION("GOOGLETRANSLATE(English!H2304, ""en"", ""bg"")"),"заявка_за_знание")</f>
        <v>заявка_за_знание</v>
      </c>
    </row>
    <row r="2305" spans="1:8" ht="13.2" x14ac:dyDescent="0.25">
      <c r="A2305" s="1" t="str">
        <f ca="1">IFERROR(__xludf.DUMMYFUNCTION("GOOGLETRANSLATE(English!A2305, ""en"", ""bg"")"),"hw_13945")</f>
        <v>hw_13945</v>
      </c>
      <c r="B2305" s="1" t="str">
        <f ca="1">IFERROR(__xludf.DUMMYFUNCTION("GOOGLETRANSLATE(English!B2305, ""en"", ""bg"")"),"химия")</f>
        <v>химия</v>
      </c>
      <c r="C2305" s="1" t="str">
        <f ca="1">IFERROR(__xludf.DUMMYFUNCTION("GOOGLETRANSLATE(English!C2305, ""en"", ""bg"")"),"средата")</f>
        <v>средата</v>
      </c>
      <c r="D2305" s="1" t="str">
        <f ca="1">IFERROR(__xludf.DUMMYFUNCTION("GOOGLETRANSLATE(English!D2305, ""en"", ""bg"")"),"атоми и молекули")</f>
        <v>атоми и молекули</v>
      </c>
      <c r="E2305" s="1" t="str">
        <f ca="1">IFERROR(__xludf.DUMMYFUNCTION("GOOGLETRANSLATE(English!E2305,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2305" s="1" t="str">
        <f ca="1">IFERROR(__xludf.DUMMYFUNCTION("GOOGLETRANSLATE(English!F2305,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305" s="1" t="str">
        <f ca="1">IFERROR(__xludf.DUMMYFUNCTION("GOOGLETRANSLATE(English!G2305, ""en"", ""bg"")"),"помощ_за_домашно_изпълнение")</f>
        <v>помощ_за_домашно_изпълнение</v>
      </c>
      <c r="H2305" s="1" t="str">
        <f ca="1">IFERROR(__xludf.DUMMYFUNCTION("GOOGLETRANSLATE(English!H2305, ""en"", ""bg"")"),"помощ_за_домашно_задаване")</f>
        <v>помощ_за_домашно_задаване</v>
      </c>
    </row>
    <row r="2306" spans="1:8" ht="13.2" x14ac:dyDescent="0.25">
      <c r="A2306" s="1" t="str">
        <f ca="1">IFERROR(__xludf.DUMMYFUNCTION("GOOGLETRANSLATE(English!A2306, ""en"", ""bg"")"),"conv_08199")</f>
        <v>conv_08199</v>
      </c>
      <c r="B2306" s="1" t="str">
        <f ca="1">IFERROR(__xludf.DUMMYFUNCTION("GOOGLETRANSLATE(English!B2306, ""en"", ""bg"")"),"биология")</f>
        <v>биология</v>
      </c>
      <c r="C2306" s="1" t="str">
        <f ca="1">IFERROR(__xludf.DUMMYFUNCTION("GOOGLETRANSLATE(English!C2306, ""en"", ""bg"")"),"високо")</f>
        <v>високо</v>
      </c>
      <c r="D2306" s="1" t="str">
        <f ca="1">IFERROR(__xludf.DUMMYFUNCTION("GOOGLETRANSLATE(English!D2306, ""en"", ""bg"")"),"клетъчно дишане")</f>
        <v>клетъчно дишане</v>
      </c>
      <c r="E2306" s="1" t="str">
        <f ca="1">IFERROR(__xludf.DUMMYFUNCTION("GOOGLETRANSLATE(English!E2306, ""en"", ""bg"")"),"Можете ли да ми обясните това? Какво е важно да знаем за клетъчното дишане?")</f>
        <v>Можете ли да ми обясните това? Какво е важно да знаем за клетъчното дишане?</v>
      </c>
      <c r="F2306" s="1" t="str">
        <f ca="1">IFERROR(__xludf.DUMMYFUNCTION("GOOGLETRANSLATE(English!F2306,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2306" s="1" t="str">
        <f ca="1">IFERROR(__xludf.DUMMYFUNCTION("GOOGLETRANSLATE(English!G2306, ""en"", ""bg"")"),"разговор")</f>
        <v>разговор</v>
      </c>
      <c r="H2306" s="1" t="str">
        <f ca="1">IFERROR(__xludf.DUMMYFUNCTION("GOOGLETRANSLATE(English!H2306, ""en"", ""bg"")"),"образователна_помощ")</f>
        <v>образователна_помощ</v>
      </c>
    </row>
    <row r="2307" spans="1:8" ht="13.2" x14ac:dyDescent="0.25">
      <c r="A2307" s="1" t="str">
        <f ca="1">IFERROR(__xludf.DUMMYFUNCTION("GOOGLETRANSLATE(English!A2307, ""en"", ""bg"")"),"hw_01642")</f>
        <v>hw_01642</v>
      </c>
      <c r="B2307" s="1" t="str">
        <f ca="1">IFERROR(__xludf.DUMMYFUNCTION("GOOGLETRANSLATE(English!B2307, ""en"", ""bg"")"),"химия")</f>
        <v>химия</v>
      </c>
      <c r="C2307" s="1" t="str">
        <f ca="1">IFERROR(__xludf.DUMMYFUNCTION("GOOGLETRANSLATE(English!C2307, ""en"", ""bg"")"),"средата")</f>
        <v>средата</v>
      </c>
      <c r="D2307" s="1" t="str">
        <f ca="1">IFERROR(__xludf.DUMMYFUNCTION("GOOGLETRANSLATE(English!D2307, ""en"", ""bg"")"),"химични реакции")</f>
        <v>химични реакции</v>
      </c>
      <c r="E2307" s="1" t="str">
        <f ca="1">IFERROR(__xludf.DUMMYFUNCTION("GOOGLETRANSLATE(English!E2307, ""en"", ""bg"")"),"Имам проблеми с химичните реакции в домашното си.")</f>
        <v>Имам проблеми с химичните реакции в домашното си.</v>
      </c>
      <c r="F2307" s="1" t="str">
        <f ca="1">IFERROR(__xludf.DUMMYFUNCTION("GOOGLETRANSLATE(English!F2307,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2307" s="1" t="str">
        <f ca="1">IFERROR(__xludf.DUMMYFUNCTION("GOOGLETRANSLATE(English!G2307, ""en"", ""bg"")"),"помощ_за_домашно_изпълнение")</f>
        <v>помощ_за_домашно_изпълнение</v>
      </c>
      <c r="H2307" s="1" t="str">
        <f ca="1">IFERROR(__xludf.DUMMYFUNCTION("GOOGLETRANSLATE(English!H2307, ""en"", ""bg"")"),"помощ_за_домашно_задаване")</f>
        <v>помощ_за_домашно_задаване</v>
      </c>
    </row>
    <row r="2308" spans="1:8" ht="13.2" x14ac:dyDescent="0.25">
      <c r="A2308" s="1" t="str">
        <f ca="1">IFERROR(__xludf.DUMMYFUNCTION("GOOGLETRANSLATE(English!A2308, ""en"", ""bg"")"),"hw_12162")</f>
        <v>hw_12162</v>
      </c>
      <c r="B2308" s="1" t="str">
        <f ca="1">IFERROR(__xludf.DUMMYFUNCTION("GOOGLETRANSLATE(English!B2308, ""en"", ""bg"")"),"химия")</f>
        <v>химия</v>
      </c>
      <c r="C2308" s="1" t="str">
        <f ca="1">IFERROR(__xludf.DUMMYFUNCTION("GOOGLETRANSLATE(English!C2308, ""en"", ""bg"")"),"високо")</f>
        <v>високо</v>
      </c>
      <c r="D2308" s="1" t="str">
        <f ca="1">IFERROR(__xludf.DUMMYFUNCTION("GOOGLETRANSLATE(English!D2308, ""en"", ""bg"")"),"химическо свързване")</f>
        <v>химическо свързване</v>
      </c>
      <c r="E2308" s="1" t="str">
        <f ca="1">IFERROR(__xludf.DUMMYFUNCTION("GOOGLETRANSLATE(English!E2308, ""en"", ""bg"")"),"Не разбирам тази концепция за химическа връзка. Моля, обяснете!")</f>
        <v>Не разбирам тази концепция за химическа връзка. Моля, обяснете!</v>
      </c>
      <c r="F2308" s="1" t="str">
        <f ca="1">IFERROR(__xludf.DUMMYFUNCTION("GOOGLETRANSLATE(English!F2308,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2308" s="1" t="str">
        <f ca="1">IFERROR(__xludf.DUMMYFUNCTION("GOOGLETRANSLATE(English!G2308, ""en"", ""bg"")"),"помощ_за_домашно_изпълнение")</f>
        <v>помощ_за_домашно_изпълнение</v>
      </c>
      <c r="H2308" s="1" t="str">
        <f ca="1">IFERROR(__xludf.DUMMYFUNCTION("GOOGLETRANSLATE(English!H2308, ""en"", ""bg"")"),"помощ_за_домашно_задаване")</f>
        <v>помощ_за_домашно_задаване</v>
      </c>
    </row>
    <row r="2309" spans="1:8" ht="13.2" x14ac:dyDescent="0.25">
      <c r="A2309" s="1" t="str">
        <f ca="1">IFERROR(__xludf.DUMMYFUNCTION("GOOGLETRANSLATE(English!A2309, ""en"", ""bg"")"),"conv_00534")</f>
        <v>conv_00534</v>
      </c>
      <c r="B2309" s="1" t="str">
        <f ca="1">IFERROR(__xludf.DUMMYFUNCTION("GOOGLETRANSLATE(English!B2309, ""en"", ""bg"")"),"физика")</f>
        <v>физика</v>
      </c>
      <c r="C2309" s="1" t="str">
        <f ca="1">IFERROR(__xludf.DUMMYFUNCTION("GOOGLETRANSLATE(English!C2309, ""en"", ""bg"")"),"високо")</f>
        <v>високо</v>
      </c>
      <c r="D2309" s="1" t="str">
        <f ca="1">IFERROR(__xludf.DUMMYFUNCTION("GOOGLETRANSLATE(English!D2309, ""en"", ""bg"")"),"атомна структура")</f>
        <v>атомна структура</v>
      </c>
      <c r="E2309" s="1" t="str">
        <f ca="1">IFERROR(__xludf.DUMMYFUNCTION("GOOGLETRANSLATE(English!E2309, ""en"", ""bg"")"),"Помогнете ми да уча за теста си. Как работи атомната структура във физиката?")</f>
        <v>Помогнете ми да уча за теста си. Как работи атомната структура във физиката?</v>
      </c>
      <c r="F2309" s="1" t="str">
        <f ca="1">IFERROR(__xludf.DUMMYFUNCTION("GOOGLETRANSLATE(English!F2309,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2309" s="1" t="str">
        <f ca="1">IFERROR(__xludf.DUMMYFUNCTION("GOOGLETRANSLATE(English!G2309, ""en"", ""bg"")"),"разговор")</f>
        <v>разговор</v>
      </c>
      <c r="H2309" s="1" t="str">
        <f ca="1">IFERROR(__xludf.DUMMYFUNCTION("GOOGLETRANSLATE(English!H2309, ""en"", ""bg"")"),"образователна_помощ")</f>
        <v>образователна_помощ</v>
      </c>
    </row>
    <row r="2310" spans="1:8" ht="13.2" x14ac:dyDescent="0.25">
      <c r="A2310" s="1" t="str">
        <f ca="1">IFERROR(__xludf.DUMMYFUNCTION("GOOGLETRANSLATE(English!A2310, ""en"", ""bg"")"),"conv_06565")</f>
        <v>conv_06565</v>
      </c>
      <c r="B2310" s="1" t="str">
        <f ca="1">IFERROR(__xludf.DUMMYFUNCTION("GOOGLETRANSLATE(English!B2310, ""en"", ""bg"")"),"физика")</f>
        <v>физика</v>
      </c>
      <c r="C2310" s="1" t="str">
        <f ca="1">IFERROR(__xludf.DUMMYFUNCTION("GOOGLETRANSLATE(English!C2310, ""en"", ""bg"")"),"високо")</f>
        <v>високо</v>
      </c>
      <c r="D2310" s="1" t="str">
        <f ca="1">IFERROR(__xludf.DUMMYFUNCTION("GOOGLETRANSLATE(English!D2310, ""en"", ""bg"")"),"електромагнетизъм")</f>
        <v>електромагнетизъм</v>
      </c>
      <c r="E2310" s="1" t="str">
        <f ca="1">IFERROR(__xludf.DUMMYFUNCTION("GOOGLETRANSLATE(English!E2310, ""en"", ""bg"")"),"Можете ли да ми обясните това? Защо електромагнетизмът е важен?")</f>
        <v>Можете ли да ми обясните това? Защо електромагнетизмът е важен?</v>
      </c>
      <c r="F2310" s="1" t="str">
        <f ca="1">IFERROR(__xludf.DUMMYFUNCTION("GOOGLETRANSLATE(English!F2310,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2310" s="1" t="str">
        <f ca="1">IFERROR(__xludf.DUMMYFUNCTION("GOOGLETRANSLATE(English!G2310, ""en"", ""bg"")"),"разговор")</f>
        <v>разговор</v>
      </c>
      <c r="H2310" s="1" t="str">
        <f ca="1">IFERROR(__xludf.DUMMYFUNCTION("GOOGLETRANSLATE(English!H2310, ""en"", ""bg"")"),"образователна_помощ")</f>
        <v>образователна_помощ</v>
      </c>
    </row>
    <row r="2311" spans="1:8" ht="13.2" x14ac:dyDescent="0.25">
      <c r="A2311" s="1" t="str">
        <f ca="1">IFERROR(__xludf.DUMMYFUNCTION("GOOGLETRANSLATE(English!A2311, ""en"", ""bg"")"),"qa_12008")</f>
        <v>qa_12008</v>
      </c>
      <c r="B2311" s="1" t="str">
        <f ca="1">IFERROR(__xludf.DUMMYFUNCTION("GOOGLETRANSLATE(English!B2311, ""en"", ""bg"")"),"физика")</f>
        <v>физика</v>
      </c>
      <c r="C2311" s="1" t="str">
        <f ca="1">IFERROR(__xludf.DUMMYFUNCTION("GOOGLETRANSLATE(English!C2311, ""en"", ""bg"")"),"средата")</f>
        <v>средата</v>
      </c>
      <c r="D2311" s="1" t="str">
        <f ca="1">IFERROR(__xludf.DUMMYFUNCTION("GOOGLETRANSLATE(English!D2311, ""en"", ""bg"")"),"вълни")</f>
        <v>вълни</v>
      </c>
      <c r="E2311" s="1" t="str">
        <f ca="1">IFERROR(__xludf.DUMMYFUNCTION("GOOGLETRANSLATE(English!E2311, ""en"", ""bg"")"),"Как работят вълните във физиката?")</f>
        <v>Как работят вълните във физиката?</v>
      </c>
      <c r="F2311" s="1" t="str">
        <f ca="1">IFERROR(__xludf.DUMMYFUNCTION("GOOGLETRANSLATE(English!F2311,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2311" s="1" t="str">
        <f ca="1">IFERROR(__xludf.DUMMYFUNCTION("GOOGLETRANSLATE(English!G2311, ""en"", ""bg"")"),"direct_qa")</f>
        <v>direct_qa</v>
      </c>
      <c r="H2311" s="1" t="str">
        <f ca="1">IFERROR(__xludf.DUMMYFUNCTION("GOOGLETRANSLATE(English!H2311, ""en"", ""bg"")"),"заявка_за_знание")</f>
        <v>заявка_за_знание</v>
      </c>
    </row>
    <row r="2312" spans="1:8" ht="13.2" x14ac:dyDescent="0.25">
      <c r="A2312" s="1" t="str">
        <f ca="1">IFERROR(__xludf.DUMMYFUNCTION("GOOGLETRANSLATE(English!A2312, ""en"", ""bg"")"),"conv_07495")</f>
        <v>conv_07495</v>
      </c>
      <c r="B2312" s="1" t="str">
        <f ca="1">IFERROR(__xludf.DUMMYFUNCTION("GOOGLETRANSLATE(English!B2312, ""en"", ""bg"")"),"биология")</f>
        <v>биология</v>
      </c>
      <c r="C2312" s="1" t="str">
        <f ca="1">IFERROR(__xludf.DUMMYFUNCTION("GOOGLETRANSLATE(English!C2312, ""en"", ""bg"")"),"средата")</f>
        <v>средата</v>
      </c>
      <c r="D2312" s="1" t="str">
        <f ca="1">IFERROR(__xludf.DUMMYFUNCTION("GOOGLETRANSLATE(English!D2312, ""en"", ""bg"")"),"дишане")</f>
        <v>дишане</v>
      </c>
      <c r="E2312" s="1" t="str">
        <f ca="1">IFERROR(__xludf.DUMMYFUNCTION("GOOGLETRANSLATE(English!E2312, ""en"", ""bg"")"),"Не разбирам тази тема. Как работи дишането?")</f>
        <v>Не разбирам тази тема. Как работи дишането?</v>
      </c>
      <c r="F2312" s="1" t="str">
        <f ca="1">IFERROR(__xludf.DUMMYFUNCTION("GOOGLETRANSLATE(English!F2312,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2312" s="1" t="str">
        <f ca="1">IFERROR(__xludf.DUMMYFUNCTION("GOOGLETRANSLATE(English!G2312, ""en"", ""bg"")"),"разговор")</f>
        <v>разговор</v>
      </c>
      <c r="H2312" s="1" t="str">
        <f ca="1">IFERROR(__xludf.DUMMYFUNCTION("GOOGLETRANSLATE(English!H2312, ""en"", ""bg"")"),"образователна_помощ")</f>
        <v>образователна_помощ</v>
      </c>
    </row>
    <row r="2313" spans="1:8" ht="13.2" x14ac:dyDescent="0.25">
      <c r="A2313" s="1" t="str">
        <f ca="1">IFERROR(__xludf.DUMMYFUNCTION("GOOGLETRANSLATE(English!A2313, ""en"", ""bg"")"),"hw_07904")</f>
        <v>hw_07904</v>
      </c>
      <c r="B2313" s="1" t="str">
        <f ca="1">IFERROR(__xludf.DUMMYFUNCTION("GOOGLETRANSLATE(English!B2313, ""en"", ""bg"")"),"химия")</f>
        <v>химия</v>
      </c>
      <c r="C2313" s="1" t="str">
        <f ca="1">IFERROR(__xludf.DUMMYFUNCTION("GOOGLETRANSLATE(English!C2313, ""en"", ""bg"")"),"високо")</f>
        <v>високо</v>
      </c>
      <c r="D2313" s="1" t="str">
        <f ca="1">IFERROR(__xludf.DUMMYFUNCTION("GOOGLETRANSLATE(English!D2313, ""en"", ""bg"")"),"скорости на реакция")</f>
        <v>скорости на реакция</v>
      </c>
      <c r="E2313" s="1" t="str">
        <f ca="1">IFERROR(__xludf.DUMMYFUNCTION("GOOGLETRANSLATE(English!E2313, ""en"", ""bg"")"),"Имам проблеми с темпото на реакция в домашните си.")</f>
        <v>Имам проблеми с темпото на реакция в домашните си.</v>
      </c>
      <c r="F2313" s="1" t="str">
        <f ca="1">IFERROR(__xludf.DUMMYFUNCTION("GOOGLETRANSLATE(English!F2313,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2313" s="1" t="str">
        <f ca="1">IFERROR(__xludf.DUMMYFUNCTION("GOOGLETRANSLATE(English!G2313, ""en"", ""bg"")"),"помощ_за_домашно_изпълнение")</f>
        <v>помощ_за_домашно_изпълнение</v>
      </c>
      <c r="H2313" s="1" t="str">
        <f ca="1">IFERROR(__xludf.DUMMYFUNCTION("GOOGLETRANSLATE(English!H2313, ""en"", ""bg"")"),"помощ_за_домашно_задаване")</f>
        <v>помощ_за_домашно_задаване</v>
      </c>
    </row>
    <row r="2314" spans="1:8" ht="13.2" x14ac:dyDescent="0.25">
      <c r="A2314" s="1" t="str">
        <f ca="1">IFERROR(__xludf.DUMMYFUNCTION("GOOGLETRANSLATE(English!A2314, ""en"", ""bg"")"),"hw_05991")</f>
        <v>hw_05991</v>
      </c>
      <c r="B2314" s="1" t="str">
        <f ca="1">IFERROR(__xludf.DUMMYFUNCTION("GOOGLETRANSLATE(English!B2314, ""en"", ""bg"")"),"химия")</f>
        <v>химия</v>
      </c>
      <c r="C2314" s="1" t="str">
        <f ca="1">IFERROR(__xludf.DUMMYFUNCTION("GOOGLETRANSLATE(English!C2314, ""en"", ""bg"")"),"елементарен")</f>
        <v>елементарен</v>
      </c>
      <c r="D2314" s="1" t="str">
        <f ca="1">IFERROR(__xludf.DUMMYFUNCTION("GOOGLETRANSLATE(English!D2314, ""en"", ""bg"")"),"безопасност")</f>
        <v>безопасност</v>
      </c>
      <c r="E2314" s="1" t="str">
        <f ca="1">IFERROR(__xludf.DUMMYFUNCTION("GOOGLETRANSLATE(English!E2314, ""en"", ""bg"")"),"Трудно ми е с безопасността при домашното.")</f>
        <v>Трудно ми е с безопасността при домашното.</v>
      </c>
      <c r="F2314" s="1" t="str">
        <f ca="1">IFERROR(__xludf.DUMMYFUNCTION("GOOGLETRANSLATE(English!F2314,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314" s="1" t="str">
        <f ca="1">IFERROR(__xludf.DUMMYFUNCTION("GOOGLETRANSLATE(English!G2314, ""en"", ""bg"")"),"помощ_за_домашно_изпълнение")</f>
        <v>помощ_за_домашно_изпълнение</v>
      </c>
      <c r="H2314" s="1" t="str">
        <f ca="1">IFERROR(__xludf.DUMMYFUNCTION("GOOGLETRANSLATE(English!H2314, ""en"", ""bg"")"),"помощ_за_домашно_задаване")</f>
        <v>помощ_за_домашно_задаване</v>
      </c>
    </row>
    <row r="2315" spans="1:8" ht="13.2" x14ac:dyDescent="0.25">
      <c r="A2315" s="1" t="str">
        <f ca="1">IFERROR(__xludf.DUMMYFUNCTION("GOOGLETRANSLATE(English!A2315, ""en"", ""bg"")"),"hw_07880")</f>
        <v>hw_07880</v>
      </c>
      <c r="B2315" s="1" t="str">
        <f ca="1">IFERROR(__xludf.DUMMYFUNCTION("GOOGLETRANSLATE(English!B2315, ""en"", ""bg"")"),"биология")</f>
        <v>биология</v>
      </c>
      <c r="C2315" s="1" t="str">
        <f ca="1">IFERROR(__xludf.DUMMYFUNCTION("GOOGLETRANSLATE(English!C2315, ""en"", ""bg"")"),"елементарен")</f>
        <v>елементарен</v>
      </c>
      <c r="D2315" s="1" t="str">
        <f ca="1">IFERROR(__xludf.DUMMYFUNCTION("GOOGLETRANSLATE(English!D2315, ""en"", ""bg"")"),"сетива")</f>
        <v>сетива</v>
      </c>
      <c r="E2315" s="1" t="str">
        <f ca="1">IFERROR(__xludf.DUMMYFUNCTION("GOOGLETRANSLATE(English!E2315, ""en"", ""bg"")"),"Утре имам тест по сетива. Помогни ми да уча!")</f>
        <v>Утре имам тест по сетива. Помогни ми да уча!</v>
      </c>
      <c r="F2315" s="1" t="str">
        <f ca="1">IFERROR(__xludf.DUMMYFUNCTION("GOOGLETRANSLATE(English!F2315,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2315" s="1" t="str">
        <f ca="1">IFERROR(__xludf.DUMMYFUNCTION("GOOGLETRANSLATE(English!G2315, ""en"", ""bg"")"),"помощ_за_домашно_изпълнение")</f>
        <v>помощ_за_домашно_изпълнение</v>
      </c>
      <c r="H2315" s="1" t="str">
        <f ca="1">IFERROR(__xludf.DUMMYFUNCTION("GOOGLETRANSLATE(English!H2315, ""en"", ""bg"")"),"помощ_за_домашно_задаване")</f>
        <v>помощ_за_домашно_задаване</v>
      </c>
    </row>
    <row r="2316" spans="1:8" ht="13.2" x14ac:dyDescent="0.25">
      <c r="A2316" s="1" t="str">
        <f ca="1">IFERROR(__xludf.DUMMYFUNCTION("GOOGLETRANSLATE(English!A2316, ""en"", ""bg"")"),"qa_08852")</f>
        <v>qa_08852</v>
      </c>
      <c r="B2316" s="1" t="str">
        <f ca="1">IFERROR(__xludf.DUMMYFUNCTION("GOOGLETRANSLATE(English!B2316, ""en"", ""bg"")"),"физика")</f>
        <v>физика</v>
      </c>
      <c r="C2316" s="1" t="str">
        <f ca="1">IFERROR(__xludf.DUMMYFUNCTION("GOOGLETRANSLATE(English!C2316, ""en"", ""bg"")"),"високо")</f>
        <v>високо</v>
      </c>
      <c r="D2316" s="1" t="str">
        <f ca="1">IFERROR(__xludf.DUMMYFUNCTION("GOOGLETRANSLATE(English!D2316, ""en"", ""bg"")"),"атомна структура")</f>
        <v>атомна структура</v>
      </c>
      <c r="E2316" s="1" t="str">
        <f ca="1">IFERROR(__xludf.DUMMYFUNCTION("GOOGLETRANSLATE(English!E2316, ""en"", ""bg"")"),"Можете ли да ми обясните структурата на атома?")</f>
        <v>Можете ли да ми обясните структурата на атома?</v>
      </c>
      <c r="F2316" s="1" t="str">
        <f ca="1">IFERROR(__xludf.DUMMYFUNCTION("GOOGLETRANSLATE(English!F2316,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2316" s="1" t="str">
        <f ca="1">IFERROR(__xludf.DUMMYFUNCTION("GOOGLETRANSLATE(English!G2316, ""en"", ""bg"")"),"direct_qa")</f>
        <v>direct_qa</v>
      </c>
      <c r="H2316" s="1" t="str">
        <f ca="1">IFERROR(__xludf.DUMMYFUNCTION("GOOGLETRANSLATE(English!H2316, ""en"", ""bg"")"),"заявка_за_знание")</f>
        <v>заявка_за_знание</v>
      </c>
    </row>
    <row r="2317" spans="1:8" ht="13.2" x14ac:dyDescent="0.25">
      <c r="A2317" s="1" t="str">
        <f ca="1">IFERROR(__xludf.DUMMYFUNCTION("GOOGLETRANSLATE(English!A2317, ""en"", ""bg"")"),"conv_16482")</f>
        <v>conv_16482</v>
      </c>
      <c r="B2317" s="1" t="str">
        <f ca="1">IFERROR(__xludf.DUMMYFUNCTION("GOOGLETRANSLATE(English!B2317, ""en"", ""bg"")"),"химия")</f>
        <v>химия</v>
      </c>
      <c r="C2317" s="1" t="str">
        <f ca="1">IFERROR(__xludf.DUMMYFUNCTION("GOOGLETRANSLATE(English!C2317, ""en"", ""bg"")"),"високо")</f>
        <v>високо</v>
      </c>
      <c r="D2317" s="1" t="str">
        <f ca="1">IFERROR(__xludf.DUMMYFUNCTION("GOOGLETRANSLATE(English!D2317, ""en"", ""bg"")"),"органична химия")</f>
        <v>органична химия</v>
      </c>
      <c r="E2317" s="1" t="str">
        <f ca="1">IFERROR(__xludf.DUMMYFUNCTION("GOOGLETRANSLATE(English!E2317, ""en"", ""bg"")"),"Не разбирам тази тема. Защо е важно да се учи органична химия?")</f>
        <v>Не разбирам тази тема. Защо е важно да се учи органична химия?</v>
      </c>
      <c r="F2317" s="1" t="str">
        <f ca="1">IFERROR(__xludf.DUMMYFUNCTION("GOOGLETRANSLATE(English!F2317,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2317" s="1" t="str">
        <f ca="1">IFERROR(__xludf.DUMMYFUNCTION("GOOGLETRANSLATE(English!G2317, ""en"", ""bg"")"),"разговор")</f>
        <v>разговор</v>
      </c>
      <c r="H2317" s="1" t="str">
        <f ca="1">IFERROR(__xludf.DUMMYFUNCTION("GOOGLETRANSLATE(English!H2317, ""en"", ""bg"")"),"образователна_помощ")</f>
        <v>образователна_помощ</v>
      </c>
    </row>
    <row r="2318" spans="1:8" ht="13.2" x14ac:dyDescent="0.25">
      <c r="A2318" s="1" t="str">
        <f ca="1">IFERROR(__xludf.DUMMYFUNCTION("GOOGLETRANSLATE(English!A2318, ""en"", ""bg"")"),"hw_07232")</f>
        <v>hw_07232</v>
      </c>
      <c r="B2318" s="1" t="str">
        <f ca="1">IFERROR(__xludf.DUMMYFUNCTION("GOOGLETRANSLATE(English!B2318, ""en"", ""bg"")"),"химия")</f>
        <v>химия</v>
      </c>
      <c r="C2318" s="1" t="str">
        <f ca="1">IFERROR(__xludf.DUMMYFUNCTION("GOOGLETRANSLATE(English!C2318, ""en"", ""bg"")"),"елементарен")</f>
        <v>елементарен</v>
      </c>
      <c r="D2318" s="1" t="str">
        <f ca="1">IFERROR(__xludf.DUMMYFUNCTION("GOOGLETRANSLATE(English!D2318, ""en"", ""bg"")"),"безопасност")</f>
        <v>безопасност</v>
      </c>
      <c r="E2318" s="1" t="str">
        <f ca="1">IFERROR(__xludf.DUMMYFUNCTION("GOOGLETRANSLATE(English!E2318,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2318" s="1" t="str">
        <f ca="1">IFERROR(__xludf.DUMMYFUNCTION("GOOGLETRANSLATE(English!F2318,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318" s="1" t="str">
        <f ca="1">IFERROR(__xludf.DUMMYFUNCTION("GOOGLETRANSLATE(English!G2318, ""en"", ""bg"")"),"помощ_за_домашно_изпълнение")</f>
        <v>помощ_за_домашно_изпълнение</v>
      </c>
      <c r="H2318" s="1" t="str">
        <f ca="1">IFERROR(__xludf.DUMMYFUNCTION("GOOGLETRANSLATE(English!H2318, ""en"", ""bg"")"),"помощ_за_домашно_задаване")</f>
        <v>помощ_за_домашно_задаване</v>
      </c>
    </row>
    <row r="2319" spans="1:8" ht="13.2" x14ac:dyDescent="0.25">
      <c r="A2319" s="1" t="str">
        <f ca="1">IFERROR(__xludf.DUMMYFUNCTION("GOOGLETRANSLATE(English!A2319, ""en"", ""bg"")"),"hw_01732")</f>
        <v>hw_01732</v>
      </c>
      <c r="B2319" s="1" t="str">
        <f ca="1">IFERROR(__xludf.DUMMYFUNCTION("GOOGLETRANSLATE(English!B2319, ""en"", ""bg"")"),"химия")</f>
        <v>химия</v>
      </c>
      <c r="C2319" s="1" t="str">
        <f ca="1">IFERROR(__xludf.DUMMYFUNCTION("GOOGLETRANSLATE(English!C2319, ""en"", ""bg"")"),"високо")</f>
        <v>високо</v>
      </c>
      <c r="D2319" s="1" t="str">
        <f ca="1">IFERROR(__xludf.DUMMYFUNCTION("GOOGLETRANSLATE(English!D2319, ""en"", ""bg"")"),"скорости на реакция")</f>
        <v>скорости на реакция</v>
      </c>
      <c r="E2319" s="1" t="str">
        <f ca="1">IFERROR(__xludf.DUMMYFUNCTION("GOOGLETRANSLATE(English!E2319, ""en"", ""bg"")"),"Не разбирам тази концепция за скоростта на реакцията. Моля, обяснете!")</f>
        <v>Не разбирам тази концепция за скоростта на реакцията. Моля, обяснете!</v>
      </c>
      <c r="F2319" s="1" t="str">
        <f ca="1">IFERROR(__xludf.DUMMYFUNCTION("GOOGLETRANSLATE(English!F2319,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2319" s="1" t="str">
        <f ca="1">IFERROR(__xludf.DUMMYFUNCTION("GOOGLETRANSLATE(English!G2319, ""en"", ""bg"")"),"помощ_за_домашно_изпълнение")</f>
        <v>помощ_за_домашно_изпълнение</v>
      </c>
      <c r="H2319" s="1" t="str">
        <f ca="1">IFERROR(__xludf.DUMMYFUNCTION("GOOGLETRANSLATE(English!H2319, ""en"", ""bg"")"),"помощ_за_домашно_задаване")</f>
        <v>помощ_за_домашно_задаване</v>
      </c>
    </row>
    <row r="2320" spans="1:8" ht="13.2" x14ac:dyDescent="0.25">
      <c r="A2320" s="1" t="str">
        <f ca="1">IFERROR(__xludf.DUMMYFUNCTION("GOOGLETRANSLATE(English!A2320, ""en"", ""bg"")"),"qa_01195")</f>
        <v>qa_01195</v>
      </c>
      <c r="B2320" s="1" t="str">
        <f ca="1">IFERROR(__xludf.DUMMYFUNCTION("GOOGLETRANSLATE(English!B2320, ""en"", ""bg"")"),"физика")</f>
        <v>физика</v>
      </c>
      <c r="C2320" s="1" t="str">
        <f ca="1">IFERROR(__xludf.DUMMYFUNCTION("GOOGLETRANSLATE(English!C2320, ""en"", ""bg"")"),"елементарен")</f>
        <v>елементарен</v>
      </c>
      <c r="D2320" s="1" t="str">
        <f ca="1">IFERROR(__xludf.DUMMYFUNCTION("GOOGLETRANSLATE(English!D2320, ""en"", ""bg"")"),"светлина и сянка")</f>
        <v>светлина и сянка</v>
      </c>
      <c r="E2320" s="1" t="str">
        <f ca="1">IFERROR(__xludf.DUMMYFUNCTION("GOOGLETRANSLATE(English!E2320, ""en"", ""bg"")"),"Как се правят сенките?")</f>
        <v>Как се правят сенките?</v>
      </c>
      <c r="F2320" s="1" t="str">
        <f ca="1">IFERROR(__xludf.DUMMYFUNCTION("GOOGLETRANSLATE(English!F2320,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2320" s="1" t="str">
        <f ca="1">IFERROR(__xludf.DUMMYFUNCTION("GOOGLETRANSLATE(English!G2320, ""en"", ""bg"")"),"direct_qa")</f>
        <v>direct_qa</v>
      </c>
      <c r="H2320" s="1" t="str">
        <f ca="1">IFERROR(__xludf.DUMMYFUNCTION("GOOGLETRANSLATE(English!H2320, ""en"", ""bg"")"),"заявка_за_знание")</f>
        <v>заявка_за_знание</v>
      </c>
    </row>
    <row r="2321" spans="1:8" ht="13.2" x14ac:dyDescent="0.25">
      <c r="A2321" s="1" t="str">
        <f ca="1">IFERROR(__xludf.DUMMYFUNCTION("GOOGLETRANSLATE(English!A2321, ""en"", ""bg"")"),"hw_01620")</f>
        <v>hw_01620</v>
      </c>
      <c r="B2321" s="1" t="str">
        <f ca="1">IFERROR(__xludf.DUMMYFUNCTION("GOOGLETRANSLATE(English!B2321, ""en"", ""bg"")"),"химия")</f>
        <v>химия</v>
      </c>
      <c r="C2321" s="1" t="str">
        <f ca="1">IFERROR(__xludf.DUMMYFUNCTION("GOOGLETRANSLATE(English!C2321, ""en"", ""bg"")"),"елементарен")</f>
        <v>елементарен</v>
      </c>
      <c r="D2321" s="1" t="str">
        <f ca="1">IFERROR(__xludf.DUMMYFUNCTION("GOOGLETRANSLATE(English!D2321, ""en"", ""bg"")"),"твърди вещества, течности, газове")</f>
        <v>твърди вещества, течности, газове</v>
      </c>
      <c r="E2321" s="1" t="str">
        <f ca="1">IFERROR(__xludf.DUMMYFUNCTION("GOOGLETRANSLATE(English!E2321, ""en"", ""bg"")"),"Не разбирам тази концепция за твърди вещества, течности и газове. Моля, обяснете!")</f>
        <v>Не разбирам тази концепция за твърди вещества, течности и газове. Моля, обяснете!</v>
      </c>
      <c r="F2321" s="1" t="str">
        <f ca="1">IFERROR(__xludf.DUMMYFUNCTION("GOOGLETRANSLATE(English!F2321,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321" s="1" t="str">
        <f ca="1">IFERROR(__xludf.DUMMYFUNCTION("GOOGLETRANSLATE(English!G2321, ""en"", ""bg"")"),"помощ_за_домашно_изпълнение")</f>
        <v>помощ_за_домашно_изпълнение</v>
      </c>
      <c r="H2321" s="1" t="str">
        <f ca="1">IFERROR(__xludf.DUMMYFUNCTION("GOOGLETRANSLATE(English!H2321, ""en"", ""bg"")"),"помощ_за_домашно_задаване")</f>
        <v>помощ_за_домашно_задаване</v>
      </c>
    </row>
    <row r="2322" spans="1:8" ht="13.2" x14ac:dyDescent="0.25">
      <c r="A2322" s="1" t="str">
        <f ca="1">IFERROR(__xludf.DUMMYFUNCTION("GOOGLETRANSLATE(English!A2322, ""en"", ""bg"")"),"hw_11542")</f>
        <v>hw_11542</v>
      </c>
      <c r="B2322" s="1" t="str">
        <f ca="1">IFERROR(__xludf.DUMMYFUNCTION("GOOGLETRANSLATE(English!B2322, ""en"", ""bg"")"),"физика")</f>
        <v>физика</v>
      </c>
      <c r="C2322" s="1" t="str">
        <f ca="1">IFERROR(__xludf.DUMMYFUNCTION("GOOGLETRANSLATE(English!C2322, ""en"", ""bg"")"),"високо")</f>
        <v>високо</v>
      </c>
      <c r="D2322" s="1" t="str">
        <f ca="1">IFERROR(__xludf.DUMMYFUNCTION("GOOGLETRANSLATE(English!D2322, ""en"", ""bg"")"),"оптика")</f>
        <v>оптика</v>
      </c>
      <c r="E2322" s="1" t="str">
        <f ca="1">IFERROR(__xludf.DUMMYFUNCTION("GOOGLETRANSLATE(English!E2322, ""en"", ""bg"")"),"Можете ли да решите този въпрос с оптиката с мен?")</f>
        <v>Можете ли да решите този въпрос с оптиката с мен?</v>
      </c>
      <c r="F2322" s="1" t="str">
        <f ca="1">IFERROR(__xludf.DUMMYFUNCTION("GOOGLETRANSLATE(English!F2322,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2322" s="1" t="str">
        <f ca="1">IFERROR(__xludf.DUMMYFUNCTION("GOOGLETRANSLATE(English!G2322, ""en"", ""bg"")"),"помощ_за_домашно_изпълнение")</f>
        <v>помощ_за_домашно_изпълнение</v>
      </c>
      <c r="H2322" s="1" t="str">
        <f ca="1">IFERROR(__xludf.DUMMYFUNCTION("GOOGLETRANSLATE(English!H2322, ""en"", ""bg"")"),"помощ_за_домашно_задаване")</f>
        <v>помощ_за_домашно_задаване</v>
      </c>
    </row>
    <row r="2323" spans="1:8" ht="13.2" x14ac:dyDescent="0.25">
      <c r="A2323" s="1" t="str">
        <f ca="1">IFERROR(__xludf.DUMMYFUNCTION("GOOGLETRANSLATE(English!A2323, ""en"", ""bg"")"),"conv_08832")</f>
        <v>conv_08832</v>
      </c>
      <c r="B2323" s="1" t="str">
        <f ca="1">IFERROR(__xludf.DUMMYFUNCTION("GOOGLETRANSLATE(English!B2323, ""en"", ""bg"")"),"физика")</f>
        <v>физика</v>
      </c>
      <c r="C2323" s="1" t="str">
        <f ca="1">IFERROR(__xludf.DUMMYFUNCTION("GOOGLETRANSLATE(English!C2323, ""en"", ""bg"")"),"високо")</f>
        <v>високо</v>
      </c>
      <c r="D2323" s="1" t="str">
        <f ca="1">IFERROR(__xludf.DUMMYFUNCTION("GOOGLETRANSLATE(English!D2323, ""en"", ""bg"")"),"атомна структура")</f>
        <v>атомна структура</v>
      </c>
      <c r="E2323" s="1" t="str">
        <f ca="1">IFERROR(__xludf.DUMMYFUNCTION("GOOGLETRANSLATE(English!E2323, ""en"", ""bg"")"),"Имам нужда от помощ с домашното си. Защо атомната структура е важна?")</f>
        <v>Имам нужда от помощ с домашното си. Защо атомната структура е важна?</v>
      </c>
      <c r="F2323" s="1" t="str">
        <f ca="1">IFERROR(__xludf.DUMMYFUNCTION("GOOGLETRANSLATE(English!F2323,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2323" s="1" t="str">
        <f ca="1">IFERROR(__xludf.DUMMYFUNCTION("GOOGLETRANSLATE(English!G2323, ""en"", ""bg"")"),"разговор")</f>
        <v>разговор</v>
      </c>
      <c r="H2323" s="1" t="str">
        <f ca="1">IFERROR(__xludf.DUMMYFUNCTION("GOOGLETRANSLATE(English!H2323, ""en"", ""bg"")"),"образователна_помощ")</f>
        <v>образователна_помощ</v>
      </c>
    </row>
    <row r="2324" spans="1:8" ht="13.2" x14ac:dyDescent="0.25">
      <c r="A2324" s="1" t="str">
        <f ca="1">IFERROR(__xludf.DUMMYFUNCTION("GOOGLETRANSLATE(English!A2324, ""en"", ""bg"")"),"conv_01636")</f>
        <v>conv_01636</v>
      </c>
      <c r="B2324" s="1" t="str">
        <f ca="1">IFERROR(__xludf.DUMMYFUNCTION("GOOGLETRANSLATE(English!B2324, ""en"", ""bg"")"),"физика")</f>
        <v>физика</v>
      </c>
      <c r="C2324" s="1" t="str">
        <f ca="1">IFERROR(__xludf.DUMMYFUNCTION("GOOGLETRANSLATE(English!C2324, ""en"", ""bg"")"),"елементарен")</f>
        <v>елементарен</v>
      </c>
      <c r="D2324" s="1" t="str">
        <f ca="1">IFERROR(__xludf.DUMMYFUNCTION("GOOGLETRANSLATE(English!D2324, ""en"", ""bg"")"),"магнити")</f>
        <v>магнити</v>
      </c>
      <c r="E2324" s="1" t="str">
        <f ca="1">IFERROR(__xludf.DUMMYFUNCTION("GOOGLETRANSLATE(English!E2324, ""en"", ""bg"")"),"Имам научен въпрос. Защо някои неща се залепват за магнити?")</f>
        <v>Имам научен въпрос. Защо някои неща се залепват за магнити?</v>
      </c>
      <c r="F2324" s="1" t="str">
        <f ca="1">IFERROR(__xludf.DUMMYFUNCTION("GOOGLETRANSLATE(English!F2324,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2324" s="1" t="str">
        <f ca="1">IFERROR(__xludf.DUMMYFUNCTION("GOOGLETRANSLATE(English!G2324, ""en"", ""bg"")"),"разговор")</f>
        <v>разговор</v>
      </c>
      <c r="H2324" s="1" t="str">
        <f ca="1">IFERROR(__xludf.DUMMYFUNCTION("GOOGLETRANSLATE(English!H2324, ""en"", ""bg"")"),"образователна_помощ")</f>
        <v>образователна_помощ</v>
      </c>
    </row>
    <row r="2325" spans="1:8" ht="13.2" x14ac:dyDescent="0.25">
      <c r="A2325" s="1" t="str">
        <f ca="1">IFERROR(__xludf.DUMMYFUNCTION("GOOGLETRANSLATE(English!A2325, ""en"", ""bg"")"),"conv_06795")</f>
        <v>conv_06795</v>
      </c>
      <c r="B2325" s="1" t="str">
        <f ca="1">IFERROR(__xludf.DUMMYFUNCTION("GOOGLETRANSLATE(English!B2325, ""en"", ""bg"")"),"биология")</f>
        <v>биология</v>
      </c>
      <c r="C2325" s="1" t="str">
        <f ca="1">IFERROR(__xludf.DUMMYFUNCTION("GOOGLETRANSLATE(English!C2325, ""en"", ""bg"")"),"високо")</f>
        <v>високо</v>
      </c>
      <c r="D2325" s="1" t="str">
        <f ca="1">IFERROR(__xludf.DUMMYFUNCTION("GOOGLETRANSLATE(English!D2325, ""en"", ""bg"")"),"молекулярна биология")</f>
        <v>молекулярна биология</v>
      </c>
      <c r="E2325" s="1" t="str">
        <f ca="1">IFERROR(__xludf.DUMMYFUNCTION("GOOGLETRANSLATE(English!E2325, ""en"", ""bg"")"),"Можете ли да ми обясните това? Защо молекулярната биология е важна в биологията?")</f>
        <v>Можете ли да ми обясните това? Защо молекулярната биология е важна в биологията?</v>
      </c>
      <c r="F2325" s="1" t="str">
        <f ca="1">IFERROR(__xludf.DUMMYFUNCTION("GOOGLETRANSLATE(English!F2325,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2325" s="1" t="str">
        <f ca="1">IFERROR(__xludf.DUMMYFUNCTION("GOOGLETRANSLATE(English!G2325, ""en"", ""bg"")"),"разговор")</f>
        <v>разговор</v>
      </c>
      <c r="H2325" s="1" t="str">
        <f ca="1">IFERROR(__xludf.DUMMYFUNCTION("GOOGLETRANSLATE(English!H2325, ""en"", ""bg"")"),"образователна_помощ")</f>
        <v>образователна_помощ</v>
      </c>
    </row>
    <row r="2326" spans="1:8" ht="13.2" x14ac:dyDescent="0.25">
      <c r="A2326" s="1" t="str">
        <f ca="1">IFERROR(__xludf.DUMMYFUNCTION("GOOGLETRANSLATE(English!A2326, ""en"", ""bg"")"),"qa_05083")</f>
        <v>qa_05083</v>
      </c>
      <c r="B2326" s="1" t="str">
        <f ca="1">IFERROR(__xludf.DUMMYFUNCTION("GOOGLETRANSLATE(English!B2326, ""en"", ""bg"")"),"физика")</f>
        <v>физика</v>
      </c>
      <c r="C2326" s="1" t="str">
        <f ca="1">IFERROR(__xludf.DUMMYFUNCTION("GOOGLETRANSLATE(English!C2326, ""en"", ""bg"")"),"елементарен")</f>
        <v>елементарен</v>
      </c>
      <c r="D2326" s="1" t="str">
        <f ca="1">IFERROR(__xludf.DUMMYFUNCTION("GOOGLETRANSLATE(English!D2326, ""en"", ""bg"")"),"плаващ и потъващ")</f>
        <v>плаващ и потъващ</v>
      </c>
      <c r="E2326" s="1" t="str">
        <f ca="1">IFERROR(__xludf.DUMMYFUNCTION("GOOGLETRANSLATE(English!E2326, ""en"", ""bg"")"),"Какво трябва да знам за плаването и потъването?")</f>
        <v>Какво трябва да знам за плаването и потъването?</v>
      </c>
      <c r="F2326" s="1" t="str">
        <f ca="1">IFERROR(__xludf.DUMMYFUNCTION("GOOGLETRANSLATE(English!F2326,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2326" s="1" t="str">
        <f ca="1">IFERROR(__xludf.DUMMYFUNCTION("GOOGLETRANSLATE(English!G2326, ""en"", ""bg"")"),"direct_qa")</f>
        <v>direct_qa</v>
      </c>
      <c r="H2326" s="1" t="str">
        <f ca="1">IFERROR(__xludf.DUMMYFUNCTION("GOOGLETRANSLATE(English!H2326, ""en"", ""bg"")"),"заявка_за_знание")</f>
        <v>заявка_за_знание</v>
      </c>
    </row>
    <row r="2327" spans="1:8" ht="13.2" x14ac:dyDescent="0.25">
      <c r="A2327" s="1" t="str">
        <f ca="1">IFERROR(__xludf.DUMMYFUNCTION("GOOGLETRANSLATE(English!A2327, ""en"", ""bg"")"),"conv_12586")</f>
        <v>conv_12586</v>
      </c>
      <c r="B2327" s="1" t="str">
        <f ca="1">IFERROR(__xludf.DUMMYFUNCTION("GOOGLETRANSLATE(English!B2327, ""en"", ""bg"")"),"химия")</f>
        <v>химия</v>
      </c>
      <c r="C2327" s="1" t="str">
        <f ca="1">IFERROR(__xludf.DUMMYFUNCTION("GOOGLETRANSLATE(English!C2327, ""en"", ""bg"")"),"средата")</f>
        <v>средата</v>
      </c>
      <c r="D2327" s="1" t="str">
        <f ca="1">IFERROR(__xludf.DUMMYFUNCTION("GOOGLETRANSLATE(English!D2327, ""en"", ""bg"")"),"киселини и основи")</f>
        <v>киселини и основи</v>
      </c>
      <c r="E2327" s="1" t="str">
        <f ca="1">IFERROR(__xludf.DUMMYFUNCTION("GOOGLETRANSLATE(English!E2327, ""en"", ""bg"")"),"Можете ли да ми обясните това? Можете ли да ми помогнете да разбера киселините и основите?")</f>
        <v>Можете ли да ми обясните това? Можете ли да ми помогнете да разбера киселините и основите?</v>
      </c>
      <c r="F2327" s="1" t="str">
        <f ca="1">IFERROR(__xludf.DUMMYFUNCTION("GOOGLETRANSLATE(English!F2327,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2327" s="1" t="str">
        <f ca="1">IFERROR(__xludf.DUMMYFUNCTION("GOOGLETRANSLATE(English!G2327, ""en"", ""bg"")"),"разговор")</f>
        <v>разговор</v>
      </c>
      <c r="H2327" s="1" t="str">
        <f ca="1">IFERROR(__xludf.DUMMYFUNCTION("GOOGLETRANSLATE(English!H2327, ""en"", ""bg"")"),"образователна_помощ")</f>
        <v>образователна_помощ</v>
      </c>
    </row>
    <row r="2328" spans="1:8" ht="13.2" x14ac:dyDescent="0.25">
      <c r="A2328" s="1" t="str">
        <f ca="1">IFERROR(__xludf.DUMMYFUNCTION("GOOGLETRANSLATE(English!A2328, ""en"", ""bg"")"),"hw_02302")</f>
        <v>hw_02302</v>
      </c>
      <c r="B2328" s="1" t="str">
        <f ca="1">IFERROR(__xludf.DUMMYFUNCTION("GOOGLETRANSLATE(English!B2328, ""en"", ""bg"")"),"химия")</f>
        <v>химия</v>
      </c>
      <c r="C2328" s="1" t="str">
        <f ca="1">IFERROR(__xludf.DUMMYFUNCTION("GOOGLETRANSLATE(English!C2328, ""en"", ""bg"")"),"високо")</f>
        <v>високо</v>
      </c>
      <c r="D2328" s="1" t="str">
        <f ca="1">IFERROR(__xludf.DUMMYFUNCTION("GOOGLETRANSLATE(English!D2328, ""en"", ""bg"")"),"електрохимия")</f>
        <v>електрохимия</v>
      </c>
      <c r="E2328" s="1" t="str">
        <f ca="1">IFERROR(__xludf.DUMMYFUNCTION("GOOGLETRANSLATE(English!E2328, ""en"", ""bg"")"),"Имам затруднения с електрохимията в домашното си.")</f>
        <v>Имам затруднения с електрохимията в домашното си.</v>
      </c>
      <c r="F2328" s="1" t="str">
        <f ca="1">IFERROR(__xludf.DUMMYFUNCTION("GOOGLETRANSLATE(English!F2328,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2328" s="1" t="str">
        <f ca="1">IFERROR(__xludf.DUMMYFUNCTION("GOOGLETRANSLATE(English!G2328, ""en"", ""bg"")"),"помощ_за_домашно_изпълнение")</f>
        <v>помощ_за_домашно_изпълнение</v>
      </c>
      <c r="H2328" s="1" t="str">
        <f ca="1">IFERROR(__xludf.DUMMYFUNCTION("GOOGLETRANSLATE(English!H2328, ""en"", ""bg"")"),"помощ_за_домашно_задаване")</f>
        <v>помощ_за_домашно_задаване</v>
      </c>
    </row>
    <row r="2329" spans="1:8" ht="13.2" x14ac:dyDescent="0.25">
      <c r="A2329" s="1" t="str">
        <f ca="1">IFERROR(__xludf.DUMMYFUNCTION("GOOGLETRANSLATE(English!A2329, ""en"", ""bg"")"),"hw_06203")</f>
        <v>hw_06203</v>
      </c>
      <c r="B2329" s="1" t="str">
        <f ca="1">IFERROR(__xludf.DUMMYFUNCTION("GOOGLETRANSLATE(English!B2329, ""en"", ""bg"")"),"биология")</f>
        <v>биология</v>
      </c>
      <c r="C2329" s="1" t="str">
        <f ca="1">IFERROR(__xludf.DUMMYFUNCTION("GOOGLETRANSLATE(English!C2329, ""en"", ""bg"")"),"високо")</f>
        <v>високо</v>
      </c>
      <c r="D2329" s="1" t="str">
        <f ca="1">IFERROR(__xludf.DUMMYFUNCTION("GOOGLETRANSLATE(English!D2329, ""en"", ""bg"")"),"молекулярна биология")</f>
        <v>молекулярна биология</v>
      </c>
      <c r="E2329" s="1" t="str">
        <f ca="1">IFERROR(__xludf.DUMMYFUNCTION("GOOGLETRANSLATE(English!E2329,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2329" s="1" t="str">
        <f ca="1">IFERROR(__xludf.DUMMYFUNCTION("GOOGLETRANSLATE(English!F2329,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2329" s="1" t="str">
        <f ca="1">IFERROR(__xludf.DUMMYFUNCTION("GOOGLETRANSLATE(English!G2329, ""en"", ""bg"")"),"помощ_за_домашно_изпълнение")</f>
        <v>помощ_за_домашно_изпълнение</v>
      </c>
      <c r="H2329" s="1" t="str">
        <f ca="1">IFERROR(__xludf.DUMMYFUNCTION("GOOGLETRANSLATE(English!H2329, ""en"", ""bg"")"),"помощ_за_домашно_задаване")</f>
        <v>помощ_за_домашно_задаване</v>
      </c>
    </row>
    <row r="2330" spans="1:8" ht="13.2" x14ac:dyDescent="0.25">
      <c r="A2330" s="1" t="str">
        <f ca="1">IFERROR(__xludf.DUMMYFUNCTION("GOOGLETRANSLATE(English!A2330, ""en"", ""bg"")"),"conv_08164")</f>
        <v>conv_08164</v>
      </c>
      <c r="B2330" s="1" t="str">
        <f ca="1">IFERROR(__xludf.DUMMYFUNCTION("GOOGLETRANSLATE(English!B2330, ""en"", ""bg"")"),"биология")</f>
        <v>биология</v>
      </c>
      <c r="C2330" s="1" t="str">
        <f ca="1">IFERROR(__xludf.DUMMYFUNCTION("GOOGLETRANSLATE(English!C2330, ""en"", ""bg"")"),"високо")</f>
        <v>високо</v>
      </c>
      <c r="D2330" s="1" t="str">
        <f ca="1">IFERROR(__xludf.DUMMYFUNCTION("GOOGLETRANSLATE(English!D2330, ""en"", ""bg"")"),"Структура на ДНК")</f>
        <v>Структура на ДНК</v>
      </c>
      <c r="E2330" s="1" t="str">
        <f ca="1">IFERROR(__xludf.DUMMYFUNCTION("GOOGLETRANSLATE(English!E2330, ""en"", ""bg"")"),"Имам научен въпрос. Можете ли да ми разкажете за структурата на ДНК?")</f>
        <v>Имам научен въпрос. Можете ли да ми разкажете за структурата на ДНК?</v>
      </c>
      <c r="F2330" s="1" t="str">
        <f ca="1">IFERROR(__xludf.DUMMYFUNCTION("GOOGLETRANSLATE(English!F2330,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2330" s="1" t="str">
        <f ca="1">IFERROR(__xludf.DUMMYFUNCTION("GOOGLETRANSLATE(English!G2330, ""en"", ""bg"")"),"разговор")</f>
        <v>разговор</v>
      </c>
      <c r="H2330" s="1" t="str">
        <f ca="1">IFERROR(__xludf.DUMMYFUNCTION("GOOGLETRANSLATE(English!H2330, ""en"", ""bg"")"),"образователна_помощ")</f>
        <v>образователна_помощ</v>
      </c>
    </row>
    <row r="2331" spans="1:8" ht="13.2" x14ac:dyDescent="0.25">
      <c r="A2331" s="1" t="str">
        <f ca="1">IFERROR(__xludf.DUMMYFUNCTION("GOOGLETRANSLATE(English!A2331, ""en"", ""bg"")"),"qa_12139")</f>
        <v>qa_12139</v>
      </c>
      <c r="B2331" s="1" t="str">
        <f ca="1">IFERROR(__xludf.DUMMYFUNCTION("GOOGLETRANSLATE(English!B2331, ""en"", ""bg"")"),"химия")</f>
        <v>химия</v>
      </c>
      <c r="C2331" s="1" t="str">
        <f ca="1">IFERROR(__xludf.DUMMYFUNCTION("GOOGLETRANSLATE(English!C2331, ""en"", ""bg"")"),"високо")</f>
        <v>високо</v>
      </c>
      <c r="D2331" s="1" t="str">
        <f ca="1">IFERROR(__xludf.DUMMYFUNCTION("GOOGLETRANSLATE(English!D2331, ""en"", ""bg"")"),"равновесие")</f>
        <v>равновесие</v>
      </c>
      <c r="E2331" s="1" t="str">
        <f ca="1">IFERROR(__xludf.DUMMYFUNCTION("GOOGLETRANSLATE(English!E2331, ""en"", ""bg"")"),"Как работи равновесието в химията?")</f>
        <v>Как работи равновесието в химията?</v>
      </c>
      <c r="F2331" s="1" t="str">
        <f ca="1">IFERROR(__xludf.DUMMYFUNCTION("GOOGLETRANSLATE(English!F2331,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2331" s="1" t="str">
        <f ca="1">IFERROR(__xludf.DUMMYFUNCTION("GOOGLETRANSLATE(English!G2331, ""en"", ""bg"")"),"direct_qa")</f>
        <v>direct_qa</v>
      </c>
      <c r="H2331" s="1" t="str">
        <f ca="1">IFERROR(__xludf.DUMMYFUNCTION("GOOGLETRANSLATE(English!H2331, ""en"", ""bg"")"),"заявка_за_знание")</f>
        <v>заявка_за_знание</v>
      </c>
    </row>
    <row r="2332" spans="1:8" ht="13.2" x14ac:dyDescent="0.25">
      <c r="A2332" s="1" t="str">
        <f ca="1">IFERROR(__xludf.DUMMYFUNCTION("GOOGLETRANSLATE(English!A2332, ""en"", ""bg"")"),"qa_11030")</f>
        <v>qa_11030</v>
      </c>
      <c r="B2332" s="1" t="str">
        <f ca="1">IFERROR(__xludf.DUMMYFUNCTION("GOOGLETRANSLATE(English!B2332, ""en"", ""bg"")"),"биология")</f>
        <v>биология</v>
      </c>
      <c r="C2332" s="1" t="str">
        <f ca="1">IFERROR(__xludf.DUMMYFUNCTION("GOOGLETRANSLATE(English!C2332, ""en"", ""bg"")"),"средата")</f>
        <v>средата</v>
      </c>
      <c r="D2332" s="1" t="str">
        <f ca="1">IFERROR(__xludf.DUMMYFUNCTION("GOOGLETRANSLATE(English!D2332, ""en"", ""bg"")"),"дишане")</f>
        <v>дишане</v>
      </c>
      <c r="E2332" s="1" t="str">
        <f ca="1">IFERROR(__xludf.DUMMYFUNCTION("GOOGLETRANSLATE(English!E2332, ""en"", ""bg"")"),"Защо дишането е важно в биологията?")</f>
        <v>Защо дишането е важно в биологията?</v>
      </c>
      <c r="F2332" s="1" t="str">
        <f ca="1">IFERROR(__xludf.DUMMYFUNCTION("GOOGLETRANSLATE(English!F2332, ""en"", ""bg"")"),"Дишането е важно, защото ни помага да разберем живота и как живите същества оцеляват.")</f>
        <v>Дишането е важно, защото ни помага да разберем живота и как живите същества оцеляват.</v>
      </c>
      <c r="G2332" s="1" t="str">
        <f ca="1">IFERROR(__xludf.DUMMYFUNCTION("GOOGLETRANSLATE(English!G2332, ""en"", ""bg"")"),"direct_qa")</f>
        <v>direct_qa</v>
      </c>
      <c r="H2332" s="1" t="str">
        <f ca="1">IFERROR(__xludf.DUMMYFUNCTION("GOOGLETRANSLATE(English!H2332, ""en"", ""bg"")"),"заявка_за_знание")</f>
        <v>заявка_за_знание</v>
      </c>
    </row>
    <row r="2333" spans="1:8" ht="13.2" x14ac:dyDescent="0.25">
      <c r="A2333" s="1" t="str">
        <f ca="1">IFERROR(__xludf.DUMMYFUNCTION("GOOGLETRANSLATE(English!A2333, ""en"", ""bg"")"),"conv_00089")</f>
        <v>conv_00089</v>
      </c>
      <c r="B2333" s="1" t="str">
        <f ca="1">IFERROR(__xludf.DUMMYFUNCTION("GOOGLETRANSLATE(English!B2333, ""en"", ""bg"")"),"биология")</f>
        <v>биология</v>
      </c>
      <c r="C2333" s="1" t="str">
        <f ca="1">IFERROR(__xludf.DUMMYFUNCTION("GOOGLETRANSLATE(English!C2333, ""en"", ""bg"")"),"елементарен")</f>
        <v>елементарен</v>
      </c>
      <c r="D2333" s="1" t="str">
        <f ca="1">IFERROR(__xludf.DUMMYFUNCTION("GOOGLETRANSLATE(English!D2333, ""en"", ""bg"")"),"животни")</f>
        <v>животни</v>
      </c>
      <c r="E2333" s="1" t="str">
        <f ca="1">IFERROR(__xludf.DUMMYFUNCTION("GOOGLETRANSLATE(English!E2333, ""en"", ""bg"")"),"Можете ли да ми помогнете? Как животните се защитават?")</f>
        <v>Можете ли да ми помогнете? Как животните се защитават?</v>
      </c>
      <c r="F2333" s="1" t="str">
        <f ca="1">IFERROR(__xludf.DUMMYFUNCTION("GOOGLETRANSLATE(English!F2333, ""en"", ""bg"")"),"Животните се защитават по много начини: камуфлаж, бързо бягане, остри зъби или нокти или живот на групи!")</f>
        <v>Животните се защитават по много начини: камуфлаж, бързо бягане, остри зъби или нокти или живот на групи!</v>
      </c>
      <c r="G2333" s="1" t="str">
        <f ca="1">IFERROR(__xludf.DUMMYFUNCTION("GOOGLETRANSLATE(English!G2333, ""en"", ""bg"")"),"разговор")</f>
        <v>разговор</v>
      </c>
      <c r="H2333" s="1" t="str">
        <f ca="1">IFERROR(__xludf.DUMMYFUNCTION("GOOGLETRANSLATE(English!H2333, ""en"", ""bg"")"),"образователна_помощ")</f>
        <v>образователна_помощ</v>
      </c>
    </row>
    <row r="2334" spans="1:8" ht="13.2" x14ac:dyDescent="0.25">
      <c r="A2334" s="1" t="str">
        <f ca="1">IFERROR(__xludf.DUMMYFUNCTION("GOOGLETRANSLATE(English!A2334, ""en"", ""bg"")"),"conv_17166")</f>
        <v>conv_17166</v>
      </c>
      <c r="B2334" s="1" t="str">
        <f ca="1">IFERROR(__xludf.DUMMYFUNCTION("GOOGLETRANSLATE(English!B2334, ""en"", ""bg"")"),"биология")</f>
        <v>биология</v>
      </c>
      <c r="C2334" s="1" t="str">
        <f ca="1">IFERROR(__xludf.DUMMYFUNCTION("GOOGLETRANSLATE(English!C2334, ""en"", ""bg"")"),"средата")</f>
        <v>средата</v>
      </c>
      <c r="D2334" s="1" t="str">
        <f ca="1">IFERROR(__xludf.DUMMYFUNCTION("GOOGLETRANSLATE(English!D2334, ""en"", ""bg"")"),"класификация")</f>
        <v>класификация</v>
      </c>
      <c r="E2334" s="1" t="str">
        <f ca="1">IFERROR(__xludf.DUMMYFUNCTION("GOOGLETRANSLATE(English!E2334, ""en"", ""bg"")"),"Можете ли да ми помогнете? Какво е важно да се знае за класификацията?")</f>
        <v>Можете ли да ми помогнете? Какво е важно да се знае за класификацията?</v>
      </c>
      <c r="F2334" s="1" t="str">
        <f ca="1">IFERROR(__xludf.DUMMYFUNCTION("GOOGLETRANSLATE(English!F2334,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2334" s="1" t="str">
        <f ca="1">IFERROR(__xludf.DUMMYFUNCTION("GOOGLETRANSLATE(English!G2334, ""en"", ""bg"")"),"разговор")</f>
        <v>разговор</v>
      </c>
      <c r="H2334" s="1" t="str">
        <f ca="1">IFERROR(__xludf.DUMMYFUNCTION("GOOGLETRANSLATE(English!H2334, ""en"", ""bg"")"),"образователна_помощ")</f>
        <v>образователна_помощ</v>
      </c>
    </row>
    <row r="2335" spans="1:8" ht="13.2" x14ac:dyDescent="0.25">
      <c r="A2335" s="1" t="str">
        <f ca="1">IFERROR(__xludf.DUMMYFUNCTION("GOOGLETRANSLATE(English!A2335, ""en"", ""bg"")"),"conv_08381")</f>
        <v>conv_08381</v>
      </c>
      <c r="B2335" s="1" t="str">
        <f ca="1">IFERROR(__xludf.DUMMYFUNCTION("GOOGLETRANSLATE(English!B2335, ""en"", ""bg"")"),"химия")</f>
        <v>химия</v>
      </c>
      <c r="C2335" s="1" t="str">
        <f ca="1">IFERROR(__xludf.DUMMYFUNCTION("GOOGLETRANSLATE(English!C2335, ""en"", ""bg"")"),"средата")</f>
        <v>средата</v>
      </c>
      <c r="D2335" s="1" t="str">
        <f ca="1">IFERROR(__xludf.DUMMYFUNCTION("GOOGLETRANSLATE(English!D2335, ""en"", ""bg"")"),"съединения срещу елементи")</f>
        <v>съединения срещу елементи</v>
      </c>
      <c r="E2335" s="1" t="str">
        <f ca="1">IFERROR(__xludf.DUMMYFUNCTION("GOOGLETRANSLATE(English!E2335, ""en"", ""bg"")"),"Имам научен въпрос. Можете ли да ми помогнете да разбера какво представляват съединенията и елементите?")</f>
        <v>Имам научен въпрос. Можете ли да ми помогнете да разбера какво представляват съединенията и елементите?</v>
      </c>
      <c r="F2335" s="1" t="str">
        <f ca="1">IFERROR(__xludf.DUMMYFUNCTION("GOOGLETRANSLATE(English!F2335,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2335" s="1" t="str">
        <f ca="1">IFERROR(__xludf.DUMMYFUNCTION("GOOGLETRANSLATE(English!G2335, ""en"", ""bg"")"),"разговор")</f>
        <v>разговор</v>
      </c>
      <c r="H2335" s="1" t="str">
        <f ca="1">IFERROR(__xludf.DUMMYFUNCTION("GOOGLETRANSLATE(English!H2335, ""en"", ""bg"")"),"образователна_помощ")</f>
        <v>образователна_помощ</v>
      </c>
    </row>
    <row r="2336" spans="1:8" ht="13.2" x14ac:dyDescent="0.25">
      <c r="A2336" s="1" t="str">
        <f ca="1">IFERROR(__xludf.DUMMYFUNCTION("GOOGLETRANSLATE(English!A2336, ""en"", ""bg"")"),"hw_12323")</f>
        <v>hw_12323</v>
      </c>
      <c r="B2336" s="1" t="str">
        <f ca="1">IFERROR(__xludf.DUMMYFUNCTION("GOOGLETRANSLATE(English!B2336, ""en"", ""bg"")"),"химия")</f>
        <v>химия</v>
      </c>
      <c r="C2336" s="1" t="str">
        <f ca="1">IFERROR(__xludf.DUMMYFUNCTION("GOOGLETRANSLATE(English!C2336, ""en"", ""bg"")"),"високо")</f>
        <v>високо</v>
      </c>
      <c r="D2336" s="1" t="str">
        <f ca="1">IFERROR(__xludf.DUMMYFUNCTION("GOOGLETRANSLATE(English!D2336, ""en"", ""bg"")"),"електрохимия")</f>
        <v>електрохимия</v>
      </c>
      <c r="E2336" s="1" t="str">
        <f ca="1">IFERROR(__xludf.DUMMYFUNCTION("GOOGLETRANSLATE(English!E2336, ""en"", ""bg"")"),"Не разбирам тази концепция за електрохимия. Моля, обяснете!")</f>
        <v>Не разбирам тази концепция за електрохимия. Моля, обяснете!</v>
      </c>
      <c r="F2336" s="1" t="str">
        <f ca="1">IFERROR(__xludf.DUMMYFUNCTION("GOOGLETRANSLATE(English!F2336,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2336" s="1" t="str">
        <f ca="1">IFERROR(__xludf.DUMMYFUNCTION("GOOGLETRANSLATE(English!G2336, ""en"", ""bg"")"),"помощ_за_домашно_изпълнение")</f>
        <v>помощ_за_домашно_изпълнение</v>
      </c>
      <c r="H2336" s="1" t="str">
        <f ca="1">IFERROR(__xludf.DUMMYFUNCTION("GOOGLETRANSLATE(English!H2336, ""en"", ""bg"")"),"помощ_за_домашно_задаване")</f>
        <v>помощ_за_домашно_задаване</v>
      </c>
    </row>
    <row r="2337" spans="1:8" ht="13.2" x14ac:dyDescent="0.25">
      <c r="A2337" s="1" t="str">
        <f ca="1">IFERROR(__xludf.DUMMYFUNCTION("GOOGLETRANSLATE(English!A2337, ""en"", ""bg"")"),"conv_07423")</f>
        <v>conv_07423</v>
      </c>
      <c r="B2337" s="1" t="str">
        <f ca="1">IFERROR(__xludf.DUMMYFUNCTION("GOOGLETRANSLATE(English!B2337, ""en"", ""bg"")"),"физика")</f>
        <v>физика</v>
      </c>
      <c r="C2337" s="1" t="str">
        <f ca="1">IFERROR(__xludf.DUMMYFUNCTION("GOOGLETRANSLATE(English!C2337, ""en"", ""bg"")"),"високо")</f>
        <v>високо</v>
      </c>
      <c r="D2337" s="1" t="str">
        <f ca="1">IFERROR(__xludf.DUMMYFUNCTION("GOOGLETRANSLATE(English!D2337, ""en"", ""bg"")"),"механика")</f>
        <v>механика</v>
      </c>
      <c r="E2337" s="1" t="str">
        <f ca="1">IFERROR(__xludf.DUMMYFUNCTION("GOOGLETRANSLATE(English!E2337, ""en"", ""bg"")"),"Можете ли да ми помогнете? Защо механиката е важна?")</f>
        <v>Можете ли да ми помогнете? Защо механиката е важна?</v>
      </c>
      <c r="F2337" s="1" t="str">
        <f ca="1">IFERROR(__xludf.DUMMYFUNCTION("GOOGLETRANSLATE(English!F2337,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2337" s="1" t="str">
        <f ca="1">IFERROR(__xludf.DUMMYFUNCTION("GOOGLETRANSLATE(English!G2337, ""en"", ""bg"")"),"разговор")</f>
        <v>разговор</v>
      </c>
      <c r="H2337" s="1" t="str">
        <f ca="1">IFERROR(__xludf.DUMMYFUNCTION("GOOGLETRANSLATE(English!H2337, ""en"", ""bg"")"),"образователна_помощ")</f>
        <v>образователна_помощ</v>
      </c>
    </row>
    <row r="2338" spans="1:8" ht="13.2" x14ac:dyDescent="0.25">
      <c r="A2338" s="1" t="str">
        <f ca="1">IFERROR(__xludf.DUMMYFUNCTION("GOOGLETRANSLATE(English!A2338, ""en"", ""bg"")"),"conv_08919")</f>
        <v>conv_08919</v>
      </c>
      <c r="B2338" s="1" t="str">
        <f ca="1">IFERROR(__xludf.DUMMYFUNCTION("GOOGLETRANSLATE(English!B2338, ""en"", ""bg"")"),"биология")</f>
        <v>биология</v>
      </c>
      <c r="C2338" s="1" t="str">
        <f ca="1">IFERROR(__xludf.DUMMYFUNCTION("GOOGLETRANSLATE(English!C2338, ""en"", ""bg"")"),"средата")</f>
        <v>средата</v>
      </c>
      <c r="D2338" s="1" t="str">
        <f ca="1">IFERROR(__xludf.DUMMYFUNCTION("GOOGLETRANSLATE(English!D2338, ""en"", ""bg"")"),"екосистеми")</f>
        <v>екосистеми</v>
      </c>
      <c r="E2338" s="1" t="str">
        <f ca="1">IFERROR(__xludf.DUMMYFUNCTION("GOOGLETRANSLATE(English!E2338, ""en"", ""bg"")"),"Имам научен въпрос. Можете ли да ми разкажете за екосистемите?")</f>
        <v>Имам научен въпрос. Можете ли да ми разкажете за екосистемите?</v>
      </c>
      <c r="F2338" s="1" t="str">
        <f ca="1">IFERROR(__xludf.DUMMYFUNCTION("GOOGLETRANSLATE(English!F2338,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2338" s="1" t="str">
        <f ca="1">IFERROR(__xludf.DUMMYFUNCTION("GOOGLETRANSLATE(English!G2338, ""en"", ""bg"")"),"разговор")</f>
        <v>разговор</v>
      </c>
      <c r="H2338" s="1" t="str">
        <f ca="1">IFERROR(__xludf.DUMMYFUNCTION("GOOGLETRANSLATE(English!H2338, ""en"", ""bg"")"),"образователна_помощ")</f>
        <v>образователна_помощ</v>
      </c>
    </row>
    <row r="2339" spans="1:8" ht="13.2" x14ac:dyDescent="0.25">
      <c r="A2339" s="1" t="str">
        <f ca="1">IFERROR(__xludf.DUMMYFUNCTION("GOOGLETRANSLATE(English!A2339, ""en"", ""bg"")"),"hw_12277")</f>
        <v>hw_12277</v>
      </c>
      <c r="B2339" s="1" t="str">
        <f ca="1">IFERROR(__xludf.DUMMYFUNCTION("GOOGLETRANSLATE(English!B2339, ""en"", ""bg"")"),"химия")</f>
        <v>химия</v>
      </c>
      <c r="C2339" s="1" t="str">
        <f ca="1">IFERROR(__xludf.DUMMYFUNCTION("GOOGLETRANSLATE(English!C2339, ""en"", ""bg"")"),"средата")</f>
        <v>средата</v>
      </c>
      <c r="D2339" s="1" t="str">
        <f ca="1">IFERROR(__xludf.DUMMYFUNCTION("GOOGLETRANSLATE(English!D2339, ""en"", ""bg"")"),"химични промени")</f>
        <v>химични промени</v>
      </c>
      <c r="E2339" s="1" t="str">
        <f ca="1">IFERROR(__xludf.DUMMYFUNCTION("GOOGLETRANSLATE(English!E2339, ""en"", ""bg"")"),"Имам проблеми с химичните промени в домашното си.")</f>
        <v>Имам проблеми с химичните промени в домашното си.</v>
      </c>
      <c r="F2339" s="1" t="str">
        <f ca="1">IFERROR(__xludf.DUMMYFUNCTION("GOOGLETRANSLATE(English!F2339,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2339" s="1" t="str">
        <f ca="1">IFERROR(__xludf.DUMMYFUNCTION("GOOGLETRANSLATE(English!G2339, ""en"", ""bg"")"),"помощ_за_домашно_изпълнение")</f>
        <v>помощ_за_домашно_изпълнение</v>
      </c>
      <c r="H2339" s="1" t="str">
        <f ca="1">IFERROR(__xludf.DUMMYFUNCTION("GOOGLETRANSLATE(English!H2339, ""en"", ""bg"")"),"помощ_за_домашно_задаване")</f>
        <v>помощ_за_домашно_задаване</v>
      </c>
    </row>
    <row r="2340" spans="1:8" ht="13.2" x14ac:dyDescent="0.25">
      <c r="A2340" s="1" t="str">
        <f ca="1">IFERROR(__xludf.DUMMYFUNCTION("GOOGLETRANSLATE(English!A2340, ""en"", ""bg"")"),"conv_14665")</f>
        <v>conv_14665</v>
      </c>
      <c r="B2340" s="1" t="str">
        <f ca="1">IFERROR(__xludf.DUMMYFUNCTION("GOOGLETRANSLATE(English!B2340, ""en"", ""bg"")"),"физика")</f>
        <v>физика</v>
      </c>
      <c r="C2340" s="1" t="str">
        <f ca="1">IFERROR(__xludf.DUMMYFUNCTION("GOOGLETRANSLATE(English!C2340, ""en"", ""bg"")"),"елементарен")</f>
        <v>елементарен</v>
      </c>
      <c r="D2340" s="1" t="str">
        <f ca="1">IFERROR(__xludf.DUMMYFUNCTION("GOOGLETRANSLATE(English!D2340, ""en"", ""bg"")"),"звук")</f>
        <v>звук</v>
      </c>
      <c r="E2340" s="1" t="str">
        <f ca="1">IFERROR(__xludf.DUMMYFUNCTION("GOOGLETRANSLATE(English!E2340, ""en"", ""bg"")"),"Имам научен въпрос. Какво трябва да знам за звука?")</f>
        <v>Имам научен въпрос. Какво трябва да знам за звука?</v>
      </c>
      <c r="F2340" s="1" t="str">
        <f ca="1">IFERROR(__xludf.DUMMYFUNCTION("GOOGLETRANSLATE(English!F2340,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2340" s="1" t="str">
        <f ca="1">IFERROR(__xludf.DUMMYFUNCTION("GOOGLETRANSLATE(English!G2340, ""en"", ""bg"")"),"разговор")</f>
        <v>разговор</v>
      </c>
      <c r="H2340" s="1" t="str">
        <f ca="1">IFERROR(__xludf.DUMMYFUNCTION("GOOGLETRANSLATE(English!H2340, ""en"", ""bg"")"),"образователна_помощ")</f>
        <v>образователна_помощ</v>
      </c>
    </row>
    <row r="2341" spans="1:8" ht="13.2" x14ac:dyDescent="0.25">
      <c r="A2341" s="1" t="str">
        <f ca="1">IFERROR(__xludf.DUMMYFUNCTION("GOOGLETRANSLATE(English!A2341, ""en"", ""bg"")"),"hw_05085")</f>
        <v>hw_05085</v>
      </c>
      <c r="B2341" s="1" t="str">
        <f ca="1">IFERROR(__xludf.DUMMYFUNCTION("GOOGLETRANSLATE(English!B2341, ""en"", ""bg"")"),"химия")</f>
        <v>химия</v>
      </c>
      <c r="C2341" s="1" t="str">
        <f ca="1">IFERROR(__xludf.DUMMYFUNCTION("GOOGLETRANSLATE(English!C2341, ""en"", ""bg"")"),"елементарен")</f>
        <v>елементарен</v>
      </c>
      <c r="D2341" s="1" t="str">
        <f ca="1">IFERROR(__xludf.DUMMYFUNCTION("GOOGLETRANSLATE(English!D2341, ""en"", ""bg"")"),"промени в материалите")</f>
        <v>промени в материалите</v>
      </c>
      <c r="E2341" s="1" t="str">
        <f ca="1">IFERROR(__xludf.DUMMYFUNCTION("GOOGLETRANSLATE(English!E2341,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2341" s="1" t="str">
        <f ca="1">IFERROR(__xludf.DUMMYFUNCTION("GOOGLETRANSLATE(English!F2341,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341" s="1" t="str">
        <f ca="1">IFERROR(__xludf.DUMMYFUNCTION("GOOGLETRANSLATE(English!G2341, ""en"", ""bg"")"),"помощ_за_домашно_изпълнение")</f>
        <v>помощ_за_домашно_изпълнение</v>
      </c>
      <c r="H2341" s="1" t="str">
        <f ca="1">IFERROR(__xludf.DUMMYFUNCTION("GOOGLETRANSLATE(English!H2341, ""en"", ""bg"")"),"помощ_за_домашно_задаване")</f>
        <v>помощ_за_домашно_задаване</v>
      </c>
    </row>
    <row r="2342" spans="1:8" ht="13.2" x14ac:dyDescent="0.25">
      <c r="A2342" s="1" t="str">
        <f ca="1">IFERROR(__xludf.DUMMYFUNCTION("GOOGLETRANSLATE(English!A2342, ""en"", ""bg"")"),"qa_08240")</f>
        <v>qa_08240</v>
      </c>
      <c r="B2342" s="1" t="str">
        <f ca="1">IFERROR(__xludf.DUMMYFUNCTION("GOOGLETRANSLATE(English!B2342, ""en"", ""bg"")"),"химия")</f>
        <v>химия</v>
      </c>
      <c r="C2342" s="1" t="str">
        <f ca="1">IFERROR(__xludf.DUMMYFUNCTION("GOOGLETRANSLATE(English!C2342, ""en"", ""bg"")"),"средата")</f>
        <v>средата</v>
      </c>
      <c r="D2342" s="1" t="str">
        <f ca="1">IFERROR(__xludf.DUMMYFUNCTION("GOOGLETRANSLATE(English!D2342, ""en"", ""bg"")"),"атоми и молекули")</f>
        <v>атоми и молекули</v>
      </c>
      <c r="E2342" s="1" t="str">
        <f ca="1">IFERROR(__xludf.DUMMYFUNCTION("GOOGLETRANSLATE(English!E2342, ""en"", ""bg"")"),"Защо атомите се свързват помежду си?")</f>
        <v>Защо атомите се свързват помежду си?</v>
      </c>
      <c r="F2342" s="1" t="str">
        <f ca="1">IFERROR(__xludf.DUMMYFUNCTION("GOOGLETRANSLATE(English!F2342,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2342" s="1" t="str">
        <f ca="1">IFERROR(__xludf.DUMMYFUNCTION("GOOGLETRANSLATE(English!G2342, ""en"", ""bg"")"),"direct_qa")</f>
        <v>direct_qa</v>
      </c>
      <c r="H2342" s="1" t="str">
        <f ca="1">IFERROR(__xludf.DUMMYFUNCTION("GOOGLETRANSLATE(English!H2342, ""en"", ""bg"")"),"заявка_за_знание")</f>
        <v>заявка_за_знание</v>
      </c>
    </row>
    <row r="2343" spans="1:8" ht="13.2" x14ac:dyDescent="0.25">
      <c r="A2343" s="1" t="str">
        <f ca="1">IFERROR(__xludf.DUMMYFUNCTION("GOOGLETRANSLATE(English!A2343, ""en"", ""bg"")"),"qa_14035")</f>
        <v>qa_14035</v>
      </c>
      <c r="B2343" s="1" t="str">
        <f ca="1">IFERROR(__xludf.DUMMYFUNCTION("GOOGLETRANSLATE(English!B2343, ""en"", ""bg"")"),"биология")</f>
        <v>биология</v>
      </c>
      <c r="C2343" s="1" t="str">
        <f ca="1">IFERROR(__xludf.DUMMYFUNCTION("GOOGLETRANSLATE(English!C2343, ""en"", ""bg"")"),"високо")</f>
        <v>високо</v>
      </c>
      <c r="D2343" s="1" t="str">
        <f ca="1">IFERROR(__xludf.DUMMYFUNCTION("GOOGLETRANSLATE(English!D2343, ""en"", ""bg"")"),"митоза и мейоза")</f>
        <v>митоза и мейоза</v>
      </c>
      <c r="E2343" s="1" t="str">
        <f ca="1">IFERROR(__xludf.DUMMYFUNCTION("GOOGLETRANSLATE(English!E2343, ""en"", ""bg"")"),"Какво е важно да знаем за митозата и мейозата?")</f>
        <v>Какво е важно да знаем за митозата и мейозата?</v>
      </c>
      <c r="F2343" s="1" t="str">
        <f ca="1">IFERROR(__xludf.DUMMYFUNCTION("GOOGLETRANSLATE(English!F2343,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2343" s="1" t="str">
        <f ca="1">IFERROR(__xludf.DUMMYFUNCTION("GOOGLETRANSLATE(English!G2343, ""en"", ""bg"")"),"direct_qa")</f>
        <v>direct_qa</v>
      </c>
      <c r="H2343" s="1" t="str">
        <f ca="1">IFERROR(__xludf.DUMMYFUNCTION("GOOGLETRANSLATE(English!H2343, ""en"", ""bg"")"),"заявка_за_знание")</f>
        <v>заявка_за_знание</v>
      </c>
    </row>
    <row r="2344" spans="1:8" ht="13.2" x14ac:dyDescent="0.25">
      <c r="A2344" s="1" t="str">
        <f ca="1">IFERROR(__xludf.DUMMYFUNCTION("GOOGLETRANSLATE(English!A2344, ""en"", ""bg"")"),"hw_12997")</f>
        <v>hw_12997</v>
      </c>
      <c r="B2344" s="1" t="str">
        <f ca="1">IFERROR(__xludf.DUMMYFUNCTION("GOOGLETRANSLATE(English!B2344, ""en"", ""bg"")"),"физика")</f>
        <v>физика</v>
      </c>
      <c r="C2344" s="1" t="str">
        <f ca="1">IFERROR(__xludf.DUMMYFUNCTION("GOOGLETRANSLATE(English!C2344, ""en"", ""bg"")"),"високо")</f>
        <v>високо</v>
      </c>
      <c r="D2344" s="1" t="str">
        <f ca="1">IFERROR(__xludf.DUMMYFUNCTION("GOOGLETRANSLATE(English!D2344, ""en"", ""bg"")"),"механика")</f>
        <v>механика</v>
      </c>
      <c r="E2344" s="1" t="str">
        <f ca="1">IFERROR(__xludf.DUMMYFUNCTION("GOOGLETRANSLATE(English!E2344, ""en"", ""bg"")"),"Можеш ли да решиш този механичен въпрос с мен?")</f>
        <v>Можеш ли да решиш този механичен въпрос с мен?</v>
      </c>
      <c r="F2344" s="1" t="str">
        <f ca="1">IFERROR(__xludf.DUMMYFUNCTION("GOOGLETRANSLATE(English!F2344,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2344" s="1" t="str">
        <f ca="1">IFERROR(__xludf.DUMMYFUNCTION("GOOGLETRANSLATE(English!G2344, ""en"", ""bg"")"),"помощ_за_домашно_изпълнение")</f>
        <v>помощ_за_домашно_изпълнение</v>
      </c>
      <c r="H2344" s="1" t="str">
        <f ca="1">IFERROR(__xludf.DUMMYFUNCTION("GOOGLETRANSLATE(English!H2344, ""en"", ""bg"")"),"помощ_за_домашно_задаване")</f>
        <v>помощ_за_домашно_задаване</v>
      </c>
    </row>
    <row r="2345" spans="1:8" ht="13.2" x14ac:dyDescent="0.25">
      <c r="A2345" s="1" t="str">
        <f ca="1">IFERROR(__xludf.DUMMYFUNCTION("GOOGLETRANSLATE(English!A2345, ""en"", ""bg"")"),"hw_10666")</f>
        <v>hw_10666</v>
      </c>
      <c r="B2345" s="1" t="str">
        <f ca="1">IFERROR(__xludf.DUMMYFUNCTION("GOOGLETRANSLATE(English!B2345, ""en"", ""bg"")"),"биология")</f>
        <v>биология</v>
      </c>
      <c r="C2345" s="1" t="str">
        <f ca="1">IFERROR(__xludf.DUMMYFUNCTION("GOOGLETRANSLATE(English!C2345, ""en"", ""bg"")"),"елементарен")</f>
        <v>елементарен</v>
      </c>
      <c r="D2345" s="1" t="str">
        <f ca="1">IFERROR(__xludf.DUMMYFUNCTION("GOOGLETRANSLATE(English!D2345, ""en"", ""bg"")"),"жизнени цикли")</f>
        <v>жизнени цикли</v>
      </c>
      <c r="E2345" s="1" t="str">
        <f ca="1">IFERROR(__xludf.DUMMYFUNCTION("GOOGLETRANSLATE(English!E2345, ""en"", ""bg"")"),"Домашното ми пита за жизнените цикли. Не го разбирам.")</f>
        <v>Домашното ми пита за жизнените цикли. Не го разбирам.</v>
      </c>
      <c r="F2345" s="1" t="str">
        <f ca="1">IFERROR(__xludf.DUMMYFUNCTION("GOOGLETRANSLATE(English!F2345,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2345" s="1" t="str">
        <f ca="1">IFERROR(__xludf.DUMMYFUNCTION("GOOGLETRANSLATE(English!G2345, ""en"", ""bg"")"),"помощ_за_домашно_изпълнение")</f>
        <v>помощ_за_домашно_изпълнение</v>
      </c>
      <c r="H2345" s="1" t="str">
        <f ca="1">IFERROR(__xludf.DUMMYFUNCTION("GOOGLETRANSLATE(English!H2345, ""en"", ""bg"")"),"помощ_за_домашно_задаване")</f>
        <v>помощ_за_домашно_задаване</v>
      </c>
    </row>
    <row r="2346" spans="1:8" ht="13.2" x14ac:dyDescent="0.25">
      <c r="A2346" s="1" t="str">
        <f ca="1">IFERROR(__xludf.DUMMYFUNCTION("GOOGLETRANSLATE(English!A2346, ""en"", ""bg"")"),"hw_08940")</f>
        <v>hw_08940</v>
      </c>
      <c r="B2346" s="1" t="str">
        <f ca="1">IFERROR(__xludf.DUMMYFUNCTION("GOOGLETRANSLATE(English!B2346, ""en"", ""bg"")"),"физика")</f>
        <v>физика</v>
      </c>
      <c r="C2346" s="1" t="str">
        <f ca="1">IFERROR(__xludf.DUMMYFUNCTION("GOOGLETRANSLATE(English!C2346, ""en"", ""bg"")"),"елементарен")</f>
        <v>елементарен</v>
      </c>
      <c r="D2346" s="1" t="str">
        <f ca="1">IFERROR(__xludf.DUMMYFUNCTION("GOOGLETRANSLATE(English!D2346, ""en"", ""bg"")"),"звук")</f>
        <v>звук</v>
      </c>
      <c r="E2346" s="1" t="str">
        <f ca="1">IFERROR(__xludf.DUMMYFUNCTION("GOOGLETRANSLATE(English!E2346, ""en"", ""bg"")"),"Домашното ми по физика е за звук. Объркващо е!")</f>
        <v>Домашното ми по физика е за звук. Объркващо е!</v>
      </c>
      <c r="F2346" s="1" t="str">
        <f ca="1">IFERROR(__xludf.DUMMYFUNCTION("GOOGLETRANSLATE(English!F2346,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2346" s="1" t="str">
        <f ca="1">IFERROR(__xludf.DUMMYFUNCTION("GOOGLETRANSLATE(English!G2346, ""en"", ""bg"")"),"помощ_за_домашно_изпълнение")</f>
        <v>помощ_за_домашно_изпълнение</v>
      </c>
      <c r="H2346" s="1" t="str">
        <f ca="1">IFERROR(__xludf.DUMMYFUNCTION("GOOGLETRANSLATE(English!H2346, ""en"", ""bg"")"),"помощ_за_домашно_задаване")</f>
        <v>помощ_за_домашно_задаване</v>
      </c>
    </row>
    <row r="2347" spans="1:8" ht="13.2" x14ac:dyDescent="0.25">
      <c r="A2347" s="1" t="str">
        <f ca="1">IFERROR(__xludf.DUMMYFUNCTION("GOOGLETRANSLATE(English!A2347, ""en"", ""bg"")"),"hw_06434")</f>
        <v>hw_06434</v>
      </c>
      <c r="B2347" s="1" t="str">
        <f ca="1">IFERROR(__xludf.DUMMYFUNCTION("GOOGLETRANSLATE(English!B2347, ""en"", ""bg"")"),"физика")</f>
        <v>физика</v>
      </c>
      <c r="C2347" s="1" t="str">
        <f ca="1">IFERROR(__xludf.DUMMYFUNCTION("GOOGLETRANSLATE(English!C2347, ""en"", ""bg"")"),"елементарен")</f>
        <v>елементарен</v>
      </c>
      <c r="D2347" s="1" t="str">
        <f ca="1">IFERROR(__xludf.DUMMYFUNCTION("GOOGLETRANSLATE(English!D2347, ""en"", ""bg"")"),"плаващ и потъващ")</f>
        <v>плаващ и потъващ</v>
      </c>
      <c r="E2347" s="1" t="str">
        <f ca="1">IFERROR(__xludf.DUMMYFUNCTION("GOOGLETRANSLATE(English!E2347,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2347" s="1" t="str">
        <f ca="1">IFERROR(__xludf.DUMMYFUNCTION("GOOGLETRANSLATE(English!F2347,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347" s="1" t="str">
        <f ca="1">IFERROR(__xludf.DUMMYFUNCTION("GOOGLETRANSLATE(English!G2347, ""en"", ""bg"")"),"помощ_за_домашно_изпълнение")</f>
        <v>помощ_за_домашно_изпълнение</v>
      </c>
      <c r="H2347" s="1" t="str">
        <f ca="1">IFERROR(__xludf.DUMMYFUNCTION("GOOGLETRANSLATE(English!H2347, ""en"", ""bg"")"),"помощ_за_домашно_задаване")</f>
        <v>помощ_за_домашно_задаване</v>
      </c>
    </row>
    <row r="2348" spans="1:8" ht="13.2" x14ac:dyDescent="0.25">
      <c r="A2348" s="1" t="str">
        <f ca="1">IFERROR(__xludf.DUMMYFUNCTION("GOOGLETRANSLATE(English!A2348, ""en"", ""bg"")"),"conv_10261")</f>
        <v>conv_10261</v>
      </c>
      <c r="B2348" s="1" t="str">
        <f ca="1">IFERROR(__xludf.DUMMYFUNCTION("GOOGLETRANSLATE(English!B2348, ""en"", ""bg"")"),"химия")</f>
        <v>химия</v>
      </c>
      <c r="C2348" s="1" t="str">
        <f ca="1">IFERROR(__xludf.DUMMYFUNCTION("GOOGLETRANSLATE(English!C2348, ""en"", ""bg"")"),"средата")</f>
        <v>средата</v>
      </c>
      <c r="D2348" s="1" t="str">
        <f ca="1">IFERROR(__xludf.DUMMYFUNCTION("GOOGLETRANSLATE(English!D2348, ""en"", ""bg"")"),"химични реакции")</f>
        <v>химични реакции</v>
      </c>
      <c r="E2348" s="1" t="str">
        <f ca="1">IFERROR(__xludf.DUMMYFUNCTION("GOOGLETRANSLATE(English!E2348, ""en"", ""bg"")"),"Можете ли да ми обясните това? Как разбирате дали е протекла химическа реакция?")</f>
        <v>Можете ли да ми обясните това? Как разбирате дали е протекла химическа реакция?</v>
      </c>
      <c r="F2348" s="1" t="str">
        <f ca="1">IFERROR(__xludf.DUMMYFUNCTION("GOOGLETRANSLATE(English!F2348,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2348" s="1" t="str">
        <f ca="1">IFERROR(__xludf.DUMMYFUNCTION("GOOGLETRANSLATE(English!G2348, ""en"", ""bg"")"),"разговор")</f>
        <v>разговор</v>
      </c>
      <c r="H2348" s="1" t="str">
        <f ca="1">IFERROR(__xludf.DUMMYFUNCTION("GOOGLETRANSLATE(English!H2348, ""en"", ""bg"")"),"образователна_помощ")</f>
        <v>образователна_помощ</v>
      </c>
    </row>
    <row r="2349" spans="1:8" ht="13.2" x14ac:dyDescent="0.25">
      <c r="A2349" s="1" t="str">
        <f ca="1">IFERROR(__xludf.DUMMYFUNCTION("GOOGLETRANSLATE(English!A2349, ""en"", ""bg"")"),"conv_10884")</f>
        <v>conv_10884</v>
      </c>
      <c r="B2349" s="1" t="str">
        <f ca="1">IFERROR(__xludf.DUMMYFUNCTION("GOOGLETRANSLATE(English!B2349, ""en"", ""bg"")"),"биология")</f>
        <v>биология</v>
      </c>
      <c r="C2349" s="1" t="str">
        <f ca="1">IFERROR(__xludf.DUMMYFUNCTION("GOOGLETRANSLATE(English!C2349, ""en"", ""bg"")"),"средата")</f>
        <v>средата</v>
      </c>
      <c r="D2349" s="1" t="str">
        <f ca="1">IFERROR(__xludf.DUMMYFUNCTION("GOOGLETRANSLATE(English!D2349, ""en"", ""bg"")"),"клетки")</f>
        <v>клетки</v>
      </c>
      <c r="E2349" s="1" t="str">
        <f ca="1">IFERROR(__xludf.DUMMYFUNCTION("GOOGLETRANSLATE(English!E2349, ""en"", ""bg"")"),"Помогнете ми да уча за теста си. Какво е клетка?")</f>
        <v>Помогнете ми да уча за теста си. Какво е клетка?</v>
      </c>
      <c r="F2349" s="1" t="str">
        <f ca="1">IFERROR(__xludf.DUMMYFUNCTION("GOOGLETRANSLATE(English!F2349,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2349" s="1" t="str">
        <f ca="1">IFERROR(__xludf.DUMMYFUNCTION("GOOGLETRANSLATE(English!G2349, ""en"", ""bg"")"),"разговор")</f>
        <v>разговор</v>
      </c>
      <c r="H2349" s="1" t="str">
        <f ca="1">IFERROR(__xludf.DUMMYFUNCTION("GOOGLETRANSLATE(English!H2349, ""en"", ""bg"")"),"образователна_помощ")</f>
        <v>образователна_помощ</v>
      </c>
    </row>
    <row r="2350" spans="1:8" ht="13.2" x14ac:dyDescent="0.25">
      <c r="A2350" s="1" t="str">
        <f ca="1">IFERROR(__xludf.DUMMYFUNCTION("GOOGLETRANSLATE(English!A2350, ""en"", ""bg"")"),"conv_02124")</f>
        <v>conv_02124</v>
      </c>
      <c r="B2350" s="1" t="str">
        <f ca="1">IFERROR(__xludf.DUMMYFUNCTION("GOOGLETRANSLATE(English!B2350, ""en"", ""bg"")"),"физика")</f>
        <v>физика</v>
      </c>
      <c r="C2350" s="1" t="str">
        <f ca="1">IFERROR(__xludf.DUMMYFUNCTION("GOOGLETRANSLATE(English!C2350, ""en"", ""bg"")"),"високо")</f>
        <v>високо</v>
      </c>
      <c r="D2350" s="1" t="str">
        <f ca="1">IFERROR(__xludf.DUMMYFUNCTION("GOOGLETRANSLATE(English!D2350, ""en"", ""bg"")"),"термодинамика")</f>
        <v>термодинамика</v>
      </c>
      <c r="E2350" s="1" t="str">
        <f ca="1">IFERROR(__xludf.DUMMYFUNCTION("GOOGLETRANSLATE(English!E2350, ""en"", ""bg"")"),"Можете ли да ми помогнете? Как работи термодинамиката във физиката?")</f>
        <v>Можете ли да ми помогнете? Как работи термодинамиката във физиката?</v>
      </c>
      <c r="F2350" s="1" t="str">
        <f ca="1">IFERROR(__xludf.DUMMYFUNCTION("GOOGLETRANSLATE(English!F2350,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2350" s="1" t="str">
        <f ca="1">IFERROR(__xludf.DUMMYFUNCTION("GOOGLETRANSLATE(English!G2350, ""en"", ""bg"")"),"разговор")</f>
        <v>разговор</v>
      </c>
      <c r="H2350" s="1" t="str">
        <f ca="1">IFERROR(__xludf.DUMMYFUNCTION("GOOGLETRANSLATE(English!H2350, ""en"", ""bg"")"),"образователна_помощ")</f>
        <v>образователна_помощ</v>
      </c>
    </row>
    <row r="2351" spans="1:8" ht="13.2" x14ac:dyDescent="0.25">
      <c r="A2351" s="1" t="str">
        <f ca="1">IFERROR(__xludf.DUMMYFUNCTION("GOOGLETRANSLATE(English!A2351, ""en"", ""bg"")"),"hw_06690")</f>
        <v>hw_06690</v>
      </c>
      <c r="B2351" s="1" t="str">
        <f ca="1">IFERROR(__xludf.DUMMYFUNCTION("GOOGLETRANSLATE(English!B2351, ""en"", ""bg"")"),"химия")</f>
        <v>химия</v>
      </c>
      <c r="C2351" s="1" t="str">
        <f ca="1">IFERROR(__xludf.DUMMYFUNCTION("GOOGLETRANSLATE(English!C2351, ""en"", ""bg"")"),"високо")</f>
        <v>високо</v>
      </c>
      <c r="D2351" s="1" t="str">
        <f ca="1">IFERROR(__xludf.DUMMYFUNCTION("GOOGLETRANSLATE(English!D2351, ""en"", ""bg"")"),"скорости на реакция")</f>
        <v>скорости на реакция</v>
      </c>
      <c r="E2351" s="1" t="str">
        <f ca="1">IFERROR(__xludf.DUMMYFUNCTION("GOOGLETRANSLATE(English!E2351, ""en"", ""bg"")"),"Докладът ми по химия е за скоростите на реакциите. Помогнете ми да разбера.")</f>
        <v>Докладът ми по химия е за скоростите на реакциите. Помогнете ми да разбера.</v>
      </c>
      <c r="F2351" s="1" t="str">
        <f ca="1">IFERROR(__xludf.DUMMYFUNCTION("GOOGLETRANSLATE(English!F2351,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2351" s="1" t="str">
        <f ca="1">IFERROR(__xludf.DUMMYFUNCTION("GOOGLETRANSLATE(English!G2351, ""en"", ""bg"")"),"помощ_за_домашно_изпълнение")</f>
        <v>помощ_за_домашно_изпълнение</v>
      </c>
      <c r="H2351" s="1" t="str">
        <f ca="1">IFERROR(__xludf.DUMMYFUNCTION("GOOGLETRANSLATE(English!H2351, ""en"", ""bg"")"),"помощ_за_домашно_задаване")</f>
        <v>помощ_за_домашно_задаване</v>
      </c>
    </row>
    <row r="2352" spans="1:8" ht="13.2" x14ac:dyDescent="0.25">
      <c r="A2352" s="1" t="str">
        <f ca="1">IFERROR(__xludf.DUMMYFUNCTION("GOOGLETRANSLATE(English!A2352, ""en"", ""bg"")"),"hw_05086")</f>
        <v>hw_05086</v>
      </c>
      <c r="B2352" s="1" t="str">
        <f ca="1">IFERROR(__xludf.DUMMYFUNCTION("GOOGLETRANSLATE(English!B2352, ""en"", ""bg"")"),"биология")</f>
        <v>биология</v>
      </c>
      <c r="C2352" s="1" t="str">
        <f ca="1">IFERROR(__xludf.DUMMYFUNCTION("GOOGLETRANSLATE(English!C2352, ""en"", ""bg"")"),"елементарен")</f>
        <v>елементарен</v>
      </c>
      <c r="D2352" s="1" t="str">
        <f ca="1">IFERROR(__xludf.DUMMYFUNCTION("GOOGLETRANSLATE(English!D2352, ""en"", ""bg"")"),"жизнени цикли")</f>
        <v>жизнени цикли</v>
      </c>
      <c r="E2352" s="1" t="str">
        <f ca="1">IFERROR(__xludf.DUMMYFUNCTION("GOOGLETRANSLATE(English!E2352, ""en"", ""bg"")"),"Утре имам тест по жизнени цикли. Помогни ми да уча!")</f>
        <v>Утре имам тест по жизнени цикли. Помогни ми да уча!</v>
      </c>
      <c r="F2352" s="1" t="str">
        <f ca="1">IFERROR(__xludf.DUMMYFUNCTION("GOOGLETRANSLATE(English!F2352,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2352" s="1" t="str">
        <f ca="1">IFERROR(__xludf.DUMMYFUNCTION("GOOGLETRANSLATE(English!G2352, ""en"", ""bg"")"),"помощ_за_домашно_изпълнение")</f>
        <v>помощ_за_домашно_изпълнение</v>
      </c>
      <c r="H2352" s="1" t="str">
        <f ca="1">IFERROR(__xludf.DUMMYFUNCTION("GOOGLETRANSLATE(English!H2352, ""en"", ""bg"")"),"помощ_за_домашно_задаване")</f>
        <v>помощ_за_домашно_задаване</v>
      </c>
    </row>
    <row r="2353" spans="1:8" ht="13.2" x14ac:dyDescent="0.25">
      <c r="A2353" s="1" t="str">
        <f ca="1">IFERROR(__xludf.DUMMYFUNCTION("GOOGLETRANSLATE(English!A2353, ""en"", ""bg"")"),"hw_09082")</f>
        <v>hw_09082</v>
      </c>
      <c r="B2353" s="1" t="str">
        <f ca="1">IFERROR(__xludf.DUMMYFUNCTION("GOOGLETRANSLATE(English!B2353, ""en"", ""bg"")"),"биология")</f>
        <v>биология</v>
      </c>
      <c r="C2353" s="1" t="str">
        <f ca="1">IFERROR(__xludf.DUMMYFUNCTION("GOOGLETRANSLATE(English!C2353, ""en"", ""bg"")"),"високо")</f>
        <v>високо</v>
      </c>
      <c r="D2353" s="1" t="str">
        <f ca="1">IFERROR(__xludf.DUMMYFUNCTION("GOOGLETRANSLATE(English!D2353, ""en"", ""bg"")"),"модели на наследяване")</f>
        <v>модели на наследяване</v>
      </c>
      <c r="E2353" s="1" t="str">
        <f ca="1">IFERROR(__xludf.DUMMYFUNCTION("GOOGLETRANSLATE(English!E2353,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2353" s="1" t="str">
        <f ca="1">IFERROR(__xludf.DUMMYFUNCTION("GOOGLETRANSLATE(English!F2353,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2353" s="1" t="str">
        <f ca="1">IFERROR(__xludf.DUMMYFUNCTION("GOOGLETRANSLATE(English!G2353, ""en"", ""bg"")"),"помощ_за_домашно_изпълнение")</f>
        <v>помощ_за_домашно_изпълнение</v>
      </c>
      <c r="H2353" s="1" t="str">
        <f ca="1">IFERROR(__xludf.DUMMYFUNCTION("GOOGLETRANSLATE(English!H2353, ""en"", ""bg"")"),"помощ_за_домашно_задаване")</f>
        <v>помощ_за_домашно_задаване</v>
      </c>
    </row>
    <row r="2354" spans="1:8" ht="13.2" x14ac:dyDescent="0.25">
      <c r="A2354" s="1" t="str">
        <f ca="1">IFERROR(__xludf.DUMMYFUNCTION("GOOGLETRANSLATE(English!A2354, ""en"", ""bg"")"),"conv_02727")</f>
        <v>conv_02727</v>
      </c>
      <c r="B2354" s="1" t="str">
        <f ca="1">IFERROR(__xludf.DUMMYFUNCTION("GOOGLETRANSLATE(English!B2354, ""en"", ""bg"")"),"химия")</f>
        <v>химия</v>
      </c>
      <c r="C2354" s="1" t="str">
        <f ca="1">IFERROR(__xludf.DUMMYFUNCTION("GOOGLETRANSLATE(English!C2354, ""en"", ""bg"")"),"високо")</f>
        <v>високо</v>
      </c>
      <c r="D2354" s="1" t="str">
        <f ca="1">IFERROR(__xludf.DUMMYFUNCTION("GOOGLETRANSLATE(English!D2354, ""en"", ""bg"")"),"скорости на реакция")</f>
        <v>скорости на реакция</v>
      </c>
      <c r="E2354" s="1" t="str">
        <f ca="1">IFERROR(__xludf.DUMMYFUNCTION("GOOGLETRANSLATE(English!E2354,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2354" s="1" t="str">
        <f ca="1">IFERROR(__xludf.DUMMYFUNCTION("GOOGLETRANSLATE(English!F2354,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2354" s="1" t="str">
        <f ca="1">IFERROR(__xludf.DUMMYFUNCTION("GOOGLETRANSLATE(English!G2354, ""en"", ""bg"")"),"разговор")</f>
        <v>разговор</v>
      </c>
      <c r="H2354" s="1" t="str">
        <f ca="1">IFERROR(__xludf.DUMMYFUNCTION("GOOGLETRANSLATE(English!H2354, ""en"", ""bg"")"),"образователна_помощ")</f>
        <v>образователна_помощ</v>
      </c>
    </row>
    <row r="2355" spans="1:8" ht="13.2" x14ac:dyDescent="0.25">
      <c r="A2355" s="1" t="str">
        <f ca="1">IFERROR(__xludf.DUMMYFUNCTION("GOOGLETRANSLATE(English!A2355, ""en"", ""bg"")"),"conv_13511")</f>
        <v>conv_13511</v>
      </c>
      <c r="B2355" s="1" t="str">
        <f ca="1">IFERROR(__xludf.DUMMYFUNCTION("GOOGLETRANSLATE(English!B2355, ""en"", ""bg"")"),"биология")</f>
        <v>биология</v>
      </c>
      <c r="C2355" s="1" t="str">
        <f ca="1">IFERROR(__xludf.DUMMYFUNCTION("GOOGLETRANSLATE(English!C2355, ""en"", ""bg"")"),"средата")</f>
        <v>средата</v>
      </c>
      <c r="D2355" s="1" t="str">
        <f ca="1">IFERROR(__xludf.DUMMYFUNCTION("GOOGLETRANSLATE(English!D2355, ""en"", ""bg"")"),"екосистеми")</f>
        <v>екосистеми</v>
      </c>
      <c r="E2355" s="1" t="str">
        <f ca="1">IFERROR(__xludf.DUMMYFUNCTION("GOOGLETRANSLATE(English!E2355, ""en"", ""bg"")"),"Не разбирам тази тема. Какво е важно да знаем за екосистемите?")</f>
        <v>Не разбирам тази тема. Какво е важно да знаем за екосистемите?</v>
      </c>
      <c r="F2355" s="1" t="str">
        <f ca="1">IFERROR(__xludf.DUMMYFUNCTION("GOOGLETRANSLATE(English!F2355,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2355" s="1" t="str">
        <f ca="1">IFERROR(__xludf.DUMMYFUNCTION("GOOGLETRANSLATE(English!G2355, ""en"", ""bg"")"),"разговор")</f>
        <v>разговор</v>
      </c>
      <c r="H2355" s="1" t="str">
        <f ca="1">IFERROR(__xludf.DUMMYFUNCTION("GOOGLETRANSLATE(English!H2355, ""en"", ""bg"")"),"образователна_помощ")</f>
        <v>образователна_помощ</v>
      </c>
    </row>
    <row r="2356" spans="1:8" ht="13.2" x14ac:dyDescent="0.25">
      <c r="A2356" s="1" t="str">
        <f ca="1">IFERROR(__xludf.DUMMYFUNCTION("GOOGLETRANSLATE(English!A2356, ""en"", ""bg"")"),"conv_18046")</f>
        <v>conv_18046</v>
      </c>
      <c r="B2356" s="1" t="str">
        <f ca="1">IFERROR(__xludf.DUMMYFUNCTION("GOOGLETRANSLATE(English!B2356, ""en"", ""bg"")"),"биология")</f>
        <v>биология</v>
      </c>
      <c r="C2356" s="1" t="str">
        <f ca="1">IFERROR(__xludf.DUMMYFUNCTION("GOOGLETRANSLATE(English!C2356, ""en"", ""bg"")"),"елементарен")</f>
        <v>елементарен</v>
      </c>
      <c r="D2356" s="1" t="str">
        <f ca="1">IFERROR(__xludf.DUMMYFUNCTION("GOOGLETRANSLATE(English!D2356, ""en"", ""bg"")"),"хранителни вериги")</f>
        <v>хранителни вериги</v>
      </c>
      <c r="E2356" s="1" t="str">
        <f ca="1">IFERROR(__xludf.DUMMYFUNCTION("GOOGLETRANSLATE(English!E2356, ""en"", ""bg"")"),"Здравей, преподавателю! Можеш ли да ми разкажеш за хранителните вериги?")</f>
        <v>Здравей, преподавателю! Можеш ли да ми разкажеш за хранителните вериги?</v>
      </c>
      <c r="F2356" s="1" t="str">
        <f ca="1">IFERROR(__xludf.DUMMYFUNCTION("GOOGLETRANSLATE(English!F2356,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2356" s="1" t="str">
        <f ca="1">IFERROR(__xludf.DUMMYFUNCTION("GOOGLETRANSLATE(English!G2356, ""en"", ""bg"")"),"разговор")</f>
        <v>разговор</v>
      </c>
      <c r="H2356" s="1" t="str">
        <f ca="1">IFERROR(__xludf.DUMMYFUNCTION("GOOGLETRANSLATE(English!H2356, ""en"", ""bg"")"),"образователна_помощ")</f>
        <v>образователна_помощ</v>
      </c>
    </row>
    <row r="2357" spans="1:8" ht="13.2" x14ac:dyDescent="0.25">
      <c r="A2357" s="1" t="str">
        <f ca="1">IFERROR(__xludf.DUMMYFUNCTION("GOOGLETRANSLATE(English!A2357, ""en"", ""bg"")"),"conv_08497")</f>
        <v>conv_08497</v>
      </c>
      <c r="B2357" s="1" t="str">
        <f ca="1">IFERROR(__xludf.DUMMYFUNCTION("GOOGLETRANSLATE(English!B2357, ""en"", ""bg"")"),"химия")</f>
        <v>химия</v>
      </c>
      <c r="C2357" s="1" t="str">
        <f ca="1">IFERROR(__xludf.DUMMYFUNCTION("GOOGLETRANSLATE(English!C2357, ""en"", ""bg"")"),"високо")</f>
        <v>високо</v>
      </c>
      <c r="D2357" s="1" t="str">
        <f ca="1">IFERROR(__xludf.DUMMYFUNCTION("GOOGLETRANSLATE(English!D2357, ""en"", ""bg"")"),"електрохимия")</f>
        <v>електрохимия</v>
      </c>
      <c r="E2357" s="1" t="str">
        <f ca="1">IFERROR(__xludf.DUMMYFUNCTION("GOOGLETRANSLATE(English!E2357, ""en"", ""bg"")"),"Здравей, преподавателю! Защо е важно да се учи електрохимия?")</f>
        <v>Здравей, преподавателю! Защо е важно да се учи електрохимия?</v>
      </c>
      <c r="F2357" s="1" t="str">
        <f ca="1">IFERROR(__xludf.DUMMYFUNCTION("GOOGLETRANSLATE(English!F2357,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2357" s="1" t="str">
        <f ca="1">IFERROR(__xludf.DUMMYFUNCTION("GOOGLETRANSLATE(English!G2357, ""en"", ""bg"")"),"разговор")</f>
        <v>разговор</v>
      </c>
      <c r="H2357" s="1" t="str">
        <f ca="1">IFERROR(__xludf.DUMMYFUNCTION("GOOGLETRANSLATE(English!H2357, ""en"", ""bg"")"),"образователна_помощ")</f>
        <v>образователна_помощ</v>
      </c>
    </row>
    <row r="2358" spans="1:8" ht="13.2" x14ac:dyDescent="0.25">
      <c r="A2358" s="1" t="str">
        <f ca="1">IFERROR(__xludf.DUMMYFUNCTION("GOOGLETRANSLATE(English!A2358, ""en"", ""bg"")"),"qa_11943")</f>
        <v>qa_11943</v>
      </c>
      <c r="B2358" s="1" t="str">
        <f ca="1">IFERROR(__xludf.DUMMYFUNCTION("GOOGLETRANSLATE(English!B2358, ""en"", ""bg"")"),"химия")</f>
        <v>химия</v>
      </c>
      <c r="C2358" s="1" t="str">
        <f ca="1">IFERROR(__xludf.DUMMYFUNCTION("GOOGLETRANSLATE(English!C2358, ""en"", ""bg"")"),"високо")</f>
        <v>високо</v>
      </c>
      <c r="D2358" s="1" t="str">
        <f ca="1">IFERROR(__xludf.DUMMYFUNCTION("GOOGLETRANSLATE(English!D2358, ""en"", ""bg"")"),"равновесие")</f>
        <v>равновесие</v>
      </c>
      <c r="E2358" s="1" t="str">
        <f ca="1">IFERROR(__xludf.DUMMYFUNCTION("GOOGLETRANSLATE(English!E2358, ""en"", ""bg"")"),"Как работи равновесието в химията?")</f>
        <v>Как работи равновесието в химията?</v>
      </c>
      <c r="F2358" s="1" t="str">
        <f ca="1">IFERROR(__xludf.DUMMYFUNCTION("GOOGLETRANSLATE(English!F2358,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2358" s="1" t="str">
        <f ca="1">IFERROR(__xludf.DUMMYFUNCTION("GOOGLETRANSLATE(English!G2358, ""en"", ""bg"")"),"direct_qa")</f>
        <v>direct_qa</v>
      </c>
      <c r="H2358" s="1" t="str">
        <f ca="1">IFERROR(__xludf.DUMMYFUNCTION("GOOGLETRANSLATE(English!H2358, ""en"", ""bg"")"),"заявка_за_знание")</f>
        <v>заявка_за_знание</v>
      </c>
    </row>
    <row r="2359" spans="1:8" ht="13.2" x14ac:dyDescent="0.25">
      <c r="A2359" s="1" t="str">
        <f ca="1">IFERROR(__xludf.DUMMYFUNCTION("GOOGLETRANSLATE(English!A2359, ""en"", ""bg"")"),"hw_01459")</f>
        <v>hw_01459</v>
      </c>
      <c r="B2359" s="1" t="str">
        <f ca="1">IFERROR(__xludf.DUMMYFUNCTION("GOOGLETRANSLATE(English!B2359, ""en"", ""bg"")"),"биология")</f>
        <v>биология</v>
      </c>
      <c r="C2359" s="1" t="str">
        <f ca="1">IFERROR(__xludf.DUMMYFUNCTION("GOOGLETRANSLATE(English!C2359, ""en"", ""bg"")"),"средата")</f>
        <v>средата</v>
      </c>
      <c r="D2359" s="1" t="str">
        <f ca="1">IFERROR(__xludf.DUMMYFUNCTION("GOOGLETRANSLATE(English!D2359, ""en"", ""bg"")"),"фотосинтеза")</f>
        <v>фотосинтеза</v>
      </c>
      <c r="E2359" s="1" t="str">
        <f ca="1">IFERROR(__xludf.DUMMYFUNCTION("GOOGLETRANSLATE(English!E2359, ""en"", ""bg"")"),"Трябва да напиша доклад за фотосинтезата. Можете ли да ми помогнете да започна?")</f>
        <v>Трябва да напиша доклад за фотосинтезата. Можете ли да ми помогнете да започна?</v>
      </c>
      <c r="F2359" s="1" t="str">
        <f ca="1">IFERROR(__xludf.DUMMYFUNCTION("GOOGLETRANSLATE(English!F2359,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2359" s="1" t="str">
        <f ca="1">IFERROR(__xludf.DUMMYFUNCTION("GOOGLETRANSLATE(English!G2359, ""en"", ""bg"")"),"помощ_за_домашно_изпълнение")</f>
        <v>помощ_за_домашно_изпълнение</v>
      </c>
      <c r="H2359" s="1" t="str">
        <f ca="1">IFERROR(__xludf.DUMMYFUNCTION("GOOGLETRANSLATE(English!H2359, ""en"", ""bg"")"),"помощ_за_домашно_задаване")</f>
        <v>помощ_за_домашно_задаване</v>
      </c>
    </row>
    <row r="2360" spans="1:8" ht="13.2" x14ac:dyDescent="0.25">
      <c r="A2360" s="1" t="str">
        <f ca="1">IFERROR(__xludf.DUMMYFUNCTION("GOOGLETRANSLATE(English!A2360, ""en"", ""bg"")"),"hw_07686")</f>
        <v>hw_07686</v>
      </c>
      <c r="B2360" s="1" t="str">
        <f ca="1">IFERROR(__xludf.DUMMYFUNCTION("GOOGLETRANSLATE(English!B2360, ""en"", ""bg"")"),"физика")</f>
        <v>физика</v>
      </c>
      <c r="C2360" s="1" t="str">
        <f ca="1">IFERROR(__xludf.DUMMYFUNCTION("GOOGLETRANSLATE(English!C2360, ""en"", ""bg"")"),"средата")</f>
        <v>средата</v>
      </c>
      <c r="D2360" s="1" t="str">
        <f ca="1">IFERROR(__xludf.DUMMYFUNCTION("GOOGLETRANSLATE(English!D2360, ""en"", ""bg"")"),"вълни")</f>
        <v>вълни</v>
      </c>
      <c r="E2360" s="1" t="str">
        <f ca="1">IFERROR(__xludf.DUMMYFUNCTION("GOOGLETRANSLATE(English!E2360, ""en"", ""bg"")"),"Домашното ми по физика е за вълни. Объркващо е!")</f>
        <v>Домашното ми по физика е за вълни. Объркващо е!</v>
      </c>
      <c r="F2360" s="1" t="str">
        <f ca="1">IFERROR(__xludf.DUMMYFUNCTION("GOOGLETRANSLATE(English!F2360,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2360" s="1" t="str">
        <f ca="1">IFERROR(__xludf.DUMMYFUNCTION("GOOGLETRANSLATE(English!G2360, ""en"", ""bg"")"),"помощ_за_домашно_изпълнение")</f>
        <v>помощ_за_домашно_изпълнение</v>
      </c>
      <c r="H2360" s="1" t="str">
        <f ca="1">IFERROR(__xludf.DUMMYFUNCTION("GOOGLETRANSLATE(English!H2360, ""en"", ""bg"")"),"помощ_за_домашно_задаване")</f>
        <v>помощ_за_домашно_задаване</v>
      </c>
    </row>
    <row r="2361" spans="1:8" ht="13.2" x14ac:dyDescent="0.25">
      <c r="A2361" s="1" t="str">
        <f ca="1">IFERROR(__xludf.DUMMYFUNCTION("GOOGLETRANSLATE(English!A2361, ""en"", ""bg"")"),"qa_13701")</f>
        <v>qa_13701</v>
      </c>
      <c r="B2361" s="1" t="str">
        <f ca="1">IFERROR(__xludf.DUMMYFUNCTION("GOOGLETRANSLATE(English!B2361, ""en"", ""bg"")"),"физика")</f>
        <v>физика</v>
      </c>
      <c r="C2361" s="1" t="str">
        <f ca="1">IFERROR(__xludf.DUMMYFUNCTION("GOOGLETRANSLATE(English!C2361, ""en"", ""bg"")"),"високо")</f>
        <v>високо</v>
      </c>
      <c r="D2361" s="1" t="str">
        <f ca="1">IFERROR(__xludf.DUMMYFUNCTION("GOOGLETRANSLATE(English!D2361, ""en"", ""bg"")"),"радиоактивност")</f>
        <v>радиоактивност</v>
      </c>
      <c r="E2361" s="1" t="str">
        <f ca="1">IFERROR(__xludf.DUMMYFUNCTION("GOOGLETRANSLATE(English!E2361, ""en"", ""bg"")"),"Защо радиоактивността е важна?")</f>
        <v>Защо радиоактивността е важна?</v>
      </c>
      <c r="F2361" s="1" t="str">
        <f ca="1">IFERROR(__xludf.DUMMYFUNCTION("GOOGLETRANSLATE(English!F2361,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2361" s="1" t="str">
        <f ca="1">IFERROR(__xludf.DUMMYFUNCTION("GOOGLETRANSLATE(English!G2361, ""en"", ""bg"")"),"direct_qa")</f>
        <v>direct_qa</v>
      </c>
      <c r="H2361" s="1" t="str">
        <f ca="1">IFERROR(__xludf.DUMMYFUNCTION("GOOGLETRANSLATE(English!H2361, ""en"", ""bg"")"),"заявка_за_знание")</f>
        <v>заявка_за_знание</v>
      </c>
    </row>
    <row r="2362" spans="1:8" ht="13.2" x14ac:dyDescent="0.25">
      <c r="A2362" s="1" t="str">
        <f ca="1">IFERROR(__xludf.DUMMYFUNCTION("GOOGLETRANSLATE(English!A2362, ""en"", ""bg"")"),"qa_03063")</f>
        <v>qa_03063</v>
      </c>
      <c r="B2362" s="1" t="str">
        <f ca="1">IFERROR(__xludf.DUMMYFUNCTION("GOOGLETRANSLATE(English!B2362, ""en"", ""bg"")"),"физика")</f>
        <v>физика</v>
      </c>
      <c r="C2362" s="1" t="str">
        <f ca="1">IFERROR(__xludf.DUMMYFUNCTION("GOOGLETRANSLATE(English!C2362, ""en"", ""bg"")"),"елементарен")</f>
        <v>елементарен</v>
      </c>
      <c r="D2362" s="1" t="str">
        <f ca="1">IFERROR(__xludf.DUMMYFUNCTION("GOOGLETRANSLATE(English!D2362, ""en"", ""bg"")"),"магнити")</f>
        <v>магнити</v>
      </c>
      <c r="E2362" s="1" t="str">
        <f ca="1">IFERROR(__xludf.DUMMYFUNCTION("GOOGLETRANSLATE(English!E2362, ""en"", ""bg"")"),"Защо някои неща се залепват за магнити?")</f>
        <v>Защо някои неща се залепват за магнити?</v>
      </c>
      <c r="F2362" s="1" t="str">
        <f ca="1">IFERROR(__xludf.DUMMYFUNCTION("GOOGLETRANSLATE(English!F2362,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2362" s="1" t="str">
        <f ca="1">IFERROR(__xludf.DUMMYFUNCTION("GOOGLETRANSLATE(English!G2362, ""en"", ""bg"")"),"direct_qa")</f>
        <v>direct_qa</v>
      </c>
      <c r="H2362" s="1" t="str">
        <f ca="1">IFERROR(__xludf.DUMMYFUNCTION("GOOGLETRANSLATE(English!H2362, ""en"", ""bg"")"),"заявка_за_знание")</f>
        <v>заявка_за_знание</v>
      </c>
    </row>
    <row r="2363" spans="1:8" ht="13.2" x14ac:dyDescent="0.25">
      <c r="A2363" s="1" t="str">
        <f ca="1">IFERROR(__xludf.DUMMYFUNCTION("GOOGLETRANSLATE(English!A2363, ""en"", ""bg"")"),"qa_09583")</f>
        <v>qa_09583</v>
      </c>
      <c r="B2363" s="1" t="str">
        <f ca="1">IFERROR(__xludf.DUMMYFUNCTION("GOOGLETRANSLATE(English!B2363, ""en"", ""bg"")"),"физика")</f>
        <v>физика</v>
      </c>
      <c r="C2363" s="1" t="str">
        <f ca="1">IFERROR(__xludf.DUMMYFUNCTION("GOOGLETRANSLATE(English!C2363, ""en"", ""bg"")"),"елементарен")</f>
        <v>елементарен</v>
      </c>
      <c r="D2363" s="1" t="str">
        <f ca="1">IFERROR(__xludf.DUMMYFUNCTION("GOOGLETRANSLATE(English!D2363, ""en"", ""bg"")"),"прости машини")</f>
        <v>прости машини</v>
      </c>
      <c r="E2363" s="1" t="str">
        <f ca="1">IFERROR(__xludf.DUMMYFUNCTION("GOOGLETRANSLATE(English!E2363, ""en"", ""bg"")"),"Какво трябва да знам за простите машини?")</f>
        <v>Какво трябва да знам за простите машини?</v>
      </c>
      <c r="F2363" s="1" t="str">
        <f ca="1">IFERROR(__xludf.DUMMYFUNCTION("GOOGLETRANSLATE(English!F2363,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2363" s="1" t="str">
        <f ca="1">IFERROR(__xludf.DUMMYFUNCTION("GOOGLETRANSLATE(English!G2363, ""en"", ""bg"")"),"direct_qa")</f>
        <v>direct_qa</v>
      </c>
      <c r="H2363" s="1" t="str">
        <f ca="1">IFERROR(__xludf.DUMMYFUNCTION("GOOGLETRANSLATE(English!H2363, ""en"", ""bg"")"),"заявка_за_знание")</f>
        <v>заявка_за_знание</v>
      </c>
    </row>
    <row r="2364" spans="1:8" ht="13.2" x14ac:dyDescent="0.25">
      <c r="A2364" s="1" t="str">
        <f ca="1">IFERROR(__xludf.DUMMYFUNCTION("GOOGLETRANSLATE(English!A2364, ""en"", ""bg"")"),"qa_04919")</f>
        <v>qa_04919</v>
      </c>
      <c r="B2364" s="1" t="str">
        <f ca="1">IFERROR(__xludf.DUMMYFUNCTION("GOOGLETRANSLATE(English!B2364, ""en"", ""bg"")"),"физика")</f>
        <v>физика</v>
      </c>
      <c r="C2364" s="1" t="str">
        <f ca="1">IFERROR(__xludf.DUMMYFUNCTION("GOOGLETRANSLATE(English!C2364, ""en"", ""bg"")"),"елементарен")</f>
        <v>елементарен</v>
      </c>
      <c r="D2364" s="1" t="str">
        <f ca="1">IFERROR(__xludf.DUMMYFUNCTION("GOOGLETRANSLATE(English!D2364, ""en"", ""bg"")"),"звук")</f>
        <v>звук</v>
      </c>
      <c r="E2364" s="1" t="str">
        <f ca="1">IFERROR(__xludf.DUMMYFUNCTION("GOOGLETRANSLATE(English!E2364, ""en"", ""bg"")"),"Как работи звукът във физиката?")</f>
        <v>Как работи звукът във физиката?</v>
      </c>
      <c r="F2364" s="1" t="str">
        <f ca="1">IFERROR(__xludf.DUMMYFUNCTION("GOOGLETRANSLATE(English!F2364,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364" s="1" t="str">
        <f ca="1">IFERROR(__xludf.DUMMYFUNCTION("GOOGLETRANSLATE(English!G2364, ""en"", ""bg"")"),"direct_qa")</f>
        <v>direct_qa</v>
      </c>
      <c r="H2364" s="1" t="str">
        <f ca="1">IFERROR(__xludf.DUMMYFUNCTION("GOOGLETRANSLATE(English!H2364, ""en"", ""bg"")"),"заявка_за_знание")</f>
        <v>заявка_за_знание</v>
      </c>
    </row>
    <row r="2365" spans="1:8" ht="13.2" x14ac:dyDescent="0.25">
      <c r="A2365" s="1" t="str">
        <f ca="1">IFERROR(__xludf.DUMMYFUNCTION("GOOGLETRANSLATE(English!A2365, ""en"", ""bg"")"),"qa_02064")</f>
        <v>qa_02064</v>
      </c>
      <c r="B2365" s="1" t="str">
        <f ca="1">IFERROR(__xludf.DUMMYFUNCTION("GOOGLETRANSLATE(English!B2365, ""en"", ""bg"")"),"биология")</f>
        <v>биология</v>
      </c>
      <c r="C2365" s="1" t="str">
        <f ca="1">IFERROR(__xludf.DUMMYFUNCTION("GOOGLETRANSLATE(English!C2365, ""en"", ""bg"")"),"елементарен")</f>
        <v>елементарен</v>
      </c>
      <c r="D2365" s="1" t="str">
        <f ca="1">IFERROR(__xludf.DUMMYFUNCTION("GOOGLETRANSLATE(English!D2365, ""en"", ""bg"")"),"животни")</f>
        <v>животни</v>
      </c>
      <c r="E2365" s="1" t="str">
        <f ca="1">IFERROR(__xludf.DUMMYFUNCTION("GOOGLETRANSLATE(English!E2365, ""en"", ""bg"")"),"Как кучетата се грижат за своите бебета?")</f>
        <v>Как кучетата се грижат за своите бебета?</v>
      </c>
      <c r="F2365" s="1" t="str">
        <f ca="1">IFERROR(__xludf.DUMMYFUNCTION("GOOGLETRANSLATE(English!F2365,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2365" s="1" t="str">
        <f ca="1">IFERROR(__xludf.DUMMYFUNCTION("GOOGLETRANSLATE(English!G2365, ""en"", ""bg"")"),"direct_qa")</f>
        <v>direct_qa</v>
      </c>
      <c r="H2365" s="1" t="str">
        <f ca="1">IFERROR(__xludf.DUMMYFUNCTION("GOOGLETRANSLATE(English!H2365, ""en"", ""bg"")"),"заявка_за_знание")</f>
        <v>заявка_за_знание</v>
      </c>
    </row>
    <row r="2366" spans="1:8" ht="13.2" x14ac:dyDescent="0.25">
      <c r="A2366" s="1" t="str">
        <f ca="1">IFERROR(__xludf.DUMMYFUNCTION("GOOGLETRANSLATE(English!A2366, ""en"", ""bg"")"),"qa_10650")</f>
        <v>qa_10650</v>
      </c>
      <c r="B2366" s="1" t="str">
        <f ca="1">IFERROR(__xludf.DUMMYFUNCTION("GOOGLETRANSLATE(English!B2366, ""en"", ""bg"")"),"биология")</f>
        <v>биология</v>
      </c>
      <c r="C2366" s="1" t="str">
        <f ca="1">IFERROR(__xludf.DUMMYFUNCTION("GOOGLETRANSLATE(English!C2366, ""en"", ""bg"")"),"елементарен")</f>
        <v>елементарен</v>
      </c>
      <c r="D2366" s="1" t="str">
        <f ca="1">IFERROR(__xludf.DUMMYFUNCTION("GOOGLETRANSLATE(English!D2366, ""en"", ""bg"")"),"хранителни вериги")</f>
        <v>хранителни вериги</v>
      </c>
      <c r="E2366" s="1" t="str">
        <f ca="1">IFERROR(__xludf.DUMMYFUNCTION("GOOGLETRANSLATE(English!E2366, ""en"", ""bg"")"),"Как работят хранителните вериги?")</f>
        <v>Как работят хранителните вериги?</v>
      </c>
      <c r="F2366" s="1" t="str">
        <f ca="1">IFERROR(__xludf.DUMMYFUNCTION("GOOGLETRANSLATE(English!F2366,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2366" s="1" t="str">
        <f ca="1">IFERROR(__xludf.DUMMYFUNCTION("GOOGLETRANSLATE(English!G2366, ""en"", ""bg"")"),"direct_qa")</f>
        <v>direct_qa</v>
      </c>
      <c r="H2366" s="1" t="str">
        <f ca="1">IFERROR(__xludf.DUMMYFUNCTION("GOOGLETRANSLATE(English!H2366, ""en"", ""bg"")"),"заявка_за_знание")</f>
        <v>заявка_за_знание</v>
      </c>
    </row>
    <row r="2367" spans="1:8" ht="13.2" x14ac:dyDescent="0.25">
      <c r="A2367" s="1" t="str">
        <f ca="1">IFERROR(__xludf.DUMMYFUNCTION("GOOGLETRANSLATE(English!A2367, ""en"", ""bg"")"),"conv_09520")</f>
        <v>conv_09520</v>
      </c>
      <c r="B2367" s="1" t="str">
        <f ca="1">IFERROR(__xludf.DUMMYFUNCTION("GOOGLETRANSLATE(English!B2367, ""en"", ""bg"")"),"физика")</f>
        <v>физика</v>
      </c>
      <c r="C2367" s="1" t="str">
        <f ca="1">IFERROR(__xludf.DUMMYFUNCTION("GOOGLETRANSLATE(English!C2367, ""en"", ""bg"")"),"елементарен")</f>
        <v>елементарен</v>
      </c>
      <c r="D2367" s="1" t="str">
        <f ca="1">IFERROR(__xludf.DUMMYFUNCTION("GOOGLETRANSLATE(English!D2367, ""en"", ""bg"")"),"светлина и сянка")</f>
        <v>светлина и сянка</v>
      </c>
      <c r="E2367" s="1" t="str">
        <f ca="1">IFERROR(__xludf.DUMMYFUNCTION("GOOGLETRANSLATE(English!E2367, ""en"", ""bg"")"),"Помогнете ми да уча за теста. Защо можем да виждаме цветове?")</f>
        <v>Помогнете ми да уча за теста. Защо можем да виждаме цветове?</v>
      </c>
      <c r="F2367" s="1" t="str">
        <f ca="1">IFERROR(__xludf.DUMMYFUNCTION("GOOGLETRANSLATE(English!F2367,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2367" s="1" t="str">
        <f ca="1">IFERROR(__xludf.DUMMYFUNCTION("GOOGLETRANSLATE(English!G2367, ""en"", ""bg"")"),"разговор")</f>
        <v>разговор</v>
      </c>
      <c r="H2367" s="1" t="str">
        <f ca="1">IFERROR(__xludf.DUMMYFUNCTION("GOOGLETRANSLATE(English!H2367, ""en"", ""bg"")"),"образователна_помощ")</f>
        <v>образователна_помощ</v>
      </c>
    </row>
    <row r="2368" spans="1:8" ht="13.2" x14ac:dyDescent="0.25">
      <c r="A2368" s="1" t="str">
        <f ca="1">IFERROR(__xludf.DUMMYFUNCTION("GOOGLETRANSLATE(English!A2368, ""en"", ""bg"")"),"qa_05803")</f>
        <v>qa_05803</v>
      </c>
      <c r="B2368" s="1" t="str">
        <f ca="1">IFERROR(__xludf.DUMMYFUNCTION("GOOGLETRANSLATE(English!B2368, ""en"", ""bg"")"),"биология")</f>
        <v>биология</v>
      </c>
      <c r="C2368" s="1" t="str">
        <f ca="1">IFERROR(__xludf.DUMMYFUNCTION("GOOGLETRANSLATE(English!C2368, ""en"", ""bg"")"),"елементарен")</f>
        <v>елементарен</v>
      </c>
      <c r="D2368" s="1" t="str">
        <f ca="1">IFERROR(__xludf.DUMMYFUNCTION("GOOGLETRANSLATE(English!D2368, ""en"", ""bg"")"),"жизнени цикли")</f>
        <v>жизнени цикли</v>
      </c>
      <c r="E2368" s="1" t="str">
        <f ca="1">IFERROR(__xludf.DUMMYFUNCTION("GOOGLETRANSLATE(English!E2368, ""en"", ""bg"")"),"Как функционират жизнените цикли?")</f>
        <v>Как функционират жизнените цикли?</v>
      </c>
      <c r="F2368" s="1" t="str">
        <f ca="1">IFERROR(__xludf.DUMMYFUNCTION("GOOGLETRANSLATE(English!F2368,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2368" s="1" t="str">
        <f ca="1">IFERROR(__xludf.DUMMYFUNCTION("GOOGLETRANSLATE(English!G2368, ""en"", ""bg"")"),"direct_qa")</f>
        <v>direct_qa</v>
      </c>
      <c r="H2368" s="1" t="str">
        <f ca="1">IFERROR(__xludf.DUMMYFUNCTION("GOOGLETRANSLATE(English!H2368, ""en"", ""bg"")"),"заявка_за_знание")</f>
        <v>заявка_за_знание</v>
      </c>
    </row>
    <row r="2369" spans="1:8" ht="13.2" x14ac:dyDescent="0.25">
      <c r="A2369" s="1" t="str">
        <f ca="1">IFERROR(__xludf.DUMMYFUNCTION("GOOGLETRANSLATE(English!A2369, ""en"", ""bg"")"),"qa_05594")</f>
        <v>qa_05594</v>
      </c>
      <c r="B2369" s="1" t="str">
        <f ca="1">IFERROR(__xludf.DUMMYFUNCTION("GOOGLETRANSLATE(English!B2369, ""en"", ""bg"")"),"химия")</f>
        <v>химия</v>
      </c>
      <c r="C2369" s="1" t="str">
        <f ca="1">IFERROR(__xludf.DUMMYFUNCTION("GOOGLETRANSLATE(English!C2369, ""en"", ""bg"")"),"елементарен")</f>
        <v>елементарен</v>
      </c>
      <c r="D2369" s="1" t="str">
        <f ca="1">IFERROR(__xludf.DUMMYFUNCTION("GOOGLETRANSLATE(English!D2369, ""en"", ""bg"")"),"ежедневни химикали")</f>
        <v>ежедневни химикали</v>
      </c>
      <c r="E2369" s="1" t="str">
        <f ca="1">IFERROR(__xludf.DUMMYFUNCTION("GOOGLETRANSLATE(English!E2369, ""en"", ""bg"")"),"Как действат ежедневните химикали в химията?")</f>
        <v>Как действат ежедневните химикали в химията?</v>
      </c>
      <c r="F2369" s="1" t="str">
        <f ca="1">IFERROR(__xludf.DUMMYFUNCTION("GOOGLETRANSLATE(English!F2369,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2369" s="1" t="str">
        <f ca="1">IFERROR(__xludf.DUMMYFUNCTION("GOOGLETRANSLATE(English!G2369, ""en"", ""bg"")"),"direct_qa")</f>
        <v>direct_qa</v>
      </c>
      <c r="H2369" s="1" t="str">
        <f ca="1">IFERROR(__xludf.DUMMYFUNCTION("GOOGLETRANSLATE(English!H2369, ""en"", ""bg"")"),"заявка_за_знание")</f>
        <v>заявка_за_знание</v>
      </c>
    </row>
    <row r="2370" spans="1:8" ht="13.2" x14ac:dyDescent="0.25">
      <c r="A2370" s="1" t="str">
        <f ca="1">IFERROR(__xludf.DUMMYFUNCTION("GOOGLETRANSLATE(English!A2370, ""en"", ""bg"")"),"conv_14090")</f>
        <v>conv_14090</v>
      </c>
      <c r="B2370" s="1" t="str">
        <f ca="1">IFERROR(__xludf.DUMMYFUNCTION("GOOGLETRANSLATE(English!B2370, ""en"", ""bg"")"),"физика")</f>
        <v>физика</v>
      </c>
      <c r="C2370" s="1" t="str">
        <f ca="1">IFERROR(__xludf.DUMMYFUNCTION("GOOGLETRANSLATE(English!C2370, ""en"", ""bg"")"),"елементарен")</f>
        <v>елементарен</v>
      </c>
      <c r="D2370" s="1" t="str">
        <f ca="1">IFERROR(__xludf.DUMMYFUNCTION("GOOGLETRANSLATE(English!D2370, ""en"", ""bg"")"),"светлина и сянка")</f>
        <v>светлина и сянка</v>
      </c>
      <c r="E2370" s="1" t="str">
        <f ca="1">IFERROR(__xludf.DUMMYFUNCTION("GOOGLETRANSLATE(English!E2370, ""en"", ""bg"")"),"Здравей, преподавателю! Защо виждаме цветове?")</f>
        <v>Здравей, преподавателю! Защо виждаме цветове?</v>
      </c>
      <c r="F2370" s="1" t="str">
        <f ca="1">IFERROR(__xludf.DUMMYFUNCTION("GOOGLETRANSLATE(English!F2370,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2370" s="1" t="str">
        <f ca="1">IFERROR(__xludf.DUMMYFUNCTION("GOOGLETRANSLATE(English!G2370, ""en"", ""bg"")"),"разговор")</f>
        <v>разговор</v>
      </c>
      <c r="H2370" s="1" t="str">
        <f ca="1">IFERROR(__xludf.DUMMYFUNCTION("GOOGLETRANSLATE(English!H2370, ""en"", ""bg"")"),"образователна_помощ")</f>
        <v>образователна_помощ</v>
      </c>
    </row>
    <row r="2371" spans="1:8" ht="13.2" x14ac:dyDescent="0.25">
      <c r="A2371" s="1" t="str">
        <f ca="1">IFERROR(__xludf.DUMMYFUNCTION("GOOGLETRANSLATE(English!A2371, ""en"", ""bg"")"),"qa_10681")</f>
        <v>qa_10681</v>
      </c>
      <c r="B2371" s="1" t="str">
        <f ca="1">IFERROR(__xludf.DUMMYFUNCTION("GOOGLETRANSLATE(English!B2371, ""en"", ""bg"")"),"физика")</f>
        <v>физика</v>
      </c>
      <c r="C2371" s="1" t="str">
        <f ca="1">IFERROR(__xludf.DUMMYFUNCTION("GOOGLETRANSLATE(English!C2371, ""en"", ""bg"")"),"елементарен")</f>
        <v>елементарен</v>
      </c>
      <c r="D2371" s="1" t="str">
        <f ca="1">IFERROR(__xludf.DUMMYFUNCTION("GOOGLETRANSLATE(English!D2371, ""en"", ""bg"")"),"горещо и студено")</f>
        <v>горещо и студено</v>
      </c>
      <c r="E2371" s="1" t="str">
        <f ca="1">IFERROR(__xludf.DUMMYFUNCTION("GOOGLETRANSLATE(English!E2371, ""en"", ""bg"")"),"Как работят топлото и студеното във физиката?")</f>
        <v>Как работят топлото и студеното във физиката?</v>
      </c>
      <c r="F2371" s="1" t="str">
        <f ca="1">IFERROR(__xludf.DUMMYFUNCTION("GOOGLETRANSLATE(English!F2371,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2371" s="1" t="str">
        <f ca="1">IFERROR(__xludf.DUMMYFUNCTION("GOOGLETRANSLATE(English!G2371, ""en"", ""bg"")"),"direct_qa")</f>
        <v>direct_qa</v>
      </c>
      <c r="H2371" s="1" t="str">
        <f ca="1">IFERROR(__xludf.DUMMYFUNCTION("GOOGLETRANSLATE(English!H2371, ""en"", ""bg"")"),"заявка_за_знание")</f>
        <v>заявка_за_знание</v>
      </c>
    </row>
    <row r="2372" spans="1:8" ht="13.2" x14ac:dyDescent="0.25">
      <c r="A2372" s="1" t="str">
        <f ca="1">IFERROR(__xludf.DUMMYFUNCTION("GOOGLETRANSLATE(English!A2372, ""en"", ""bg"")"),"conv_13761")</f>
        <v>conv_13761</v>
      </c>
      <c r="B2372" s="1" t="str">
        <f ca="1">IFERROR(__xludf.DUMMYFUNCTION("GOOGLETRANSLATE(English!B2372, ""en"", ""bg"")"),"биология")</f>
        <v>биология</v>
      </c>
      <c r="C2372" s="1" t="str">
        <f ca="1">IFERROR(__xludf.DUMMYFUNCTION("GOOGLETRANSLATE(English!C2372, ""en"", ""bg"")"),"средата")</f>
        <v>средата</v>
      </c>
      <c r="D2372" s="1" t="str">
        <f ca="1">IFERROR(__xludf.DUMMYFUNCTION("GOOGLETRANSLATE(English!D2372, ""en"", ""bg"")"),"основи на еволюцията")</f>
        <v>основи на еволюцията</v>
      </c>
      <c r="E2372" s="1" t="str">
        <f ca="1">IFERROR(__xludf.DUMMYFUNCTION("GOOGLETRANSLATE(English!E2372, ""en"", ""bg"")"),"Можете ли да ми помогнете? Можете ли да ми разкажете за основите на еволюцията?")</f>
        <v>Можете ли да ми помогнете? Можете ли да ми разкажете за основите на еволюцията?</v>
      </c>
      <c r="F2372" s="1" t="str">
        <f ca="1">IFERROR(__xludf.DUMMYFUNCTION("GOOGLETRANSLATE(English!F2372,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2372" s="1" t="str">
        <f ca="1">IFERROR(__xludf.DUMMYFUNCTION("GOOGLETRANSLATE(English!G2372, ""en"", ""bg"")"),"разговор")</f>
        <v>разговор</v>
      </c>
      <c r="H2372" s="1" t="str">
        <f ca="1">IFERROR(__xludf.DUMMYFUNCTION("GOOGLETRANSLATE(English!H2372, ""en"", ""bg"")"),"образователна_помощ")</f>
        <v>образователна_помощ</v>
      </c>
    </row>
    <row r="2373" spans="1:8" ht="13.2" x14ac:dyDescent="0.25">
      <c r="A2373" s="1" t="str">
        <f ca="1">IFERROR(__xludf.DUMMYFUNCTION("GOOGLETRANSLATE(English!A2373, ""en"", ""bg"")"),"conv_02967")</f>
        <v>conv_02967</v>
      </c>
      <c r="B2373" s="1" t="str">
        <f ca="1">IFERROR(__xludf.DUMMYFUNCTION("GOOGLETRANSLATE(English!B2373, ""en"", ""bg"")"),"химия")</f>
        <v>химия</v>
      </c>
      <c r="C2373" s="1" t="str">
        <f ca="1">IFERROR(__xludf.DUMMYFUNCTION("GOOGLETRANSLATE(English!C2373, ""en"", ""bg"")"),"високо")</f>
        <v>високо</v>
      </c>
      <c r="D2373" s="1" t="str">
        <f ca="1">IFERROR(__xludf.DUMMYFUNCTION("GOOGLETRANSLATE(English!D2373, ""en"", ""bg"")"),"равновесие")</f>
        <v>равновесие</v>
      </c>
      <c r="E2373" s="1" t="str">
        <f ca="1">IFERROR(__xludf.DUMMYFUNCTION("GOOGLETRANSLATE(English!E2373, ""en"", ""bg"")"),"Не разбирам тази тема. Как работи равновесието в химията?")</f>
        <v>Не разбирам тази тема. Как работи равновесието в химията?</v>
      </c>
      <c r="F2373" s="1" t="str">
        <f ca="1">IFERROR(__xludf.DUMMYFUNCTION("GOOGLETRANSLATE(English!F2373,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2373" s="1" t="str">
        <f ca="1">IFERROR(__xludf.DUMMYFUNCTION("GOOGLETRANSLATE(English!G2373, ""en"", ""bg"")"),"разговор")</f>
        <v>разговор</v>
      </c>
      <c r="H2373" s="1" t="str">
        <f ca="1">IFERROR(__xludf.DUMMYFUNCTION("GOOGLETRANSLATE(English!H2373, ""en"", ""bg"")"),"образователна_помощ")</f>
        <v>образователна_помощ</v>
      </c>
    </row>
    <row r="2374" spans="1:8" ht="13.2" x14ac:dyDescent="0.25">
      <c r="A2374" s="1" t="str">
        <f ca="1">IFERROR(__xludf.DUMMYFUNCTION("GOOGLETRANSLATE(English!A2374, ""en"", ""bg"")"),"qa_05618")</f>
        <v>qa_05618</v>
      </c>
      <c r="B2374" s="1" t="str">
        <f ca="1">IFERROR(__xludf.DUMMYFUNCTION("GOOGLETRANSLATE(English!B2374, ""en"", ""bg"")"),"химия")</f>
        <v>химия</v>
      </c>
      <c r="C2374" s="1" t="str">
        <f ca="1">IFERROR(__xludf.DUMMYFUNCTION("GOOGLETRANSLATE(English!C2374, ""en"", ""bg"")"),"високо")</f>
        <v>високо</v>
      </c>
      <c r="D2374" s="1" t="str">
        <f ca="1">IFERROR(__xludf.DUMMYFUNCTION("GOOGLETRANSLATE(English!D2374, ""en"", ""bg"")"),"стехиометрия")</f>
        <v>стехиометрия</v>
      </c>
      <c r="E2374" s="1" t="str">
        <f ca="1">IFERROR(__xludf.DUMMYFUNCTION("GOOGLETRANSLATE(English!E2374, ""en"", ""bg"")"),"Какво е стехиометрията?")</f>
        <v>Какво е стехиометрията?</v>
      </c>
      <c r="F2374" s="1" t="str">
        <f ca="1">IFERROR(__xludf.DUMMYFUNCTION("GOOGLETRANSLATE(English!F2374,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2374" s="1" t="str">
        <f ca="1">IFERROR(__xludf.DUMMYFUNCTION("GOOGLETRANSLATE(English!G2374, ""en"", ""bg"")"),"direct_qa")</f>
        <v>direct_qa</v>
      </c>
      <c r="H2374" s="1" t="str">
        <f ca="1">IFERROR(__xludf.DUMMYFUNCTION("GOOGLETRANSLATE(English!H2374, ""en"", ""bg"")"),"заявка_за_знание")</f>
        <v>заявка_за_знание</v>
      </c>
    </row>
    <row r="2375" spans="1:8" ht="13.2" x14ac:dyDescent="0.25">
      <c r="A2375" s="1" t="str">
        <f ca="1">IFERROR(__xludf.DUMMYFUNCTION("GOOGLETRANSLATE(English!A2375, ""en"", ""bg"")"),"hw_03996")</f>
        <v>hw_03996</v>
      </c>
      <c r="B2375" s="1" t="str">
        <f ca="1">IFERROR(__xludf.DUMMYFUNCTION("GOOGLETRANSLATE(English!B2375, ""en"", ""bg"")"),"физика")</f>
        <v>физика</v>
      </c>
      <c r="C2375" s="1" t="str">
        <f ca="1">IFERROR(__xludf.DUMMYFUNCTION("GOOGLETRANSLATE(English!C2375, ""en"", ""bg"")"),"средата")</f>
        <v>средата</v>
      </c>
      <c r="D2375" s="1" t="str">
        <f ca="1">IFERROR(__xludf.DUMMYFUNCTION("GOOGLETRANSLATE(English!D2375, ""en"", ""bg"")"),"прости схеми")</f>
        <v>прости схеми</v>
      </c>
      <c r="E2375" s="1" t="str">
        <f ca="1">IFERROR(__xludf.DUMMYFUNCTION("GOOGLETRANSLATE(English!E2375,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2375" s="1" t="str">
        <f ca="1">IFERROR(__xludf.DUMMYFUNCTION("GOOGLETRANSLATE(English!F2375,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2375" s="1" t="str">
        <f ca="1">IFERROR(__xludf.DUMMYFUNCTION("GOOGLETRANSLATE(English!G2375, ""en"", ""bg"")"),"помощ_за_домашно_изпълнение")</f>
        <v>помощ_за_домашно_изпълнение</v>
      </c>
      <c r="H2375" s="1" t="str">
        <f ca="1">IFERROR(__xludf.DUMMYFUNCTION("GOOGLETRANSLATE(English!H2375, ""en"", ""bg"")"),"помощ_за_домашно_задаване")</f>
        <v>помощ_за_домашно_задаване</v>
      </c>
    </row>
    <row r="2376" spans="1:8" ht="13.2" x14ac:dyDescent="0.25">
      <c r="A2376" s="1" t="str">
        <f ca="1">IFERROR(__xludf.DUMMYFUNCTION("GOOGLETRANSLATE(English!A2376, ""en"", ""bg"")"),"hw_10221")</f>
        <v>hw_10221</v>
      </c>
      <c r="B2376" s="1" t="str">
        <f ca="1">IFERROR(__xludf.DUMMYFUNCTION("GOOGLETRANSLATE(English!B2376, ""en"", ""bg"")"),"физика")</f>
        <v>физика</v>
      </c>
      <c r="C2376" s="1" t="str">
        <f ca="1">IFERROR(__xludf.DUMMYFUNCTION("GOOGLETRANSLATE(English!C2376, ""en"", ""bg"")"),"високо")</f>
        <v>високо</v>
      </c>
      <c r="D2376" s="1" t="str">
        <f ca="1">IFERROR(__xludf.DUMMYFUNCTION("GOOGLETRANSLATE(English!D2376, ""en"", ""bg"")"),"термодинамика")</f>
        <v>термодинамика</v>
      </c>
      <c r="E2376" s="1" t="str">
        <f ca="1">IFERROR(__xludf.DUMMYFUNCTION("GOOGLETRANSLATE(English!E2376, ""en"", ""bg"")"),"Можете ли да решите тази задача по термодинамика с мен?")</f>
        <v>Можете ли да решите тази задача по термодинамика с мен?</v>
      </c>
      <c r="F2376" s="1" t="str">
        <f ca="1">IFERROR(__xludf.DUMMYFUNCTION("GOOGLETRANSLATE(English!F2376,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376" s="1" t="str">
        <f ca="1">IFERROR(__xludf.DUMMYFUNCTION("GOOGLETRANSLATE(English!G2376, ""en"", ""bg"")"),"помощ_за_домашно_изпълнение")</f>
        <v>помощ_за_домашно_изпълнение</v>
      </c>
      <c r="H2376" s="1" t="str">
        <f ca="1">IFERROR(__xludf.DUMMYFUNCTION("GOOGLETRANSLATE(English!H2376, ""en"", ""bg"")"),"помощ_за_домашно_задаване")</f>
        <v>помощ_за_домашно_задаване</v>
      </c>
    </row>
    <row r="2377" spans="1:8" ht="13.2" x14ac:dyDescent="0.25">
      <c r="A2377" s="1" t="str">
        <f ca="1">IFERROR(__xludf.DUMMYFUNCTION("GOOGLETRANSLATE(English!A2377, ""en"", ""bg"")"),"hw_11735")</f>
        <v>hw_11735</v>
      </c>
      <c r="B2377" s="1" t="str">
        <f ca="1">IFERROR(__xludf.DUMMYFUNCTION("GOOGLETRANSLATE(English!B2377, ""en"", ""bg"")"),"физика")</f>
        <v>физика</v>
      </c>
      <c r="C2377" s="1" t="str">
        <f ca="1">IFERROR(__xludf.DUMMYFUNCTION("GOOGLETRANSLATE(English!C2377, ""en"", ""bg"")"),"високо")</f>
        <v>високо</v>
      </c>
      <c r="D2377" s="1" t="str">
        <f ca="1">IFERROR(__xludf.DUMMYFUNCTION("GOOGLETRANSLATE(English!D2377, ""en"", ""bg"")"),"механика")</f>
        <v>механика</v>
      </c>
      <c r="E2377" s="1" t="str">
        <f ca="1">IFERROR(__xludf.DUMMYFUNCTION("GOOGLETRANSLATE(English!E2377, ""en"", ""bg"")"),"Можеш ли да решиш този механичен въпрос с мен?")</f>
        <v>Можеш ли да решиш този механичен въпрос с мен?</v>
      </c>
      <c r="F2377" s="1" t="str">
        <f ca="1">IFERROR(__xludf.DUMMYFUNCTION("GOOGLETRANSLATE(English!F2377,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2377" s="1" t="str">
        <f ca="1">IFERROR(__xludf.DUMMYFUNCTION("GOOGLETRANSLATE(English!G2377, ""en"", ""bg"")"),"помощ_за_домашно_изпълнение")</f>
        <v>помощ_за_домашно_изпълнение</v>
      </c>
      <c r="H2377" s="1" t="str">
        <f ca="1">IFERROR(__xludf.DUMMYFUNCTION("GOOGLETRANSLATE(English!H2377, ""en"", ""bg"")"),"помощ_за_домашно_задаване")</f>
        <v>помощ_за_домашно_задаване</v>
      </c>
    </row>
    <row r="2378" spans="1:8" ht="13.2" x14ac:dyDescent="0.25">
      <c r="A2378" s="1" t="str">
        <f ca="1">IFERROR(__xludf.DUMMYFUNCTION("GOOGLETRANSLATE(English!A2378, ""en"", ""bg"")"),"qa_10456")</f>
        <v>qa_10456</v>
      </c>
      <c r="B2378" s="1" t="str">
        <f ca="1">IFERROR(__xludf.DUMMYFUNCTION("GOOGLETRANSLATE(English!B2378, ""en"", ""bg"")"),"биология")</f>
        <v>биология</v>
      </c>
      <c r="C2378" s="1" t="str">
        <f ca="1">IFERROR(__xludf.DUMMYFUNCTION("GOOGLETRANSLATE(English!C2378, ""en"", ""bg"")"),"елементарен")</f>
        <v>елементарен</v>
      </c>
      <c r="D2378" s="1" t="str">
        <f ca="1">IFERROR(__xludf.DUMMYFUNCTION("GOOGLETRANSLATE(English!D2378, ""en"", ""bg"")"),"сетива")</f>
        <v>сетива</v>
      </c>
      <c r="E2378" s="1" t="str">
        <f ca="1">IFERROR(__xludf.DUMMYFUNCTION("GOOGLETRANSLATE(English!E2378, ""en"", ""bg"")"),"Защо сетивата са важни в биологията?")</f>
        <v>Защо сетивата са важни в биологията?</v>
      </c>
      <c r="F2378" s="1" t="str">
        <f ca="1">IFERROR(__xludf.DUMMYFUNCTION("GOOGLETRANSLATE(English!F2378, ""en"", ""bg"")"),"Сетивата са важни, защото ни помагат да разберем живота и как живите същества оцеляват.")</f>
        <v>Сетивата са важни, защото ни помагат да разберем живота и как живите същества оцеляват.</v>
      </c>
      <c r="G2378" s="1" t="str">
        <f ca="1">IFERROR(__xludf.DUMMYFUNCTION("GOOGLETRANSLATE(English!G2378, ""en"", ""bg"")"),"direct_qa")</f>
        <v>direct_qa</v>
      </c>
      <c r="H2378" s="1" t="str">
        <f ca="1">IFERROR(__xludf.DUMMYFUNCTION("GOOGLETRANSLATE(English!H2378, ""en"", ""bg"")"),"заявка_за_знание")</f>
        <v>заявка_за_знание</v>
      </c>
    </row>
    <row r="2379" spans="1:8" ht="13.2" x14ac:dyDescent="0.25">
      <c r="A2379" s="1" t="str">
        <f ca="1">IFERROR(__xludf.DUMMYFUNCTION("GOOGLETRANSLATE(English!A2379, ""en"", ""bg"")"),"conv_03343")</f>
        <v>conv_03343</v>
      </c>
      <c r="B2379" s="1" t="str">
        <f ca="1">IFERROR(__xludf.DUMMYFUNCTION("GOOGLETRANSLATE(English!B2379, ""en"", ""bg"")"),"физика")</f>
        <v>физика</v>
      </c>
      <c r="C2379" s="1" t="str">
        <f ca="1">IFERROR(__xludf.DUMMYFUNCTION("GOOGLETRANSLATE(English!C2379, ""en"", ""bg"")"),"елементарен")</f>
        <v>елементарен</v>
      </c>
      <c r="D2379" s="1" t="str">
        <f ca="1">IFERROR(__xludf.DUMMYFUNCTION("GOOGLETRANSLATE(English!D2379, ""en"", ""bg"")"),"светлина и сянка")</f>
        <v>светлина и сянка</v>
      </c>
      <c r="E2379" s="1" t="str">
        <f ca="1">IFERROR(__xludf.DUMMYFUNCTION("GOOGLETRANSLATE(English!E2379, ""en"", ""bg"")"),"Можете ли да ми помогнете? Какво е светлина?")</f>
        <v>Можете ли да ми помогнете? Какво е светлина?</v>
      </c>
      <c r="F2379" s="1" t="str">
        <f ca="1">IFERROR(__xludf.DUMMYFUNCTION("GOOGLETRANSLATE(English!F2379,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2379" s="1" t="str">
        <f ca="1">IFERROR(__xludf.DUMMYFUNCTION("GOOGLETRANSLATE(English!G2379, ""en"", ""bg"")"),"разговор")</f>
        <v>разговор</v>
      </c>
      <c r="H2379" s="1" t="str">
        <f ca="1">IFERROR(__xludf.DUMMYFUNCTION("GOOGLETRANSLATE(English!H2379, ""en"", ""bg"")"),"образователна_помощ")</f>
        <v>образователна_помощ</v>
      </c>
    </row>
    <row r="2380" spans="1:8" ht="13.2" x14ac:dyDescent="0.25">
      <c r="A2380" s="1" t="str">
        <f ca="1">IFERROR(__xludf.DUMMYFUNCTION("GOOGLETRANSLATE(English!A2380, ""en"", ""bg"")"),"qa_13704")</f>
        <v>qa_13704</v>
      </c>
      <c r="B2380" s="1" t="str">
        <f ca="1">IFERROR(__xludf.DUMMYFUNCTION("GOOGLETRANSLATE(English!B2380, ""en"", ""bg"")"),"физика")</f>
        <v>физика</v>
      </c>
      <c r="C2380" s="1" t="str">
        <f ca="1">IFERROR(__xludf.DUMMYFUNCTION("GOOGLETRANSLATE(English!C2380, ""en"", ""bg"")"),"елементарен")</f>
        <v>елементарен</v>
      </c>
      <c r="D2380" s="1" t="str">
        <f ca="1">IFERROR(__xludf.DUMMYFUNCTION("GOOGLETRANSLATE(English!D2380, ""en"", ""bg"")"),"светлина и сянка")</f>
        <v>светлина и сянка</v>
      </c>
      <c r="E2380" s="1" t="str">
        <f ca="1">IFERROR(__xludf.DUMMYFUNCTION("GOOGLETRANSLATE(English!E2380, ""en"", ""bg"")"),"Как се правят сенките?")</f>
        <v>Как се правят сенките?</v>
      </c>
      <c r="F2380" s="1" t="str">
        <f ca="1">IFERROR(__xludf.DUMMYFUNCTION("GOOGLETRANSLATE(English!F2380,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2380" s="1" t="str">
        <f ca="1">IFERROR(__xludf.DUMMYFUNCTION("GOOGLETRANSLATE(English!G2380, ""en"", ""bg"")"),"direct_qa")</f>
        <v>direct_qa</v>
      </c>
      <c r="H2380" s="1" t="str">
        <f ca="1">IFERROR(__xludf.DUMMYFUNCTION("GOOGLETRANSLATE(English!H2380, ""en"", ""bg"")"),"заявка_за_знание")</f>
        <v>заявка_за_знание</v>
      </c>
    </row>
    <row r="2381" spans="1:8" ht="13.2" x14ac:dyDescent="0.25">
      <c r="A2381" s="1" t="str">
        <f ca="1">IFERROR(__xludf.DUMMYFUNCTION("GOOGLETRANSLATE(English!A2381, ""en"", ""bg"")"),"conv_07259")</f>
        <v>conv_07259</v>
      </c>
      <c r="B2381" s="1" t="str">
        <f ca="1">IFERROR(__xludf.DUMMYFUNCTION("GOOGLETRANSLATE(English!B2381, ""en"", ""bg"")"),"химия")</f>
        <v>химия</v>
      </c>
      <c r="C2381" s="1" t="str">
        <f ca="1">IFERROR(__xludf.DUMMYFUNCTION("GOOGLETRANSLATE(English!C2381, ""en"", ""bg"")"),"високо")</f>
        <v>високо</v>
      </c>
      <c r="D2381" s="1" t="str">
        <f ca="1">IFERROR(__xludf.DUMMYFUNCTION("GOOGLETRANSLATE(English!D2381, ""en"", ""bg"")"),"скорости на реакция")</f>
        <v>скорости на реакция</v>
      </c>
      <c r="E2381" s="1" t="str">
        <f ca="1">IFERROR(__xludf.DUMMYFUNCTION("GOOGLETRANSLATE(English!E2381, ""en"", ""bg"")"),"Имам нужда от помощ с домашното. Можете ли да ми помогнете да разбера скоростта на реакция?")</f>
        <v>Имам нужда от помощ с домашното. Можете ли да ми помогнете да разбера скоростта на реакция?</v>
      </c>
      <c r="F2381" s="1" t="str">
        <f ca="1">IFERROR(__xludf.DUMMYFUNCTION("GOOGLETRANSLATE(English!F2381,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2381" s="1" t="str">
        <f ca="1">IFERROR(__xludf.DUMMYFUNCTION("GOOGLETRANSLATE(English!G2381, ""en"", ""bg"")"),"разговор")</f>
        <v>разговор</v>
      </c>
      <c r="H2381" s="1" t="str">
        <f ca="1">IFERROR(__xludf.DUMMYFUNCTION("GOOGLETRANSLATE(English!H2381, ""en"", ""bg"")"),"образователна_помощ")</f>
        <v>образователна_помощ</v>
      </c>
    </row>
    <row r="2382" spans="1:8" ht="13.2" x14ac:dyDescent="0.25">
      <c r="A2382" s="1" t="str">
        <f ca="1">IFERROR(__xludf.DUMMYFUNCTION("GOOGLETRANSLATE(English!A2382, ""en"", ""bg"")"),"hw_11602")</f>
        <v>hw_11602</v>
      </c>
      <c r="B2382" s="1" t="str">
        <f ca="1">IFERROR(__xludf.DUMMYFUNCTION("GOOGLETRANSLATE(English!B2382, ""en"", ""bg"")"),"биология")</f>
        <v>биология</v>
      </c>
      <c r="C2382" s="1" t="str">
        <f ca="1">IFERROR(__xludf.DUMMYFUNCTION("GOOGLETRANSLATE(English!C2382, ""en"", ""bg"")"),"елементарен")</f>
        <v>елементарен</v>
      </c>
      <c r="D2382" s="1" t="str">
        <f ca="1">IFERROR(__xludf.DUMMYFUNCTION("GOOGLETRANSLATE(English!D2382, ""en"", ""bg"")"),"жизнени цикли")</f>
        <v>жизнени цикли</v>
      </c>
      <c r="E2382" s="1" t="str">
        <f ca="1">IFERROR(__xludf.DUMMYFUNCTION("GOOGLETRANSLATE(English!E2382, ""en"", ""bg"")"),"Можете ли да обясните жизнените цикли за моя научен проект?")</f>
        <v>Можете ли да обясните жизнените цикли за моя научен проект?</v>
      </c>
      <c r="F2382" s="1" t="str">
        <f ca="1">IFERROR(__xludf.DUMMYFUNCTION("GOOGLETRANSLATE(English!F2382,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2382" s="1" t="str">
        <f ca="1">IFERROR(__xludf.DUMMYFUNCTION("GOOGLETRANSLATE(English!G2382, ""en"", ""bg"")"),"помощ_за_домашно_изпълнение")</f>
        <v>помощ_за_домашно_изпълнение</v>
      </c>
      <c r="H2382" s="1" t="str">
        <f ca="1">IFERROR(__xludf.DUMMYFUNCTION("GOOGLETRANSLATE(English!H2382, ""en"", ""bg"")"),"помощ_за_домашно_задаване")</f>
        <v>помощ_за_домашно_задаване</v>
      </c>
    </row>
    <row r="2383" spans="1:8" ht="13.2" x14ac:dyDescent="0.25">
      <c r="A2383" s="1" t="str">
        <f ca="1">IFERROR(__xludf.DUMMYFUNCTION("GOOGLETRANSLATE(English!A2383, ""en"", ""bg"")"),"conv_17133")</f>
        <v>conv_17133</v>
      </c>
      <c r="B2383" s="1" t="str">
        <f ca="1">IFERROR(__xludf.DUMMYFUNCTION("GOOGLETRANSLATE(English!B2383, ""en"", ""bg"")"),"химия")</f>
        <v>химия</v>
      </c>
      <c r="C2383" s="1" t="str">
        <f ca="1">IFERROR(__xludf.DUMMYFUNCTION("GOOGLETRANSLATE(English!C2383, ""en"", ""bg"")"),"елементарен")</f>
        <v>елементарен</v>
      </c>
      <c r="D2383" s="1" t="str">
        <f ca="1">IFERROR(__xludf.DUMMYFUNCTION("GOOGLETRANSLATE(English!D2383, ""en"", ""bg"")"),"промени в материалите")</f>
        <v>промени в материалите</v>
      </c>
      <c r="E2383" s="1" t="str">
        <f ca="1">IFERROR(__xludf.DUMMYFUNCTION("GOOGLETRANSLATE(English!E2383, ""en"", ""bg"")"),"Можете ли да ми обясните това? Защо е важно да се научават промените в материалите?")</f>
        <v>Можете ли да ми обясните това? Защо е важно да се научават промените в материалите?</v>
      </c>
      <c r="F2383" s="1" t="str">
        <f ca="1">IFERROR(__xludf.DUMMYFUNCTION("GOOGLETRANSLATE(English!F2383,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2383" s="1" t="str">
        <f ca="1">IFERROR(__xludf.DUMMYFUNCTION("GOOGLETRANSLATE(English!G2383, ""en"", ""bg"")"),"разговор")</f>
        <v>разговор</v>
      </c>
      <c r="H2383" s="1" t="str">
        <f ca="1">IFERROR(__xludf.DUMMYFUNCTION("GOOGLETRANSLATE(English!H2383, ""en"", ""bg"")"),"образователна_помощ")</f>
        <v>образователна_помощ</v>
      </c>
    </row>
    <row r="2384" spans="1:8" ht="13.2" x14ac:dyDescent="0.25">
      <c r="A2384" s="1" t="str">
        <f ca="1">IFERROR(__xludf.DUMMYFUNCTION("GOOGLETRANSLATE(English!A2384, ""en"", ""bg"")"),"qa_12677")</f>
        <v>qa_12677</v>
      </c>
      <c r="B2384" s="1" t="str">
        <f ca="1">IFERROR(__xludf.DUMMYFUNCTION("GOOGLETRANSLATE(English!B2384, ""en"", ""bg"")"),"биология")</f>
        <v>биология</v>
      </c>
      <c r="C2384" s="1" t="str">
        <f ca="1">IFERROR(__xludf.DUMMYFUNCTION("GOOGLETRANSLATE(English!C2384, ""en"", ""bg"")"),"високо")</f>
        <v>високо</v>
      </c>
      <c r="D2384" s="1" t="str">
        <f ca="1">IFERROR(__xludf.DUMMYFUNCTION("GOOGLETRANSLATE(English!D2384, ""en"", ""bg"")"),"молекулярна биология")</f>
        <v>молекулярна биология</v>
      </c>
      <c r="E2384" s="1" t="str">
        <f ca="1">IFERROR(__xludf.DUMMYFUNCTION("GOOGLETRANSLATE(English!E2384, ""en"", ""bg"")"),"Какво е важно да знаем за молекулярната биология?")</f>
        <v>Какво е важно да знаем за молекулярната биология?</v>
      </c>
      <c r="F2384" s="1" t="str">
        <f ca="1">IFERROR(__xludf.DUMMYFUNCTION("GOOGLETRANSLATE(English!F2384,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2384" s="1" t="str">
        <f ca="1">IFERROR(__xludf.DUMMYFUNCTION("GOOGLETRANSLATE(English!G2384, ""en"", ""bg"")"),"direct_qa")</f>
        <v>direct_qa</v>
      </c>
      <c r="H2384" s="1" t="str">
        <f ca="1">IFERROR(__xludf.DUMMYFUNCTION("GOOGLETRANSLATE(English!H2384, ""en"", ""bg"")"),"заявка_за_знание")</f>
        <v>заявка_за_знание</v>
      </c>
    </row>
    <row r="2385" spans="1:8" ht="13.2" x14ac:dyDescent="0.25">
      <c r="A2385" s="1" t="str">
        <f ca="1">IFERROR(__xludf.DUMMYFUNCTION("GOOGLETRANSLATE(English!A2385, ""en"", ""bg"")"),"qa_02265")</f>
        <v>qa_02265</v>
      </c>
      <c r="B2385" s="1" t="str">
        <f ca="1">IFERROR(__xludf.DUMMYFUNCTION("GOOGLETRANSLATE(English!B2385, ""en"", ""bg"")"),"физика")</f>
        <v>физика</v>
      </c>
      <c r="C2385" s="1" t="str">
        <f ca="1">IFERROR(__xludf.DUMMYFUNCTION("GOOGLETRANSLATE(English!C2385, ""en"", ""bg"")"),"елементарен")</f>
        <v>елементарен</v>
      </c>
      <c r="D2385" s="1" t="str">
        <f ca="1">IFERROR(__xludf.DUMMYFUNCTION("GOOGLETRANSLATE(English!D2385, ""en"", ""bg"")"),"бутане и дърпане")</f>
        <v>бутане и дърпане</v>
      </c>
      <c r="E2385" s="1" t="str">
        <f ca="1">IFERROR(__xludf.DUMMYFUNCTION("GOOGLETRANSLATE(English!E2385, ""en"", ""bg"")"),"Какво трябва да знам за бутането и дърпането?")</f>
        <v>Какво трябва да знам за бутането и дърпането?</v>
      </c>
      <c r="F2385" s="1" t="str">
        <f ca="1">IFERROR(__xludf.DUMMYFUNCTION("GOOGLETRANSLATE(English!F2385,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2385" s="1" t="str">
        <f ca="1">IFERROR(__xludf.DUMMYFUNCTION("GOOGLETRANSLATE(English!G2385, ""en"", ""bg"")"),"direct_qa")</f>
        <v>direct_qa</v>
      </c>
      <c r="H2385" s="1" t="str">
        <f ca="1">IFERROR(__xludf.DUMMYFUNCTION("GOOGLETRANSLATE(English!H2385, ""en"", ""bg"")"),"заявка_за_знание")</f>
        <v>заявка_за_знание</v>
      </c>
    </row>
    <row r="2386" spans="1:8" ht="13.2" x14ac:dyDescent="0.25">
      <c r="A2386" s="1" t="str">
        <f ca="1">IFERROR(__xludf.DUMMYFUNCTION("GOOGLETRANSLATE(English!A2386, ""en"", ""bg"")"),"qa_02829")</f>
        <v>qa_02829</v>
      </c>
      <c r="B2386" s="1" t="str">
        <f ca="1">IFERROR(__xludf.DUMMYFUNCTION("GOOGLETRANSLATE(English!B2386, ""en"", ""bg"")"),"биология")</f>
        <v>биология</v>
      </c>
      <c r="C2386" s="1" t="str">
        <f ca="1">IFERROR(__xludf.DUMMYFUNCTION("GOOGLETRANSLATE(English!C2386, ""en"", ""bg"")"),"високо")</f>
        <v>високо</v>
      </c>
      <c r="D2386" s="1" t="str">
        <f ca="1">IFERROR(__xludf.DUMMYFUNCTION("GOOGLETRANSLATE(English!D2386, ""en"", ""bg"")"),"модели на наследяване")</f>
        <v>модели на наследяване</v>
      </c>
      <c r="E2386" s="1" t="str">
        <f ca="1">IFERROR(__xludf.DUMMYFUNCTION("GOOGLETRANSLATE(English!E2386, ""en"", ""bg"")"),"Можете ли да ми разкажете за моделите на наследяване?")</f>
        <v>Можете ли да ми разкажете за моделите на наследяване?</v>
      </c>
      <c r="F2386" s="1" t="str">
        <f ca="1">IFERROR(__xludf.DUMMYFUNCTION("GOOGLETRANSLATE(English!F2386,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2386" s="1" t="str">
        <f ca="1">IFERROR(__xludf.DUMMYFUNCTION("GOOGLETRANSLATE(English!G2386, ""en"", ""bg"")"),"direct_qa")</f>
        <v>direct_qa</v>
      </c>
      <c r="H2386" s="1" t="str">
        <f ca="1">IFERROR(__xludf.DUMMYFUNCTION("GOOGLETRANSLATE(English!H2386, ""en"", ""bg"")"),"заявка_за_знание")</f>
        <v>заявка_за_знание</v>
      </c>
    </row>
    <row r="2387" spans="1:8" ht="13.2" x14ac:dyDescent="0.25">
      <c r="A2387" s="1" t="str">
        <f ca="1">IFERROR(__xludf.DUMMYFUNCTION("GOOGLETRANSLATE(English!A2387, ""en"", ""bg"")"),"conv_01777")</f>
        <v>conv_01777</v>
      </c>
      <c r="B2387" s="1" t="str">
        <f ca="1">IFERROR(__xludf.DUMMYFUNCTION("GOOGLETRANSLATE(English!B2387, ""en"", ""bg"")"),"химия")</f>
        <v>химия</v>
      </c>
      <c r="C2387" s="1" t="str">
        <f ca="1">IFERROR(__xludf.DUMMYFUNCTION("GOOGLETRANSLATE(English!C2387, ""en"", ""bg"")"),"средата")</f>
        <v>средата</v>
      </c>
      <c r="D2387" s="1" t="str">
        <f ca="1">IFERROR(__xludf.DUMMYFUNCTION("GOOGLETRANSLATE(English!D2387, ""en"", ""bg"")"),"химични реакции")</f>
        <v>химични реакции</v>
      </c>
      <c r="E2387" s="1" t="str">
        <f ca="1">IFERROR(__xludf.DUMMYFUNCTION("GOOGLETRANSLATE(English!E2387, ""en"", ""bg"")"),"Здравей, преподавателю! Могат ли химичните реакции да бъдат обратими?")</f>
        <v>Здравей, преподавателю! Могат ли химичните реакции да бъдат обратими?</v>
      </c>
      <c r="F2387" s="1" t="str">
        <f ca="1">IFERROR(__xludf.DUMMYFUNCTION("GOOGLETRANSLATE(English!F2387,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2387" s="1" t="str">
        <f ca="1">IFERROR(__xludf.DUMMYFUNCTION("GOOGLETRANSLATE(English!G2387, ""en"", ""bg"")"),"разговор")</f>
        <v>разговор</v>
      </c>
      <c r="H2387" s="1" t="str">
        <f ca="1">IFERROR(__xludf.DUMMYFUNCTION("GOOGLETRANSLATE(English!H2387, ""en"", ""bg"")"),"образователна_помощ")</f>
        <v>образователна_помощ</v>
      </c>
    </row>
    <row r="2388" spans="1:8" ht="13.2" x14ac:dyDescent="0.25">
      <c r="A2388" s="1" t="str">
        <f ca="1">IFERROR(__xludf.DUMMYFUNCTION("GOOGLETRANSLATE(English!A2388, ""en"", ""bg"")"),"qa_07173")</f>
        <v>qa_07173</v>
      </c>
      <c r="B2388" s="1" t="str">
        <f ca="1">IFERROR(__xludf.DUMMYFUNCTION("GOOGLETRANSLATE(English!B2388, ""en"", ""bg"")"),"физика")</f>
        <v>физика</v>
      </c>
      <c r="C2388" s="1" t="str">
        <f ca="1">IFERROR(__xludf.DUMMYFUNCTION("GOOGLETRANSLATE(English!C2388, ""en"", ""bg"")"),"елементарен")</f>
        <v>елементарен</v>
      </c>
      <c r="D2388" s="1" t="str">
        <f ca="1">IFERROR(__xludf.DUMMYFUNCTION("GOOGLETRANSLATE(English!D2388, ""en"", ""bg"")"),"светлина и сянка")</f>
        <v>светлина и сянка</v>
      </c>
      <c r="E2388" s="1" t="str">
        <f ca="1">IFERROR(__xludf.DUMMYFUNCTION("GOOGLETRANSLATE(English!E2388, ""en"", ""bg"")"),"Как се правят сенките?")</f>
        <v>Как се правят сенките?</v>
      </c>
      <c r="F2388" s="1" t="str">
        <f ca="1">IFERROR(__xludf.DUMMYFUNCTION("GOOGLETRANSLATE(English!F2388,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2388" s="1" t="str">
        <f ca="1">IFERROR(__xludf.DUMMYFUNCTION("GOOGLETRANSLATE(English!G2388, ""en"", ""bg"")"),"direct_qa")</f>
        <v>direct_qa</v>
      </c>
      <c r="H2388" s="1" t="str">
        <f ca="1">IFERROR(__xludf.DUMMYFUNCTION("GOOGLETRANSLATE(English!H2388, ""en"", ""bg"")"),"заявка_за_знание")</f>
        <v>заявка_за_знание</v>
      </c>
    </row>
    <row r="2389" spans="1:8" ht="13.2" x14ac:dyDescent="0.25">
      <c r="A2389" s="1" t="str">
        <f ca="1">IFERROR(__xludf.DUMMYFUNCTION("GOOGLETRANSLATE(English!A2389, ""en"", ""bg"")"),"qa_02499")</f>
        <v>qa_02499</v>
      </c>
      <c r="B2389" s="1" t="str">
        <f ca="1">IFERROR(__xludf.DUMMYFUNCTION("GOOGLETRANSLATE(English!B2389, ""en"", ""bg"")"),"физика")</f>
        <v>физика</v>
      </c>
      <c r="C2389" s="1" t="str">
        <f ca="1">IFERROR(__xludf.DUMMYFUNCTION("GOOGLETRANSLATE(English!C2389, ""en"", ""bg"")"),"средата")</f>
        <v>средата</v>
      </c>
      <c r="D2389" s="1" t="str">
        <f ca="1">IFERROR(__xludf.DUMMYFUNCTION("GOOGLETRANSLATE(English!D2389, ""en"", ""bg"")"),"сили и движение")</f>
        <v>сили и движение</v>
      </c>
      <c r="E2389" s="1" t="str">
        <f ca="1">IFERROR(__xludf.DUMMYFUNCTION("GOOGLETRANSLATE(English!E2389, ""en"", ""bg"")"),"Какъв е първият закон на Нютон?")</f>
        <v>Какъв е първият закон на Нютон?</v>
      </c>
      <c r="F2389" s="1" t="str">
        <f ca="1">IFERROR(__xludf.DUMMYFUNCTION("GOOGLETRANSLATE(English!F2389,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2389" s="1" t="str">
        <f ca="1">IFERROR(__xludf.DUMMYFUNCTION("GOOGLETRANSLATE(English!G2389, ""en"", ""bg"")"),"direct_qa")</f>
        <v>direct_qa</v>
      </c>
      <c r="H2389" s="1" t="str">
        <f ca="1">IFERROR(__xludf.DUMMYFUNCTION("GOOGLETRANSLATE(English!H2389, ""en"", ""bg"")"),"заявка_за_знание")</f>
        <v>заявка_за_знание</v>
      </c>
    </row>
    <row r="2390" spans="1:8" ht="13.2" x14ac:dyDescent="0.25">
      <c r="A2390" s="1" t="str">
        <f ca="1">IFERROR(__xludf.DUMMYFUNCTION("GOOGLETRANSLATE(English!A2390, ""en"", ""bg"")"),"hw_07511")</f>
        <v>hw_07511</v>
      </c>
      <c r="B2390" s="1" t="str">
        <f ca="1">IFERROR(__xludf.DUMMYFUNCTION("GOOGLETRANSLATE(English!B2390, ""en"", ""bg"")"),"биология")</f>
        <v>биология</v>
      </c>
      <c r="C2390" s="1" t="str">
        <f ca="1">IFERROR(__xludf.DUMMYFUNCTION("GOOGLETRANSLATE(English!C2390, ""en"", ""bg"")"),"високо")</f>
        <v>високо</v>
      </c>
      <c r="D2390" s="1" t="str">
        <f ca="1">IFERROR(__xludf.DUMMYFUNCTION("GOOGLETRANSLATE(English!D2390, ""en"", ""bg"")"),"синтез на протеини")</f>
        <v>синтез на протеини</v>
      </c>
      <c r="E2390" s="1" t="str">
        <f ca="1">IFERROR(__xludf.DUMMYFUNCTION("GOOGLETRANSLATE(English!E2390,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2390" s="1" t="str">
        <f ca="1">IFERROR(__xludf.DUMMYFUNCTION("GOOGLETRANSLATE(English!F2390,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2390" s="1" t="str">
        <f ca="1">IFERROR(__xludf.DUMMYFUNCTION("GOOGLETRANSLATE(English!G2390, ""en"", ""bg"")"),"помощ_за_домашно_изпълнение")</f>
        <v>помощ_за_домашно_изпълнение</v>
      </c>
      <c r="H2390" s="1" t="str">
        <f ca="1">IFERROR(__xludf.DUMMYFUNCTION("GOOGLETRANSLATE(English!H2390, ""en"", ""bg"")"),"помощ_за_домашно_задаване")</f>
        <v>помощ_за_домашно_задаване</v>
      </c>
    </row>
    <row r="2391" spans="1:8" ht="13.2" x14ac:dyDescent="0.25">
      <c r="A2391" s="1" t="str">
        <f ca="1">IFERROR(__xludf.DUMMYFUNCTION("GOOGLETRANSLATE(English!A2391, ""en"", ""bg"")"),"conv_16548")</f>
        <v>conv_16548</v>
      </c>
      <c r="B2391" s="1" t="str">
        <f ca="1">IFERROR(__xludf.DUMMYFUNCTION("GOOGLETRANSLATE(English!B2391, ""en"", ""bg"")"),"химия")</f>
        <v>химия</v>
      </c>
      <c r="C2391" s="1" t="str">
        <f ca="1">IFERROR(__xludf.DUMMYFUNCTION("GOOGLETRANSLATE(English!C2391, ""en"", ""bg"")"),"средата")</f>
        <v>средата</v>
      </c>
      <c r="D2391" s="1" t="str">
        <f ca="1">IFERROR(__xludf.DUMMYFUNCTION("GOOGLETRANSLATE(English!D2391, ""en"", ""bg"")"),"киселини и основи")</f>
        <v>киселини и основи</v>
      </c>
      <c r="E2391" s="1" t="str">
        <f ca="1">IFERROR(__xludf.DUMMYFUNCTION("GOOGLETRANSLATE(English!E2391, ""en"", ""bg"")"),"Здравей, преподавателю! Какво представляват киселините и основите?")</f>
        <v>Здравей, преподавателю! Какво представляват киселините и основите?</v>
      </c>
      <c r="F2391" s="1" t="str">
        <f ca="1">IFERROR(__xludf.DUMMYFUNCTION("GOOGLETRANSLATE(English!F2391,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2391" s="1" t="str">
        <f ca="1">IFERROR(__xludf.DUMMYFUNCTION("GOOGLETRANSLATE(English!G2391, ""en"", ""bg"")"),"разговор")</f>
        <v>разговор</v>
      </c>
      <c r="H2391" s="1" t="str">
        <f ca="1">IFERROR(__xludf.DUMMYFUNCTION("GOOGLETRANSLATE(English!H2391, ""en"", ""bg"")"),"образователна_помощ")</f>
        <v>образователна_помощ</v>
      </c>
    </row>
    <row r="2392" spans="1:8" ht="13.2" x14ac:dyDescent="0.25">
      <c r="A2392" s="1" t="str">
        <f ca="1">IFERROR(__xludf.DUMMYFUNCTION("GOOGLETRANSLATE(English!A2392, ""en"", ""bg"")"),"hw_09414")</f>
        <v>hw_09414</v>
      </c>
      <c r="B2392" s="1" t="str">
        <f ca="1">IFERROR(__xludf.DUMMYFUNCTION("GOOGLETRANSLATE(English!B2392, ""en"", ""bg"")"),"химия")</f>
        <v>химия</v>
      </c>
      <c r="C2392" s="1" t="str">
        <f ca="1">IFERROR(__xludf.DUMMYFUNCTION("GOOGLETRANSLATE(English!C2392, ""en"", ""bg"")"),"средата")</f>
        <v>средата</v>
      </c>
      <c r="D2392" s="1" t="str">
        <f ca="1">IFERROR(__xludf.DUMMYFUNCTION("GOOGLETRANSLATE(English!D2392, ""en"", ""bg"")"),"атоми и молекули")</f>
        <v>атоми и молекули</v>
      </c>
      <c r="E2392" s="1" t="str">
        <f ca="1">IFERROR(__xludf.DUMMYFUNCTION("GOOGLETRANSLATE(English!E2392,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2392" s="1" t="str">
        <f ca="1">IFERROR(__xludf.DUMMYFUNCTION("GOOGLETRANSLATE(English!F2392,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392" s="1" t="str">
        <f ca="1">IFERROR(__xludf.DUMMYFUNCTION("GOOGLETRANSLATE(English!G2392, ""en"", ""bg"")"),"помощ_за_домашно_изпълнение")</f>
        <v>помощ_за_домашно_изпълнение</v>
      </c>
      <c r="H2392" s="1" t="str">
        <f ca="1">IFERROR(__xludf.DUMMYFUNCTION("GOOGLETRANSLATE(English!H2392, ""en"", ""bg"")"),"помощ_за_домашно_задаване")</f>
        <v>помощ_за_домашно_задаване</v>
      </c>
    </row>
    <row r="2393" spans="1:8" ht="13.2" x14ac:dyDescent="0.25">
      <c r="A2393" s="1" t="str">
        <f ca="1">IFERROR(__xludf.DUMMYFUNCTION("GOOGLETRANSLATE(English!A2393, ""en"", ""bg"")"),"conv_19039")</f>
        <v>conv_19039</v>
      </c>
      <c r="B2393" s="1" t="str">
        <f ca="1">IFERROR(__xludf.DUMMYFUNCTION("GOOGLETRANSLATE(English!B2393, ""en"", ""bg"")"),"биология")</f>
        <v>биология</v>
      </c>
      <c r="C2393" s="1" t="str">
        <f ca="1">IFERROR(__xludf.DUMMYFUNCTION("GOOGLETRANSLATE(English!C2393, ""en"", ""bg"")"),"елементарен")</f>
        <v>елементарен</v>
      </c>
      <c r="D2393" s="1" t="str">
        <f ca="1">IFERROR(__xludf.DUMMYFUNCTION("GOOGLETRANSLATE(English!D2393, ""en"", ""bg"")"),"растения")</f>
        <v>растения</v>
      </c>
      <c r="E2393" s="1" t="str">
        <f ca="1">IFERROR(__xludf.DUMMYFUNCTION("GOOGLETRANSLATE(English!E2393, ""en"", ""bg"")"),"Имам научен въпрос. Как растенията си произвеждат сами храната?")</f>
        <v>Имам научен въпрос. Как растенията си произвеждат сами храната?</v>
      </c>
      <c r="F2393" s="1" t="str">
        <f ca="1">IFERROR(__xludf.DUMMYFUNCTION("GOOGLETRANSLATE(English!F2393, ""en"", ""bg"")"),"Растенията произвеждат храна чрез фотосинтеза - те използват слънчева светлина, вода и въздух, за да създадат захар за енергия.")</f>
        <v>Растенията произвеждат храна чрез фотосинтеза - те използват слънчева светлина, вода и въздух, за да създадат захар за енергия.</v>
      </c>
      <c r="G2393" s="1" t="str">
        <f ca="1">IFERROR(__xludf.DUMMYFUNCTION("GOOGLETRANSLATE(English!G2393, ""en"", ""bg"")"),"разговор")</f>
        <v>разговор</v>
      </c>
      <c r="H2393" s="1" t="str">
        <f ca="1">IFERROR(__xludf.DUMMYFUNCTION("GOOGLETRANSLATE(English!H2393, ""en"", ""bg"")"),"образователна_помощ")</f>
        <v>образователна_помощ</v>
      </c>
    </row>
    <row r="2394" spans="1:8" ht="13.2" x14ac:dyDescent="0.25">
      <c r="A2394" s="1" t="str">
        <f ca="1">IFERROR(__xludf.DUMMYFUNCTION("GOOGLETRANSLATE(English!A2394, ""en"", ""bg"")"),"qa_11408")</f>
        <v>qa_11408</v>
      </c>
      <c r="B2394" s="1" t="str">
        <f ca="1">IFERROR(__xludf.DUMMYFUNCTION("GOOGLETRANSLATE(English!B2394, ""en"", ""bg"")"),"физика")</f>
        <v>физика</v>
      </c>
      <c r="C2394" s="1" t="str">
        <f ca="1">IFERROR(__xludf.DUMMYFUNCTION("GOOGLETRANSLATE(English!C2394, ""en"", ""bg"")"),"елементарен")</f>
        <v>елементарен</v>
      </c>
      <c r="D2394" s="1" t="str">
        <f ca="1">IFERROR(__xludf.DUMMYFUNCTION("GOOGLETRANSLATE(English!D2394, ""en"", ""bg"")"),"бутане и дърпане")</f>
        <v>бутане и дърпане</v>
      </c>
      <c r="E2394" s="1" t="str">
        <f ca="1">IFERROR(__xludf.DUMMYFUNCTION("GOOGLETRANSLATE(English!E2394, ""en"", ""bg"")"),"Защо е важно бутането и дърпането?")</f>
        <v>Защо е важно бутането и дърпането?</v>
      </c>
      <c r="F2394" s="1" t="str">
        <f ca="1">IFERROR(__xludf.DUMMYFUNCTION("GOOGLETRANSLATE(English!F2394,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2394" s="1" t="str">
        <f ca="1">IFERROR(__xludf.DUMMYFUNCTION("GOOGLETRANSLATE(English!G2394, ""en"", ""bg"")"),"direct_qa")</f>
        <v>direct_qa</v>
      </c>
      <c r="H2394" s="1" t="str">
        <f ca="1">IFERROR(__xludf.DUMMYFUNCTION("GOOGLETRANSLATE(English!H2394, ""en"", ""bg"")"),"заявка_за_знание")</f>
        <v>заявка_за_знание</v>
      </c>
    </row>
    <row r="2395" spans="1:8" ht="13.2" x14ac:dyDescent="0.25">
      <c r="A2395" s="1" t="str">
        <f ca="1">IFERROR(__xludf.DUMMYFUNCTION("GOOGLETRANSLATE(English!A2395, ""en"", ""bg"")"),"qa_09643")</f>
        <v>qa_09643</v>
      </c>
      <c r="B2395" s="1" t="str">
        <f ca="1">IFERROR(__xludf.DUMMYFUNCTION("GOOGLETRANSLATE(English!B2395, ""en"", ""bg"")"),"химия")</f>
        <v>химия</v>
      </c>
      <c r="C2395" s="1" t="str">
        <f ca="1">IFERROR(__xludf.DUMMYFUNCTION("GOOGLETRANSLATE(English!C2395, ""en"", ""bg"")"),"високо")</f>
        <v>високо</v>
      </c>
      <c r="D2395" s="1" t="str">
        <f ca="1">IFERROR(__xludf.DUMMYFUNCTION("GOOGLETRANSLATE(English!D2395, ""en"", ""bg"")"),"скорости на реакция")</f>
        <v>скорости на реакция</v>
      </c>
      <c r="E2395" s="1" t="str">
        <f ca="1">IFERROR(__xludf.DUMMYFUNCTION("GOOGLETRANSLATE(English!E2395, ""en"", ""bg"")"),"Защо е важно да се учи скоростта на реакция?")</f>
        <v>Защо е важно да се учи скоростта на реакция?</v>
      </c>
      <c r="F2395" s="1" t="str">
        <f ca="1">IFERROR(__xludf.DUMMYFUNCTION("GOOGLETRANSLATE(English!F2395,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2395" s="1" t="str">
        <f ca="1">IFERROR(__xludf.DUMMYFUNCTION("GOOGLETRANSLATE(English!G2395, ""en"", ""bg"")"),"direct_qa")</f>
        <v>direct_qa</v>
      </c>
      <c r="H2395" s="1" t="str">
        <f ca="1">IFERROR(__xludf.DUMMYFUNCTION("GOOGLETRANSLATE(English!H2395, ""en"", ""bg"")"),"заявка_за_знание")</f>
        <v>заявка_за_знание</v>
      </c>
    </row>
    <row r="2396" spans="1:8" ht="13.2" x14ac:dyDescent="0.25">
      <c r="A2396" s="1" t="str">
        <f ca="1">IFERROR(__xludf.DUMMYFUNCTION("GOOGLETRANSLATE(English!A2396, ""en"", ""bg"")"),"conv_19283")</f>
        <v>conv_19283</v>
      </c>
      <c r="B2396" s="1" t="str">
        <f ca="1">IFERROR(__xludf.DUMMYFUNCTION("GOOGLETRANSLATE(English!B2396, ""en"", ""bg"")"),"физика")</f>
        <v>физика</v>
      </c>
      <c r="C2396" s="1" t="str">
        <f ca="1">IFERROR(__xludf.DUMMYFUNCTION("GOOGLETRANSLATE(English!C2396, ""en"", ""bg"")"),"елементарен")</f>
        <v>елементарен</v>
      </c>
      <c r="D2396" s="1" t="str">
        <f ca="1">IFERROR(__xludf.DUMMYFUNCTION("GOOGLETRANSLATE(English!D2396, ""en"", ""bg"")"),"звук")</f>
        <v>звук</v>
      </c>
      <c r="E2396" s="1" t="str">
        <f ca="1">IFERROR(__xludf.DUMMYFUNCTION("GOOGLETRANSLATE(English!E2396, ""en"", ""bg"")"),"Здравей, преподавателю! Защо звукът е важен?")</f>
        <v>Здравей, преподавателю! Защо звукът е важен?</v>
      </c>
      <c r="F2396" s="1" t="str">
        <f ca="1">IFERROR(__xludf.DUMMYFUNCTION("GOOGLETRANSLATE(English!F2396,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2396" s="1" t="str">
        <f ca="1">IFERROR(__xludf.DUMMYFUNCTION("GOOGLETRANSLATE(English!G2396, ""en"", ""bg"")"),"разговор")</f>
        <v>разговор</v>
      </c>
      <c r="H2396" s="1" t="str">
        <f ca="1">IFERROR(__xludf.DUMMYFUNCTION("GOOGLETRANSLATE(English!H2396, ""en"", ""bg"")"),"образователна_помощ")</f>
        <v>образователна_помощ</v>
      </c>
    </row>
    <row r="2397" spans="1:8" ht="13.2" x14ac:dyDescent="0.25">
      <c r="A2397" s="1" t="str">
        <f ca="1">IFERROR(__xludf.DUMMYFUNCTION("GOOGLETRANSLATE(English!A2397, ""en"", ""bg"")"),"conv_14364")</f>
        <v>conv_14364</v>
      </c>
      <c r="B2397" s="1" t="str">
        <f ca="1">IFERROR(__xludf.DUMMYFUNCTION("GOOGLETRANSLATE(English!B2397, ""en"", ""bg"")"),"физика")</f>
        <v>физика</v>
      </c>
      <c r="C2397" s="1" t="str">
        <f ca="1">IFERROR(__xludf.DUMMYFUNCTION("GOOGLETRANSLATE(English!C2397, ""en"", ""bg"")"),"високо")</f>
        <v>високо</v>
      </c>
      <c r="D2397" s="1" t="str">
        <f ca="1">IFERROR(__xludf.DUMMYFUNCTION("GOOGLETRANSLATE(English!D2397, ""en"", ""bg"")"),"оптика")</f>
        <v>оптика</v>
      </c>
      <c r="E2397" s="1" t="str">
        <f ca="1">IFERROR(__xludf.DUMMYFUNCTION("GOOGLETRANSLATE(English!E2397, ""en"", ""bg"")"),"Не разбирам тази тема. Защо оптиката е важна?")</f>
        <v>Не разбирам тази тема. Защо оптиката е важна?</v>
      </c>
      <c r="F2397" s="1" t="str">
        <f ca="1">IFERROR(__xludf.DUMMYFUNCTION("GOOGLETRANSLATE(English!F2397,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2397" s="1" t="str">
        <f ca="1">IFERROR(__xludf.DUMMYFUNCTION("GOOGLETRANSLATE(English!G2397, ""en"", ""bg"")"),"разговор")</f>
        <v>разговор</v>
      </c>
      <c r="H2397" s="1" t="str">
        <f ca="1">IFERROR(__xludf.DUMMYFUNCTION("GOOGLETRANSLATE(English!H2397, ""en"", ""bg"")"),"образователна_помощ")</f>
        <v>образователна_помощ</v>
      </c>
    </row>
    <row r="2398" spans="1:8" ht="13.2" x14ac:dyDescent="0.25">
      <c r="A2398" s="1" t="str">
        <f ca="1">IFERROR(__xludf.DUMMYFUNCTION("GOOGLETRANSLATE(English!A2398, ""en"", ""bg"")"),"hw_14369")</f>
        <v>hw_14369</v>
      </c>
      <c r="B2398" s="1" t="str">
        <f ca="1">IFERROR(__xludf.DUMMYFUNCTION("GOOGLETRANSLATE(English!B2398, ""en"", ""bg"")"),"физика")</f>
        <v>физика</v>
      </c>
      <c r="C2398" s="1" t="str">
        <f ca="1">IFERROR(__xludf.DUMMYFUNCTION("GOOGLETRANSLATE(English!C2398, ""en"", ""bg"")"),"високо")</f>
        <v>високо</v>
      </c>
      <c r="D2398" s="1" t="str">
        <f ca="1">IFERROR(__xludf.DUMMYFUNCTION("GOOGLETRANSLATE(English!D2398, ""en"", ""bg"")"),"оптика")</f>
        <v>оптика</v>
      </c>
      <c r="E2398" s="1" t="str">
        <f ca="1">IFERROR(__xludf.DUMMYFUNCTION("GOOGLETRANSLATE(English!E2398, ""en"", ""bg"")"),"Можете ли да решите този въпрос с оптиката с мен?")</f>
        <v>Можете ли да решите този въпрос с оптиката с мен?</v>
      </c>
      <c r="F2398" s="1" t="str">
        <f ca="1">IFERROR(__xludf.DUMMYFUNCTION("GOOGLETRANSLATE(English!F2398,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2398" s="1" t="str">
        <f ca="1">IFERROR(__xludf.DUMMYFUNCTION("GOOGLETRANSLATE(English!G2398, ""en"", ""bg"")"),"помощ_за_домашно_изпълнение")</f>
        <v>помощ_за_домашно_изпълнение</v>
      </c>
      <c r="H2398" s="1" t="str">
        <f ca="1">IFERROR(__xludf.DUMMYFUNCTION("GOOGLETRANSLATE(English!H2398, ""en"", ""bg"")"),"помощ_за_домашно_задаване")</f>
        <v>помощ_за_домашно_задаване</v>
      </c>
    </row>
    <row r="2399" spans="1:8" ht="13.2" x14ac:dyDescent="0.25">
      <c r="A2399" s="1" t="str">
        <f ca="1">IFERROR(__xludf.DUMMYFUNCTION("GOOGLETRANSLATE(English!A2399, ""en"", ""bg"")"),"qa_00167")</f>
        <v>qa_00167</v>
      </c>
      <c r="B2399" s="1" t="str">
        <f ca="1">IFERROR(__xludf.DUMMYFUNCTION("GOOGLETRANSLATE(English!B2399, ""en"", ""bg"")"),"биология")</f>
        <v>биология</v>
      </c>
      <c r="C2399" s="1" t="str">
        <f ca="1">IFERROR(__xludf.DUMMYFUNCTION("GOOGLETRANSLATE(English!C2399, ""en"", ""bg"")"),"високо")</f>
        <v>високо</v>
      </c>
      <c r="D2399" s="1" t="str">
        <f ca="1">IFERROR(__xludf.DUMMYFUNCTION("GOOGLETRANSLATE(English!D2399, ""en"", ""bg"")"),"митоза и мейоза")</f>
        <v>митоза и мейоза</v>
      </c>
      <c r="E2399" s="1" t="str">
        <f ca="1">IFERROR(__xludf.DUMMYFUNCTION("GOOGLETRANSLATE(English!E2399, ""en"", ""bg"")"),"Какво е важно да знаем за митозата и мейозата?")</f>
        <v>Какво е важно да знаем за митозата и мейозата?</v>
      </c>
      <c r="F2399" s="1" t="str">
        <f ca="1">IFERROR(__xludf.DUMMYFUNCTION("GOOGLETRANSLATE(English!F2399,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2399" s="1" t="str">
        <f ca="1">IFERROR(__xludf.DUMMYFUNCTION("GOOGLETRANSLATE(English!G2399, ""en"", ""bg"")"),"direct_qa")</f>
        <v>direct_qa</v>
      </c>
      <c r="H2399" s="1" t="str">
        <f ca="1">IFERROR(__xludf.DUMMYFUNCTION("GOOGLETRANSLATE(English!H2399, ""en"", ""bg"")"),"заявка_за_знание")</f>
        <v>заявка_за_знание</v>
      </c>
    </row>
    <row r="2400" spans="1:8" ht="13.2" x14ac:dyDescent="0.25">
      <c r="A2400" s="1" t="str">
        <f ca="1">IFERROR(__xludf.DUMMYFUNCTION("GOOGLETRANSLATE(English!A2400, ""en"", ""bg"")"),"conv_10427")</f>
        <v>conv_10427</v>
      </c>
      <c r="B2400" s="1" t="str">
        <f ca="1">IFERROR(__xludf.DUMMYFUNCTION("GOOGLETRANSLATE(English!B2400, ""en"", ""bg"")"),"физика")</f>
        <v>физика</v>
      </c>
      <c r="C2400" s="1" t="str">
        <f ca="1">IFERROR(__xludf.DUMMYFUNCTION("GOOGLETRANSLATE(English!C2400, ""en"", ""bg"")"),"елементарен")</f>
        <v>елементарен</v>
      </c>
      <c r="D2400" s="1" t="str">
        <f ca="1">IFERROR(__xludf.DUMMYFUNCTION("GOOGLETRANSLATE(English!D2400, ""en"", ""bg"")"),"магнити")</f>
        <v>магнити</v>
      </c>
      <c r="E2400" s="1" t="str">
        <f ca="1">IFERROR(__xludf.DUMMYFUNCTION("GOOGLETRANSLATE(English!E2400, ""en"", ""bg"")"),"Не разбирам тази тема. Какви са полюсите на магнита?")</f>
        <v>Не разбирам тази тема. Какви са полюсите на магнита?</v>
      </c>
      <c r="F2400" s="1" t="str">
        <f ca="1">IFERROR(__xludf.DUMMYFUNCTION("GOOGLETRANSLATE(English!F2400,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2400" s="1" t="str">
        <f ca="1">IFERROR(__xludf.DUMMYFUNCTION("GOOGLETRANSLATE(English!G2400, ""en"", ""bg"")"),"разговор")</f>
        <v>разговор</v>
      </c>
      <c r="H2400" s="1" t="str">
        <f ca="1">IFERROR(__xludf.DUMMYFUNCTION("GOOGLETRANSLATE(English!H2400, ""en"", ""bg"")"),"образователна_помощ")</f>
        <v>образователна_помощ</v>
      </c>
    </row>
    <row r="2401" spans="1:8" ht="13.2" x14ac:dyDescent="0.25">
      <c r="A2401" s="1" t="str">
        <f ca="1">IFERROR(__xludf.DUMMYFUNCTION("GOOGLETRANSLATE(English!A2401, ""en"", ""bg"")"),"hw_08867")</f>
        <v>hw_08867</v>
      </c>
      <c r="B2401" s="1" t="str">
        <f ca="1">IFERROR(__xludf.DUMMYFUNCTION("GOOGLETRANSLATE(English!B2401, ""en"", ""bg"")"),"биология")</f>
        <v>биология</v>
      </c>
      <c r="C2401" s="1" t="str">
        <f ca="1">IFERROR(__xludf.DUMMYFUNCTION("GOOGLETRANSLATE(English!C2401, ""en"", ""bg"")"),"средата")</f>
        <v>средата</v>
      </c>
      <c r="D2401" s="1" t="str">
        <f ca="1">IFERROR(__xludf.DUMMYFUNCTION("GOOGLETRANSLATE(English!D2401, ""en"", ""bg"")"),"класификация")</f>
        <v>класификация</v>
      </c>
      <c r="E2401" s="1" t="str">
        <f ca="1">IFERROR(__xludf.DUMMYFUNCTION("GOOGLETRANSLATE(English!E2401, ""en"", ""bg"")"),"Домашното ми пита за класификация. Не я разбирам.")</f>
        <v>Домашното ми пита за класификация. Не я разбирам.</v>
      </c>
      <c r="F2401" s="1" t="str">
        <f ca="1">IFERROR(__xludf.DUMMYFUNCTION("GOOGLETRANSLATE(English!F2401,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2401" s="1" t="str">
        <f ca="1">IFERROR(__xludf.DUMMYFUNCTION("GOOGLETRANSLATE(English!G2401, ""en"", ""bg"")"),"помощ_за_домашно_изпълнение")</f>
        <v>помощ_за_домашно_изпълнение</v>
      </c>
      <c r="H2401" s="1" t="str">
        <f ca="1">IFERROR(__xludf.DUMMYFUNCTION("GOOGLETRANSLATE(English!H2401, ""en"", ""bg"")"),"помощ_за_домашно_задаване")</f>
        <v>помощ_за_домашно_задаване</v>
      </c>
    </row>
    <row r="2402" spans="1:8" ht="13.2" x14ac:dyDescent="0.25">
      <c r="A2402" s="1" t="str">
        <f ca="1">IFERROR(__xludf.DUMMYFUNCTION("GOOGLETRANSLATE(English!A2402, ""en"", ""bg"")"),"qa_02475")</f>
        <v>qa_02475</v>
      </c>
      <c r="B2402" s="1" t="str">
        <f ca="1">IFERROR(__xludf.DUMMYFUNCTION("GOOGLETRANSLATE(English!B2402, ""en"", ""bg"")"),"биология")</f>
        <v>биология</v>
      </c>
      <c r="C2402" s="1" t="str">
        <f ca="1">IFERROR(__xludf.DUMMYFUNCTION("GOOGLETRANSLATE(English!C2402, ""en"", ""bg"")"),"елементарен")</f>
        <v>елементарен</v>
      </c>
      <c r="D2402" s="1" t="str">
        <f ca="1">IFERROR(__xludf.DUMMYFUNCTION("GOOGLETRANSLATE(English!D2402, ""en"", ""bg"")"),"основни нужди")</f>
        <v>основни нужди</v>
      </c>
      <c r="E2402" s="1" t="str">
        <f ca="1">IFERROR(__xludf.DUMMYFUNCTION("GOOGLETRANSLATE(English!E2402, ""en"", ""bg"")"),"Какво е важно да знаем за основните потребности?")</f>
        <v>Какво е важно да знаем за основните потребности?</v>
      </c>
      <c r="F2402" s="1" t="str">
        <f ca="1">IFERROR(__xludf.DUMMYFUNCTION("GOOGLETRANSLATE(English!F2402, ""en"", ""bg"")"),"Най-важното нещо за основните потребности е как те се свързват с други части от живота и природата.")</f>
        <v>Най-важното нещо за основните потребности е как те се свързват с други части от живота и природата.</v>
      </c>
      <c r="G2402" s="1" t="str">
        <f ca="1">IFERROR(__xludf.DUMMYFUNCTION("GOOGLETRANSLATE(English!G2402, ""en"", ""bg"")"),"direct_qa")</f>
        <v>direct_qa</v>
      </c>
      <c r="H2402" s="1" t="str">
        <f ca="1">IFERROR(__xludf.DUMMYFUNCTION("GOOGLETRANSLATE(English!H2402, ""en"", ""bg"")"),"заявка_за_знание")</f>
        <v>заявка_за_знание</v>
      </c>
    </row>
    <row r="2403" spans="1:8" ht="13.2" x14ac:dyDescent="0.25">
      <c r="A2403" s="1" t="str">
        <f ca="1">IFERROR(__xludf.DUMMYFUNCTION("GOOGLETRANSLATE(English!A2403, ""en"", ""bg"")"),"qa_00652")</f>
        <v>qa_00652</v>
      </c>
      <c r="B2403" s="1" t="str">
        <f ca="1">IFERROR(__xludf.DUMMYFUNCTION("GOOGLETRANSLATE(English!B2403, ""en"", ""bg"")"),"физика")</f>
        <v>физика</v>
      </c>
      <c r="C2403" s="1" t="str">
        <f ca="1">IFERROR(__xludf.DUMMYFUNCTION("GOOGLETRANSLATE(English!C2403, ""en"", ""bg"")"),"елементарен")</f>
        <v>елементарен</v>
      </c>
      <c r="D2403" s="1" t="str">
        <f ca="1">IFERROR(__xludf.DUMMYFUNCTION("GOOGLETRANSLATE(English!D2403, ""en"", ""bg"")"),"звук")</f>
        <v>звук</v>
      </c>
      <c r="E2403" s="1" t="str">
        <f ca="1">IFERROR(__xludf.DUMMYFUNCTION("GOOGLETRANSLATE(English!E2403, ""en"", ""bg"")"),"Как работи звукът във физиката?")</f>
        <v>Как работи звукът във физиката?</v>
      </c>
      <c r="F2403" s="1" t="str">
        <f ca="1">IFERROR(__xludf.DUMMYFUNCTION("GOOGLETRANSLATE(English!F2403,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403" s="1" t="str">
        <f ca="1">IFERROR(__xludf.DUMMYFUNCTION("GOOGLETRANSLATE(English!G2403, ""en"", ""bg"")"),"direct_qa")</f>
        <v>direct_qa</v>
      </c>
      <c r="H2403" s="1" t="str">
        <f ca="1">IFERROR(__xludf.DUMMYFUNCTION("GOOGLETRANSLATE(English!H2403, ""en"", ""bg"")"),"заявка_за_знание")</f>
        <v>заявка_за_знание</v>
      </c>
    </row>
    <row r="2404" spans="1:8" ht="13.2" x14ac:dyDescent="0.25">
      <c r="A2404" s="1" t="str">
        <f ca="1">IFERROR(__xludf.DUMMYFUNCTION("GOOGLETRANSLATE(English!A2404, ""en"", ""bg"")"),"hw_12213")</f>
        <v>hw_12213</v>
      </c>
      <c r="B2404" s="1" t="str">
        <f ca="1">IFERROR(__xludf.DUMMYFUNCTION("GOOGLETRANSLATE(English!B2404, ""en"", ""bg"")"),"химия")</f>
        <v>химия</v>
      </c>
      <c r="C2404" s="1" t="str">
        <f ca="1">IFERROR(__xludf.DUMMYFUNCTION("GOOGLETRANSLATE(English!C2404, ""en"", ""bg"")"),"високо")</f>
        <v>високо</v>
      </c>
      <c r="D2404" s="1" t="str">
        <f ca="1">IFERROR(__xludf.DUMMYFUNCTION("GOOGLETRANSLATE(English!D2404, ""en"", ""bg"")"),"химическо свързване")</f>
        <v>химическо свързване</v>
      </c>
      <c r="E2404" s="1" t="str">
        <f ca="1">IFERROR(__xludf.DUMMYFUNCTION("GOOGLETRANSLATE(English!E2404,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2404" s="1" t="str">
        <f ca="1">IFERROR(__xludf.DUMMYFUNCTION("GOOGLETRANSLATE(English!F2404,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2404" s="1" t="str">
        <f ca="1">IFERROR(__xludf.DUMMYFUNCTION("GOOGLETRANSLATE(English!G2404, ""en"", ""bg"")"),"помощ_за_домашно_изпълнение")</f>
        <v>помощ_за_домашно_изпълнение</v>
      </c>
      <c r="H2404" s="1" t="str">
        <f ca="1">IFERROR(__xludf.DUMMYFUNCTION("GOOGLETRANSLATE(English!H2404, ""en"", ""bg"")"),"помощ_за_домашно_задаване")</f>
        <v>помощ_за_домашно_задаване</v>
      </c>
    </row>
    <row r="2405" spans="1:8" ht="13.2" x14ac:dyDescent="0.25">
      <c r="A2405" s="1" t="str">
        <f ca="1">IFERROR(__xludf.DUMMYFUNCTION("GOOGLETRANSLATE(English!A2405, ""en"", ""bg"")"),"conv_03465")</f>
        <v>conv_03465</v>
      </c>
      <c r="B2405" s="1" t="str">
        <f ca="1">IFERROR(__xludf.DUMMYFUNCTION("GOOGLETRANSLATE(English!B2405, ""en"", ""bg"")"),"физика")</f>
        <v>физика</v>
      </c>
      <c r="C2405" s="1" t="str">
        <f ca="1">IFERROR(__xludf.DUMMYFUNCTION("GOOGLETRANSLATE(English!C2405, ""en"", ""bg"")"),"елементарен")</f>
        <v>елементарен</v>
      </c>
      <c r="D2405" s="1" t="str">
        <f ca="1">IFERROR(__xludf.DUMMYFUNCTION("GOOGLETRANSLATE(English!D2405, ""en"", ""bg"")"),"магнити")</f>
        <v>магнити</v>
      </c>
      <c r="E2405" s="1" t="str">
        <f ca="1">IFERROR(__xludf.DUMMYFUNCTION("GOOGLETRANSLATE(English!E2405, ""en"", ""bg"")"),"Имам научен въпрос. Защо някои неща се залепват за магнити?")</f>
        <v>Имам научен въпрос. Защо някои неща се залепват за магнити?</v>
      </c>
      <c r="F2405" s="1" t="str">
        <f ca="1">IFERROR(__xludf.DUMMYFUNCTION("GOOGLETRANSLATE(English!F2405,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2405" s="1" t="str">
        <f ca="1">IFERROR(__xludf.DUMMYFUNCTION("GOOGLETRANSLATE(English!G2405, ""en"", ""bg"")"),"разговор")</f>
        <v>разговор</v>
      </c>
      <c r="H2405" s="1" t="str">
        <f ca="1">IFERROR(__xludf.DUMMYFUNCTION("GOOGLETRANSLATE(English!H2405, ""en"", ""bg"")"),"образователна_помощ")</f>
        <v>образователна_помощ</v>
      </c>
    </row>
    <row r="2406" spans="1:8" ht="13.2" x14ac:dyDescent="0.25">
      <c r="A2406" s="1" t="str">
        <f ca="1">IFERROR(__xludf.DUMMYFUNCTION("GOOGLETRANSLATE(English!A2406, ""en"", ""bg"")"),"qa_11951")</f>
        <v>qa_11951</v>
      </c>
      <c r="B2406" s="1" t="str">
        <f ca="1">IFERROR(__xludf.DUMMYFUNCTION("GOOGLETRANSLATE(English!B2406, ""en"", ""bg"")"),"биология")</f>
        <v>биология</v>
      </c>
      <c r="C2406" s="1" t="str">
        <f ca="1">IFERROR(__xludf.DUMMYFUNCTION("GOOGLETRANSLATE(English!C2406, ""en"", ""bg"")"),"елементарен")</f>
        <v>елементарен</v>
      </c>
      <c r="D2406" s="1" t="str">
        <f ca="1">IFERROR(__xludf.DUMMYFUNCTION("GOOGLETRANSLATE(English!D2406, ""en"", ""bg"")"),"човешкото тяло")</f>
        <v>човешкото тяло</v>
      </c>
      <c r="E2406" s="1" t="str">
        <f ca="1">IFERROR(__xludf.DUMMYFUNCTION("GOOGLETRANSLATE(English!E2406, ""en"", ""bg"")"),"Какво е важно да знаем за човешкото тяло?")</f>
        <v>Какво е важно да знаем за човешкото тяло?</v>
      </c>
      <c r="F2406" s="1" t="str">
        <f ca="1">IFERROR(__xludf.DUMMYFUNCTION("GOOGLETRANSLATE(English!F2406,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2406" s="1" t="str">
        <f ca="1">IFERROR(__xludf.DUMMYFUNCTION("GOOGLETRANSLATE(English!G2406, ""en"", ""bg"")"),"direct_qa")</f>
        <v>direct_qa</v>
      </c>
      <c r="H2406" s="1" t="str">
        <f ca="1">IFERROR(__xludf.DUMMYFUNCTION("GOOGLETRANSLATE(English!H2406, ""en"", ""bg"")"),"заявка_за_знание")</f>
        <v>заявка_за_знание</v>
      </c>
    </row>
    <row r="2407" spans="1:8" ht="13.2" x14ac:dyDescent="0.25">
      <c r="A2407" s="1" t="str">
        <f ca="1">IFERROR(__xludf.DUMMYFUNCTION("GOOGLETRANSLATE(English!A2407, ""en"", ""bg"")"),"qa_00235")</f>
        <v>qa_00235</v>
      </c>
      <c r="B2407" s="1" t="str">
        <f ca="1">IFERROR(__xludf.DUMMYFUNCTION("GOOGLETRANSLATE(English!B2407, ""en"", ""bg"")"),"химия")</f>
        <v>химия</v>
      </c>
      <c r="C2407" s="1" t="str">
        <f ca="1">IFERROR(__xludf.DUMMYFUNCTION("GOOGLETRANSLATE(English!C2407, ""en"", ""bg"")"),"високо")</f>
        <v>високо</v>
      </c>
      <c r="D2407" s="1" t="str">
        <f ca="1">IFERROR(__xludf.DUMMYFUNCTION("GOOGLETRANSLATE(English!D2407, ""en"", ""bg"")"),"електрохимия")</f>
        <v>електрохимия</v>
      </c>
      <c r="E2407" s="1" t="str">
        <f ca="1">IFERROR(__xludf.DUMMYFUNCTION("GOOGLETRANSLATE(English!E2407, ""en"", ""bg"")"),"Можете ли да ми помогнете да разбера електрохимията?")</f>
        <v>Можете ли да ми помогнете да разбера електрохимията?</v>
      </c>
      <c r="F2407" s="1" t="str">
        <f ca="1">IFERROR(__xludf.DUMMYFUNCTION("GOOGLETRANSLATE(English!F2407,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2407" s="1" t="str">
        <f ca="1">IFERROR(__xludf.DUMMYFUNCTION("GOOGLETRANSLATE(English!G2407, ""en"", ""bg"")"),"direct_qa")</f>
        <v>direct_qa</v>
      </c>
      <c r="H2407" s="1" t="str">
        <f ca="1">IFERROR(__xludf.DUMMYFUNCTION("GOOGLETRANSLATE(English!H2407, ""en"", ""bg"")"),"заявка_за_знание")</f>
        <v>заявка_за_знание</v>
      </c>
    </row>
    <row r="2408" spans="1:8" ht="13.2" x14ac:dyDescent="0.25">
      <c r="A2408" s="1" t="str">
        <f ca="1">IFERROR(__xludf.DUMMYFUNCTION("GOOGLETRANSLATE(English!A2408, ""en"", ""bg"")"),"conv_08641")</f>
        <v>conv_08641</v>
      </c>
      <c r="B2408" s="1" t="str">
        <f ca="1">IFERROR(__xludf.DUMMYFUNCTION("GOOGLETRANSLATE(English!B2408, ""en"", ""bg"")"),"биология")</f>
        <v>биология</v>
      </c>
      <c r="C2408" s="1" t="str">
        <f ca="1">IFERROR(__xludf.DUMMYFUNCTION("GOOGLETRANSLATE(English!C2408, ""en"", ""bg"")"),"елементарен")</f>
        <v>елементарен</v>
      </c>
      <c r="D2408" s="1" t="str">
        <f ca="1">IFERROR(__xludf.DUMMYFUNCTION("GOOGLETRANSLATE(English!D2408, ""en"", ""bg"")"),"домашни любимци срещу диви животни")</f>
        <v>домашни любимци срещу диви животни</v>
      </c>
      <c r="E2408" s="1" t="str">
        <f ca="1">IFERROR(__xludf.DUMMYFUNCTION("GOOGLETRANSLATE(English!E2408, ""en"", ""bg"")"),"Имам научен въпрос. Как се различават домашните любимци от дивите животни?")</f>
        <v>Имам научен въпрос. Как се различават домашните любимци от дивите животни?</v>
      </c>
      <c r="F2408" s="1" t="str">
        <f ca="1">IFERROR(__xludf.DUMMYFUNCTION("GOOGLETRANSLATE(English!F2408,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2408" s="1" t="str">
        <f ca="1">IFERROR(__xludf.DUMMYFUNCTION("GOOGLETRANSLATE(English!G2408, ""en"", ""bg"")"),"разговор")</f>
        <v>разговор</v>
      </c>
      <c r="H2408" s="1" t="str">
        <f ca="1">IFERROR(__xludf.DUMMYFUNCTION("GOOGLETRANSLATE(English!H2408, ""en"", ""bg"")"),"образователна_помощ")</f>
        <v>образователна_помощ</v>
      </c>
    </row>
    <row r="2409" spans="1:8" ht="13.2" x14ac:dyDescent="0.25">
      <c r="A2409" s="1" t="str">
        <f ca="1">IFERROR(__xludf.DUMMYFUNCTION("GOOGLETRANSLATE(English!A2409, ""en"", ""bg"")"),"conv_00880")</f>
        <v>conv_00880</v>
      </c>
      <c r="B2409" s="1" t="str">
        <f ca="1">IFERROR(__xludf.DUMMYFUNCTION("GOOGLETRANSLATE(English!B2409, ""en"", ""bg"")"),"биология")</f>
        <v>биология</v>
      </c>
      <c r="C2409" s="1" t="str">
        <f ca="1">IFERROR(__xludf.DUMMYFUNCTION("GOOGLETRANSLATE(English!C2409, ""en"", ""bg"")"),"средата")</f>
        <v>средата</v>
      </c>
      <c r="D2409" s="1" t="str">
        <f ca="1">IFERROR(__xludf.DUMMYFUNCTION("GOOGLETRANSLATE(English!D2409, ""en"", ""bg"")"),"класификация")</f>
        <v>класификация</v>
      </c>
      <c r="E2409" s="1" t="str">
        <f ca="1">IFERROR(__xludf.DUMMYFUNCTION("GOOGLETRANSLATE(English!E2409, ""en"", ""bg"")"),"Здравей, преподавателю! Как работи класификацията?")</f>
        <v>Здравей, преподавателю! Как работи класификацията?</v>
      </c>
      <c r="F2409" s="1" t="str">
        <f ca="1">IFERROR(__xludf.DUMMYFUNCTION("GOOGLETRANSLATE(English!F2409,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2409" s="1" t="str">
        <f ca="1">IFERROR(__xludf.DUMMYFUNCTION("GOOGLETRANSLATE(English!G2409, ""en"", ""bg"")"),"разговор")</f>
        <v>разговор</v>
      </c>
      <c r="H2409" s="1" t="str">
        <f ca="1">IFERROR(__xludf.DUMMYFUNCTION("GOOGLETRANSLATE(English!H2409, ""en"", ""bg"")"),"образователна_помощ")</f>
        <v>образователна_помощ</v>
      </c>
    </row>
    <row r="2410" spans="1:8" ht="13.2" x14ac:dyDescent="0.25">
      <c r="A2410" s="1" t="str">
        <f ca="1">IFERROR(__xludf.DUMMYFUNCTION("GOOGLETRANSLATE(English!A2410, ""en"", ""bg"")"),"conv_08220")</f>
        <v>conv_08220</v>
      </c>
      <c r="B2410" s="1" t="str">
        <f ca="1">IFERROR(__xludf.DUMMYFUNCTION("GOOGLETRANSLATE(English!B2410, ""en"", ""bg"")"),"физика")</f>
        <v>физика</v>
      </c>
      <c r="C2410" s="1" t="str">
        <f ca="1">IFERROR(__xludf.DUMMYFUNCTION("GOOGLETRANSLATE(English!C2410, ""en"", ""bg"")"),"елементарен")</f>
        <v>елементарен</v>
      </c>
      <c r="D2410" s="1" t="str">
        <f ca="1">IFERROR(__xludf.DUMMYFUNCTION("GOOGLETRANSLATE(English!D2410, ""en"", ""bg"")"),"прости машини")</f>
        <v>прости машини</v>
      </c>
      <c r="E2410" s="1" t="str">
        <f ca="1">IFERROR(__xludf.DUMMYFUNCTION("GOOGLETRANSLATE(English!E2410, ""en"", ""bg"")"),"Имам научен въпрос. Какво трябва да знам за простите машини?")</f>
        <v>Имам научен въпрос. Какво трябва да знам за простите машини?</v>
      </c>
      <c r="F2410" s="1" t="str">
        <f ca="1">IFERROR(__xludf.DUMMYFUNCTION("GOOGLETRANSLATE(English!F2410,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2410" s="1" t="str">
        <f ca="1">IFERROR(__xludf.DUMMYFUNCTION("GOOGLETRANSLATE(English!G2410, ""en"", ""bg"")"),"разговор")</f>
        <v>разговор</v>
      </c>
      <c r="H2410" s="1" t="str">
        <f ca="1">IFERROR(__xludf.DUMMYFUNCTION("GOOGLETRANSLATE(English!H2410, ""en"", ""bg"")"),"образователна_помощ")</f>
        <v>образователна_помощ</v>
      </c>
    </row>
    <row r="2411" spans="1:8" ht="13.2" x14ac:dyDescent="0.25">
      <c r="A2411" s="1" t="str">
        <f ca="1">IFERROR(__xludf.DUMMYFUNCTION("GOOGLETRANSLATE(English!A2411, ""en"", ""bg"")"),"conv_14790")</f>
        <v>conv_14790</v>
      </c>
      <c r="B2411" s="1" t="str">
        <f ca="1">IFERROR(__xludf.DUMMYFUNCTION("GOOGLETRANSLATE(English!B2411, ""en"", ""bg"")"),"физика")</f>
        <v>физика</v>
      </c>
      <c r="C2411" s="1" t="str">
        <f ca="1">IFERROR(__xludf.DUMMYFUNCTION("GOOGLETRANSLATE(English!C2411, ""en"", ""bg"")"),"средата")</f>
        <v>средата</v>
      </c>
      <c r="D2411" s="1" t="str">
        <f ca="1">IFERROR(__xludf.DUMMYFUNCTION("GOOGLETRANSLATE(English!D2411, ""en"", ""bg"")"),"основи на електричеството")</f>
        <v>основи на електричеството</v>
      </c>
      <c r="E2411" s="1" t="str">
        <f ca="1">IFERROR(__xludf.DUMMYFUNCTION("GOOGLETRANSLATE(English!E2411, ""en"", ""bg"")"),"Можете ли да ми помогнете? Какво трябва да знам за основите на електричеството?")</f>
        <v>Можете ли да ми помогнете? Какво трябва да знам за основите на електричеството?</v>
      </c>
      <c r="F2411" s="1" t="str">
        <f ca="1">IFERROR(__xludf.DUMMYFUNCTION("GOOGLETRANSLATE(English!F2411, ""en"", ""bg"")"),"Ключовото нещо за основите на електричеството е как то следва законите на физиката, които управляват нашата вселена.")</f>
        <v>Ключовото нещо за основите на електричеството е как то следва законите на физиката, които управляват нашата вселена.</v>
      </c>
      <c r="G2411" s="1" t="str">
        <f ca="1">IFERROR(__xludf.DUMMYFUNCTION("GOOGLETRANSLATE(English!G2411, ""en"", ""bg"")"),"разговор")</f>
        <v>разговор</v>
      </c>
      <c r="H2411" s="1" t="str">
        <f ca="1">IFERROR(__xludf.DUMMYFUNCTION("GOOGLETRANSLATE(English!H2411, ""en"", ""bg"")"),"образователна_помощ")</f>
        <v>образователна_помощ</v>
      </c>
    </row>
    <row r="2412" spans="1:8" ht="13.2" x14ac:dyDescent="0.25">
      <c r="A2412" s="1" t="str">
        <f ca="1">IFERROR(__xludf.DUMMYFUNCTION("GOOGLETRANSLATE(English!A2412, ""en"", ""bg"")"),"hw_12450")</f>
        <v>hw_12450</v>
      </c>
      <c r="B2412" s="1" t="str">
        <f ca="1">IFERROR(__xludf.DUMMYFUNCTION("GOOGLETRANSLATE(English!B2412, ""en"", ""bg"")"),"физика")</f>
        <v>физика</v>
      </c>
      <c r="C2412" s="1" t="str">
        <f ca="1">IFERROR(__xludf.DUMMYFUNCTION("GOOGLETRANSLATE(English!C2412, ""en"", ""bg"")"),"средата")</f>
        <v>средата</v>
      </c>
      <c r="D2412" s="1" t="str">
        <f ca="1">IFERROR(__xludf.DUMMYFUNCTION("GOOGLETRANSLATE(English!D2412, ""en"", ""bg"")"),"основи на електричеството")</f>
        <v>основи на електричеството</v>
      </c>
      <c r="E2412" s="1" t="str">
        <f ca="1">IFERROR(__xludf.DUMMYFUNCTION("GOOGLETRANSLATE(English!E2412,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2412" s="1" t="str">
        <f ca="1">IFERROR(__xludf.DUMMYFUNCTION("GOOGLETRANSLATE(English!F2412,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2412" s="1" t="str">
        <f ca="1">IFERROR(__xludf.DUMMYFUNCTION("GOOGLETRANSLATE(English!G2412, ""en"", ""bg"")"),"помощ_за_домашно_изпълнение")</f>
        <v>помощ_за_домашно_изпълнение</v>
      </c>
      <c r="H2412" s="1" t="str">
        <f ca="1">IFERROR(__xludf.DUMMYFUNCTION("GOOGLETRANSLATE(English!H2412, ""en"", ""bg"")"),"помощ_за_домашно_задаване")</f>
        <v>помощ_за_домашно_задаване</v>
      </c>
    </row>
    <row r="2413" spans="1:8" ht="13.2" x14ac:dyDescent="0.25">
      <c r="A2413" s="1" t="str">
        <f ca="1">IFERROR(__xludf.DUMMYFUNCTION("GOOGLETRANSLATE(English!A2413, ""en"", ""bg"")"),"qa_08257")</f>
        <v>qa_08257</v>
      </c>
      <c r="B2413" s="1" t="str">
        <f ca="1">IFERROR(__xludf.DUMMYFUNCTION("GOOGLETRANSLATE(English!B2413, ""en"", ""bg"")"),"биология")</f>
        <v>биология</v>
      </c>
      <c r="C2413" s="1" t="str">
        <f ca="1">IFERROR(__xludf.DUMMYFUNCTION("GOOGLETRANSLATE(English!C2413, ""en"", ""bg"")"),"високо")</f>
        <v>високо</v>
      </c>
      <c r="D2413" s="1" t="str">
        <f ca="1">IFERROR(__xludf.DUMMYFUNCTION("GOOGLETRANSLATE(English!D2413, ""en"", ""bg"")"),"Структура на ДНК")</f>
        <v>Структура на ДНК</v>
      </c>
      <c r="E2413" s="1" t="str">
        <f ca="1">IFERROR(__xludf.DUMMYFUNCTION("GOOGLETRANSLATE(English!E2413, ""en"", ""bg"")"),"Можете ли да ми разкажете за структурата на ДНК?")</f>
        <v>Можете ли да ми разкажете за структурата на ДНК?</v>
      </c>
      <c r="F2413" s="1" t="str">
        <f ca="1">IFERROR(__xludf.DUMMYFUNCTION("GOOGLETRANSLATE(English!F2413,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2413" s="1" t="str">
        <f ca="1">IFERROR(__xludf.DUMMYFUNCTION("GOOGLETRANSLATE(English!G2413, ""en"", ""bg"")"),"direct_qa")</f>
        <v>direct_qa</v>
      </c>
      <c r="H2413" s="1" t="str">
        <f ca="1">IFERROR(__xludf.DUMMYFUNCTION("GOOGLETRANSLATE(English!H2413, ""en"", ""bg"")"),"заявка_за_знание")</f>
        <v>заявка_за_знание</v>
      </c>
    </row>
    <row r="2414" spans="1:8" ht="13.2" x14ac:dyDescent="0.25">
      <c r="A2414" s="1" t="str">
        <f ca="1">IFERROR(__xludf.DUMMYFUNCTION("GOOGLETRANSLATE(English!A2414, ""en"", ""bg"")"),"conv_04003")</f>
        <v>conv_04003</v>
      </c>
      <c r="B2414" s="1" t="str">
        <f ca="1">IFERROR(__xludf.DUMMYFUNCTION("GOOGLETRANSLATE(English!B2414, ""en"", ""bg"")"),"биология")</f>
        <v>биология</v>
      </c>
      <c r="C2414" s="1" t="str">
        <f ca="1">IFERROR(__xludf.DUMMYFUNCTION("GOOGLETRANSLATE(English!C2414, ""en"", ""bg"")"),"средата")</f>
        <v>средата</v>
      </c>
      <c r="D2414" s="1" t="str">
        <f ca="1">IFERROR(__xludf.DUMMYFUNCTION("GOOGLETRANSLATE(English!D2414, ""en"", ""bg"")"),"основи на генетиката")</f>
        <v>основи на генетиката</v>
      </c>
      <c r="E2414" s="1" t="str">
        <f ca="1">IFERROR(__xludf.DUMMYFUNCTION("GOOGLETRANSLATE(English!E2414, ""en"", ""bg"")"),"Имам нужда от помощ с домашното си. Защо основите на генетиката са важни в биологията?")</f>
        <v>Имам нужда от помощ с домашното си. Защо основите на генетиката са важни в биологията?</v>
      </c>
      <c r="F2414" s="1" t="str">
        <f ca="1">IFERROR(__xludf.DUMMYFUNCTION("GOOGLETRANSLATE(English!F2414,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2414" s="1" t="str">
        <f ca="1">IFERROR(__xludf.DUMMYFUNCTION("GOOGLETRANSLATE(English!G2414, ""en"", ""bg"")"),"разговор")</f>
        <v>разговор</v>
      </c>
      <c r="H2414" s="1" t="str">
        <f ca="1">IFERROR(__xludf.DUMMYFUNCTION("GOOGLETRANSLATE(English!H2414, ""en"", ""bg"")"),"образователна_помощ")</f>
        <v>образователна_помощ</v>
      </c>
    </row>
    <row r="2415" spans="1:8" ht="13.2" x14ac:dyDescent="0.25">
      <c r="A2415" s="1" t="str">
        <f ca="1">IFERROR(__xludf.DUMMYFUNCTION("GOOGLETRANSLATE(English!A2415, ""en"", ""bg"")"),"conv_07864")</f>
        <v>conv_07864</v>
      </c>
      <c r="B2415" s="1" t="str">
        <f ca="1">IFERROR(__xludf.DUMMYFUNCTION("GOOGLETRANSLATE(English!B2415, ""en"", ""bg"")"),"биология")</f>
        <v>биология</v>
      </c>
      <c r="C2415" s="1" t="str">
        <f ca="1">IFERROR(__xludf.DUMMYFUNCTION("GOOGLETRANSLATE(English!C2415, ""en"", ""bg"")"),"елементарен")</f>
        <v>елементарен</v>
      </c>
      <c r="D2415" s="1" t="str">
        <f ca="1">IFERROR(__xludf.DUMMYFUNCTION("GOOGLETRANSLATE(English!D2415, ""en"", ""bg"")"),"местообитания")</f>
        <v>местообитания</v>
      </c>
      <c r="E2415" s="1" t="str">
        <f ca="1">IFERROR(__xludf.DUMMYFUNCTION("GOOGLETRANSLATE(English!E2415, ""en"", ""bg"")"),"Имам нужда от помощ с домашното. Можете ли да ми разкажете за местообитанията?")</f>
        <v>Имам нужда от помощ с домашното. Можете ли да ми разкажете за местообитанията?</v>
      </c>
      <c r="F2415" s="1" t="str">
        <f ca="1">IFERROR(__xludf.DUMMYFUNCTION("GOOGLETRANSLATE(English!F2415,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2415" s="1" t="str">
        <f ca="1">IFERROR(__xludf.DUMMYFUNCTION("GOOGLETRANSLATE(English!G2415, ""en"", ""bg"")"),"разговор")</f>
        <v>разговор</v>
      </c>
      <c r="H2415" s="1" t="str">
        <f ca="1">IFERROR(__xludf.DUMMYFUNCTION("GOOGLETRANSLATE(English!H2415, ""en"", ""bg"")"),"образователна_помощ")</f>
        <v>образователна_помощ</v>
      </c>
    </row>
    <row r="2416" spans="1:8" ht="13.2" x14ac:dyDescent="0.25">
      <c r="A2416" s="1" t="str">
        <f ca="1">IFERROR(__xludf.DUMMYFUNCTION("GOOGLETRANSLATE(English!A2416, ""en"", ""bg"")"),"hw_00733")</f>
        <v>hw_00733</v>
      </c>
      <c r="B2416" s="1" t="str">
        <f ca="1">IFERROR(__xludf.DUMMYFUNCTION("GOOGLETRANSLATE(English!B2416, ""en"", ""bg"")"),"физика")</f>
        <v>физика</v>
      </c>
      <c r="C2416" s="1" t="str">
        <f ca="1">IFERROR(__xludf.DUMMYFUNCTION("GOOGLETRANSLATE(English!C2416, ""en"", ""bg"")"),"средата")</f>
        <v>средата</v>
      </c>
      <c r="D2416" s="1" t="str">
        <f ca="1">IFERROR(__xludf.DUMMYFUNCTION("GOOGLETRANSLATE(English!D2416, ""en"", ""bg"")"),"плътност")</f>
        <v>плътност</v>
      </c>
      <c r="E2416" s="1" t="str">
        <f ca="1">IFERROR(__xludf.DUMMYFUNCTION("GOOGLETRANSLATE(English!E2416, ""en"", ""bg"")"),"Трябва да разбера плътността за изпита си.")</f>
        <v>Трябва да разбера плътността за изпита си.</v>
      </c>
      <c r="F2416" s="1" t="str">
        <f ca="1">IFERROR(__xludf.DUMMYFUNCTION("GOOGLETRANSLATE(English!F2416,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416" s="1" t="str">
        <f ca="1">IFERROR(__xludf.DUMMYFUNCTION("GOOGLETRANSLATE(English!G2416, ""en"", ""bg"")"),"помощ_за_домашно_изпълнение")</f>
        <v>помощ_за_домашно_изпълнение</v>
      </c>
      <c r="H2416" s="1" t="str">
        <f ca="1">IFERROR(__xludf.DUMMYFUNCTION("GOOGLETRANSLATE(English!H2416, ""en"", ""bg"")"),"помощ_за_домашно_задаване")</f>
        <v>помощ_за_домашно_задаване</v>
      </c>
    </row>
    <row r="2417" spans="1:8" ht="13.2" x14ac:dyDescent="0.25">
      <c r="A2417" s="1" t="str">
        <f ca="1">IFERROR(__xludf.DUMMYFUNCTION("GOOGLETRANSLATE(English!A2417, ""en"", ""bg"")"),"hw_14197")</f>
        <v>hw_14197</v>
      </c>
      <c r="B2417" s="1" t="str">
        <f ca="1">IFERROR(__xludf.DUMMYFUNCTION("GOOGLETRANSLATE(English!B2417, ""en"", ""bg"")"),"биология")</f>
        <v>биология</v>
      </c>
      <c r="C2417" s="1" t="str">
        <f ca="1">IFERROR(__xludf.DUMMYFUNCTION("GOOGLETRANSLATE(English!C2417, ""en"", ""bg"")"),"високо")</f>
        <v>високо</v>
      </c>
      <c r="D2417" s="1" t="str">
        <f ca="1">IFERROR(__xludf.DUMMYFUNCTION("GOOGLETRANSLATE(English!D2417, ""en"", ""bg"")"),"клетъчно дишане")</f>
        <v>клетъчно дишане</v>
      </c>
      <c r="E2417" s="1" t="str">
        <f ca="1">IFERROR(__xludf.DUMMYFUNCTION("GOOGLETRANSLATE(English!E2417,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2417" s="1" t="str">
        <f ca="1">IFERROR(__xludf.DUMMYFUNCTION("GOOGLETRANSLATE(English!F2417,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417" s="1" t="str">
        <f ca="1">IFERROR(__xludf.DUMMYFUNCTION("GOOGLETRANSLATE(English!G2417, ""en"", ""bg"")"),"помощ_за_домашно_изпълнение")</f>
        <v>помощ_за_домашно_изпълнение</v>
      </c>
      <c r="H2417" s="1" t="str">
        <f ca="1">IFERROR(__xludf.DUMMYFUNCTION("GOOGLETRANSLATE(English!H2417, ""en"", ""bg"")"),"помощ_за_домашно_задаване")</f>
        <v>помощ_за_домашно_задаване</v>
      </c>
    </row>
    <row r="2418" spans="1:8" ht="13.2" x14ac:dyDescent="0.25">
      <c r="A2418" s="1" t="str">
        <f ca="1">IFERROR(__xludf.DUMMYFUNCTION("GOOGLETRANSLATE(English!A2418, ""en"", ""bg"")"),"conv_02985")</f>
        <v>conv_02985</v>
      </c>
      <c r="B2418" s="1" t="str">
        <f ca="1">IFERROR(__xludf.DUMMYFUNCTION("GOOGLETRANSLATE(English!B2418, ""en"", ""bg"")"),"физика")</f>
        <v>физика</v>
      </c>
      <c r="C2418" s="1" t="str">
        <f ca="1">IFERROR(__xludf.DUMMYFUNCTION("GOOGLETRANSLATE(English!C2418, ""en"", ""bg"")"),"средата")</f>
        <v>средата</v>
      </c>
      <c r="D2418" s="1" t="str">
        <f ca="1">IFERROR(__xludf.DUMMYFUNCTION("GOOGLETRANSLATE(English!D2418, ""en"", ""bg"")"),"прости схеми")</f>
        <v>прости схеми</v>
      </c>
      <c r="E2418" s="1" t="str">
        <f ca="1">IFERROR(__xludf.DUMMYFUNCTION("GOOGLETRANSLATE(English!E2418, ""en"", ""bg"")"),"Здравей, преподавателю! Можеш ли да ми обясниш прости електрически вериги?")</f>
        <v>Здравей, преподавателю! Можеш ли да ми обясниш прости електрически вериги?</v>
      </c>
      <c r="F2418" s="1" t="str">
        <f ca="1">IFERROR(__xludf.DUMMYFUNCTION("GOOGLETRANSLATE(English!F2418, ""en"", ""bg"")"),"Простите електрически вериги са интересна физическа концепция, която ни помага да разберем как работят нещата в нашия свят!")</f>
        <v>Простите електрически вериги са интересна физическа концепция, която ни помага да разберем как работят нещата в нашия свят!</v>
      </c>
      <c r="G2418" s="1" t="str">
        <f ca="1">IFERROR(__xludf.DUMMYFUNCTION("GOOGLETRANSLATE(English!G2418, ""en"", ""bg"")"),"разговор")</f>
        <v>разговор</v>
      </c>
      <c r="H2418" s="1" t="str">
        <f ca="1">IFERROR(__xludf.DUMMYFUNCTION("GOOGLETRANSLATE(English!H2418, ""en"", ""bg"")"),"образователна_помощ")</f>
        <v>образователна_помощ</v>
      </c>
    </row>
    <row r="2419" spans="1:8" ht="13.2" x14ac:dyDescent="0.25">
      <c r="A2419" s="1" t="str">
        <f ca="1">IFERROR(__xludf.DUMMYFUNCTION("GOOGLETRANSLATE(English!A2419, ""en"", ""bg"")"),"qa_05031")</f>
        <v>qa_05031</v>
      </c>
      <c r="B2419" s="1" t="str">
        <f ca="1">IFERROR(__xludf.DUMMYFUNCTION("GOOGLETRANSLATE(English!B2419, ""en"", ""bg"")"),"биология")</f>
        <v>биология</v>
      </c>
      <c r="C2419" s="1" t="str">
        <f ca="1">IFERROR(__xludf.DUMMYFUNCTION("GOOGLETRANSLATE(English!C2419, ""en"", ""bg"")"),"елементарен")</f>
        <v>елементарен</v>
      </c>
      <c r="D2419" s="1" t="str">
        <f ca="1">IFERROR(__xludf.DUMMYFUNCTION("GOOGLETRANSLATE(English!D2419, ""en"", ""bg"")"),"животни")</f>
        <v>животни</v>
      </c>
      <c r="E2419" s="1" t="str">
        <f ca="1">IFERROR(__xludf.DUMMYFUNCTION("GOOGLETRANSLATE(English!E2419, ""en"", ""bg"")"),"Защо птиците мигрират?")</f>
        <v>Защо птиците мигрират?</v>
      </c>
      <c r="F2419" s="1" t="str">
        <f ca="1">IFERROR(__xludf.DUMMYFUNCTION("GOOGLETRANSLATE(English!F2419, ""en"", ""bg"")"),"Птиците мигрират, за да намерят храна, по-добро време и безопасни места за раждане на малките си.")</f>
        <v>Птиците мигрират, за да намерят храна, по-добро време и безопасни места за раждане на малките си.</v>
      </c>
      <c r="G2419" s="1" t="str">
        <f ca="1">IFERROR(__xludf.DUMMYFUNCTION("GOOGLETRANSLATE(English!G2419, ""en"", ""bg"")"),"direct_qa")</f>
        <v>direct_qa</v>
      </c>
      <c r="H2419" s="1" t="str">
        <f ca="1">IFERROR(__xludf.DUMMYFUNCTION("GOOGLETRANSLATE(English!H2419, ""en"", ""bg"")"),"заявка_за_знание")</f>
        <v>заявка_за_знание</v>
      </c>
    </row>
    <row r="2420" spans="1:8" ht="13.2" x14ac:dyDescent="0.25">
      <c r="A2420" s="1" t="str">
        <f ca="1">IFERROR(__xludf.DUMMYFUNCTION("GOOGLETRANSLATE(English!A2420, ""en"", ""bg"")"),"conv_09897")</f>
        <v>conv_09897</v>
      </c>
      <c r="B2420" s="1" t="str">
        <f ca="1">IFERROR(__xludf.DUMMYFUNCTION("GOOGLETRANSLATE(English!B2420, ""en"", ""bg"")"),"химия")</f>
        <v>химия</v>
      </c>
      <c r="C2420" s="1" t="str">
        <f ca="1">IFERROR(__xludf.DUMMYFUNCTION("GOOGLETRANSLATE(English!C2420, ""en"", ""bg"")"),"високо")</f>
        <v>високо</v>
      </c>
      <c r="D2420" s="1" t="str">
        <f ca="1">IFERROR(__xludf.DUMMYFUNCTION("GOOGLETRANSLATE(English!D2420, ""en"", ""bg"")"),"електрохимия")</f>
        <v>електрохимия</v>
      </c>
      <c r="E2420" s="1" t="str">
        <f ca="1">IFERROR(__xludf.DUMMYFUNCTION("GOOGLETRANSLATE(English!E2420, ""en"", ""bg"")"),"Имам нужда от помощ с домашното. Какво представлява електрохимията?")</f>
        <v>Имам нужда от помощ с домашното. Какво представлява електрохимията?</v>
      </c>
      <c r="F2420" s="1" t="str">
        <f ca="1">IFERROR(__xludf.DUMMYFUNCTION("GOOGLETRANSLATE(English!F2420,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2420" s="1" t="str">
        <f ca="1">IFERROR(__xludf.DUMMYFUNCTION("GOOGLETRANSLATE(English!G2420, ""en"", ""bg"")"),"разговор")</f>
        <v>разговор</v>
      </c>
      <c r="H2420" s="1" t="str">
        <f ca="1">IFERROR(__xludf.DUMMYFUNCTION("GOOGLETRANSLATE(English!H2420, ""en"", ""bg"")"),"образователна_помощ")</f>
        <v>образователна_помощ</v>
      </c>
    </row>
    <row r="2421" spans="1:8" ht="13.2" x14ac:dyDescent="0.25">
      <c r="A2421" s="1" t="str">
        <f ca="1">IFERROR(__xludf.DUMMYFUNCTION("GOOGLETRANSLATE(English!A2421, ""en"", ""bg"")"),"conv_07765")</f>
        <v>conv_07765</v>
      </c>
      <c r="B2421" s="1" t="str">
        <f ca="1">IFERROR(__xludf.DUMMYFUNCTION("GOOGLETRANSLATE(English!B2421, ""en"", ""bg"")"),"химия")</f>
        <v>химия</v>
      </c>
      <c r="C2421" s="1" t="str">
        <f ca="1">IFERROR(__xludf.DUMMYFUNCTION("GOOGLETRANSLATE(English!C2421, ""en"", ""bg"")"),"високо")</f>
        <v>високо</v>
      </c>
      <c r="D2421" s="1" t="str">
        <f ca="1">IFERROR(__xludf.DUMMYFUNCTION("GOOGLETRANSLATE(English!D2421, ""en"", ""bg"")"),"равновесие")</f>
        <v>равновесие</v>
      </c>
      <c r="E2421" s="1" t="str">
        <f ca="1">IFERROR(__xludf.DUMMYFUNCTION("GOOGLETRANSLATE(English!E2421, ""en"", ""bg"")"),"Не разбирам тази тема. Защо е важно да се учи равновесие?")</f>
        <v>Не разбирам тази тема. Защо е важно да се учи равновесие?</v>
      </c>
      <c r="F2421" s="1" t="str">
        <f ca="1">IFERROR(__xludf.DUMMYFUNCTION("GOOGLETRANSLATE(English!F2421,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2421" s="1" t="str">
        <f ca="1">IFERROR(__xludf.DUMMYFUNCTION("GOOGLETRANSLATE(English!G2421, ""en"", ""bg"")"),"разговор")</f>
        <v>разговор</v>
      </c>
      <c r="H2421" s="1" t="str">
        <f ca="1">IFERROR(__xludf.DUMMYFUNCTION("GOOGLETRANSLATE(English!H2421, ""en"", ""bg"")"),"образователна_помощ")</f>
        <v>образователна_помощ</v>
      </c>
    </row>
    <row r="2422" spans="1:8" ht="13.2" x14ac:dyDescent="0.25">
      <c r="A2422" s="1" t="str">
        <f ca="1">IFERROR(__xludf.DUMMYFUNCTION("GOOGLETRANSLATE(English!A2422, ""en"", ""bg"")"),"qa_09130")</f>
        <v>qa_09130</v>
      </c>
      <c r="B2422" s="1" t="str">
        <f ca="1">IFERROR(__xludf.DUMMYFUNCTION("GOOGLETRANSLATE(English!B2422, ""en"", ""bg"")"),"биология")</f>
        <v>биология</v>
      </c>
      <c r="C2422" s="1" t="str">
        <f ca="1">IFERROR(__xludf.DUMMYFUNCTION("GOOGLETRANSLATE(English!C2422, ""en"", ""bg"")"),"високо")</f>
        <v>високо</v>
      </c>
      <c r="D2422" s="1" t="str">
        <f ca="1">IFERROR(__xludf.DUMMYFUNCTION("GOOGLETRANSLATE(English!D2422, ""en"", ""bg"")"),"синтез на протеини")</f>
        <v>синтез на протеини</v>
      </c>
      <c r="E2422" s="1" t="str">
        <f ca="1">IFERROR(__xludf.DUMMYFUNCTION("GOOGLETRANSLATE(English!E2422, ""en"", ""bg"")"),"Какво е важно да знаем за синтеза на протеини?")</f>
        <v>Какво е важно да знаем за синтеза на протеини?</v>
      </c>
      <c r="F2422" s="1" t="str">
        <f ca="1">IFERROR(__xludf.DUMMYFUNCTION("GOOGLETRANSLATE(English!F2422,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2422" s="1" t="str">
        <f ca="1">IFERROR(__xludf.DUMMYFUNCTION("GOOGLETRANSLATE(English!G2422, ""en"", ""bg"")"),"direct_qa")</f>
        <v>direct_qa</v>
      </c>
      <c r="H2422" s="1" t="str">
        <f ca="1">IFERROR(__xludf.DUMMYFUNCTION("GOOGLETRANSLATE(English!H2422, ""en"", ""bg"")"),"заявка_за_знание")</f>
        <v>заявка_за_знание</v>
      </c>
    </row>
    <row r="2423" spans="1:8" ht="13.2" x14ac:dyDescent="0.25">
      <c r="A2423" s="1" t="str">
        <f ca="1">IFERROR(__xludf.DUMMYFUNCTION("GOOGLETRANSLATE(English!A2423, ""en"", ""bg"")"),"qa_10822")</f>
        <v>qa_10822</v>
      </c>
      <c r="B2423" s="1" t="str">
        <f ca="1">IFERROR(__xludf.DUMMYFUNCTION("GOOGLETRANSLATE(English!B2423, ""en"", ""bg"")"),"биология")</f>
        <v>биология</v>
      </c>
      <c r="C2423" s="1" t="str">
        <f ca="1">IFERROR(__xludf.DUMMYFUNCTION("GOOGLETRANSLATE(English!C2423, ""en"", ""bg"")"),"средата")</f>
        <v>средата</v>
      </c>
      <c r="D2423" s="1" t="str">
        <f ca="1">IFERROR(__xludf.DUMMYFUNCTION("GOOGLETRANSLATE(English!D2423, ""en"", ""bg"")"),"основи на еволюцията")</f>
        <v>основи на еволюцията</v>
      </c>
      <c r="E2423" s="1" t="str">
        <f ca="1">IFERROR(__xludf.DUMMYFUNCTION("GOOGLETRANSLATE(English!E2423, ""en"", ""bg"")"),"Какво е важно да знаем за основите на еволюцията?")</f>
        <v>Какво е важно да знаем за основите на еволюцията?</v>
      </c>
      <c r="F2423" s="1" t="str">
        <f ca="1">IFERROR(__xludf.DUMMYFUNCTION("GOOGLETRANSLATE(English!F2423,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2423" s="1" t="str">
        <f ca="1">IFERROR(__xludf.DUMMYFUNCTION("GOOGLETRANSLATE(English!G2423, ""en"", ""bg"")"),"direct_qa")</f>
        <v>direct_qa</v>
      </c>
      <c r="H2423" s="1" t="str">
        <f ca="1">IFERROR(__xludf.DUMMYFUNCTION("GOOGLETRANSLATE(English!H2423, ""en"", ""bg"")"),"заявка_за_знание")</f>
        <v>заявка_за_знание</v>
      </c>
    </row>
    <row r="2424" spans="1:8" ht="13.2" x14ac:dyDescent="0.25">
      <c r="A2424" s="1" t="str">
        <f ca="1">IFERROR(__xludf.DUMMYFUNCTION("GOOGLETRANSLATE(English!A2424, ""en"", ""bg"")"),"conv_01848")</f>
        <v>conv_01848</v>
      </c>
      <c r="B2424" s="1" t="str">
        <f ca="1">IFERROR(__xludf.DUMMYFUNCTION("GOOGLETRANSLATE(English!B2424, ""en"", ""bg"")"),"биология")</f>
        <v>биология</v>
      </c>
      <c r="C2424" s="1" t="str">
        <f ca="1">IFERROR(__xludf.DUMMYFUNCTION("GOOGLETRANSLATE(English!C2424, ""en"", ""bg"")"),"високо")</f>
        <v>високо</v>
      </c>
      <c r="D2424" s="1" t="str">
        <f ca="1">IFERROR(__xludf.DUMMYFUNCTION("GOOGLETRANSLATE(English!D2424, ""en"", ""bg"")"),"синтез на протеини")</f>
        <v>синтез на протеини</v>
      </c>
      <c r="E2424" s="1" t="str">
        <f ca="1">IFERROR(__xludf.DUMMYFUNCTION("GOOGLETRANSLATE(English!E2424, ""en"", ""bg"")"),"Можете ли да ми помогнете? Защо синтезът на протеини е важен в биологията?")</f>
        <v>Можете ли да ми помогнете? Защо синтезът на протеини е важен в биологията?</v>
      </c>
      <c r="F2424" s="1" t="str">
        <f ca="1">IFERROR(__xludf.DUMMYFUNCTION("GOOGLETRANSLATE(English!F2424,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2424" s="1" t="str">
        <f ca="1">IFERROR(__xludf.DUMMYFUNCTION("GOOGLETRANSLATE(English!G2424, ""en"", ""bg"")"),"разговор")</f>
        <v>разговор</v>
      </c>
      <c r="H2424" s="1" t="str">
        <f ca="1">IFERROR(__xludf.DUMMYFUNCTION("GOOGLETRANSLATE(English!H2424, ""en"", ""bg"")"),"образователна_помощ")</f>
        <v>образователна_помощ</v>
      </c>
    </row>
    <row r="2425" spans="1:8" ht="13.2" x14ac:dyDescent="0.25">
      <c r="A2425" s="1" t="str">
        <f ca="1">IFERROR(__xludf.DUMMYFUNCTION("GOOGLETRANSLATE(English!A2425, ""en"", ""bg"")"),"qa_10745")</f>
        <v>qa_10745</v>
      </c>
      <c r="B2425" s="1" t="str">
        <f ca="1">IFERROR(__xludf.DUMMYFUNCTION("GOOGLETRANSLATE(English!B2425, ""en"", ""bg"")"),"химия")</f>
        <v>химия</v>
      </c>
      <c r="C2425" s="1" t="str">
        <f ca="1">IFERROR(__xludf.DUMMYFUNCTION("GOOGLETRANSLATE(English!C2425, ""en"", ""bg"")"),"високо")</f>
        <v>високо</v>
      </c>
      <c r="D2425" s="1" t="str">
        <f ca="1">IFERROR(__xludf.DUMMYFUNCTION("GOOGLETRANSLATE(English!D2425, ""en"", ""bg"")"),"химическо свързване")</f>
        <v>химическо свързване</v>
      </c>
      <c r="E2425" s="1" t="str">
        <f ca="1">IFERROR(__xludf.DUMMYFUNCTION("GOOGLETRANSLATE(English!E2425, ""en"", ""bg"")"),"Защо е важно да се учи химичното свързване?")</f>
        <v>Защо е важно да се учи химичното свързване?</v>
      </c>
      <c r="F2425" s="1" t="str">
        <f ca="1">IFERROR(__xludf.DUMMYFUNCTION("GOOGLETRANSLATE(English!F2425,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2425" s="1" t="str">
        <f ca="1">IFERROR(__xludf.DUMMYFUNCTION("GOOGLETRANSLATE(English!G2425, ""en"", ""bg"")"),"direct_qa")</f>
        <v>direct_qa</v>
      </c>
      <c r="H2425" s="1" t="str">
        <f ca="1">IFERROR(__xludf.DUMMYFUNCTION("GOOGLETRANSLATE(English!H2425, ""en"", ""bg"")"),"заявка_за_знание")</f>
        <v>заявка_за_знание</v>
      </c>
    </row>
    <row r="2426" spans="1:8" ht="13.2" x14ac:dyDescent="0.25">
      <c r="A2426" s="1" t="str">
        <f ca="1">IFERROR(__xludf.DUMMYFUNCTION("GOOGLETRANSLATE(English!A2426, ""en"", ""bg"")"),"hw_05460")</f>
        <v>hw_05460</v>
      </c>
      <c r="B2426" s="1" t="str">
        <f ca="1">IFERROR(__xludf.DUMMYFUNCTION("GOOGLETRANSLATE(English!B2426, ""en"", ""bg"")"),"химия")</f>
        <v>химия</v>
      </c>
      <c r="C2426" s="1" t="str">
        <f ca="1">IFERROR(__xludf.DUMMYFUNCTION("GOOGLETRANSLATE(English!C2426, ""en"", ""bg"")"),"високо")</f>
        <v>високо</v>
      </c>
      <c r="D2426" s="1" t="str">
        <f ca="1">IFERROR(__xludf.DUMMYFUNCTION("GOOGLETRANSLATE(English!D2426, ""en"", ""bg"")"),"равновесие")</f>
        <v>равновесие</v>
      </c>
      <c r="E2426" s="1" t="str">
        <f ca="1">IFERROR(__xludf.DUMMYFUNCTION("GOOGLETRANSLATE(English!E2426,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2426" s="1" t="str">
        <f ca="1">IFERROR(__xludf.DUMMYFUNCTION("GOOGLETRANSLATE(English!F2426,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2426" s="1" t="str">
        <f ca="1">IFERROR(__xludf.DUMMYFUNCTION("GOOGLETRANSLATE(English!G2426, ""en"", ""bg"")"),"помощ_за_домашно_изпълнение")</f>
        <v>помощ_за_домашно_изпълнение</v>
      </c>
      <c r="H2426" s="1" t="str">
        <f ca="1">IFERROR(__xludf.DUMMYFUNCTION("GOOGLETRANSLATE(English!H2426, ""en"", ""bg"")"),"помощ_за_домашно_задаване")</f>
        <v>помощ_за_домашно_задаване</v>
      </c>
    </row>
    <row r="2427" spans="1:8" ht="13.2" x14ac:dyDescent="0.25">
      <c r="A2427" s="1" t="str">
        <f ca="1">IFERROR(__xludf.DUMMYFUNCTION("GOOGLETRANSLATE(English!A2427, ""en"", ""bg"")"),"conv_16539")</f>
        <v>conv_16539</v>
      </c>
      <c r="B2427" s="1" t="str">
        <f ca="1">IFERROR(__xludf.DUMMYFUNCTION("GOOGLETRANSLATE(English!B2427, ""en"", ""bg"")"),"биология")</f>
        <v>биология</v>
      </c>
      <c r="C2427" s="1" t="str">
        <f ca="1">IFERROR(__xludf.DUMMYFUNCTION("GOOGLETRANSLATE(English!C2427, ""en"", ""bg"")"),"средата")</f>
        <v>средата</v>
      </c>
      <c r="D2427" s="1" t="str">
        <f ca="1">IFERROR(__xludf.DUMMYFUNCTION("GOOGLETRANSLATE(English!D2427, ""en"", ""bg"")"),"размножаване")</f>
        <v>размножаване</v>
      </c>
      <c r="E2427" s="1" t="str">
        <f ca="1">IFERROR(__xludf.DUMMYFUNCTION("GOOGLETRANSLATE(English!E2427, ""en"", ""bg"")"),"Помогнете ми да уча за теста си. Какво е важно да знаем за размножаването?")</f>
        <v>Помогнете ми да уча за теста си. Какво е важно да знаем за размножаването?</v>
      </c>
      <c r="F2427" s="1" t="str">
        <f ca="1">IFERROR(__xludf.DUMMYFUNCTION("GOOGLETRANSLATE(English!F2427,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2427" s="1" t="str">
        <f ca="1">IFERROR(__xludf.DUMMYFUNCTION("GOOGLETRANSLATE(English!G2427, ""en"", ""bg"")"),"разговор")</f>
        <v>разговор</v>
      </c>
      <c r="H2427" s="1" t="str">
        <f ca="1">IFERROR(__xludf.DUMMYFUNCTION("GOOGLETRANSLATE(English!H2427, ""en"", ""bg"")"),"образователна_помощ")</f>
        <v>образователна_помощ</v>
      </c>
    </row>
    <row r="2428" spans="1:8" ht="13.2" x14ac:dyDescent="0.25">
      <c r="A2428" s="1" t="str">
        <f ca="1">IFERROR(__xludf.DUMMYFUNCTION("GOOGLETRANSLATE(English!A2428, ""en"", ""bg"")"),"qa_01749")</f>
        <v>qa_01749</v>
      </c>
      <c r="B2428" s="1" t="str">
        <f ca="1">IFERROR(__xludf.DUMMYFUNCTION("GOOGLETRANSLATE(English!B2428, ""en"", ""bg"")"),"физика")</f>
        <v>физика</v>
      </c>
      <c r="C2428" s="1" t="str">
        <f ca="1">IFERROR(__xludf.DUMMYFUNCTION("GOOGLETRANSLATE(English!C2428, ""en"", ""bg"")"),"средата")</f>
        <v>средата</v>
      </c>
      <c r="D2428" s="1" t="str">
        <f ca="1">IFERROR(__xludf.DUMMYFUNCTION("GOOGLETRANSLATE(English!D2428, ""en"", ""bg"")"),"прости схеми")</f>
        <v>прости схеми</v>
      </c>
      <c r="E2428" s="1" t="str">
        <f ca="1">IFERROR(__xludf.DUMMYFUNCTION("GOOGLETRANSLATE(English!E2428, ""en"", ""bg"")"),"Как работят прости електрически вериги във физиката?")</f>
        <v>Как работят прости електрически вериги във физиката?</v>
      </c>
      <c r="F2428" s="1" t="str">
        <f ca="1">IFERROR(__xludf.DUMMYFUNCTION("GOOGLETRANSLATE(English!F2428,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2428" s="1" t="str">
        <f ca="1">IFERROR(__xludf.DUMMYFUNCTION("GOOGLETRANSLATE(English!G2428, ""en"", ""bg"")"),"direct_qa")</f>
        <v>direct_qa</v>
      </c>
      <c r="H2428" s="1" t="str">
        <f ca="1">IFERROR(__xludf.DUMMYFUNCTION("GOOGLETRANSLATE(English!H2428, ""en"", ""bg"")"),"заявка_за_знание")</f>
        <v>заявка_за_знание</v>
      </c>
    </row>
    <row r="2429" spans="1:8" ht="13.2" x14ac:dyDescent="0.25">
      <c r="A2429" s="1" t="str">
        <f ca="1">IFERROR(__xludf.DUMMYFUNCTION("GOOGLETRANSLATE(English!A2429, ""en"", ""bg"")"),"hw_08939")</f>
        <v>hw_08939</v>
      </c>
      <c r="B2429" s="1" t="str">
        <f ca="1">IFERROR(__xludf.DUMMYFUNCTION("GOOGLETRANSLATE(English!B2429, ""en"", ""bg"")"),"биология")</f>
        <v>биология</v>
      </c>
      <c r="C2429" s="1" t="str">
        <f ca="1">IFERROR(__xludf.DUMMYFUNCTION("GOOGLETRANSLATE(English!C2429, ""en"", ""bg"")"),"средата")</f>
        <v>средата</v>
      </c>
      <c r="D2429" s="1" t="str">
        <f ca="1">IFERROR(__xludf.DUMMYFUNCTION("GOOGLETRANSLATE(English!D2429, ""en"", ""bg"")"),"клетки")</f>
        <v>клетки</v>
      </c>
      <c r="E2429" s="1" t="str">
        <f ca="1">IFERROR(__xludf.DUMMYFUNCTION("GOOGLETRANSLATE(English!E2429, ""en"", ""bg"")"),"Трябва да напиша доклад за клетките. Можете ли да ми помогнете да започна?")</f>
        <v>Трябва да напиша доклад за клетките. Можете ли да ми помогнете да започна?</v>
      </c>
      <c r="F2429" s="1" t="str">
        <f ca="1">IFERROR(__xludf.DUMMYFUNCTION("GOOGLETRANSLATE(English!F2429,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2429" s="1" t="str">
        <f ca="1">IFERROR(__xludf.DUMMYFUNCTION("GOOGLETRANSLATE(English!G2429, ""en"", ""bg"")"),"помощ_за_домашно_изпълнение")</f>
        <v>помощ_за_домашно_изпълнение</v>
      </c>
      <c r="H2429" s="1" t="str">
        <f ca="1">IFERROR(__xludf.DUMMYFUNCTION("GOOGLETRANSLATE(English!H2429, ""en"", ""bg"")"),"помощ_за_домашно_задаване")</f>
        <v>помощ_за_домашно_задаване</v>
      </c>
    </row>
    <row r="2430" spans="1:8" ht="13.2" x14ac:dyDescent="0.25">
      <c r="A2430" s="1" t="str">
        <f ca="1">IFERROR(__xludf.DUMMYFUNCTION("GOOGLETRANSLATE(English!A2430, ""en"", ""bg"")"),"qa_05003")</f>
        <v>qa_05003</v>
      </c>
      <c r="B2430" s="1" t="str">
        <f ca="1">IFERROR(__xludf.DUMMYFUNCTION("GOOGLETRANSLATE(English!B2430, ""en"", ""bg"")"),"биология")</f>
        <v>биология</v>
      </c>
      <c r="C2430" s="1" t="str">
        <f ca="1">IFERROR(__xludf.DUMMYFUNCTION("GOOGLETRANSLATE(English!C2430, ""en"", ""bg"")"),"високо")</f>
        <v>високо</v>
      </c>
      <c r="D2430" s="1" t="str">
        <f ca="1">IFERROR(__xludf.DUMMYFUNCTION("GOOGLETRANSLATE(English!D2430, ""en"", ""bg"")"),"модели на наследяване")</f>
        <v>модели на наследяване</v>
      </c>
      <c r="E2430" s="1" t="str">
        <f ca="1">IFERROR(__xludf.DUMMYFUNCTION("GOOGLETRANSLATE(English!E2430, ""en"", ""bg"")"),"Можете ли да ми разкажете за моделите на наследяване?")</f>
        <v>Можете ли да ми разкажете за моделите на наследяване?</v>
      </c>
      <c r="F2430" s="1" t="str">
        <f ca="1">IFERROR(__xludf.DUMMYFUNCTION("GOOGLETRANSLATE(English!F2430,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2430" s="1" t="str">
        <f ca="1">IFERROR(__xludf.DUMMYFUNCTION("GOOGLETRANSLATE(English!G2430, ""en"", ""bg"")"),"direct_qa")</f>
        <v>direct_qa</v>
      </c>
      <c r="H2430" s="1" t="str">
        <f ca="1">IFERROR(__xludf.DUMMYFUNCTION("GOOGLETRANSLATE(English!H2430, ""en"", ""bg"")"),"заявка_за_знание")</f>
        <v>заявка_за_знание</v>
      </c>
    </row>
    <row r="2431" spans="1:8" ht="13.2" x14ac:dyDescent="0.25">
      <c r="A2431" s="1" t="str">
        <f ca="1">IFERROR(__xludf.DUMMYFUNCTION("GOOGLETRANSLATE(English!A2431, ""en"", ""bg"")"),"qa_14294")</f>
        <v>qa_14294</v>
      </c>
      <c r="B2431" s="1" t="str">
        <f ca="1">IFERROR(__xludf.DUMMYFUNCTION("GOOGLETRANSLATE(English!B2431, ""en"", ""bg"")"),"биология")</f>
        <v>биология</v>
      </c>
      <c r="C2431" s="1" t="str">
        <f ca="1">IFERROR(__xludf.DUMMYFUNCTION("GOOGLETRANSLATE(English!C2431, ""en"", ""bg"")"),"средата")</f>
        <v>средата</v>
      </c>
      <c r="D2431" s="1" t="str">
        <f ca="1">IFERROR(__xludf.DUMMYFUNCTION("GOOGLETRANSLATE(English!D2431, ""en"", ""bg"")"),"клетки")</f>
        <v>клетки</v>
      </c>
      <c r="E2431" s="1" t="str">
        <f ca="1">IFERROR(__xludf.DUMMYFUNCTION("GOOGLETRANSLATE(English!E2431, ""en"", ""bg"")"),"Какво прави ядрото?")</f>
        <v>Какво прави ядрото?</v>
      </c>
      <c r="F2431" s="1" t="str">
        <f ca="1">IFERROR(__xludf.DUMMYFUNCTION("GOOGLETRANSLATE(English!F2431, ""en"", ""bg"")"),"Ядрото е като мозъка на клетката - то контролира какво прави клетката и съдържа ДНК.")</f>
        <v>Ядрото е като мозъка на клетката - то контролира какво прави клетката и съдържа ДНК.</v>
      </c>
      <c r="G2431" s="1" t="str">
        <f ca="1">IFERROR(__xludf.DUMMYFUNCTION("GOOGLETRANSLATE(English!G2431, ""en"", ""bg"")"),"direct_qa")</f>
        <v>direct_qa</v>
      </c>
      <c r="H2431" s="1" t="str">
        <f ca="1">IFERROR(__xludf.DUMMYFUNCTION("GOOGLETRANSLATE(English!H2431, ""en"", ""bg"")"),"заявка_за_знание")</f>
        <v>заявка_за_знание</v>
      </c>
    </row>
    <row r="2432" spans="1:8" ht="13.2" x14ac:dyDescent="0.25">
      <c r="A2432" s="1" t="str">
        <f ca="1">IFERROR(__xludf.DUMMYFUNCTION("GOOGLETRANSLATE(English!A2432, ""en"", ""bg"")"),"conv_10237")</f>
        <v>conv_10237</v>
      </c>
      <c r="B2432" s="1" t="str">
        <f ca="1">IFERROR(__xludf.DUMMYFUNCTION("GOOGLETRANSLATE(English!B2432, ""en"", ""bg"")"),"физика")</f>
        <v>физика</v>
      </c>
      <c r="C2432" s="1" t="str">
        <f ca="1">IFERROR(__xludf.DUMMYFUNCTION("GOOGLETRANSLATE(English!C2432, ""en"", ""bg"")"),"високо")</f>
        <v>високо</v>
      </c>
      <c r="D2432" s="1" t="str">
        <f ca="1">IFERROR(__xludf.DUMMYFUNCTION("GOOGLETRANSLATE(English!D2432, ""en"", ""bg"")"),"радиоактивност")</f>
        <v>радиоактивност</v>
      </c>
      <c r="E2432" s="1" t="str">
        <f ca="1">IFERROR(__xludf.DUMMYFUNCTION("GOOGLETRANSLATE(English!E2432, ""en"", ""bg"")"),"Не разбирам тази тема. Можете ли да ми обясните радиоактивността?")</f>
        <v>Не разбирам тази тема. Можете ли да ми обясните радиоактивността?</v>
      </c>
      <c r="F2432" s="1" t="str">
        <f ca="1">IFERROR(__xludf.DUMMYFUNCTION("GOOGLETRANSLATE(English!F2432,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2432" s="1" t="str">
        <f ca="1">IFERROR(__xludf.DUMMYFUNCTION("GOOGLETRANSLATE(English!G2432, ""en"", ""bg"")"),"разговор")</f>
        <v>разговор</v>
      </c>
      <c r="H2432" s="1" t="str">
        <f ca="1">IFERROR(__xludf.DUMMYFUNCTION("GOOGLETRANSLATE(English!H2432, ""en"", ""bg"")"),"образователна_помощ")</f>
        <v>образователна_помощ</v>
      </c>
    </row>
    <row r="2433" spans="1:8" ht="13.2" x14ac:dyDescent="0.25">
      <c r="A2433" s="1" t="str">
        <f ca="1">IFERROR(__xludf.DUMMYFUNCTION("GOOGLETRANSLATE(English!A2433, ""en"", ""bg"")"),"qa_07282")</f>
        <v>qa_07282</v>
      </c>
      <c r="B2433" s="1" t="str">
        <f ca="1">IFERROR(__xludf.DUMMYFUNCTION("GOOGLETRANSLATE(English!B2433, ""en"", ""bg"")"),"биология")</f>
        <v>биология</v>
      </c>
      <c r="C2433" s="1" t="str">
        <f ca="1">IFERROR(__xludf.DUMMYFUNCTION("GOOGLETRANSLATE(English!C2433, ""en"", ""bg"")"),"елементарен")</f>
        <v>елементарен</v>
      </c>
      <c r="D2433" s="1" t="str">
        <f ca="1">IFERROR(__xludf.DUMMYFUNCTION("GOOGLETRANSLATE(English!D2433, ""en"", ""bg"")"),"хранителни вериги")</f>
        <v>хранителни вериги</v>
      </c>
      <c r="E2433" s="1" t="str">
        <f ca="1">IFERROR(__xludf.DUMMYFUNCTION("GOOGLETRANSLATE(English!E2433, ""en"", ""bg"")"),"Можете ли да ми разкажете за хранителните вериги?")</f>
        <v>Можете ли да ми разкажете за хранителните вериги?</v>
      </c>
      <c r="F2433" s="1" t="str">
        <f ca="1">IFERROR(__xludf.DUMMYFUNCTION("GOOGLETRANSLATE(English!F2433,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2433" s="1" t="str">
        <f ca="1">IFERROR(__xludf.DUMMYFUNCTION("GOOGLETRANSLATE(English!G2433, ""en"", ""bg"")"),"direct_qa")</f>
        <v>direct_qa</v>
      </c>
      <c r="H2433" s="1" t="str">
        <f ca="1">IFERROR(__xludf.DUMMYFUNCTION("GOOGLETRANSLATE(English!H2433, ""en"", ""bg"")"),"заявка_за_знание")</f>
        <v>заявка_за_знание</v>
      </c>
    </row>
    <row r="2434" spans="1:8" ht="13.2" x14ac:dyDescent="0.25">
      <c r="A2434" s="1" t="str">
        <f ca="1">IFERROR(__xludf.DUMMYFUNCTION("GOOGLETRANSLATE(English!A2434, ""en"", ""bg"")"),"qa_13082")</f>
        <v>qa_13082</v>
      </c>
      <c r="B2434" s="1" t="str">
        <f ca="1">IFERROR(__xludf.DUMMYFUNCTION("GOOGLETRANSLATE(English!B2434, ""en"", ""bg"")"),"химия")</f>
        <v>химия</v>
      </c>
      <c r="C2434" s="1" t="str">
        <f ca="1">IFERROR(__xludf.DUMMYFUNCTION("GOOGLETRANSLATE(English!C2434, ""en"", ""bg"")"),"елементарен")</f>
        <v>елементарен</v>
      </c>
      <c r="D2434" s="1" t="str">
        <f ca="1">IFERROR(__xludf.DUMMYFUNCTION("GOOGLETRANSLATE(English!D2434, ""en"", ""bg"")"),"разтваряне")</f>
        <v>разтваряне</v>
      </c>
      <c r="E2434" s="1" t="str">
        <f ca="1">IFERROR(__xludf.DUMMYFUNCTION("GOOGLETRANSLATE(English!E2434, ""en"", ""bg"")"),"Как работи разтварянето в химията?")</f>
        <v>Как работи разтварянето в химията?</v>
      </c>
      <c r="F2434" s="1" t="str">
        <f ca="1">IFERROR(__xludf.DUMMYFUNCTION("GOOGLETRANSLATE(English!F2434,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2434" s="1" t="str">
        <f ca="1">IFERROR(__xludf.DUMMYFUNCTION("GOOGLETRANSLATE(English!G2434, ""en"", ""bg"")"),"direct_qa")</f>
        <v>direct_qa</v>
      </c>
      <c r="H2434" s="1" t="str">
        <f ca="1">IFERROR(__xludf.DUMMYFUNCTION("GOOGLETRANSLATE(English!H2434, ""en"", ""bg"")"),"заявка_за_знание")</f>
        <v>заявка_за_знание</v>
      </c>
    </row>
    <row r="2435" spans="1:8" ht="13.2" x14ac:dyDescent="0.25">
      <c r="A2435" s="1" t="str">
        <f ca="1">IFERROR(__xludf.DUMMYFUNCTION("GOOGLETRANSLATE(English!A2435, ""en"", ""bg"")"),"conv_00548")</f>
        <v>conv_00548</v>
      </c>
      <c r="B2435" s="1" t="str">
        <f ca="1">IFERROR(__xludf.DUMMYFUNCTION("GOOGLETRANSLATE(English!B2435, ""en"", ""bg"")"),"химия")</f>
        <v>химия</v>
      </c>
      <c r="C2435" s="1" t="str">
        <f ca="1">IFERROR(__xludf.DUMMYFUNCTION("GOOGLETRANSLATE(English!C2435, ""en"", ""bg"")"),"средата")</f>
        <v>средата</v>
      </c>
      <c r="D2435" s="1" t="str">
        <f ca="1">IFERROR(__xludf.DUMMYFUNCTION("GOOGLETRANSLATE(English!D2435, ""en"", ""bg"")"),"химични промени")</f>
        <v>химични промени</v>
      </c>
      <c r="E2435" s="1" t="str">
        <f ca="1">IFERROR(__xludf.DUMMYFUNCTION("GOOGLETRANSLATE(English!E2435, ""en"", ""bg"")"),"Можете ли да ми помогнете? Как протичат химичните промени в химията?")</f>
        <v>Можете ли да ми помогнете? Как протичат химичните промени в химията?</v>
      </c>
      <c r="F2435" s="1" t="str">
        <f ca="1">IFERROR(__xludf.DUMMYFUNCTION("GOOGLETRANSLATE(English!F2435,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2435" s="1" t="str">
        <f ca="1">IFERROR(__xludf.DUMMYFUNCTION("GOOGLETRANSLATE(English!G2435, ""en"", ""bg"")"),"разговор")</f>
        <v>разговор</v>
      </c>
      <c r="H2435" s="1" t="str">
        <f ca="1">IFERROR(__xludf.DUMMYFUNCTION("GOOGLETRANSLATE(English!H2435, ""en"", ""bg"")"),"образователна_помощ")</f>
        <v>образователна_помощ</v>
      </c>
    </row>
    <row r="2436" spans="1:8" ht="13.2" x14ac:dyDescent="0.25">
      <c r="A2436" s="1" t="str">
        <f ca="1">IFERROR(__xludf.DUMMYFUNCTION("GOOGLETRANSLATE(English!A2436, ""en"", ""bg"")"),"qa_14013")</f>
        <v>qa_14013</v>
      </c>
      <c r="B2436" s="1" t="str">
        <f ca="1">IFERROR(__xludf.DUMMYFUNCTION("GOOGLETRANSLATE(English!B2436, ""en"", ""bg"")"),"биология")</f>
        <v>биология</v>
      </c>
      <c r="C2436" s="1" t="str">
        <f ca="1">IFERROR(__xludf.DUMMYFUNCTION("GOOGLETRANSLATE(English!C2436, ""en"", ""bg"")"),"елементарен")</f>
        <v>елементарен</v>
      </c>
      <c r="D2436" s="1" t="str">
        <f ca="1">IFERROR(__xludf.DUMMYFUNCTION("GOOGLETRANSLATE(English!D2436, ""en"", ""bg"")"),"домашни любимци срещу диви животни")</f>
        <v>домашни любимци срещу диви животни</v>
      </c>
      <c r="E2436" s="1" t="str">
        <f ca="1">IFERROR(__xludf.DUMMYFUNCTION("GOOGLETRANSLATE(English!E2436, ""en"", ""bg"")"),"Защо домашните любимци срещу дивите животни са важни в биологията?")</f>
        <v>Защо домашните любимци срещу дивите животни са важни в биологията?</v>
      </c>
      <c r="F2436" s="1" t="str">
        <f ca="1">IFERROR(__xludf.DUMMYFUNCTION("GOOGLETRANSLATE(English!F2436,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2436" s="1" t="str">
        <f ca="1">IFERROR(__xludf.DUMMYFUNCTION("GOOGLETRANSLATE(English!G2436, ""en"", ""bg"")"),"direct_qa")</f>
        <v>direct_qa</v>
      </c>
      <c r="H2436" s="1" t="str">
        <f ca="1">IFERROR(__xludf.DUMMYFUNCTION("GOOGLETRANSLATE(English!H2436, ""en"", ""bg"")"),"заявка_за_знание")</f>
        <v>заявка_за_знание</v>
      </c>
    </row>
    <row r="2437" spans="1:8" ht="13.2" x14ac:dyDescent="0.25">
      <c r="A2437" s="1" t="str">
        <f ca="1">IFERROR(__xludf.DUMMYFUNCTION("GOOGLETRANSLATE(English!A2437, ""en"", ""bg"")"),"hw_00993")</f>
        <v>hw_00993</v>
      </c>
      <c r="B2437" s="1" t="str">
        <f ca="1">IFERROR(__xludf.DUMMYFUNCTION("GOOGLETRANSLATE(English!B2437, ""en"", ""bg"")"),"химия")</f>
        <v>химия</v>
      </c>
      <c r="C2437" s="1" t="str">
        <f ca="1">IFERROR(__xludf.DUMMYFUNCTION("GOOGLETRANSLATE(English!C2437, ""en"", ""bg"")"),"елементарен")</f>
        <v>елементарен</v>
      </c>
      <c r="D2437" s="1" t="str">
        <f ca="1">IFERROR(__xludf.DUMMYFUNCTION("GOOGLETRANSLATE(English!D2437, ""en"", ""bg"")"),"безопасност")</f>
        <v>безопасност</v>
      </c>
      <c r="E2437" s="1" t="str">
        <f ca="1">IFERROR(__xludf.DUMMYFUNCTION("GOOGLETRANSLATE(English!E2437, ""en"", ""bg"")"),"Можете ли да ми помогнете с изчисленията за безопасност?")</f>
        <v>Можете ли да ми помогнете с изчисленията за безопасност?</v>
      </c>
      <c r="F2437" s="1" t="str">
        <f ca="1">IFERROR(__xludf.DUMMYFUNCTION("GOOGLETRANSLATE(English!F2437,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437" s="1" t="str">
        <f ca="1">IFERROR(__xludf.DUMMYFUNCTION("GOOGLETRANSLATE(English!G2437, ""en"", ""bg"")"),"помощ_за_домашно_изпълнение")</f>
        <v>помощ_за_домашно_изпълнение</v>
      </c>
      <c r="H2437" s="1" t="str">
        <f ca="1">IFERROR(__xludf.DUMMYFUNCTION("GOOGLETRANSLATE(English!H2437, ""en"", ""bg"")"),"помощ_за_домашно_задаване")</f>
        <v>помощ_за_домашно_задаване</v>
      </c>
    </row>
    <row r="2438" spans="1:8" ht="13.2" x14ac:dyDescent="0.25">
      <c r="A2438" s="1" t="str">
        <f ca="1">IFERROR(__xludf.DUMMYFUNCTION("GOOGLETRANSLATE(English!A2438, ""en"", ""bg"")"),"hw_09820")</f>
        <v>hw_09820</v>
      </c>
      <c r="B2438" s="1" t="str">
        <f ca="1">IFERROR(__xludf.DUMMYFUNCTION("GOOGLETRANSLATE(English!B2438, ""en"", ""bg"")"),"химия")</f>
        <v>химия</v>
      </c>
      <c r="C2438" s="1" t="str">
        <f ca="1">IFERROR(__xludf.DUMMYFUNCTION("GOOGLETRANSLATE(English!C2438, ""en"", ""bg"")"),"високо")</f>
        <v>високо</v>
      </c>
      <c r="D2438" s="1" t="str">
        <f ca="1">IFERROR(__xludf.DUMMYFUNCTION("GOOGLETRANSLATE(English!D2438, ""en"", ""bg"")"),"електрохимия")</f>
        <v>електрохимия</v>
      </c>
      <c r="E2438" s="1" t="str">
        <f ca="1">IFERROR(__xludf.DUMMYFUNCTION("GOOGLETRANSLATE(English!E2438, ""en"", ""bg"")"),"Имам затруднения с електрохимията в домашното си.")</f>
        <v>Имам затруднения с електрохимията в домашното си.</v>
      </c>
      <c r="F2438" s="1" t="str">
        <f ca="1">IFERROR(__xludf.DUMMYFUNCTION("GOOGLETRANSLATE(English!F2438,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2438" s="1" t="str">
        <f ca="1">IFERROR(__xludf.DUMMYFUNCTION("GOOGLETRANSLATE(English!G2438, ""en"", ""bg"")"),"помощ_за_домашно_изпълнение")</f>
        <v>помощ_за_домашно_изпълнение</v>
      </c>
      <c r="H2438" s="1" t="str">
        <f ca="1">IFERROR(__xludf.DUMMYFUNCTION("GOOGLETRANSLATE(English!H2438, ""en"", ""bg"")"),"помощ_за_домашно_задаване")</f>
        <v>помощ_за_домашно_задаване</v>
      </c>
    </row>
    <row r="2439" spans="1:8" ht="13.2" x14ac:dyDescent="0.25">
      <c r="A2439" s="1" t="str">
        <f ca="1">IFERROR(__xludf.DUMMYFUNCTION("GOOGLETRANSLATE(English!A2439, ""en"", ""bg"")"),"qa_08417")</f>
        <v>qa_08417</v>
      </c>
      <c r="B2439" s="1" t="str">
        <f ca="1">IFERROR(__xludf.DUMMYFUNCTION("GOOGLETRANSLATE(English!B2439, ""en"", ""bg"")"),"биология")</f>
        <v>биология</v>
      </c>
      <c r="C2439" s="1" t="str">
        <f ca="1">IFERROR(__xludf.DUMMYFUNCTION("GOOGLETRANSLATE(English!C2439, ""en"", ""bg"")"),"високо")</f>
        <v>високо</v>
      </c>
      <c r="D2439" s="1" t="str">
        <f ca="1">IFERROR(__xludf.DUMMYFUNCTION("GOOGLETRANSLATE(English!D2439, ""en"", ""bg"")"),"синтез на протеини")</f>
        <v>синтез на протеини</v>
      </c>
      <c r="E2439" s="1" t="str">
        <f ca="1">IFERROR(__xludf.DUMMYFUNCTION("GOOGLETRANSLATE(English!E2439, ""en"", ""bg"")"),"Можете ли да ми разкажете за синтеза на протеини?")</f>
        <v>Можете ли да ми разкажете за синтеза на протеини?</v>
      </c>
      <c r="F2439" s="1" t="str">
        <f ca="1">IFERROR(__xludf.DUMMYFUNCTION("GOOGLETRANSLATE(English!F2439,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2439" s="1" t="str">
        <f ca="1">IFERROR(__xludf.DUMMYFUNCTION("GOOGLETRANSLATE(English!G2439, ""en"", ""bg"")"),"direct_qa")</f>
        <v>direct_qa</v>
      </c>
      <c r="H2439" s="1" t="str">
        <f ca="1">IFERROR(__xludf.DUMMYFUNCTION("GOOGLETRANSLATE(English!H2439, ""en"", ""bg"")"),"заявка_за_знание")</f>
        <v>заявка_за_знание</v>
      </c>
    </row>
    <row r="2440" spans="1:8" ht="13.2" x14ac:dyDescent="0.25">
      <c r="A2440" s="1" t="str">
        <f ca="1">IFERROR(__xludf.DUMMYFUNCTION("GOOGLETRANSLATE(English!A2440, ""en"", ""bg"")"),"conv_14085")</f>
        <v>conv_14085</v>
      </c>
      <c r="B2440" s="1" t="str">
        <f ca="1">IFERROR(__xludf.DUMMYFUNCTION("GOOGLETRANSLATE(English!B2440, ""en"", ""bg"")"),"физика")</f>
        <v>физика</v>
      </c>
      <c r="C2440" s="1" t="str">
        <f ca="1">IFERROR(__xludf.DUMMYFUNCTION("GOOGLETRANSLATE(English!C2440, ""en"", ""bg"")"),"високо")</f>
        <v>високо</v>
      </c>
      <c r="D2440" s="1" t="str">
        <f ca="1">IFERROR(__xludf.DUMMYFUNCTION("GOOGLETRANSLATE(English!D2440, ""en"", ""bg"")"),"термодинамика")</f>
        <v>термодинамика</v>
      </c>
      <c r="E2440" s="1" t="str">
        <f ca="1">IFERROR(__xludf.DUMMYFUNCTION("GOOGLETRANSLATE(English!E2440, ""en"", ""bg"")"),"Не разбирам тази тема. Можете ли да ми обясните термодинамиката?")</f>
        <v>Не разбирам тази тема. Можете ли да ми обясните термодинамиката?</v>
      </c>
      <c r="F2440" s="1" t="str">
        <f ca="1">IFERROR(__xludf.DUMMYFUNCTION("GOOGLETRANSLATE(English!F2440,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2440" s="1" t="str">
        <f ca="1">IFERROR(__xludf.DUMMYFUNCTION("GOOGLETRANSLATE(English!G2440, ""en"", ""bg"")"),"разговор")</f>
        <v>разговор</v>
      </c>
      <c r="H2440" s="1" t="str">
        <f ca="1">IFERROR(__xludf.DUMMYFUNCTION("GOOGLETRANSLATE(English!H2440, ""en"", ""bg"")"),"образователна_помощ")</f>
        <v>образователна_помощ</v>
      </c>
    </row>
    <row r="2441" spans="1:8" ht="13.2" x14ac:dyDescent="0.25">
      <c r="A2441" s="1" t="str">
        <f ca="1">IFERROR(__xludf.DUMMYFUNCTION("GOOGLETRANSLATE(English!A2441, ""en"", ""bg"")"),"qa_03876")</f>
        <v>qa_03876</v>
      </c>
      <c r="B2441" s="1" t="str">
        <f ca="1">IFERROR(__xludf.DUMMYFUNCTION("GOOGLETRANSLATE(English!B2441, ""en"", ""bg"")"),"биология")</f>
        <v>биология</v>
      </c>
      <c r="C2441" s="1" t="str">
        <f ca="1">IFERROR(__xludf.DUMMYFUNCTION("GOOGLETRANSLATE(English!C2441, ""en"", ""bg"")"),"елементарен")</f>
        <v>елементарен</v>
      </c>
      <c r="D2441" s="1" t="str">
        <f ca="1">IFERROR(__xludf.DUMMYFUNCTION("GOOGLETRANSLATE(English!D2441, ""en"", ""bg"")"),"домашни любимци срещу диви животни")</f>
        <v>домашни любимци срещу диви животни</v>
      </c>
      <c r="E2441" s="1" t="str">
        <f ca="1">IFERROR(__xludf.DUMMYFUNCTION("GOOGLETRANSLATE(English!E2441, ""en"", ""bg"")"),"Какво е важно да знаем за домашните любимци спрямо дивите животни?")</f>
        <v>Какво е важно да знаем за домашните любимци спрямо дивите животни?</v>
      </c>
      <c r="F2441" s="1" t="str">
        <f ca="1">IFERROR(__xludf.DUMMYFUNCTION("GOOGLETRANSLATE(English!F2441,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2441" s="1" t="str">
        <f ca="1">IFERROR(__xludf.DUMMYFUNCTION("GOOGLETRANSLATE(English!G2441, ""en"", ""bg"")"),"direct_qa")</f>
        <v>direct_qa</v>
      </c>
      <c r="H2441" s="1" t="str">
        <f ca="1">IFERROR(__xludf.DUMMYFUNCTION("GOOGLETRANSLATE(English!H2441, ""en"", ""bg"")"),"заявка_за_знание")</f>
        <v>заявка_за_знание</v>
      </c>
    </row>
    <row r="2442" spans="1:8" ht="13.2" x14ac:dyDescent="0.25">
      <c r="A2442" s="1" t="str">
        <f ca="1">IFERROR(__xludf.DUMMYFUNCTION("GOOGLETRANSLATE(English!A2442, ""en"", ""bg"")"),"qa_03990")</f>
        <v>qa_03990</v>
      </c>
      <c r="B2442" s="1" t="str">
        <f ca="1">IFERROR(__xludf.DUMMYFUNCTION("GOOGLETRANSLATE(English!B2442, ""en"", ""bg"")"),"физика")</f>
        <v>физика</v>
      </c>
      <c r="C2442" s="1" t="str">
        <f ca="1">IFERROR(__xludf.DUMMYFUNCTION("GOOGLETRANSLATE(English!C2442, ""en"", ""bg"")"),"елементарен")</f>
        <v>елементарен</v>
      </c>
      <c r="D2442" s="1" t="str">
        <f ca="1">IFERROR(__xludf.DUMMYFUNCTION("GOOGLETRANSLATE(English!D2442, ""en"", ""bg"")"),"магнити")</f>
        <v>магнити</v>
      </c>
      <c r="E2442" s="1" t="str">
        <f ca="1">IFERROR(__xludf.DUMMYFUNCTION("GOOGLETRANSLATE(English!E2442, ""en"", ""bg"")"),"Какви са полюсите на магнита?")</f>
        <v>Какви са полюсите на магнита?</v>
      </c>
      <c r="F2442" s="1" t="str">
        <f ca="1">IFERROR(__xludf.DUMMYFUNCTION("GOOGLETRANSLATE(English!F2442,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2442" s="1" t="str">
        <f ca="1">IFERROR(__xludf.DUMMYFUNCTION("GOOGLETRANSLATE(English!G2442, ""en"", ""bg"")"),"direct_qa")</f>
        <v>direct_qa</v>
      </c>
      <c r="H2442" s="1" t="str">
        <f ca="1">IFERROR(__xludf.DUMMYFUNCTION("GOOGLETRANSLATE(English!H2442, ""en"", ""bg"")"),"заявка_за_знание")</f>
        <v>заявка_за_знание</v>
      </c>
    </row>
    <row r="2443" spans="1:8" ht="13.2" x14ac:dyDescent="0.25">
      <c r="A2443" s="1" t="str">
        <f ca="1">IFERROR(__xludf.DUMMYFUNCTION("GOOGLETRANSLATE(English!A2443, ""en"", ""bg"")"),"conv_03431")</f>
        <v>conv_03431</v>
      </c>
      <c r="B2443" s="1" t="str">
        <f ca="1">IFERROR(__xludf.DUMMYFUNCTION("GOOGLETRANSLATE(English!B2443, ""en"", ""bg"")"),"химия")</f>
        <v>химия</v>
      </c>
      <c r="C2443" s="1" t="str">
        <f ca="1">IFERROR(__xludf.DUMMYFUNCTION("GOOGLETRANSLATE(English!C2443, ""en"", ""bg"")"),"високо")</f>
        <v>високо</v>
      </c>
      <c r="D2443" s="1" t="str">
        <f ca="1">IFERROR(__xludf.DUMMYFUNCTION("GOOGLETRANSLATE(English!D2443, ""en"", ""bg"")"),"стехиометрия")</f>
        <v>стехиометрия</v>
      </c>
      <c r="E2443" s="1" t="str">
        <f ca="1">IFERROR(__xludf.DUMMYFUNCTION("GOOGLETRANSLATE(English!E2443, ""en"", ""bg"")"),"Имам нужда от помощ с домашното. Защо е важно да се учи стехиометрията?")</f>
        <v>Имам нужда от помощ с домашното. Защо е важно да се учи стехиометрията?</v>
      </c>
      <c r="F2443" s="1" t="str">
        <f ca="1">IFERROR(__xludf.DUMMYFUNCTION("GOOGLETRANSLATE(English!F2443,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2443" s="1" t="str">
        <f ca="1">IFERROR(__xludf.DUMMYFUNCTION("GOOGLETRANSLATE(English!G2443, ""en"", ""bg"")"),"разговор")</f>
        <v>разговор</v>
      </c>
      <c r="H2443" s="1" t="str">
        <f ca="1">IFERROR(__xludf.DUMMYFUNCTION("GOOGLETRANSLATE(English!H2443, ""en"", ""bg"")"),"образователна_помощ")</f>
        <v>образователна_помощ</v>
      </c>
    </row>
    <row r="2444" spans="1:8" ht="13.2" x14ac:dyDescent="0.25">
      <c r="A2444" s="1" t="str">
        <f ca="1">IFERROR(__xludf.DUMMYFUNCTION("GOOGLETRANSLATE(English!A2444, ""en"", ""bg"")"),"hw_13710")</f>
        <v>hw_13710</v>
      </c>
      <c r="B2444" s="1" t="str">
        <f ca="1">IFERROR(__xludf.DUMMYFUNCTION("GOOGLETRANSLATE(English!B2444, ""en"", ""bg"")"),"физика")</f>
        <v>физика</v>
      </c>
      <c r="C2444" s="1" t="str">
        <f ca="1">IFERROR(__xludf.DUMMYFUNCTION("GOOGLETRANSLATE(English!C2444, ""en"", ""bg"")"),"елементарен")</f>
        <v>елементарен</v>
      </c>
      <c r="D2444" s="1" t="str">
        <f ca="1">IFERROR(__xludf.DUMMYFUNCTION("GOOGLETRANSLATE(English!D2444, ""en"", ""bg"")"),"прости машини")</f>
        <v>прости машини</v>
      </c>
      <c r="E2444" s="1" t="str">
        <f ca="1">IFERROR(__xludf.DUMMYFUNCTION("GOOGLETRANSLATE(English!E2444, ""en"", ""bg"")"),"Трябва да разбирам прости машини за изпита си.")</f>
        <v>Трябва да разбирам прости машини за изпита си.</v>
      </c>
      <c r="F2444" s="1" t="str">
        <f ca="1">IFERROR(__xludf.DUMMYFUNCTION("GOOGLETRANSLATE(English!F2444,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2444" s="1" t="str">
        <f ca="1">IFERROR(__xludf.DUMMYFUNCTION("GOOGLETRANSLATE(English!G2444, ""en"", ""bg"")"),"помощ_за_домашно_изпълнение")</f>
        <v>помощ_за_домашно_изпълнение</v>
      </c>
      <c r="H2444" s="1" t="str">
        <f ca="1">IFERROR(__xludf.DUMMYFUNCTION("GOOGLETRANSLATE(English!H2444, ""en"", ""bg"")"),"помощ_за_домашно_задаване")</f>
        <v>помощ_за_домашно_задаване</v>
      </c>
    </row>
    <row r="2445" spans="1:8" ht="13.2" x14ac:dyDescent="0.25">
      <c r="A2445" s="1" t="str">
        <f ca="1">IFERROR(__xludf.DUMMYFUNCTION("GOOGLETRANSLATE(English!A2445, ""en"", ""bg"")"),"qa_08348")</f>
        <v>qa_08348</v>
      </c>
      <c r="B2445" s="1" t="str">
        <f ca="1">IFERROR(__xludf.DUMMYFUNCTION("GOOGLETRANSLATE(English!B2445, ""en"", ""bg"")"),"физика")</f>
        <v>физика</v>
      </c>
      <c r="C2445" s="1" t="str">
        <f ca="1">IFERROR(__xludf.DUMMYFUNCTION("GOOGLETRANSLATE(English!C2445, ""en"", ""bg"")"),"елементарен")</f>
        <v>елементарен</v>
      </c>
      <c r="D2445" s="1" t="str">
        <f ca="1">IFERROR(__xludf.DUMMYFUNCTION("GOOGLETRANSLATE(English!D2445, ""en"", ""bg"")"),"звук")</f>
        <v>звук</v>
      </c>
      <c r="E2445" s="1" t="str">
        <f ca="1">IFERROR(__xludf.DUMMYFUNCTION("GOOGLETRANSLATE(English!E2445, ""en"", ""bg"")"),"Как работи звукът във физиката?")</f>
        <v>Как работи звукът във физиката?</v>
      </c>
      <c r="F2445" s="1" t="str">
        <f ca="1">IFERROR(__xludf.DUMMYFUNCTION("GOOGLETRANSLATE(English!F2445,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445" s="1" t="str">
        <f ca="1">IFERROR(__xludf.DUMMYFUNCTION("GOOGLETRANSLATE(English!G2445, ""en"", ""bg"")"),"direct_qa")</f>
        <v>direct_qa</v>
      </c>
      <c r="H2445" s="1" t="str">
        <f ca="1">IFERROR(__xludf.DUMMYFUNCTION("GOOGLETRANSLATE(English!H2445, ""en"", ""bg"")"),"заявка_за_знание")</f>
        <v>заявка_за_знание</v>
      </c>
    </row>
    <row r="2446" spans="1:8" ht="13.2" x14ac:dyDescent="0.25">
      <c r="A2446" s="1" t="str">
        <f ca="1">IFERROR(__xludf.DUMMYFUNCTION("GOOGLETRANSLATE(English!A2446, ""en"", ""bg"")"),"conv_01466")</f>
        <v>conv_01466</v>
      </c>
      <c r="B2446" s="1" t="str">
        <f ca="1">IFERROR(__xludf.DUMMYFUNCTION("GOOGLETRANSLATE(English!B2446, ""en"", ""bg"")"),"химия")</f>
        <v>химия</v>
      </c>
      <c r="C2446" s="1" t="str">
        <f ca="1">IFERROR(__xludf.DUMMYFUNCTION("GOOGLETRANSLATE(English!C2446, ""en"", ""bg"")"),"средата")</f>
        <v>средата</v>
      </c>
      <c r="D2446" s="1" t="str">
        <f ca="1">IFERROR(__xludf.DUMMYFUNCTION("GOOGLETRANSLATE(English!D2446, ""en"", ""bg"")"),"киселини и основи")</f>
        <v>киселини и основи</v>
      </c>
      <c r="E2446" s="1" t="str">
        <f ca="1">IFERROR(__xludf.DUMMYFUNCTION("GOOGLETRANSLATE(English!E2446, ""en"", ""bg"")"),"Имам научен въпрос. Можете ли да ми помогнете да разбера киселините и основите?")</f>
        <v>Имам научен въпрос. Можете ли да ми помогнете да разбера киселините и основите?</v>
      </c>
      <c r="F2446" s="1" t="str">
        <f ca="1">IFERROR(__xludf.DUMMYFUNCTION("GOOGLETRANSLATE(English!F2446,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2446" s="1" t="str">
        <f ca="1">IFERROR(__xludf.DUMMYFUNCTION("GOOGLETRANSLATE(English!G2446, ""en"", ""bg"")"),"разговор")</f>
        <v>разговор</v>
      </c>
      <c r="H2446" s="1" t="str">
        <f ca="1">IFERROR(__xludf.DUMMYFUNCTION("GOOGLETRANSLATE(English!H2446, ""en"", ""bg"")"),"образователна_помощ")</f>
        <v>образователна_помощ</v>
      </c>
    </row>
    <row r="2447" spans="1:8" ht="13.2" x14ac:dyDescent="0.25">
      <c r="A2447" s="1" t="str">
        <f ca="1">IFERROR(__xludf.DUMMYFUNCTION("GOOGLETRANSLATE(English!A2447, ""en"", ""bg"")"),"conv_09559")</f>
        <v>conv_09559</v>
      </c>
      <c r="B2447" s="1" t="str">
        <f ca="1">IFERROR(__xludf.DUMMYFUNCTION("GOOGLETRANSLATE(English!B2447, ""en"", ""bg"")"),"биология")</f>
        <v>биология</v>
      </c>
      <c r="C2447" s="1" t="str">
        <f ca="1">IFERROR(__xludf.DUMMYFUNCTION("GOOGLETRANSLATE(English!C2447, ""en"", ""bg"")"),"високо")</f>
        <v>високо</v>
      </c>
      <c r="D2447" s="1" t="str">
        <f ca="1">IFERROR(__xludf.DUMMYFUNCTION("GOOGLETRANSLATE(English!D2447, ""en"", ""bg"")"),"синтез на протеини")</f>
        <v>синтез на протеини</v>
      </c>
      <c r="E2447" s="1" t="str">
        <f ca="1">IFERROR(__xludf.DUMMYFUNCTION("GOOGLETRANSLATE(English!E2447, ""en"", ""bg"")"),"Можете ли да ми обясните това? Защо синтезът на протеини е важен в биологията?")</f>
        <v>Можете ли да ми обясните това? Защо синтезът на протеини е важен в биологията?</v>
      </c>
      <c r="F2447" s="1" t="str">
        <f ca="1">IFERROR(__xludf.DUMMYFUNCTION("GOOGLETRANSLATE(English!F2447,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2447" s="1" t="str">
        <f ca="1">IFERROR(__xludf.DUMMYFUNCTION("GOOGLETRANSLATE(English!G2447, ""en"", ""bg"")"),"разговор")</f>
        <v>разговор</v>
      </c>
      <c r="H2447" s="1" t="str">
        <f ca="1">IFERROR(__xludf.DUMMYFUNCTION("GOOGLETRANSLATE(English!H2447, ""en"", ""bg"")"),"образователна_помощ")</f>
        <v>образователна_помощ</v>
      </c>
    </row>
    <row r="2448" spans="1:8" ht="13.2" x14ac:dyDescent="0.25">
      <c r="A2448" s="1" t="str">
        <f ca="1">IFERROR(__xludf.DUMMYFUNCTION("GOOGLETRANSLATE(English!A2448, ""en"", ""bg"")"),"conv_15519")</f>
        <v>conv_15519</v>
      </c>
      <c r="B2448" s="1" t="str">
        <f ca="1">IFERROR(__xludf.DUMMYFUNCTION("GOOGLETRANSLATE(English!B2448, ""en"", ""bg"")"),"физика")</f>
        <v>физика</v>
      </c>
      <c r="C2448" s="1" t="str">
        <f ca="1">IFERROR(__xludf.DUMMYFUNCTION("GOOGLETRANSLATE(English!C2448, ""en"", ""bg"")"),"високо")</f>
        <v>високо</v>
      </c>
      <c r="D2448" s="1" t="str">
        <f ca="1">IFERROR(__xludf.DUMMYFUNCTION("GOOGLETRANSLATE(English!D2448, ""en"", ""bg"")"),"оптика")</f>
        <v>оптика</v>
      </c>
      <c r="E2448" s="1" t="str">
        <f ca="1">IFERROR(__xludf.DUMMYFUNCTION("GOOGLETRANSLATE(English!E2448, ""en"", ""bg"")"),"Помогнете ми да уча за теста си. Защо оптиката е важна?")</f>
        <v>Помогнете ми да уча за теста си. Защо оптиката е важна?</v>
      </c>
      <c r="F2448" s="1" t="str">
        <f ca="1">IFERROR(__xludf.DUMMYFUNCTION("GOOGLETRANSLATE(English!F2448,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2448" s="1" t="str">
        <f ca="1">IFERROR(__xludf.DUMMYFUNCTION("GOOGLETRANSLATE(English!G2448, ""en"", ""bg"")"),"разговор")</f>
        <v>разговор</v>
      </c>
      <c r="H2448" s="1" t="str">
        <f ca="1">IFERROR(__xludf.DUMMYFUNCTION("GOOGLETRANSLATE(English!H2448, ""en"", ""bg"")"),"образователна_помощ")</f>
        <v>образователна_помощ</v>
      </c>
    </row>
    <row r="2449" spans="1:8" ht="13.2" x14ac:dyDescent="0.25">
      <c r="A2449" s="1" t="str">
        <f ca="1">IFERROR(__xludf.DUMMYFUNCTION("GOOGLETRANSLATE(English!A2449, ""en"", ""bg"")"),"conv_17415")</f>
        <v>conv_17415</v>
      </c>
      <c r="B2449" s="1" t="str">
        <f ca="1">IFERROR(__xludf.DUMMYFUNCTION("GOOGLETRANSLATE(English!B2449, ""en"", ""bg"")"),"химия")</f>
        <v>химия</v>
      </c>
      <c r="C2449" s="1" t="str">
        <f ca="1">IFERROR(__xludf.DUMMYFUNCTION("GOOGLETRANSLATE(English!C2449, ""en"", ""bg"")"),"високо")</f>
        <v>високо</v>
      </c>
      <c r="D2449" s="1" t="str">
        <f ca="1">IFERROR(__xludf.DUMMYFUNCTION("GOOGLETRANSLATE(English!D2449, ""en"", ""bg"")"),"електрохимия")</f>
        <v>електрохимия</v>
      </c>
      <c r="E2449" s="1" t="str">
        <f ca="1">IFERROR(__xludf.DUMMYFUNCTION("GOOGLETRANSLATE(English!E2449, ""en"", ""bg"")"),"Имам нужда от помощ с домашното. Защо е важно да се учи електрохимия?")</f>
        <v>Имам нужда от помощ с домашното. Защо е важно да се учи електрохимия?</v>
      </c>
      <c r="F2449" s="1" t="str">
        <f ca="1">IFERROR(__xludf.DUMMYFUNCTION("GOOGLETRANSLATE(English!F2449,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2449" s="1" t="str">
        <f ca="1">IFERROR(__xludf.DUMMYFUNCTION("GOOGLETRANSLATE(English!G2449, ""en"", ""bg"")"),"разговор")</f>
        <v>разговор</v>
      </c>
      <c r="H2449" s="1" t="str">
        <f ca="1">IFERROR(__xludf.DUMMYFUNCTION("GOOGLETRANSLATE(English!H2449, ""en"", ""bg"")"),"образователна_помощ")</f>
        <v>образователна_помощ</v>
      </c>
    </row>
    <row r="2450" spans="1:8" ht="13.2" x14ac:dyDescent="0.25">
      <c r="A2450" s="1" t="str">
        <f ca="1">IFERROR(__xludf.DUMMYFUNCTION("GOOGLETRANSLATE(English!A2450, ""en"", ""bg"")"),"hw_03183")</f>
        <v>hw_03183</v>
      </c>
      <c r="B2450" s="1" t="str">
        <f ca="1">IFERROR(__xludf.DUMMYFUNCTION("GOOGLETRANSLATE(English!B2450, ""en"", ""bg"")"),"физика")</f>
        <v>физика</v>
      </c>
      <c r="C2450" s="1" t="str">
        <f ca="1">IFERROR(__xludf.DUMMYFUNCTION("GOOGLETRANSLATE(English!C2450, ""en"", ""bg"")"),"средата")</f>
        <v>средата</v>
      </c>
      <c r="D2450" s="1" t="str">
        <f ca="1">IFERROR(__xludf.DUMMYFUNCTION("GOOGLETRANSLATE(English!D2450, ""en"", ""bg"")"),"сили и движение")</f>
        <v>сили и движение</v>
      </c>
      <c r="E2450" s="1" t="str">
        <f ca="1">IFERROR(__xludf.DUMMYFUNCTION("GOOGLETRANSLATE(English!E2450,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2450" s="1" t="str">
        <f ca="1">IFERROR(__xludf.DUMMYFUNCTION("GOOGLETRANSLATE(English!F2450,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2450" s="1" t="str">
        <f ca="1">IFERROR(__xludf.DUMMYFUNCTION("GOOGLETRANSLATE(English!G2450, ""en"", ""bg"")"),"помощ_за_домашно_изпълнение")</f>
        <v>помощ_за_домашно_изпълнение</v>
      </c>
      <c r="H2450" s="1" t="str">
        <f ca="1">IFERROR(__xludf.DUMMYFUNCTION("GOOGLETRANSLATE(English!H2450, ""en"", ""bg"")"),"помощ_за_домашно_задаване")</f>
        <v>помощ_за_домашно_задаване</v>
      </c>
    </row>
    <row r="2451" spans="1:8" ht="13.2" x14ac:dyDescent="0.25">
      <c r="A2451" s="1" t="str">
        <f ca="1">IFERROR(__xludf.DUMMYFUNCTION("GOOGLETRANSLATE(English!A2451, ""en"", ""bg"")"),"qa_09389")</f>
        <v>qa_09389</v>
      </c>
      <c r="B2451" s="1" t="str">
        <f ca="1">IFERROR(__xludf.DUMMYFUNCTION("GOOGLETRANSLATE(English!B2451, ""en"", ""bg"")"),"биология")</f>
        <v>биология</v>
      </c>
      <c r="C2451" s="1" t="str">
        <f ca="1">IFERROR(__xludf.DUMMYFUNCTION("GOOGLETRANSLATE(English!C2451, ""en"", ""bg"")"),"високо")</f>
        <v>високо</v>
      </c>
      <c r="D2451" s="1" t="str">
        <f ca="1">IFERROR(__xludf.DUMMYFUNCTION("GOOGLETRANSLATE(English!D2451, ""en"", ""bg"")"),"клетъчно дишане")</f>
        <v>клетъчно дишане</v>
      </c>
      <c r="E2451" s="1" t="str">
        <f ca="1">IFERROR(__xludf.DUMMYFUNCTION("GOOGLETRANSLATE(English!E2451, ""en"", ""bg"")"),"Можете ли да ми разкажете за клетъчното дишане?")</f>
        <v>Можете ли да ми разкажете за клетъчното дишане?</v>
      </c>
      <c r="F2451" s="1" t="str">
        <f ca="1">IFERROR(__xludf.DUMMYFUNCTION("GOOGLETRANSLATE(English!F2451,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2451" s="1" t="str">
        <f ca="1">IFERROR(__xludf.DUMMYFUNCTION("GOOGLETRANSLATE(English!G2451, ""en"", ""bg"")"),"direct_qa")</f>
        <v>direct_qa</v>
      </c>
      <c r="H2451" s="1" t="str">
        <f ca="1">IFERROR(__xludf.DUMMYFUNCTION("GOOGLETRANSLATE(English!H2451, ""en"", ""bg"")"),"заявка_за_знание")</f>
        <v>заявка_за_знание</v>
      </c>
    </row>
    <row r="2452" spans="1:8" ht="13.2" x14ac:dyDescent="0.25">
      <c r="A2452" s="1" t="str">
        <f ca="1">IFERROR(__xludf.DUMMYFUNCTION("GOOGLETRANSLATE(English!A2452, ""en"", ""bg"")"),"conv_01180")</f>
        <v>conv_01180</v>
      </c>
      <c r="B2452" s="1" t="str">
        <f ca="1">IFERROR(__xludf.DUMMYFUNCTION("GOOGLETRANSLATE(English!B2452, ""en"", ""bg"")"),"химия")</f>
        <v>химия</v>
      </c>
      <c r="C2452" s="1" t="str">
        <f ca="1">IFERROR(__xludf.DUMMYFUNCTION("GOOGLETRANSLATE(English!C2452, ""en"", ""bg"")"),"елементарен")</f>
        <v>елементарен</v>
      </c>
      <c r="D2452" s="1" t="str">
        <f ca="1">IFERROR(__xludf.DUMMYFUNCTION("GOOGLETRANSLATE(English!D2452, ""en"", ""bg"")"),"разтваряне")</f>
        <v>разтваряне</v>
      </c>
      <c r="E2452" s="1" t="str">
        <f ca="1">IFERROR(__xludf.DUMMYFUNCTION("GOOGLETRANSLATE(English!E2452, ""en"", ""bg"")"),"Не разбирам тази тема. Какво е разтваряне?")</f>
        <v>Не разбирам тази тема. Какво е разтваряне?</v>
      </c>
      <c r="F2452" s="1" t="str">
        <f ca="1">IFERROR(__xludf.DUMMYFUNCTION("GOOGLETRANSLATE(English!F2452,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2452" s="1" t="str">
        <f ca="1">IFERROR(__xludf.DUMMYFUNCTION("GOOGLETRANSLATE(English!G2452, ""en"", ""bg"")"),"разговор")</f>
        <v>разговор</v>
      </c>
      <c r="H2452" s="1" t="str">
        <f ca="1">IFERROR(__xludf.DUMMYFUNCTION("GOOGLETRANSLATE(English!H2452, ""en"", ""bg"")"),"образователна_помощ")</f>
        <v>образователна_помощ</v>
      </c>
    </row>
    <row r="2453" spans="1:8" ht="13.2" x14ac:dyDescent="0.25">
      <c r="A2453" s="1" t="str">
        <f ca="1">IFERROR(__xludf.DUMMYFUNCTION("GOOGLETRANSLATE(English!A2453, ""en"", ""bg"")"),"hw_07192")</f>
        <v>hw_07192</v>
      </c>
      <c r="B2453" s="1" t="str">
        <f ca="1">IFERROR(__xludf.DUMMYFUNCTION("GOOGLETRANSLATE(English!B2453, ""en"", ""bg"")"),"химия")</f>
        <v>химия</v>
      </c>
      <c r="C2453" s="1" t="str">
        <f ca="1">IFERROR(__xludf.DUMMYFUNCTION("GOOGLETRANSLATE(English!C2453, ""en"", ""bg"")"),"елементарен")</f>
        <v>елементарен</v>
      </c>
      <c r="D2453" s="1" t="str">
        <f ca="1">IFERROR(__xludf.DUMMYFUNCTION("GOOGLETRANSLATE(English!D2453, ""en"", ""bg"")"),"безопасност")</f>
        <v>безопасност</v>
      </c>
      <c r="E2453" s="1" t="str">
        <f ca="1">IFERROR(__xludf.DUMMYFUNCTION("GOOGLETRANSLATE(English!E2453, ""en"", ""bg"")"),"Можете ли да ми помогнете с изчисленията за безопасност?")</f>
        <v>Можете ли да ми помогнете с изчисленията за безопасност?</v>
      </c>
      <c r="F2453" s="1" t="str">
        <f ca="1">IFERROR(__xludf.DUMMYFUNCTION("GOOGLETRANSLATE(English!F2453,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453" s="1" t="str">
        <f ca="1">IFERROR(__xludf.DUMMYFUNCTION("GOOGLETRANSLATE(English!G2453, ""en"", ""bg"")"),"помощ_за_домашно_изпълнение")</f>
        <v>помощ_за_домашно_изпълнение</v>
      </c>
      <c r="H2453" s="1" t="str">
        <f ca="1">IFERROR(__xludf.DUMMYFUNCTION("GOOGLETRANSLATE(English!H2453, ""en"", ""bg"")"),"помощ_за_домашно_задаване")</f>
        <v>помощ_за_домашно_задаване</v>
      </c>
    </row>
    <row r="2454" spans="1:8" ht="13.2" x14ac:dyDescent="0.25">
      <c r="A2454" s="1" t="str">
        <f ca="1">IFERROR(__xludf.DUMMYFUNCTION("GOOGLETRANSLATE(English!A2454, ""en"", ""bg"")"),"qa_06488")</f>
        <v>qa_06488</v>
      </c>
      <c r="B2454" s="1" t="str">
        <f ca="1">IFERROR(__xludf.DUMMYFUNCTION("GOOGLETRANSLATE(English!B2454, ""en"", ""bg"")"),"химия")</f>
        <v>химия</v>
      </c>
      <c r="C2454" s="1" t="str">
        <f ca="1">IFERROR(__xludf.DUMMYFUNCTION("GOOGLETRANSLATE(English!C2454, ""en"", ""bg"")"),"високо")</f>
        <v>високо</v>
      </c>
      <c r="D2454" s="1" t="str">
        <f ca="1">IFERROR(__xludf.DUMMYFUNCTION("GOOGLETRANSLATE(English!D2454, ""en"", ""bg"")"),"скорости на реакция")</f>
        <v>скорости на реакция</v>
      </c>
      <c r="E2454" s="1" t="str">
        <f ca="1">IFERROR(__xludf.DUMMYFUNCTION("GOOGLETRANSLATE(English!E2454,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2454" s="1" t="str">
        <f ca="1">IFERROR(__xludf.DUMMYFUNCTION("GOOGLETRANSLATE(English!F2454,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2454" s="1" t="str">
        <f ca="1">IFERROR(__xludf.DUMMYFUNCTION("GOOGLETRANSLATE(English!G2454, ""en"", ""bg"")"),"direct_qa")</f>
        <v>direct_qa</v>
      </c>
      <c r="H2454" s="1" t="str">
        <f ca="1">IFERROR(__xludf.DUMMYFUNCTION("GOOGLETRANSLATE(English!H2454, ""en"", ""bg"")"),"заявка_за_знание")</f>
        <v>заявка_за_знание</v>
      </c>
    </row>
    <row r="2455" spans="1:8" ht="13.2" x14ac:dyDescent="0.25">
      <c r="A2455" s="1" t="str">
        <f ca="1">IFERROR(__xludf.DUMMYFUNCTION("GOOGLETRANSLATE(English!A2455, ""en"", ""bg"")"),"qa_13672")</f>
        <v>qa_13672</v>
      </c>
      <c r="B2455" s="1" t="str">
        <f ca="1">IFERROR(__xludf.DUMMYFUNCTION("GOOGLETRANSLATE(English!B2455, ""en"", ""bg"")"),"биология")</f>
        <v>биология</v>
      </c>
      <c r="C2455" s="1" t="str">
        <f ca="1">IFERROR(__xludf.DUMMYFUNCTION("GOOGLETRANSLATE(English!C2455, ""en"", ""bg"")"),"високо")</f>
        <v>високо</v>
      </c>
      <c r="D2455" s="1" t="str">
        <f ca="1">IFERROR(__xludf.DUMMYFUNCTION("GOOGLETRANSLATE(English!D2455, ""en"", ""bg"")"),"клетъчно дишане")</f>
        <v>клетъчно дишане</v>
      </c>
      <c r="E2455" s="1" t="str">
        <f ca="1">IFERROR(__xludf.DUMMYFUNCTION("GOOGLETRANSLATE(English!E2455, ""en"", ""bg"")"),"Можете ли да ми разкажете за клетъчното дишане?")</f>
        <v>Можете ли да ми разкажете за клетъчното дишане?</v>
      </c>
      <c r="F2455" s="1" t="str">
        <f ca="1">IFERROR(__xludf.DUMMYFUNCTION("GOOGLETRANSLATE(English!F2455,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2455" s="1" t="str">
        <f ca="1">IFERROR(__xludf.DUMMYFUNCTION("GOOGLETRANSLATE(English!G2455, ""en"", ""bg"")"),"direct_qa")</f>
        <v>direct_qa</v>
      </c>
      <c r="H2455" s="1" t="str">
        <f ca="1">IFERROR(__xludf.DUMMYFUNCTION("GOOGLETRANSLATE(English!H2455, ""en"", ""bg"")"),"заявка_за_знание")</f>
        <v>заявка_за_знание</v>
      </c>
    </row>
    <row r="2456" spans="1:8" ht="13.2" x14ac:dyDescent="0.25">
      <c r="A2456" s="1" t="str">
        <f ca="1">IFERROR(__xludf.DUMMYFUNCTION("GOOGLETRANSLATE(English!A2456, ""en"", ""bg"")"),"hw_08463")</f>
        <v>hw_08463</v>
      </c>
      <c r="B2456" s="1" t="str">
        <f ca="1">IFERROR(__xludf.DUMMYFUNCTION("GOOGLETRANSLATE(English!B2456, ""en"", ""bg"")"),"химия")</f>
        <v>химия</v>
      </c>
      <c r="C2456" s="1" t="str">
        <f ca="1">IFERROR(__xludf.DUMMYFUNCTION("GOOGLETRANSLATE(English!C2456, ""en"", ""bg"")"),"високо")</f>
        <v>високо</v>
      </c>
      <c r="D2456" s="1" t="str">
        <f ca="1">IFERROR(__xludf.DUMMYFUNCTION("GOOGLETRANSLATE(English!D2456, ""en"", ""bg"")"),"стехиометрия")</f>
        <v>стехиометрия</v>
      </c>
      <c r="E2456" s="1" t="str">
        <f ca="1">IFERROR(__xludf.DUMMYFUNCTION("GOOGLETRANSLATE(English!E2456, ""en"", ""bg"")"),"Можете ли да ми помогнете със стехиометричните изчисления?")</f>
        <v>Можете ли да ми помогнете със стехиометричните изчисления?</v>
      </c>
      <c r="F2456" s="1" t="str">
        <f ca="1">IFERROR(__xludf.DUMMYFUNCTION("GOOGLETRANSLATE(English!F2456,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2456" s="1" t="str">
        <f ca="1">IFERROR(__xludf.DUMMYFUNCTION("GOOGLETRANSLATE(English!G2456, ""en"", ""bg"")"),"помощ_за_домашно_изпълнение")</f>
        <v>помощ_за_домашно_изпълнение</v>
      </c>
      <c r="H2456" s="1" t="str">
        <f ca="1">IFERROR(__xludf.DUMMYFUNCTION("GOOGLETRANSLATE(English!H2456, ""en"", ""bg"")"),"помощ_за_домашно_задаване")</f>
        <v>помощ_за_домашно_задаване</v>
      </c>
    </row>
    <row r="2457" spans="1:8" ht="13.2" x14ac:dyDescent="0.25">
      <c r="A2457" s="1" t="str">
        <f ca="1">IFERROR(__xludf.DUMMYFUNCTION("GOOGLETRANSLATE(English!A2457, ""en"", ""bg"")"),"conv_18381")</f>
        <v>conv_18381</v>
      </c>
      <c r="B2457" s="1" t="str">
        <f ca="1">IFERROR(__xludf.DUMMYFUNCTION("GOOGLETRANSLATE(English!B2457, ""en"", ""bg"")"),"химия")</f>
        <v>химия</v>
      </c>
      <c r="C2457" s="1" t="str">
        <f ca="1">IFERROR(__xludf.DUMMYFUNCTION("GOOGLETRANSLATE(English!C2457, ""en"", ""bg"")"),"средата")</f>
        <v>средата</v>
      </c>
      <c r="D2457" s="1" t="str">
        <f ca="1">IFERROR(__xludf.DUMMYFUNCTION("GOOGLETRANSLATE(English!D2457, ""en"", ""bg"")"),"атоми и молекули")</f>
        <v>атоми и молекули</v>
      </c>
      <c r="E2457" s="1" t="str">
        <f ca="1">IFERROR(__xludf.DUMMYFUNCTION("GOOGLETRANSLATE(English!E2457, ""en"", ""bg"")"),"Не разбирам тази тема. Защо атомите се свързват?")</f>
        <v>Не разбирам тази тема. Защо атомите се свързват?</v>
      </c>
      <c r="F2457" s="1" t="str">
        <f ca="1">IFERROR(__xludf.DUMMYFUNCTION("GOOGLETRANSLATE(English!F2457,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2457" s="1" t="str">
        <f ca="1">IFERROR(__xludf.DUMMYFUNCTION("GOOGLETRANSLATE(English!G2457, ""en"", ""bg"")"),"разговор")</f>
        <v>разговор</v>
      </c>
      <c r="H2457" s="1" t="str">
        <f ca="1">IFERROR(__xludf.DUMMYFUNCTION("GOOGLETRANSLATE(English!H2457, ""en"", ""bg"")"),"образователна_помощ")</f>
        <v>образователна_помощ</v>
      </c>
    </row>
    <row r="2458" spans="1:8" ht="13.2" x14ac:dyDescent="0.25">
      <c r="A2458" s="1" t="str">
        <f ca="1">IFERROR(__xludf.DUMMYFUNCTION("GOOGLETRANSLATE(English!A2458, ""en"", ""bg"")"),"qa_04755")</f>
        <v>qa_04755</v>
      </c>
      <c r="B2458" s="1" t="str">
        <f ca="1">IFERROR(__xludf.DUMMYFUNCTION("GOOGLETRANSLATE(English!B2458, ""en"", ""bg"")"),"биология")</f>
        <v>биология</v>
      </c>
      <c r="C2458" s="1" t="str">
        <f ca="1">IFERROR(__xludf.DUMMYFUNCTION("GOOGLETRANSLATE(English!C2458, ""en"", ""bg"")"),"елементарен")</f>
        <v>елементарен</v>
      </c>
      <c r="D2458" s="1" t="str">
        <f ca="1">IFERROR(__xludf.DUMMYFUNCTION("GOOGLETRANSLATE(English!D2458, ""en"", ""bg"")"),"човешкото тяло")</f>
        <v>човешкото тяло</v>
      </c>
      <c r="E2458" s="1" t="str">
        <f ca="1">IFERROR(__xludf.DUMMYFUNCTION("GOOGLETRANSLATE(English!E2458, ""en"", ""bg"")"),"Какво е важно да знаем за човешкото тяло?")</f>
        <v>Какво е важно да знаем за човешкото тяло?</v>
      </c>
      <c r="F2458" s="1" t="str">
        <f ca="1">IFERROR(__xludf.DUMMYFUNCTION("GOOGLETRANSLATE(English!F2458,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2458" s="1" t="str">
        <f ca="1">IFERROR(__xludf.DUMMYFUNCTION("GOOGLETRANSLATE(English!G2458, ""en"", ""bg"")"),"direct_qa")</f>
        <v>direct_qa</v>
      </c>
      <c r="H2458" s="1" t="str">
        <f ca="1">IFERROR(__xludf.DUMMYFUNCTION("GOOGLETRANSLATE(English!H2458, ""en"", ""bg"")"),"заявка_за_знание")</f>
        <v>заявка_за_знание</v>
      </c>
    </row>
    <row r="2459" spans="1:8" ht="13.2" x14ac:dyDescent="0.25">
      <c r="A2459" s="1" t="str">
        <f ca="1">IFERROR(__xludf.DUMMYFUNCTION("GOOGLETRANSLATE(English!A2459, ""en"", ""bg"")"),"conv_08761")</f>
        <v>conv_08761</v>
      </c>
      <c r="B2459" s="1" t="str">
        <f ca="1">IFERROR(__xludf.DUMMYFUNCTION("GOOGLETRANSLATE(English!B2459, ""en"", ""bg"")"),"биология")</f>
        <v>биология</v>
      </c>
      <c r="C2459" s="1" t="str">
        <f ca="1">IFERROR(__xludf.DUMMYFUNCTION("GOOGLETRANSLATE(English!C2459, ""en"", ""bg"")"),"средата")</f>
        <v>средата</v>
      </c>
      <c r="D2459" s="1" t="str">
        <f ca="1">IFERROR(__xludf.DUMMYFUNCTION("GOOGLETRANSLATE(English!D2459, ""en"", ""bg"")"),"дишане")</f>
        <v>дишане</v>
      </c>
      <c r="E2459" s="1" t="str">
        <f ca="1">IFERROR(__xludf.DUMMYFUNCTION("GOOGLETRANSLATE(English!E2459, ""en"", ""bg"")"),"Помогни ми да уча за теста. Можеш ли да ми кажеш нещо за дишането?")</f>
        <v>Помогни ми да уча за теста. Можеш ли да ми кажеш нещо за дишането?</v>
      </c>
      <c r="F2459" s="1" t="str">
        <f ca="1">IFERROR(__xludf.DUMMYFUNCTION("GOOGLETRANSLATE(English!F2459,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2459" s="1" t="str">
        <f ca="1">IFERROR(__xludf.DUMMYFUNCTION("GOOGLETRANSLATE(English!G2459, ""en"", ""bg"")"),"разговор")</f>
        <v>разговор</v>
      </c>
      <c r="H2459" s="1" t="str">
        <f ca="1">IFERROR(__xludf.DUMMYFUNCTION("GOOGLETRANSLATE(English!H2459, ""en"", ""bg"")"),"образователна_помощ")</f>
        <v>образователна_помощ</v>
      </c>
    </row>
    <row r="2460" spans="1:8" ht="13.2" x14ac:dyDescent="0.25">
      <c r="A2460" s="1" t="str">
        <f ca="1">IFERROR(__xludf.DUMMYFUNCTION("GOOGLETRANSLATE(English!A2460, ""en"", ""bg"")"),"qa_03735")</f>
        <v>qa_03735</v>
      </c>
      <c r="B2460" s="1" t="str">
        <f ca="1">IFERROR(__xludf.DUMMYFUNCTION("GOOGLETRANSLATE(English!B2460, ""en"", ""bg"")"),"химия")</f>
        <v>химия</v>
      </c>
      <c r="C2460" s="1" t="str">
        <f ca="1">IFERROR(__xludf.DUMMYFUNCTION("GOOGLETRANSLATE(English!C2460, ""en"", ""bg"")"),"високо")</f>
        <v>високо</v>
      </c>
      <c r="D2460" s="1" t="str">
        <f ca="1">IFERROR(__xludf.DUMMYFUNCTION("GOOGLETRANSLATE(English!D2460, ""en"", ""bg"")"),"химическо свързване")</f>
        <v>химическо свързване</v>
      </c>
      <c r="E2460" s="1" t="str">
        <f ca="1">IFERROR(__xludf.DUMMYFUNCTION("GOOGLETRANSLATE(English!E2460, ""en"", ""bg"")"),"Какво представлява химическото свързване?")</f>
        <v>Какво представлява химическото свързване?</v>
      </c>
      <c r="F2460" s="1" t="str">
        <f ca="1">IFERROR(__xludf.DUMMYFUNCTION("GOOGLETRANSLATE(English!F2460,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2460" s="1" t="str">
        <f ca="1">IFERROR(__xludf.DUMMYFUNCTION("GOOGLETRANSLATE(English!G2460, ""en"", ""bg"")"),"direct_qa")</f>
        <v>direct_qa</v>
      </c>
      <c r="H2460" s="1" t="str">
        <f ca="1">IFERROR(__xludf.DUMMYFUNCTION("GOOGLETRANSLATE(English!H2460, ""en"", ""bg"")"),"заявка_за_знание")</f>
        <v>заявка_за_знание</v>
      </c>
    </row>
    <row r="2461" spans="1:8" ht="13.2" x14ac:dyDescent="0.25">
      <c r="A2461" s="1" t="str">
        <f ca="1">IFERROR(__xludf.DUMMYFUNCTION("GOOGLETRANSLATE(English!A2461, ""en"", ""bg"")"),"hw_07113")</f>
        <v>hw_07113</v>
      </c>
      <c r="B2461" s="1" t="str">
        <f ca="1">IFERROR(__xludf.DUMMYFUNCTION("GOOGLETRANSLATE(English!B2461, ""en"", ""bg"")"),"физика")</f>
        <v>физика</v>
      </c>
      <c r="C2461" s="1" t="str">
        <f ca="1">IFERROR(__xludf.DUMMYFUNCTION("GOOGLETRANSLATE(English!C2461, ""en"", ""bg"")"),"средата")</f>
        <v>средата</v>
      </c>
      <c r="D2461" s="1" t="str">
        <f ca="1">IFERROR(__xludf.DUMMYFUNCTION("GOOGLETRANSLATE(English!D2461, ""en"", ""bg"")"),"плътност")</f>
        <v>плътност</v>
      </c>
      <c r="E2461" s="1" t="str">
        <f ca="1">IFERROR(__xludf.DUMMYFUNCTION("GOOGLETRANSLATE(English!E2461, ""en"", ""bg"")"),"Трябва да разбера плътността за изпита си.")</f>
        <v>Трябва да разбера плътността за изпита си.</v>
      </c>
      <c r="F2461" s="1" t="str">
        <f ca="1">IFERROR(__xludf.DUMMYFUNCTION("GOOGLETRANSLATE(English!F2461,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461" s="1" t="str">
        <f ca="1">IFERROR(__xludf.DUMMYFUNCTION("GOOGLETRANSLATE(English!G2461, ""en"", ""bg"")"),"помощ_за_домашно_изпълнение")</f>
        <v>помощ_за_домашно_изпълнение</v>
      </c>
      <c r="H2461" s="1" t="str">
        <f ca="1">IFERROR(__xludf.DUMMYFUNCTION("GOOGLETRANSLATE(English!H2461, ""en"", ""bg"")"),"помощ_за_домашно_задаване")</f>
        <v>помощ_за_домашно_задаване</v>
      </c>
    </row>
    <row r="2462" spans="1:8" ht="13.2" x14ac:dyDescent="0.25">
      <c r="A2462" s="1" t="str">
        <f ca="1">IFERROR(__xludf.DUMMYFUNCTION("GOOGLETRANSLATE(English!A2462, ""en"", ""bg"")"),"hw_09451")</f>
        <v>hw_09451</v>
      </c>
      <c r="B2462" s="1" t="str">
        <f ca="1">IFERROR(__xludf.DUMMYFUNCTION("GOOGLETRANSLATE(English!B2462, ""en"", ""bg"")"),"биология")</f>
        <v>биология</v>
      </c>
      <c r="C2462" s="1" t="str">
        <f ca="1">IFERROR(__xludf.DUMMYFUNCTION("GOOGLETRANSLATE(English!C2462, ""en"", ""bg"")"),"средата")</f>
        <v>средата</v>
      </c>
      <c r="D2462" s="1" t="str">
        <f ca="1">IFERROR(__xludf.DUMMYFUNCTION("GOOGLETRANSLATE(English!D2462, ""en"", ""bg"")"),"екосистеми")</f>
        <v>екосистеми</v>
      </c>
      <c r="E2462" s="1" t="str">
        <f ca="1">IFERROR(__xludf.DUMMYFUNCTION("GOOGLETRANSLATE(English!E2462, ""en"", ""bg"")"),"Можете ли да обясните екосистемите за моя научен проект?")</f>
        <v>Можете ли да обясните екосистемите за моя научен проект?</v>
      </c>
      <c r="F2462" s="1" t="str">
        <f ca="1">IFERROR(__xludf.DUMMYFUNCTION("GOOGLETRANSLATE(English!F2462,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2462" s="1" t="str">
        <f ca="1">IFERROR(__xludf.DUMMYFUNCTION("GOOGLETRANSLATE(English!G2462, ""en"", ""bg"")"),"помощ_за_домашно_изпълнение")</f>
        <v>помощ_за_домашно_изпълнение</v>
      </c>
      <c r="H2462" s="1" t="str">
        <f ca="1">IFERROR(__xludf.DUMMYFUNCTION("GOOGLETRANSLATE(English!H2462, ""en"", ""bg"")"),"помощ_за_домашно_задаване")</f>
        <v>помощ_за_домашно_задаване</v>
      </c>
    </row>
    <row r="2463" spans="1:8" ht="13.2" x14ac:dyDescent="0.25">
      <c r="A2463" s="1" t="str">
        <f ca="1">IFERROR(__xludf.DUMMYFUNCTION("GOOGLETRANSLATE(English!A2463, ""en"", ""bg"")"),"conv_11140")</f>
        <v>conv_11140</v>
      </c>
      <c r="B2463" s="1" t="str">
        <f ca="1">IFERROR(__xludf.DUMMYFUNCTION("GOOGLETRANSLATE(English!B2463, ""en"", ""bg"")"),"физика")</f>
        <v>физика</v>
      </c>
      <c r="C2463" s="1" t="str">
        <f ca="1">IFERROR(__xludf.DUMMYFUNCTION("GOOGLETRANSLATE(English!C2463, ""en"", ""bg"")"),"високо")</f>
        <v>високо</v>
      </c>
      <c r="D2463" s="1" t="str">
        <f ca="1">IFERROR(__xludf.DUMMYFUNCTION("GOOGLETRANSLATE(English!D2463, ""en"", ""bg"")"),"оптика")</f>
        <v>оптика</v>
      </c>
      <c r="E2463" s="1" t="str">
        <f ca="1">IFERROR(__xludf.DUMMYFUNCTION("GOOGLETRANSLATE(English!E2463, ""en"", ""bg"")"),"Не разбирам тази тема. Можете ли да ми обясните оптиката?")</f>
        <v>Не разбирам тази тема. Можете ли да ми обясните оптиката?</v>
      </c>
      <c r="F2463" s="1" t="str">
        <f ca="1">IFERROR(__xludf.DUMMYFUNCTION("GOOGLETRANSLATE(English!F2463,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2463" s="1" t="str">
        <f ca="1">IFERROR(__xludf.DUMMYFUNCTION("GOOGLETRANSLATE(English!G2463, ""en"", ""bg"")"),"разговор")</f>
        <v>разговор</v>
      </c>
      <c r="H2463" s="1" t="str">
        <f ca="1">IFERROR(__xludf.DUMMYFUNCTION("GOOGLETRANSLATE(English!H2463, ""en"", ""bg"")"),"образователна_помощ")</f>
        <v>образователна_помощ</v>
      </c>
    </row>
    <row r="2464" spans="1:8" ht="13.2" x14ac:dyDescent="0.25">
      <c r="A2464" s="1" t="str">
        <f ca="1">IFERROR(__xludf.DUMMYFUNCTION("GOOGLETRANSLATE(English!A2464, ""en"", ""bg"")"),"conv_05193")</f>
        <v>conv_05193</v>
      </c>
      <c r="B2464" s="1" t="str">
        <f ca="1">IFERROR(__xludf.DUMMYFUNCTION("GOOGLETRANSLATE(English!B2464, ""en"", ""bg"")"),"биология")</f>
        <v>биология</v>
      </c>
      <c r="C2464" s="1" t="str">
        <f ca="1">IFERROR(__xludf.DUMMYFUNCTION("GOOGLETRANSLATE(English!C2464, ""en"", ""bg"")"),"средата")</f>
        <v>средата</v>
      </c>
      <c r="D2464" s="1" t="str">
        <f ca="1">IFERROR(__xludf.DUMMYFUNCTION("GOOGLETRANSLATE(English!D2464, ""en"", ""bg"")"),"основи на генетиката")</f>
        <v>основи на генетиката</v>
      </c>
      <c r="E2464" s="1" t="str">
        <f ca="1">IFERROR(__xludf.DUMMYFUNCTION("GOOGLETRANSLATE(English!E2464, ""en"", ""bg"")"),"Можете ли да ми помогнете? Можете ли да ми разкажете за основите на генетиката?")</f>
        <v>Можете ли да ми помогнете? Можете ли да ми разкажете за основите на генетиката?</v>
      </c>
      <c r="F2464" s="1" t="str">
        <f ca="1">IFERROR(__xludf.DUMMYFUNCTION("GOOGLETRANSLATE(English!F2464,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2464" s="1" t="str">
        <f ca="1">IFERROR(__xludf.DUMMYFUNCTION("GOOGLETRANSLATE(English!G2464, ""en"", ""bg"")"),"разговор")</f>
        <v>разговор</v>
      </c>
      <c r="H2464" s="1" t="str">
        <f ca="1">IFERROR(__xludf.DUMMYFUNCTION("GOOGLETRANSLATE(English!H2464, ""en"", ""bg"")"),"образователна_помощ")</f>
        <v>образователна_помощ</v>
      </c>
    </row>
    <row r="2465" spans="1:8" ht="13.2" x14ac:dyDescent="0.25">
      <c r="A2465" s="1" t="str">
        <f ca="1">IFERROR(__xludf.DUMMYFUNCTION("GOOGLETRANSLATE(English!A2465, ""en"", ""bg"")"),"conv_17396")</f>
        <v>conv_17396</v>
      </c>
      <c r="B2465" s="1" t="str">
        <f ca="1">IFERROR(__xludf.DUMMYFUNCTION("GOOGLETRANSLATE(English!B2465, ""en"", ""bg"")"),"физика")</f>
        <v>физика</v>
      </c>
      <c r="C2465" s="1" t="str">
        <f ca="1">IFERROR(__xludf.DUMMYFUNCTION("GOOGLETRANSLATE(English!C2465, ""en"", ""bg"")"),"елементарен")</f>
        <v>елементарен</v>
      </c>
      <c r="D2465" s="1" t="str">
        <f ca="1">IFERROR(__xludf.DUMMYFUNCTION("GOOGLETRANSLATE(English!D2465, ""en"", ""bg"")"),"бутане и дърпане")</f>
        <v>бутане и дърпане</v>
      </c>
      <c r="E2465" s="1" t="str">
        <f ca="1">IFERROR(__xludf.DUMMYFUNCTION("GOOGLETRANSLATE(English!E2465, ""en"", ""bg"")"),"Имам нужда от помощ с домашното. Какво трябва да знам за бутането и дърпането?")</f>
        <v>Имам нужда от помощ с домашното. Какво трябва да знам за бутането и дърпането?</v>
      </c>
      <c r="F2465" s="1" t="str">
        <f ca="1">IFERROR(__xludf.DUMMYFUNCTION("GOOGLETRANSLATE(English!F2465,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2465" s="1" t="str">
        <f ca="1">IFERROR(__xludf.DUMMYFUNCTION("GOOGLETRANSLATE(English!G2465, ""en"", ""bg"")"),"разговор")</f>
        <v>разговор</v>
      </c>
      <c r="H2465" s="1" t="str">
        <f ca="1">IFERROR(__xludf.DUMMYFUNCTION("GOOGLETRANSLATE(English!H2465, ""en"", ""bg"")"),"образователна_помощ")</f>
        <v>образователна_помощ</v>
      </c>
    </row>
    <row r="2466" spans="1:8" ht="13.2" x14ac:dyDescent="0.25">
      <c r="A2466" s="1" t="str">
        <f ca="1">IFERROR(__xludf.DUMMYFUNCTION("GOOGLETRANSLATE(English!A2466, ""en"", ""bg"")"),"hw_03200")</f>
        <v>hw_03200</v>
      </c>
      <c r="B2466" s="1" t="str">
        <f ca="1">IFERROR(__xludf.DUMMYFUNCTION("GOOGLETRANSLATE(English!B2466, ""en"", ""bg"")"),"биология")</f>
        <v>биология</v>
      </c>
      <c r="C2466" s="1" t="str">
        <f ca="1">IFERROR(__xludf.DUMMYFUNCTION("GOOGLETRANSLATE(English!C2466, ""en"", ""bg"")"),"елементарен")</f>
        <v>елементарен</v>
      </c>
      <c r="D2466" s="1" t="str">
        <f ca="1">IFERROR(__xludf.DUMMYFUNCTION("GOOGLETRANSLATE(English!D2466, ""en"", ""bg"")"),"местообитания")</f>
        <v>местообитания</v>
      </c>
      <c r="E2466" s="1" t="str">
        <f ca="1">IFERROR(__xludf.DUMMYFUNCTION("GOOGLETRANSLATE(English!E2466, ""en"", ""bg"")"),"Утре имам тест по местообитания. Помогни ми да уча!")</f>
        <v>Утре имам тест по местообитания. Помогни ми да уча!</v>
      </c>
      <c r="F2466" s="1" t="str">
        <f ca="1">IFERROR(__xludf.DUMMYFUNCTION("GOOGLETRANSLATE(English!F2466,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2466" s="1" t="str">
        <f ca="1">IFERROR(__xludf.DUMMYFUNCTION("GOOGLETRANSLATE(English!G2466, ""en"", ""bg"")"),"помощ_за_домашно_изпълнение")</f>
        <v>помощ_за_домашно_изпълнение</v>
      </c>
      <c r="H2466" s="1" t="str">
        <f ca="1">IFERROR(__xludf.DUMMYFUNCTION("GOOGLETRANSLATE(English!H2466, ""en"", ""bg"")"),"помощ_за_домашно_задаване")</f>
        <v>помощ_за_домашно_задаване</v>
      </c>
    </row>
    <row r="2467" spans="1:8" ht="13.2" x14ac:dyDescent="0.25">
      <c r="A2467" s="1" t="str">
        <f ca="1">IFERROR(__xludf.DUMMYFUNCTION("GOOGLETRANSLATE(English!A2467, ""en"", ""bg"")"),"conv_14629")</f>
        <v>conv_14629</v>
      </c>
      <c r="B2467" s="1" t="str">
        <f ca="1">IFERROR(__xludf.DUMMYFUNCTION("GOOGLETRANSLATE(English!B2467, ""en"", ""bg"")"),"физика")</f>
        <v>физика</v>
      </c>
      <c r="C2467" s="1" t="str">
        <f ca="1">IFERROR(__xludf.DUMMYFUNCTION("GOOGLETRANSLATE(English!C2467, ""en"", ""bg"")"),"високо")</f>
        <v>високо</v>
      </c>
      <c r="D2467" s="1" t="str">
        <f ca="1">IFERROR(__xludf.DUMMYFUNCTION("GOOGLETRANSLATE(English!D2467, ""en"", ""bg"")"),"атомна структура")</f>
        <v>атомна структура</v>
      </c>
      <c r="E2467" s="1" t="str">
        <f ca="1">IFERROR(__xludf.DUMMYFUNCTION("GOOGLETRANSLATE(English!E2467, ""en"", ""bg"")"),"Можете ли да ми обясните това? Как работи атомната структура във физиката?")</f>
        <v>Можете ли да ми обясните това? Как работи атомната структура във физиката?</v>
      </c>
      <c r="F2467" s="1" t="str">
        <f ca="1">IFERROR(__xludf.DUMMYFUNCTION("GOOGLETRANSLATE(English!F2467,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2467" s="1" t="str">
        <f ca="1">IFERROR(__xludf.DUMMYFUNCTION("GOOGLETRANSLATE(English!G2467, ""en"", ""bg"")"),"разговор")</f>
        <v>разговор</v>
      </c>
      <c r="H2467" s="1" t="str">
        <f ca="1">IFERROR(__xludf.DUMMYFUNCTION("GOOGLETRANSLATE(English!H2467, ""en"", ""bg"")"),"образователна_помощ")</f>
        <v>образователна_помощ</v>
      </c>
    </row>
    <row r="2468" spans="1:8" ht="13.2" x14ac:dyDescent="0.25">
      <c r="A2468" s="1" t="str">
        <f ca="1">IFERROR(__xludf.DUMMYFUNCTION("GOOGLETRANSLATE(English!A2468, ""en"", ""bg"")"),"conv_16707")</f>
        <v>conv_16707</v>
      </c>
      <c r="B2468" s="1" t="str">
        <f ca="1">IFERROR(__xludf.DUMMYFUNCTION("GOOGLETRANSLATE(English!B2468, ""en"", ""bg"")"),"физика")</f>
        <v>физика</v>
      </c>
      <c r="C2468" s="1" t="str">
        <f ca="1">IFERROR(__xludf.DUMMYFUNCTION("GOOGLETRANSLATE(English!C2468, ""en"", ""bg"")"),"елементарен")</f>
        <v>елементарен</v>
      </c>
      <c r="D2468" s="1" t="str">
        <f ca="1">IFERROR(__xludf.DUMMYFUNCTION("GOOGLETRANSLATE(English!D2468, ""en"", ""bg"")"),"звук")</f>
        <v>звук</v>
      </c>
      <c r="E2468" s="1" t="str">
        <f ca="1">IFERROR(__xludf.DUMMYFUNCTION("GOOGLETRANSLATE(English!E2468, ""en"", ""bg"")"),"Имам научен въпрос. Какво трябва да знам за звука?")</f>
        <v>Имам научен въпрос. Какво трябва да знам за звука?</v>
      </c>
      <c r="F2468" s="1" t="str">
        <f ca="1">IFERROR(__xludf.DUMMYFUNCTION("GOOGLETRANSLATE(English!F2468,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2468" s="1" t="str">
        <f ca="1">IFERROR(__xludf.DUMMYFUNCTION("GOOGLETRANSLATE(English!G2468, ""en"", ""bg"")"),"разговор")</f>
        <v>разговор</v>
      </c>
      <c r="H2468" s="1" t="str">
        <f ca="1">IFERROR(__xludf.DUMMYFUNCTION("GOOGLETRANSLATE(English!H2468, ""en"", ""bg"")"),"образователна_помощ")</f>
        <v>образователна_помощ</v>
      </c>
    </row>
    <row r="2469" spans="1:8" ht="13.2" x14ac:dyDescent="0.25">
      <c r="A2469" s="1" t="str">
        <f ca="1">IFERROR(__xludf.DUMMYFUNCTION("GOOGLETRANSLATE(English!A2469, ""en"", ""bg"")"),"conv_08463")</f>
        <v>conv_08463</v>
      </c>
      <c r="B2469" s="1" t="str">
        <f ca="1">IFERROR(__xludf.DUMMYFUNCTION("GOOGLETRANSLATE(English!B2469, ""en"", ""bg"")"),"биология")</f>
        <v>биология</v>
      </c>
      <c r="C2469" s="1" t="str">
        <f ca="1">IFERROR(__xludf.DUMMYFUNCTION("GOOGLETRANSLATE(English!C2469, ""en"", ""bg"")"),"елементарен")</f>
        <v>елементарен</v>
      </c>
      <c r="D2469" s="1" t="str">
        <f ca="1">IFERROR(__xludf.DUMMYFUNCTION("GOOGLETRANSLATE(English!D2469, ""en"", ""bg"")"),"местообитания")</f>
        <v>местообитания</v>
      </c>
      <c r="E2469" s="1" t="str">
        <f ca="1">IFERROR(__xludf.DUMMYFUNCTION("GOOGLETRANSLATE(English!E2469, ""en"", ""bg"")"),"Можете ли да ми помогнете? Защо местообитанията са важни в биологията?")</f>
        <v>Можете ли да ми помогнете? Защо местообитанията са важни в биологията?</v>
      </c>
      <c r="F2469" s="1" t="str">
        <f ca="1">IFERROR(__xludf.DUMMYFUNCTION("GOOGLETRANSLATE(English!F2469,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2469" s="1" t="str">
        <f ca="1">IFERROR(__xludf.DUMMYFUNCTION("GOOGLETRANSLATE(English!G2469, ""en"", ""bg"")"),"разговор")</f>
        <v>разговор</v>
      </c>
      <c r="H2469" s="1" t="str">
        <f ca="1">IFERROR(__xludf.DUMMYFUNCTION("GOOGLETRANSLATE(English!H2469, ""en"", ""bg"")"),"образователна_помощ")</f>
        <v>образователна_помощ</v>
      </c>
    </row>
    <row r="2470" spans="1:8" ht="13.2" x14ac:dyDescent="0.25">
      <c r="A2470" s="1" t="str">
        <f ca="1">IFERROR(__xludf.DUMMYFUNCTION("GOOGLETRANSLATE(English!A2470, ""en"", ""bg"")"),"hw_10400")</f>
        <v>hw_10400</v>
      </c>
      <c r="B2470" s="1" t="str">
        <f ca="1">IFERROR(__xludf.DUMMYFUNCTION("GOOGLETRANSLATE(English!B2470, ""en"", ""bg"")"),"химия")</f>
        <v>химия</v>
      </c>
      <c r="C2470" s="1" t="str">
        <f ca="1">IFERROR(__xludf.DUMMYFUNCTION("GOOGLETRANSLATE(English!C2470, ""en"", ""bg"")"),"високо")</f>
        <v>високо</v>
      </c>
      <c r="D2470" s="1" t="str">
        <f ca="1">IFERROR(__xludf.DUMMYFUNCTION("GOOGLETRANSLATE(English!D2470, ""en"", ""bg"")"),"органична химия")</f>
        <v>органична химия</v>
      </c>
      <c r="E2470" s="1" t="str">
        <f ca="1">IFERROR(__xludf.DUMMYFUNCTION("GOOGLETRANSLATE(English!E2470, ""en"", ""bg"")"),"Можете ли да ми помогнете с изчисленията в органичната химия?")</f>
        <v>Можете ли да ми помогнете с изчисленията в органичната химия?</v>
      </c>
      <c r="F2470" s="1" t="str">
        <f ca="1">IFERROR(__xludf.DUMMYFUNCTION("GOOGLETRANSLATE(English!F2470,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2470" s="1" t="str">
        <f ca="1">IFERROR(__xludf.DUMMYFUNCTION("GOOGLETRANSLATE(English!G2470, ""en"", ""bg"")"),"помощ_за_домашно_изпълнение")</f>
        <v>помощ_за_домашно_изпълнение</v>
      </c>
      <c r="H2470" s="1" t="str">
        <f ca="1">IFERROR(__xludf.DUMMYFUNCTION("GOOGLETRANSLATE(English!H2470, ""en"", ""bg"")"),"помощ_за_домашно_задаване")</f>
        <v>помощ_за_домашно_задаване</v>
      </c>
    </row>
    <row r="2471" spans="1:8" ht="13.2" x14ac:dyDescent="0.25">
      <c r="A2471" s="1" t="str">
        <f ca="1">IFERROR(__xludf.DUMMYFUNCTION("GOOGLETRANSLATE(English!A2471, ""en"", ""bg"")"),"conv_09662")</f>
        <v>conv_09662</v>
      </c>
      <c r="B2471" s="1" t="str">
        <f ca="1">IFERROR(__xludf.DUMMYFUNCTION("GOOGLETRANSLATE(English!B2471, ""en"", ""bg"")"),"физика")</f>
        <v>физика</v>
      </c>
      <c r="C2471" s="1" t="str">
        <f ca="1">IFERROR(__xludf.DUMMYFUNCTION("GOOGLETRANSLATE(English!C2471, ""en"", ""bg"")"),"средата")</f>
        <v>средата</v>
      </c>
      <c r="D2471" s="1" t="str">
        <f ca="1">IFERROR(__xludf.DUMMYFUNCTION("GOOGLETRANSLATE(English!D2471, ""en"", ""bg"")"),"видове енергия")</f>
        <v>видове енергия</v>
      </c>
      <c r="E2471" s="1" t="str">
        <f ca="1">IFERROR(__xludf.DUMMYFUNCTION("GOOGLETRANSLATE(English!E2471, ""en"", ""bg"")"),"Можете ли да ми обясните това? Какво е кинетична енергия?")</f>
        <v>Можете ли да ми обясните това? Какво е кинетична енергия?</v>
      </c>
      <c r="F2471" s="1" t="str">
        <f ca="1">IFERROR(__xludf.DUMMYFUNCTION("GOOGLETRANSLATE(English!F2471,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2471" s="1" t="str">
        <f ca="1">IFERROR(__xludf.DUMMYFUNCTION("GOOGLETRANSLATE(English!G2471, ""en"", ""bg"")"),"разговор")</f>
        <v>разговор</v>
      </c>
      <c r="H2471" s="1" t="str">
        <f ca="1">IFERROR(__xludf.DUMMYFUNCTION("GOOGLETRANSLATE(English!H2471, ""en"", ""bg"")"),"образователна_помощ")</f>
        <v>образователна_помощ</v>
      </c>
    </row>
    <row r="2472" spans="1:8" ht="13.2" x14ac:dyDescent="0.25">
      <c r="A2472" s="1" t="str">
        <f ca="1">IFERROR(__xludf.DUMMYFUNCTION("GOOGLETRANSLATE(English!A2472, ""en"", ""bg"")"),"qa_03918")</f>
        <v>qa_03918</v>
      </c>
      <c r="B2472" s="1" t="str">
        <f ca="1">IFERROR(__xludf.DUMMYFUNCTION("GOOGLETRANSLATE(English!B2472, ""en"", ""bg"")"),"физика")</f>
        <v>физика</v>
      </c>
      <c r="C2472" s="1" t="str">
        <f ca="1">IFERROR(__xludf.DUMMYFUNCTION("GOOGLETRANSLATE(English!C2472, ""en"", ""bg"")"),"елементарен")</f>
        <v>елементарен</v>
      </c>
      <c r="D2472" s="1" t="str">
        <f ca="1">IFERROR(__xludf.DUMMYFUNCTION("GOOGLETRANSLATE(English!D2472, ""en"", ""bg"")"),"горещо и студено")</f>
        <v>горещо и студено</v>
      </c>
      <c r="E2472" s="1" t="str">
        <f ca="1">IFERROR(__xludf.DUMMYFUNCTION("GOOGLETRANSLATE(English!E2472, ""en"", ""bg"")"),"Какво трябва да знам за топлото и студеното?")</f>
        <v>Какво трябва да знам за топлото и студеното?</v>
      </c>
      <c r="F2472" s="1" t="str">
        <f ca="1">IFERROR(__xludf.DUMMYFUNCTION("GOOGLETRANSLATE(English!F2472,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2472" s="1" t="str">
        <f ca="1">IFERROR(__xludf.DUMMYFUNCTION("GOOGLETRANSLATE(English!G2472, ""en"", ""bg"")"),"direct_qa")</f>
        <v>direct_qa</v>
      </c>
      <c r="H2472" s="1" t="str">
        <f ca="1">IFERROR(__xludf.DUMMYFUNCTION("GOOGLETRANSLATE(English!H2472, ""en"", ""bg"")"),"заявка_за_знание")</f>
        <v>заявка_за_знание</v>
      </c>
    </row>
    <row r="2473" spans="1:8" ht="13.2" x14ac:dyDescent="0.25">
      <c r="A2473" s="1" t="str">
        <f ca="1">IFERROR(__xludf.DUMMYFUNCTION("GOOGLETRANSLATE(English!A2473, ""en"", ""bg"")"),"qa_05553")</f>
        <v>qa_05553</v>
      </c>
      <c r="B2473" s="1" t="str">
        <f ca="1">IFERROR(__xludf.DUMMYFUNCTION("GOOGLETRANSLATE(English!B2473, ""en"", ""bg"")"),"биология")</f>
        <v>биология</v>
      </c>
      <c r="C2473" s="1" t="str">
        <f ca="1">IFERROR(__xludf.DUMMYFUNCTION("GOOGLETRANSLATE(English!C2473, ""en"", ""bg"")"),"елементарен")</f>
        <v>елементарен</v>
      </c>
      <c r="D2473" s="1" t="str">
        <f ca="1">IFERROR(__xludf.DUMMYFUNCTION("GOOGLETRANSLATE(English!D2473, ""en"", ""bg"")"),"домашни любимци срещу диви животни")</f>
        <v>домашни любимци срещу диви животни</v>
      </c>
      <c r="E2473" s="1" t="str">
        <f ca="1">IFERROR(__xludf.DUMMYFUNCTION("GOOGLETRANSLATE(English!E2473, ""en"", ""bg"")"),"Можете ли да ми разкажете за домашните любимци спрямо дивите животни?")</f>
        <v>Можете ли да ми разкажете за домашните любимци спрямо дивите животни?</v>
      </c>
      <c r="F2473" s="1" t="str">
        <f ca="1">IFERROR(__xludf.DUMMYFUNCTION("GOOGLETRANSLATE(English!F2473, ""en"", ""bg"")"),"Домашни любимци срещу диви животни е завладяваща част от биологията! Тя ни помага да разберем как функционират живите същества.")</f>
        <v>Домашни любимци срещу диви животни е завладяваща част от биологията! Тя ни помага да разберем как функционират живите същества.</v>
      </c>
      <c r="G2473" s="1" t="str">
        <f ca="1">IFERROR(__xludf.DUMMYFUNCTION("GOOGLETRANSLATE(English!G2473, ""en"", ""bg"")"),"direct_qa")</f>
        <v>direct_qa</v>
      </c>
      <c r="H2473" s="1" t="str">
        <f ca="1">IFERROR(__xludf.DUMMYFUNCTION("GOOGLETRANSLATE(English!H2473, ""en"", ""bg"")"),"заявка_за_знание")</f>
        <v>заявка_за_знание</v>
      </c>
    </row>
    <row r="2474" spans="1:8" ht="13.2" x14ac:dyDescent="0.25">
      <c r="A2474" s="1" t="str">
        <f ca="1">IFERROR(__xludf.DUMMYFUNCTION("GOOGLETRANSLATE(English!A2474, ""en"", ""bg"")"),"hw_03096")</f>
        <v>hw_03096</v>
      </c>
      <c r="B2474" s="1" t="str">
        <f ca="1">IFERROR(__xludf.DUMMYFUNCTION("GOOGLETRANSLATE(English!B2474, ""en"", ""bg"")"),"химия")</f>
        <v>химия</v>
      </c>
      <c r="C2474" s="1" t="str">
        <f ca="1">IFERROR(__xludf.DUMMYFUNCTION("GOOGLETRANSLATE(English!C2474, ""en"", ""bg"")"),"елементарен")</f>
        <v>елементарен</v>
      </c>
      <c r="D2474" s="1" t="str">
        <f ca="1">IFERROR(__xludf.DUMMYFUNCTION("GOOGLETRANSLATE(English!D2474, ""en"", ""bg"")"),"разтваряне")</f>
        <v>разтваряне</v>
      </c>
      <c r="E2474" s="1" t="str">
        <f ca="1">IFERROR(__xludf.DUMMYFUNCTION("GOOGLETRANSLATE(English!E2474, ""en"", ""bg"")"),"Не разбирам тази концепция за разтваряне. Моля, обяснете!")</f>
        <v>Не разбирам тази концепция за разтваряне. Моля, обяснете!</v>
      </c>
      <c r="F2474" s="1" t="str">
        <f ca="1">IFERROR(__xludf.DUMMYFUNCTION("GOOGLETRANSLATE(English!F2474,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2474" s="1" t="str">
        <f ca="1">IFERROR(__xludf.DUMMYFUNCTION("GOOGLETRANSLATE(English!G2474, ""en"", ""bg"")"),"помощ_за_домашно_изпълнение")</f>
        <v>помощ_за_домашно_изпълнение</v>
      </c>
      <c r="H2474" s="1" t="str">
        <f ca="1">IFERROR(__xludf.DUMMYFUNCTION("GOOGLETRANSLATE(English!H2474, ""en"", ""bg"")"),"помощ_за_домашно_задаване")</f>
        <v>помощ_за_домашно_задаване</v>
      </c>
    </row>
    <row r="2475" spans="1:8" ht="13.2" x14ac:dyDescent="0.25">
      <c r="A2475" s="1" t="str">
        <f ca="1">IFERROR(__xludf.DUMMYFUNCTION("GOOGLETRANSLATE(English!A2475, ""en"", ""bg"")"),"qa_01513")</f>
        <v>qa_01513</v>
      </c>
      <c r="B2475" s="1" t="str">
        <f ca="1">IFERROR(__xludf.DUMMYFUNCTION("GOOGLETRANSLATE(English!B2475, ""en"", ""bg"")"),"физика")</f>
        <v>физика</v>
      </c>
      <c r="C2475" s="1" t="str">
        <f ca="1">IFERROR(__xludf.DUMMYFUNCTION("GOOGLETRANSLATE(English!C2475, ""en"", ""bg"")"),"високо")</f>
        <v>високо</v>
      </c>
      <c r="D2475" s="1" t="str">
        <f ca="1">IFERROR(__xludf.DUMMYFUNCTION("GOOGLETRANSLATE(English!D2475, ""en"", ""bg"")"),"електромагнетизъм")</f>
        <v>електромагнетизъм</v>
      </c>
      <c r="E2475" s="1" t="str">
        <f ca="1">IFERROR(__xludf.DUMMYFUNCTION("GOOGLETRANSLATE(English!E2475, ""en"", ""bg"")"),"Можете ли да ми обясните електромагнетизма?")</f>
        <v>Можете ли да ми обясните електромагнетизма?</v>
      </c>
      <c r="F2475" s="1" t="str">
        <f ca="1">IFERROR(__xludf.DUMMYFUNCTION("GOOGLETRANSLATE(English!F2475,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2475" s="1" t="str">
        <f ca="1">IFERROR(__xludf.DUMMYFUNCTION("GOOGLETRANSLATE(English!G2475, ""en"", ""bg"")"),"direct_qa")</f>
        <v>direct_qa</v>
      </c>
      <c r="H2475" s="1" t="str">
        <f ca="1">IFERROR(__xludf.DUMMYFUNCTION("GOOGLETRANSLATE(English!H2475, ""en"", ""bg"")"),"заявка_за_знание")</f>
        <v>заявка_за_знание</v>
      </c>
    </row>
    <row r="2476" spans="1:8" ht="13.2" x14ac:dyDescent="0.25">
      <c r="A2476" s="1" t="str">
        <f ca="1">IFERROR(__xludf.DUMMYFUNCTION("GOOGLETRANSLATE(English!A2476, ""en"", ""bg"")"),"conv_11844")</f>
        <v>conv_11844</v>
      </c>
      <c r="B2476" s="1" t="str">
        <f ca="1">IFERROR(__xludf.DUMMYFUNCTION("GOOGLETRANSLATE(English!B2476, ""en"", ""bg"")"),"физика")</f>
        <v>физика</v>
      </c>
      <c r="C2476" s="1" t="str">
        <f ca="1">IFERROR(__xludf.DUMMYFUNCTION("GOOGLETRANSLATE(English!C2476, ""en"", ""bg"")"),"средата")</f>
        <v>средата</v>
      </c>
      <c r="D2476" s="1" t="str">
        <f ca="1">IFERROR(__xludf.DUMMYFUNCTION("GOOGLETRANSLATE(English!D2476, ""en"", ""bg"")"),"прости схеми")</f>
        <v>прости схеми</v>
      </c>
      <c r="E2476" s="1" t="str">
        <f ca="1">IFERROR(__xludf.DUMMYFUNCTION("GOOGLETRANSLATE(English!E2476, ""en"", ""bg"")"),"Не разбирам тази тема. Защо простите схеми са важни?")</f>
        <v>Не разбирам тази тема. Защо простите схеми са важни?</v>
      </c>
      <c r="F2476" s="1" t="str">
        <f ca="1">IFERROR(__xludf.DUMMYFUNCTION("GOOGLETRANSLATE(English!F2476,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2476" s="1" t="str">
        <f ca="1">IFERROR(__xludf.DUMMYFUNCTION("GOOGLETRANSLATE(English!G2476, ""en"", ""bg"")"),"разговор")</f>
        <v>разговор</v>
      </c>
      <c r="H2476" s="1" t="str">
        <f ca="1">IFERROR(__xludf.DUMMYFUNCTION("GOOGLETRANSLATE(English!H2476, ""en"", ""bg"")"),"образователна_помощ")</f>
        <v>образователна_помощ</v>
      </c>
    </row>
    <row r="2477" spans="1:8" ht="13.2" x14ac:dyDescent="0.25">
      <c r="A2477" s="1" t="str">
        <f ca="1">IFERROR(__xludf.DUMMYFUNCTION("GOOGLETRANSLATE(English!A2477, ""en"", ""bg"")"),"hw_05083")</f>
        <v>hw_05083</v>
      </c>
      <c r="B2477" s="1" t="str">
        <f ca="1">IFERROR(__xludf.DUMMYFUNCTION("GOOGLETRANSLATE(English!B2477, ""en"", ""bg"")"),"физика")</f>
        <v>физика</v>
      </c>
      <c r="C2477" s="1" t="str">
        <f ca="1">IFERROR(__xludf.DUMMYFUNCTION("GOOGLETRANSLATE(English!C2477, ""en"", ""bg"")"),"високо")</f>
        <v>високо</v>
      </c>
      <c r="D2477" s="1" t="str">
        <f ca="1">IFERROR(__xludf.DUMMYFUNCTION("GOOGLETRANSLATE(English!D2477, ""en"", ""bg"")"),"механика")</f>
        <v>механика</v>
      </c>
      <c r="E2477" s="1" t="str">
        <f ca="1">IFERROR(__xludf.DUMMYFUNCTION("GOOGLETRANSLATE(English!E2477, ""en"", ""bg"")"),"Трябва да разбирам механиката за изпита си.")</f>
        <v>Трябва да разбирам механиката за изпита си.</v>
      </c>
      <c r="F2477" s="1" t="str">
        <f ca="1">IFERROR(__xludf.DUMMYFUNCTION("GOOGLETRANSLATE(English!F2477,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2477" s="1" t="str">
        <f ca="1">IFERROR(__xludf.DUMMYFUNCTION("GOOGLETRANSLATE(English!G2477, ""en"", ""bg"")"),"помощ_за_домашно_изпълнение")</f>
        <v>помощ_за_домашно_изпълнение</v>
      </c>
      <c r="H2477" s="1" t="str">
        <f ca="1">IFERROR(__xludf.DUMMYFUNCTION("GOOGLETRANSLATE(English!H2477, ""en"", ""bg"")"),"помощ_за_домашно_задаване")</f>
        <v>помощ_за_домашно_задаване</v>
      </c>
    </row>
    <row r="2478" spans="1:8" ht="13.2" x14ac:dyDescent="0.25">
      <c r="A2478" s="1" t="str">
        <f ca="1">IFERROR(__xludf.DUMMYFUNCTION("GOOGLETRANSLATE(English!A2478, ""en"", ""bg"")"),"hw_08551")</f>
        <v>hw_08551</v>
      </c>
      <c r="B2478" s="1" t="str">
        <f ca="1">IFERROR(__xludf.DUMMYFUNCTION("GOOGLETRANSLATE(English!B2478, ""en"", ""bg"")"),"химия")</f>
        <v>химия</v>
      </c>
      <c r="C2478" s="1" t="str">
        <f ca="1">IFERROR(__xludf.DUMMYFUNCTION("GOOGLETRANSLATE(English!C2478, ""en"", ""bg"")"),"елементарен")</f>
        <v>елементарен</v>
      </c>
      <c r="D2478" s="1" t="str">
        <f ca="1">IFERROR(__xludf.DUMMYFUNCTION("GOOGLETRANSLATE(English!D2478, ""en"", ""bg"")"),"ежедневни химикали")</f>
        <v>ежедневни химикали</v>
      </c>
      <c r="E2478" s="1" t="str">
        <f ca="1">IFERROR(__xludf.DUMMYFUNCTION("GOOGLETRANSLATE(English!E2478, ""en"", ""bg"")"),"Можете ли да ми помогнете с ежедневните изчисления на химикали?")</f>
        <v>Можете ли да ми помогнете с ежедневните изчисления на химикали?</v>
      </c>
      <c r="F2478" s="1" t="str">
        <f ca="1">IFERROR(__xludf.DUMMYFUNCTION("GOOGLETRANSLATE(English!F2478,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2478" s="1" t="str">
        <f ca="1">IFERROR(__xludf.DUMMYFUNCTION("GOOGLETRANSLATE(English!G2478, ""en"", ""bg"")"),"помощ_за_домашно_изпълнение")</f>
        <v>помощ_за_домашно_изпълнение</v>
      </c>
      <c r="H2478" s="1" t="str">
        <f ca="1">IFERROR(__xludf.DUMMYFUNCTION("GOOGLETRANSLATE(English!H2478, ""en"", ""bg"")"),"помощ_за_домашно_задаване")</f>
        <v>помощ_за_домашно_задаване</v>
      </c>
    </row>
    <row r="2479" spans="1:8" ht="13.2" x14ac:dyDescent="0.25">
      <c r="A2479" s="1" t="str">
        <f ca="1">IFERROR(__xludf.DUMMYFUNCTION("GOOGLETRANSLATE(English!A2479, ""en"", ""bg"")"),"hw_14907")</f>
        <v>hw_14907</v>
      </c>
      <c r="B2479" s="1" t="str">
        <f ca="1">IFERROR(__xludf.DUMMYFUNCTION("GOOGLETRANSLATE(English!B2479, ""en"", ""bg"")"),"физика")</f>
        <v>физика</v>
      </c>
      <c r="C2479" s="1" t="str">
        <f ca="1">IFERROR(__xludf.DUMMYFUNCTION("GOOGLETRANSLATE(English!C2479, ""en"", ""bg"")"),"елементарен")</f>
        <v>елементарен</v>
      </c>
      <c r="D2479" s="1" t="str">
        <f ca="1">IFERROR(__xludf.DUMMYFUNCTION("GOOGLETRANSLATE(English!D2479, ""en"", ""bg"")"),"бутане и дърпане")</f>
        <v>бутане и дърпане</v>
      </c>
      <c r="E2479" s="1" t="str">
        <f ca="1">IFERROR(__xludf.DUMMYFUNCTION("GOOGLETRANSLATE(English!E2479, ""en"", ""bg"")"),"Домашното ми по физика е за бутане и дърпане. Объркващо е!")</f>
        <v>Домашното ми по физика е за бутане и дърпане. Объркващо е!</v>
      </c>
      <c r="F2479" s="1" t="str">
        <f ca="1">IFERROR(__xludf.DUMMYFUNCTION("GOOGLETRANSLATE(English!F2479,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2479" s="1" t="str">
        <f ca="1">IFERROR(__xludf.DUMMYFUNCTION("GOOGLETRANSLATE(English!G2479, ""en"", ""bg"")"),"помощ_за_домашно_изпълнение")</f>
        <v>помощ_за_домашно_изпълнение</v>
      </c>
      <c r="H2479" s="1" t="str">
        <f ca="1">IFERROR(__xludf.DUMMYFUNCTION("GOOGLETRANSLATE(English!H2479, ""en"", ""bg"")"),"помощ_за_домашно_задаване")</f>
        <v>помощ_за_домашно_задаване</v>
      </c>
    </row>
    <row r="2480" spans="1:8" ht="13.2" x14ac:dyDescent="0.25">
      <c r="A2480" s="1" t="str">
        <f ca="1">IFERROR(__xludf.DUMMYFUNCTION("GOOGLETRANSLATE(English!A2480, ""en"", ""bg"")"),"qa_09346")</f>
        <v>qa_09346</v>
      </c>
      <c r="B2480" s="1" t="str">
        <f ca="1">IFERROR(__xludf.DUMMYFUNCTION("GOOGLETRANSLATE(English!B2480, ""en"", ""bg"")"),"физика")</f>
        <v>физика</v>
      </c>
      <c r="C2480" s="1" t="str">
        <f ca="1">IFERROR(__xludf.DUMMYFUNCTION("GOOGLETRANSLATE(English!C2480, ""en"", ""bg"")"),"високо")</f>
        <v>високо</v>
      </c>
      <c r="D2480" s="1" t="str">
        <f ca="1">IFERROR(__xludf.DUMMYFUNCTION("GOOGLETRANSLATE(English!D2480, ""en"", ""bg"")"),"атомна структура")</f>
        <v>атомна структура</v>
      </c>
      <c r="E2480" s="1" t="str">
        <f ca="1">IFERROR(__xludf.DUMMYFUNCTION("GOOGLETRANSLATE(English!E2480, ""en"", ""bg"")"),"Как работи атомната структура във физиката?")</f>
        <v>Как работи атомната структура във физиката?</v>
      </c>
      <c r="F2480" s="1" t="str">
        <f ca="1">IFERROR(__xludf.DUMMYFUNCTION("GOOGLETRANSLATE(English!F2480,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2480" s="1" t="str">
        <f ca="1">IFERROR(__xludf.DUMMYFUNCTION("GOOGLETRANSLATE(English!G2480, ""en"", ""bg"")"),"direct_qa")</f>
        <v>direct_qa</v>
      </c>
      <c r="H2480" s="1" t="str">
        <f ca="1">IFERROR(__xludf.DUMMYFUNCTION("GOOGLETRANSLATE(English!H2480, ""en"", ""bg"")"),"заявка_за_знание")</f>
        <v>заявка_за_знание</v>
      </c>
    </row>
    <row r="2481" spans="1:8" ht="13.2" x14ac:dyDescent="0.25">
      <c r="A2481" s="1" t="str">
        <f ca="1">IFERROR(__xludf.DUMMYFUNCTION("GOOGLETRANSLATE(English!A2481, ""en"", ""bg"")"),"conv_01840")</f>
        <v>conv_01840</v>
      </c>
      <c r="B2481" s="1" t="str">
        <f ca="1">IFERROR(__xludf.DUMMYFUNCTION("GOOGLETRANSLATE(English!B2481, ""en"", ""bg"")"),"химия")</f>
        <v>химия</v>
      </c>
      <c r="C2481" s="1" t="str">
        <f ca="1">IFERROR(__xludf.DUMMYFUNCTION("GOOGLETRANSLATE(English!C2481, ""en"", ""bg"")"),"елементарен")</f>
        <v>елементарен</v>
      </c>
      <c r="D2481" s="1" t="str">
        <f ca="1">IFERROR(__xludf.DUMMYFUNCTION("GOOGLETRANSLATE(English!D2481, ""en"", ""bg"")"),"безопасност")</f>
        <v>безопасност</v>
      </c>
      <c r="E2481" s="1" t="str">
        <f ca="1">IFERROR(__xludf.DUMMYFUNCTION("GOOGLETRANSLATE(English!E2481, ""en"", ""bg"")"),"Помогнете ми да уча за теста си. Защо е важно да се учим с безопасност?")</f>
        <v>Помогнете ми да уча за теста си. Защо е важно да се учим с безопасност?</v>
      </c>
      <c r="F2481" s="1" t="str">
        <f ca="1">IFERROR(__xludf.DUMMYFUNCTION("GOOGLETRANSLATE(English!F2481,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2481" s="1" t="str">
        <f ca="1">IFERROR(__xludf.DUMMYFUNCTION("GOOGLETRANSLATE(English!G2481, ""en"", ""bg"")"),"разговор")</f>
        <v>разговор</v>
      </c>
      <c r="H2481" s="1" t="str">
        <f ca="1">IFERROR(__xludf.DUMMYFUNCTION("GOOGLETRANSLATE(English!H2481, ""en"", ""bg"")"),"образователна_помощ")</f>
        <v>образователна_помощ</v>
      </c>
    </row>
    <row r="2482" spans="1:8" ht="13.2" x14ac:dyDescent="0.25">
      <c r="A2482" s="1" t="str">
        <f ca="1">IFERROR(__xludf.DUMMYFUNCTION("GOOGLETRANSLATE(English!A2482, ""en"", ""bg"")"),"qa_13515")</f>
        <v>qa_13515</v>
      </c>
      <c r="B2482" s="1" t="str">
        <f ca="1">IFERROR(__xludf.DUMMYFUNCTION("GOOGLETRANSLATE(English!B2482, ""en"", ""bg"")"),"биология")</f>
        <v>биология</v>
      </c>
      <c r="C2482" s="1" t="str">
        <f ca="1">IFERROR(__xludf.DUMMYFUNCTION("GOOGLETRANSLATE(English!C2482, ""en"", ""bg"")"),"елементарен")</f>
        <v>елементарен</v>
      </c>
      <c r="D2482" s="1" t="str">
        <f ca="1">IFERROR(__xludf.DUMMYFUNCTION("GOOGLETRANSLATE(English!D2482, ""en"", ""bg"")"),"хранителни вериги")</f>
        <v>хранителни вериги</v>
      </c>
      <c r="E2482" s="1" t="str">
        <f ca="1">IFERROR(__xludf.DUMMYFUNCTION("GOOGLETRANSLATE(English!E2482, ""en"", ""bg"")"),"Можете ли да ми разкажете за хранителните вериги?")</f>
        <v>Можете ли да ми разкажете за хранителните вериги?</v>
      </c>
      <c r="F2482" s="1" t="str">
        <f ca="1">IFERROR(__xludf.DUMMYFUNCTION("GOOGLETRANSLATE(English!F2482,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2482" s="1" t="str">
        <f ca="1">IFERROR(__xludf.DUMMYFUNCTION("GOOGLETRANSLATE(English!G2482, ""en"", ""bg"")"),"direct_qa")</f>
        <v>direct_qa</v>
      </c>
      <c r="H2482" s="1" t="str">
        <f ca="1">IFERROR(__xludf.DUMMYFUNCTION("GOOGLETRANSLATE(English!H2482, ""en"", ""bg"")"),"заявка_за_знание")</f>
        <v>заявка_за_знание</v>
      </c>
    </row>
    <row r="2483" spans="1:8" ht="13.2" x14ac:dyDescent="0.25">
      <c r="A2483" s="1" t="str">
        <f ca="1">IFERROR(__xludf.DUMMYFUNCTION("GOOGLETRANSLATE(English!A2483, ""en"", ""bg"")"),"hw_02457")</f>
        <v>hw_02457</v>
      </c>
      <c r="B2483" s="1" t="str">
        <f ca="1">IFERROR(__xludf.DUMMYFUNCTION("GOOGLETRANSLATE(English!B2483, ""en"", ""bg"")"),"химия")</f>
        <v>химия</v>
      </c>
      <c r="C2483" s="1" t="str">
        <f ca="1">IFERROR(__xludf.DUMMYFUNCTION("GOOGLETRANSLATE(English!C2483, ""en"", ""bg"")"),"елементарен")</f>
        <v>елементарен</v>
      </c>
      <c r="D2483" s="1" t="str">
        <f ca="1">IFERROR(__xludf.DUMMYFUNCTION("GOOGLETRANSLATE(English!D2483, ""en"", ""bg"")"),"промени в материалите")</f>
        <v>промени в материалите</v>
      </c>
      <c r="E2483" s="1" t="str">
        <f ca="1">IFERROR(__xludf.DUMMYFUNCTION("GOOGLETRANSLATE(English!E2483,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2483" s="1" t="str">
        <f ca="1">IFERROR(__xludf.DUMMYFUNCTION("GOOGLETRANSLATE(English!F2483,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483" s="1" t="str">
        <f ca="1">IFERROR(__xludf.DUMMYFUNCTION("GOOGLETRANSLATE(English!G2483, ""en"", ""bg"")"),"помощ_за_домашно_изпълнение")</f>
        <v>помощ_за_домашно_изпълнение</v>
      </c>
      <c r="H2483" s="1" t="str">
        <f ca="1">IFERROR(__xludf.DUMMYFUNCTION("GOOGLETRANSLATE(English!H2483, ""en"", ""bg"")"),"помощ_за_домашно_задаване")</f>
        <v>помощ_за_домашно_задаване</v>
      </c>
    </row>
    <row r="2484" spans="1:8" ht="13.2" x14ac:dyDescent="0.25">
      <c r="A2484" s="1" t="str">
        <f ca="1">IFERROR(__xludf.DUMMYFUNCTION("GOOGLETRANSLATE(English!A2484, ""en"", ""bg"")"),"conv_03298")</f>
        <v>conv_03298</v>
      </c>
      <c r="B2484" s="1" t="str">
        <f ca="1">IFERROR(__xludf.DUMMYFUNCTION("GOOGLETRANSLATE(English!B2484, ""en"", ""bg"")"),"биология")</f>
        <v>биология</v>
      </c>
      <c r="C2484" s="1" t="str">
        <f ca="1">IFERROR(__xludf.DUMMYFUNCTION("GOOGLETRANSLATE(English!C2484, ""en"", ""bg"")"),"елементарен")</f>
        <v>елементарен</v>
      </c>
      <c r="D2484" s="1" t="str">
        <f ca="1">IFERROR(__xludf.DUMMYFUNCTION("GOOGLETRANSLATE(English!D2484, ""en"", ""bg"")"),"местообитания")</f>
        <v>местообитания</v>
      </c>
      <c r="E2484" s="1" t="str">
        <f ca="1">IFERROR(__xludf.DUMMYFUNCTION("GOOGLETRANSLATE(English!E2484, ""en"", ""bg"")"),"Имам научен въпрос. Можете ли да ми разкажете за местообитанията?")</f>
        <v>Имам научен въпрос. Можете ли да ми разкажете за местообитанията?</v>
      </c>
      <c r="F2484" s="1" t="str">
        <f ca="1">IFERROR(__xludf.DUMMYFUNCTION("GOOGLETRANSLATE(English!F2484,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2484" s="1" t="str">
        <f ca="1">IFERROR(__xludf.DUMMYFUNCTION("GOOGLETRANSLATE(English!G2484, ""en"", ""bg"")"),"разговор")</f>
        <v>разговор</v>
      </c>
      <c r="H2484" s="1" t="str">
        <f ca="1">IFERROR(__xludf.DUMMYFUNCTION("GOOGLETRANSLATE(English!H2484, ""en"", ""bg"")"),"образователна_помощ")</f>
        <v>образователна_помощ</v>
      </c>
    </row>
    <row r="2485" spans="1:8" ht="13.2" x14ac:dyDescent="0.25">
      <c r="A2485" s="1" t="str">
        <f ca="1">IFERROR(__xludf.DUMMYFUNCTION("GOOGLETRANSLATE(English!A2485, ""en"", ""bg"")"),"conv_09842")</f>
        <v>conv_09842</v>
      </c>
      <c r="B2485" s="1" t="str">
        <f ca="1">IFERROR(__xludf.DUMMYFUNCTION("GOOGLETRANSLATE(English!B2485, ""en"", ""bg"")"),"биология")</f>
        <v>биология</v>
      </c>
      <c r="C2485" s="1" t="str">
        <f ca="1">IFERROR(__xludf.DUMMYFUNCTION("GOOGLETRANSLATE(English!C2485, ""en"", ""bg"")"),"средата")</f>
        <v>средата</v>
      </c>
      <c r="D2485" s="1" t="str">
        <f ca="1">IFERROR(__xludf.DUMMYFUNCTION("GOOGLETRANSLATE(English!D2485, ""en"", ""bg"")"),"фотосинтеза")</f>
        <v>фотосинтеза</v>
      </c>
      <c r="E2485" s="1" t="str">
        <f ca="1">IFERROR(__xludf.DUMMYFUNCTION("GOOGLETRANSLATE(English!E2485, ""en"", ""bg"")"),"Можете ли да ми обясните това? Защо фотосинтезата е важна в биологията?")</f>
        <v>Можете ли да ми обясните това? Защо фотосинтезата е важна в биологията?</v>
      </c>
      <c r="F2485" s="1" t="str">
        <f ca="1">IFERROR(__xludf.DUMMYFUNCTION("GOOGLETRANSLATE(English!F2485,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2485" s="1" t="str">
        <f ca="1">IFERROR(__xludf.DUMMYFUNCTION("GOOGLETRANSLATE(English!G2485, ""en"", ""bg"")"),"разговор")</f>
        <v>разговор</v>
      </c>
      <c r="H2485" s="1" t="str">
        <f ca="1">IFERROR(__xludf.DUMMYFUNCTION("GOOGLETRANSLATE(English!H2485, ""en"", ""bg"")"),"образователна_помощ")</f>
        <v>образователна_помощ</v>
      </c>
    </row>
    <row r="2486" spans="1:8" ht="13.2" x14ac:dyDescent="0.25">
      <c r="A2486" s="1" t="str">
        <f ca="1">IFERROR(__xludf.DUMMYFUNCTION("GOOGLETRANSLATE(English!A2486, ""en"", ""bg"")"),"hw_14538")</f>
        <v>hw_14538</v>
      </c>
      <c r="B2486" s="1" t="str">
        <f ca="1">IFERROR(__xludf.DUMMYFUNCTION("GOOGLETRANSLATE(English!B2486, ""en"", ""bg"")"),"химия")</f>
        <v>химия</v>
      </c>
      <c r="C2486" s="1" t="str">
        <f ca="1">IFERROR(__xludf.DUMMYFUNCTION("GOOGLETRANSLATE(English!C2486, ""en"", ""bg"")"),"високо")</f>
        <v>високо</v>
      </c>
      <c r="D2486" s="1" t="str">
        <f ca="1">IFERROR(__xludf.DUMMYFUNCTION("GOOGLETRANSLATE(English!D2486, ""en"", ""bg"")"),"стехиометрия")</f>
        <v>стехиометрия</v>
      </c>
      <c r="E2486" s="1" t="str">
        <f ca="1">IFERROR(__xludf.DUMMYFUNCTION("GOOGLETRANSLATE(English!E2486, ""en"", ""bg"")"),"Затруднявам се със стехиометрията в домашното си.")</f>
        <v>Затруднявам се със стехиометрията в домашното си.</v>
      </c>
      <c r="F2486" s="1" t="str">
        <f ca="1">IFERROR(__xludf.DUMMYFUNCTION("GOOGLETRANSLATE(English!F2486,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2486" s="1" t="str">
        <f ca="1">IFERROR(__xludf.DUMMYFUNCTION("GOOGLETRANSLATE(English!G2486, ""en"", ""bg"")"),"помощ_за_домашно_изпълнение")</f>
        <v>помощ_за_домашно_изпълнение</v>
      </c>
      <c r="H2486" s="1" t="str">
        <f ca="1">IFERROR(__xludf.DUMMYFUNCTION("GOOGLETRANSLATE(English!H2486, ""en"", ""bg"")"),"помощ_за_домашно_задаване")</f>
        <v>помощ_за_домашно_задаване</v>
      </c>
    </row>
    <row r="2487" spans="1:8" ht="13.2" x14ac:dyDescent="0.25">
      <c r="A2487" s="1" t="str">
        <f ca="1">IFERROR(__xludf.DUMMYFUNCTION("GOOGLETRANSLATE(English!A2487, ""en"", ""bg"")"),"conv_00009")</f>
        <v>conv_00009</v>
      </c>
      <c r="B2487" s="1" t="str">
        <f ca="1">IFERROR(__xludf.DUMMYFUNCTION("GOOGLETRANSLATE(English!B2487, ""en"", ""bg"")"),"химия")</f>
        <v>химия</v>
      </c>
      <c r="C2487" s="1" t="str">
        <f ca="1">IFERROR(__xludf.DUMMYFUNCTION("GOOGLETRANSLATE(English!C2487, ""en"", ""bg"")"),"елементарен")</f>
        <v>елементарен</v>
      </c>
      <c r="D2487" s="1" t="str">
        <f ca="1">IFERROR(__xludf.DUMMYFUNCTION("GOOGLETRANSLATE(English!D2487, ""en"", ""bg"")"),"смесване на материали")</f>
        <v>смесване на материали</v>
      </c>
      <c r="E2487" s="1" t="str">
        <f ca="1">IFERROR(__xludf.DUMMYFUNCTION("GOOGLETRANSLATE(English!E2487, ""en"", ""bg"")"),"Имам научен въпрос: Защо някои неща се разтварят, а други не?")</f>
        <v>Имам научен въпрос: Защо някои неща се разтварят, а други не?</v>
      </c>
      <c r="F2487" s="1" t="str">
        <f ca="1">IFERROR(__xludf.DUMMYFUNCTION("GOOGLETRANSLATE(English!F2487,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2487" s="1" t="str">
        <f ca="1">IFERROR(__xludf.DUMMYFUNCTION("GOOGLETRANSLATE(English!G2487, ""en"", ""bg"")"),"разговор")</f>
        <v>разговор</v>
      </c>
      <c r="H2487" s="1" t="str">
        <f ca="1">IFERROR(__xludf.DUMMYFUNCTION("GOOGLETRANSLATE(English!H2487, ""en"", ""bg"")"),"образователна_помощ")</f>
        <v>образователна_помощ</v>
      </c>
    </row>
    <row r="2488" spans="1:8" ht="13.2" x14ac:dyDescent="0.25">
      <c r="A2488" s="1" t="str">
        <f ca="1">IFERROR(__xludf.DUMMYFUNCTION("GOOGLETRANSLATE(English!A2488, ""en"", ""bg"")"),"conv_10095")</f>
        <v>conv_10095</v>
      </c>
      <c r="B2488" s="1" t="str">
        <f ca="1">IFERROR(__xludf.DUMMYFUNCTION("GOOGLETRANSLATE(English!B2488, ""en"", ""bg"")"),"физика")</f>
        <v>физика</v>
      </c>
      <c r="C2488" s="1" t="str">
        <f ca="1">IFERROR(__xludf.DUMMYFUNCTION("GOOGLETRANSLATE(English!C2488, ""en"", ""bg"")"),"средата")</f>
        <v>средата</v>
      </c>
      <c r="D2488" s="1" t="str">
        <f ca="1">IFERROR(__xludf.DUMMYFUNCTION("GOOGLETRANSLATE(English!D2488, ""en"", ""bg"")"),"видове енергия")</f>
        <v>видове енергия</v>
      </c>
      <c r="E2488" s="1" t="str">
        <f ca="1">IFERROR(__xludf.DUMMYFUNCTION("GOOGLETRANSLATE(English!E2488, ""en"", ""bg"")"),"Имам нужда от помощ с домашното. Какво е потенциална енергия?")</f>
        <v>Имам нужда от помощ с домашното. Какво е потенциална енергия?</v>
      </c>
      <c r="F2488" s="1" t="str">
        <f ca="1">IFERROR(__xludf.DUMMYFUNCTION("GOOGLETRANSLATE(English!F2488,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488" s="1" t="str">
        <f ca="1">IFERROR(__xludf.DUMMYFUNCTION("GOOGLETRANSLATE(English!G2488, ""en"", ""bg"")"),"разговор")</f>
        <v>разговор</v>
      </c>
      <c r="H2488" s="1" t="str">
        <f ca="1">IFERROR(__xludf.DUMMYFUNCTION("GOOGLETRANSLATE(English!H2488, ""en"", ""bg"")"),"образователна_помощ")</f>
        <v>образователна_помощ</v>
      </c>
    </row>
    <row r="2489" spans="1:8" ht="13.2" x14ac:dyDescent="0.25">
      <c r="A2489" s="1" t="str">
        <f ca="1">IFERROR(__xludf.DUMMYFUNCTION("GOOGLETRANSLATE(English!A2489, ""en"", ""bg"")"),"conv_12049")</f>
        <v>conv_12049</v>
      </c>
      <c r="B2489" s="1" t="str">
        <f ca="1">IFERROR(__xludf.DUMMYFUNCTION("GOOGLETRANSLATE(English!B2489, ""en"", ""bg"")"),"химия")</f>
        <v>химия</v>
      </c>
      <c r="C2489" s="1" t="str">
        <f ca="1">IFERROR(__xludf.DUMMYFUNCTION("GOOGLETRANSLATE(English!C2489, ""en"", ""bg"")"),"елементарен")</f>
        <v>елементарен</v>
      </c>
      <c r="D2489" s="1" t="str">
        <f ca="1">IFERROR(__xludf.DUMMYFUNCTION("GOOGLETRANSLATE(English!D2489, ""en"", ""bg"")"),"твърди вещества, течности, газове")</f>
        <v>твърди вещества, течности, газове</v>
      </c>
      <c r="E2489" s="1" t="str">
        <f ca="1">IFERROR(__xludf.DUMMYFUNCTION("GOOGLETRANSLATE(English!E2489, ""en"", ""bg"")"),"Имам нужда от помощ с домашното. Как водата преминава от течност в газообразно състояние?")</f>
        <v>Имам нужда от помощ с домашното. Как водата преминава от течност в газообразно състояние?</v>
      </c>
      <c r="F2489" s="1" t="str">
        <f ca="1">IFERROR(__xludf.DUMMYFUNCTION("GOOGLETRANSLATE(English!F2489,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2489" s="1" t="str">
        <f ca="1">IFERROR(__xludf.DUMMYFUNCTION("GOOGLETRANSLATE(English!G2489, ""en"", ""bg"")"),"разговор")</f>
        <v>разговор</v>
      </c>
      <c r="H2489" s="1" t="str">
        <f ca="1">IFERROR(__xludf.DUMMYFUNCTION("GOOGLETRANSLATE(English!H2489, ""en"", ""bg"")"),"образователна_помощ")</f>
        <v>образователна_помощ</v>
      </c>
    </row>
    <row r="2490" spans="1:8" ht="13.2" x14ac:dyDescent="0.25">
      <c r="A2490" s="1" t="str">
        <f ca="1">IFERROR(__xludf.DUMMYFUNCTION("GOOGLETRANSLATE(English!A2490, ""en"", ""bg"")"),"hw_09054")</f>
        <v>hw_09054</v>
      </c>
      <c r="B2490" s="1" t="str">
        <f ca="1">IFERROR(__xludf.DUMMYFUNCTION("GOOGLETRANSLATE(English!B2490, ""en"", ""bg"")"),"физика")</f>
        <v>физика</v>
      </c>
      <c r="C2490" s="1" t="str">
        <f ca="1">IFERROR(__xludf.DUMMYFUNCTION("GOOGLETRANSLATE(English!C2490, ""en"", ""bg"")"),"високо")</f>
        <v>високо</v>
      </c>
      <c r="D2490" s="1" t="str">
        <f ca="1">IFERROR(__xludf.DUMMYFUNCTION("GOOGLETRANSLATE(English!D2490, ""en"", ""bg"")"),"термодинамика")</f>
        <v>термодинамика</v>
      </c>
      <c r="E2490" s="1" t="str">
        <f ca="1">IFERROR(__xludf.DUMMYFUNCTION("GOOGLETRANSLATE(English!E2490, ""en"", ""bg"")"),"Заседнал съм с този термодинамичен проблем. Можете ли да помогнете?")</f>
        <v>Заседнал съм с този термодинамичен проблем. Можете ли да помогнете?</v>
      </c>
      <c r="F2490" s="1" t="str">
        <f ca="1">IFERROR(__xludf.DUMMYFUNCTION("GOOGLETRANSLATE(English!F2490,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490" s="1" t="str">
        <f ca="1">IFERROR(__xludf.DUMMYFUNCTION("GOOGLETRANSLATE(English!G2490, ""en"", ""bg"")"),"помощ_за_домашно_изпълнение")</f>
        <v>помощ_за_домашно_изпълнение</v>
      </c>
      <c r="H2490" s="1" t="str">
        <f ca="1">IFERROR(__xludf.DUMMYFUNCTION("GOOGLETRANSLATE(English!H2490, ""en"", ""bg"")"),"помощ_за_домашно_задаване")</f>
        <v>помощ_за_домашно_задаване</v>
      </c>
    </row>
    <row r="2491" spans="1:8" ht="13.2" x14ac:dyDescent="0.25">
      <c r="A2491" s="1" t="str">
        <f ca="1">IFERROR(__xludf.DUMMYFUNCTION("GOOGLETRANSLATE(English!A2491, ""en"", ""bg"")"),"qa_08266")</f>
        <v>qa_08266</v>
      </c>
      <c r="B2491" s="1" t="str">
        <f ca="1">IFERROR(__xludf.DUMMYFUNCTION("GOOGLETRANSLATE(English!B2491, ""en"", ""bg"")"),"биология")</f>
        <v>биология</v>
      </c>
      <c r="C2491" s="1" t="str">
        <f ca="1">IFERROR(__xludf.DUMMYFUNCTION("GOOGLETRANSLATE(English!C2491, ""en"", ""bg"")"),"средата")</f>
        <v>средата</v>
      </c>
      <c r="D2491" s="1" t="str">
        <f ca="1">IFERROR(__xludf.DUMMYFUNCTION("GOOGLETRANSLATE(English!D2491, ""en"", ""bg"")"),"основи на генетиката")</f>
        <v>основи на генетиката</v>
      </c>
      <c r="E2491" s="1" t="str">
        <f ca="1">IFERROR(__xludf.DUMMYFUNCTION("GOOGLETRANSLATE(English!E2491, ""en"", ""bg"")"),"Защо основите на генетиката са важни в биологията?")</f>
        <v>Защо основите на генетиката са важни в биологията?</v>
      </c>
      <c r="F2491" s="1" t="str">
        <f ca="1">IFERROR(__xludf.DUMMYFUNCTION("GOOGLETRANSLATE(English!F2491,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2491" s="1" t="str">
        <f ca="1">IFERROR(__xludf.DUMMYFUNCTION("GOOGLETRANSLATE(English!G2491, ""en"", ""bg"")"),"direct_qa")</f>
        <v>direct_qa</v>
      </c>
      <c r="H2491" s="1" t="str">
        <f ca="1">IFERROR(__xludf.DUMMYFUNCTION("GOOGLETRANSLATE(English!H2491, ""en"", ""bg"")"),"заявка_за_знание")</f>
        <v>заявка_за_знание</v>
      </c>
    </row>
    <row r="2492" spans="1:8" ht="13.2" x14ac:dyDescent="0.25">
      <c r="A2492" s="1" t="str">
        <f ca="1">IFERROR(__xludf.DUMMYFUNCTION("GOOGLETRANSLATE(English!A2492, ""en"", ""bg"")"),"qa_13960")</f>
        <v>qa_13960</v>
      </c>
      <c r="B2492" s="1" t="str">
        <f ca="1">IFERROR(__xludf.DUMMYFUNCTION("GOOGLETRANSLATE(English!B2492, ""en"", ""bg"")"),"химия")</f>
        <v>химия</v>
      </c>
      <c r="C2492" s="1" t="str">
        <f ca="1">IFERROR(__xludf.DUMMYFUNCTION("GOOGLETRANSLATE(English!C2492, ""en"", ""bg"")"),"средата")</f>
        <v>средата</v>
      </c>
      <c r="D2492" s="1" t="str">
        <f ca="1">IFERROR(__xludf.DUMMYFUNCTION("GOOGLETRANSLATE(English!D2492, ""en"", ""bg"")"),"основи на периодичната таблица")</f>
        <v>основи на периодичната таблица</v>
      </c>
      <c r="E2492" s="1" t="str">
        <f ca="1">IFERROR(__xludf.DUMMYFUNCTION("GOOGLETRANSLATE(English!E2492,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2492" s="1" t="str">
        <f ca="1">IFERROR(__xludf.DUMMYFUNCTION("GOOGLETRANSLATE(English!F2492,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2492" s="1" t="str">
        <f ca="1">IFERROR(__xludf.DUMMYFUNCTION("GOOGLETRANSLATE(English!G2492, ""en"", ""bg"")"),"direct_qa")</f>
        <v>direct_qa</v>
      </c>
      <c r="H2492" s="1" t="str">
        <f ca="1">IFERROR(__xludf.DUMMYFUNCTION("GOOGLETRANSLATE(English!H2492, ""en"", ""bg"")"),"заявка_за_знание")</f>
        <v>заявка_за_знание</v>
      </c>
    </row>
    <row r="2493" spans="1:8" ht="13.2" x14ac:dyDescent="0.25">
      <c r="A2493" s="1" t="str">
        <f ca="1">IFERROR(__xludf.DUMMYFUNCTION("GOOGLETRANSLATE(English!A2493, ""en"", ""bg"")"),"conv_01128")</f>
        <v>conv_01128</v>
      </c>
      <c r="B2493" s="1" t="str">
        <f ca="1">IFERROR(__xludf.DUMMYFUNCTION("GOOGLETRANSLATE(English!B2493, ""en"", ""bg"")"),"биология")</f>
        <v>биология</v>
      </c>
      <c r="C2493" s="1" t="str">
        <f ca="1">IFERROR(__xludf.DUMMYFUNCTION("GOOGLETRANSLATE(English!C2493, ""en"", ""bg"")"),"високо")</f>
        <v>високо</v>
      </c>
      <c r="D2493" s="1" t="str">
        <f ca="1">IFERROR(__xludf.DUMMYFUNCTION("GOOGLETRANSLATE(English!D2493, ""en"", ""bg"")"),"Структура на ДНК")</f>
        <v>Структура на ДНК</v>
      </c>
      <c r="E2493" s="1" t="str">
        <f ca="1">IFERROR(__xludf.DUMMYFUNCTION("GOOGLETRANSLATE(English!E2493, ""en"", ""bg"")"),"Можете ли да ми обясните това? Защо структурата на ДНК е важна в биологията?")</f>
        <v>Можете ли да ми обясните това? Защо структурата на ДНК е важна в биологията?</v>
      </c>
      <c r="F2493" s="1" t="str">
        <f ca="1">IFERROR(__xludf.DUMMYFUNCTION("GOOGLETRANSLATE(English!F2493,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2493" s="1" t="str">
        <f ca="1">IFERROR(__xludf.DUMMYFUNCTION("GOOGLETRANSLATE(English!G2493, ""en"", ""bg"")"),"разговор")</f>
        <v>разговор</v>
      </c>
      <c r="H2493" s="1" t="str">
        <f ca="1">IFERROR(__xludf.DUMMYFUNCTION("GOOGLETRANSLATE(English!H2493, ""en"", ""bg"")"),"образователна_помощ")</f>
        <v>образователна_помощ</v>
      </c>
    </row>
    <row r="2494" spans="1:8" ht="13.2" x14ac:dyDescent="0.25">
      <c r="A2494" s="1" t="str">
        <f ca="1">IFERROR(__xludf.DUMMYFUNCTION("GOOGLETRANSLATE(English!A2494, ""en"", ""bg"")"),"hw_08396")</f>
        <v>hw_08396</v>
      </c>
      <c r="B2494" s="1" t="str">
        <f ca="1">IFERROR(__xludf.DUMMYFUNCTION("GOOGLETRANSLATE(English!B2494, ""en"", ""bg"")"),"физика")</f>
        <v>физика</v>
      </c>
      <c r="C2494" s="1" t="str">
        <f ca="1">IFERROR(__xludf.DUMMYFUNCTION("GOOGLETRANSLATE(English!C2494, ""en"", ""bg"")"),"средата")</f>
        <v>средата</v>
      </c>
      <c r="D2494" s="1" t="str">
        <f ca="1">IFERROR(__xludf.DUMMYFUNCTION("GOOGLETRANSLATE(English!D2494, ""en"", ""bg"")"),"сили и движение")</f>
        <v>сили и движение</v>
      </c>
      <c r="E2494" s="1" t="str">
        <f ca="1">IFERROR(__xludf.DUMMYFUNCTION("GOOGLETRANSLATE(English!E2494, ""en"", ""bg"")"),"Домашното ми по физика е за сили и движение. Объркващо е!")</f>
        <v>Домашното ми по физика е за сили и движение. Объркващо е!</v>
      </c>
      <c r="F2494" s="1" t="str">
        <f ca="1">IFERROR(__xludf.DUMMYFUNCTION("GOOGLETRANSLATE(English!F2494,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2494" s="1" t="str">
        <f ca="1">IFERROR(__xludf.DUMMYFUNCTION("GOOGLETRANSLATE(English!G2494, ""en"", ""bg"")"),"помощ_за_домашно_изпълнение")</f>
        <v>помощ_за_домашно_изпълнение</v>
      </c>
      <c r="H2494" s="1" t="str">
        <f ca="1">IFERROR(__xludf.DUMMYFUNCTION("GOOGLETRANSLATE(English!H2494, ""en"", ""bg"")"),"помощ_за_домашно_задаване")</f>
        <v>помощ_за_домашно_задаване</v>
      </c>
    </row>
    <row r="2495" spans="1:8" ht="13.2" x14ac:dyDescent="0.25">
      <c r="A2495" s="1" t="str">
        <f ca="1">IFERROR(__xludf.DUMMYFUNCTION("GOOGLETRANSLATE(English!A2495, ""en"", ""bg"")"),"hw_13376")</f>
        <v>hw_13376</v>
      </c>
      <c r="B2495" s="1" t="str">
        <f ca="1">IFERROR(__xludf.DUMMYFUNCTION("GOOGLETRANSLATE(English!B2495, ""en"", ""bg"")"),"химия")</f>
        <v>химия</v>
      </c>
      <c r="C2495" s="1" t="str">
        <f ca="1">IFERROR(__xludf.DUMMYFUNCTION("GOOGLETRANSLATE(English!C2495, ""en"", ""bg"")"),"елементарен")</f>
        <v>елементарен</v>
      </c>
      <c r="D2495" s="1" t="str">
        <f ca="1">IFERROR(__xludf.DUMMYFUNCTION("GOOGLETRANSLATE(English!D2495, ""en"", ""bg"")"),"твърди вещества, течности, газове")</f>
        <v>твърди вещества, течности, газове</v>
      </c>
      <c r="E2495" s="1" t="str">
        <f ca="1">IFERROR(__xludf.DUMMYFUNCTION("GOOGLETRANSLATE(English!E2495, ""en"", ""bg"")"),"Моят доклад по химия е за твърди вещества, течности, газове. Помогнете ми да разбера.")</f>
        <v>Моят доклад по химия е за твърди вещества, течности, газове. Помогнете ми да разбера.</v>
      </c>
      <c r="F2495" s="1" t="str">
        <f ca="1">IFERROR(__xludf.DUMMYFUNCTION("GOOGLETRANSLATE(English!F2495,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495" s="1" t="str">
        <f ca="1">IFERROR(__xludf.DUMMYFUNCTION("GOOGLETRANSLATE(English!G2495, ""en"", ""bg"")"),"помощ_за_домашно_изпълнение")</f>
        <v>помощ_за_домашно_изпълнение</v>
      </c>
      <c r="H2495" s="1" t="str">
        <f ca="1">IFERROR(__xludf.DUMMYFUNCTION("GOOGLETRANSLATE(English!H2495, ""en"", ""bg"")"),"помощ_за_домашно_задаване")</f>
        <v>помощ_за_домашно_задаване</v>
      </c>
    </row>
    <row r="2496" spans="1:8" ht="13.2" x14ac:dyDescent="0.25">
      <c r="A2496" s="1" t="str">
        <f ca="1">IFERROR(__xludf.DUMMYFUNCTION("GOOGLETRANSLATE(English!A2496, ""en"", ""bg"")"),"qa_09150")</f>
        <v>qa_09150</v>
      </c>
      <c r="B2496" s="1" t="str">
        <f ca="1">IFERROR(__xludf.DUMMYFUNCTION("GOOGLETRANSLATE(English!B2496, ""en"", ""bg"")"),"физика")</f>
        <v>физика</v>
      </c>
      <c r="C2496" s="1" t="str">
        <f ca="1">IFERROR(__xludf.DUMMYFUNCTION("GOOGLETRANSLATE(English!C2496, ""en"", ""bg"")"),"високо")</f>
        <v>високо</v>
      </c>
      <c r="D2496" s="1" t="str">
        <f ca="1">IFERROR(__xludf.DUMMYFUNCTION("GOOGLETRANSLATE(English!D2496, ""en"", ""bg"")"),"термодинамика")</f>
        <v>термодинамика</v>
      </c>
      <c r="E2496" s="1" t="str">
        <f ca="1">IFERROR(__xludf.DUMMYFUNCTION("GOOGLETRANSLATE(English!E2496, ""en"", ""bg"")"),"Как работи термодинамиката във физиката?")</f>
        <v>Как работи термодинамиката във физиката?</v>
      </c>
      <c r="F2496" s="1" t="str">
        <f ca="1">IFERROR(__xludf.DUMMYFUNCTION("GOOGLETRANSLATE(English!F2496,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2496" s="1" t="str">
        <f ca="1">IFERROR(__xludf.DUMMYFUNCTION("GOOGLETRANSLATE(English!G2496, ""en"", ""bg"")"),"direct_qa")</f>
        <v>direct_qa</v>
      </c>
      <c r="H2496" s="1" t="str">
        <f ca="1">IFERROR(__xludf.DUMMYFUNCTION("GOOGLETRANSLATE(English!H2496, ""en"", ""bg"")"),"заявка_за_знание")</f>
        <v>заявка_за_знание</v>
      </c>
    </row>
    <row r="2497" spans="1:8" ht="13.2" x14ac:dyDescent="0.25">
      <c r="A2497" s="1" t="str">
        <f ca="1">IFERROR(__xludf.DUMMYFUNCTION("GOOGLETRANSLATE(English!A2497, ""en"", ""bg"")"),"hw_11687")</f>
        <v>hw_11687</v>
      </c>
      <c r="B2497" s="1" t="str">
        <f ca="1">IFERROR(__xludf.DUMMYFUNCTION("GOOGLETRANSLATE(English!B2497, ""en"", ""bg"")"),"физика")</f>
        <v>физика</v>
      </c>
      <c r="C2497" s="1" t="str">
        <f ca="1">IFERROR(__xludf.DUMMYFUNCTION("GOOGLETRANSLATE(English!C2497, ""en"", ""bg"")"),"елементарен")</f>
        <v>елементарен</v>
      </c>
      <c r="D2497" s="1" t="str">
        <f ca="1">IFERROR(__xludf.DUMMYFUNCTION("GOOGLETRANSLATE(English!D2497, ""en"", ""bg"")"),"звук")</f>
        <v>звук</v>
      </c>
      <c r="E2497" s="1" t="str">
        <f ca="1">IFERROR(__xludf.DUMMYFUNCTION("GOOGLETRANSLATE(English!E2497,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2497" s="1" t="str">
        <f ca="1">IFERROR(__xludf.DUMMYFUNCTION("GOOGLETRANSLATE(English!F2497,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2497" s="1" t="str">
        <f ca="1">IFERROR(__xludf.DUMMYFUNCTION("GOOGLETRANSLATE(English!G2497, ""en"", ""bg"")"),"помощ_за_домашно_изпълнение")</f>
        <v>помощ_за_домашно_изпълнение</v>
      </c>
      <c r="H2497" s="1" t="str">
        <f ca="1">IFERROR(__xludf.DUMMYFUNCTION("GOOGLETRANSLATE(English!H2497, ""en"", ""bg"")"),"помощ_за_домашно_задаване")</f>
        <v>помощ_за_домашно_задаване</v>
      </c>
    </row>
    <row r="2498" spans="1:8" ht="13.2" x14ac:dyDescent="0.25">
      <c r="A2498" s="1" t="str">
        <f ca="1">IFERROR(__xludf.DUMMYFUNCTION("GOOGLETRANSLATE(English!A2498, ""en"", ""bg"")"),"conv_14266")</f>
        <v>conv_14266</v>
      </c>
      <c r="B2498" s="1" t="str">
        <f ca="1">IFERROR(__xludf.DUMMYFUNCTION("GOOGLETRANSLATE(English!B2498, ""en"", ""bg"")"),"физика")</f>
        <v>физика</v>
      </c>
      <c r="C2498" s="1" t="str">
        <f ca="1">IFERROR(__xludf.DUMMYFUNCTION("GOOGLETRANSLATE(English!C2498, ""en"", ""bg"")"),"елементарен")</f>
        <v>елементарен</v>
      </c>
      <c r="D2498" s="1" t="str">
        <f ca="1">IFERROR(__xludf.DUMMYFUNCTION("GOOGLETRANSLATE(English!D2498, ""en"", ""bg"")"),"светлина и сянка")</f>
        <v>светлина и сянка</v>
      </c>
      <c r="E2498" s="1" t="str">
        <f ca="1">IFERROR(__xludf.DUMMYFUNCTION("GOOGLETRANSLATE(English!E2498, ""en"", ""bg"")"),"Можете ли да ми обясните това? Как се правят сенките?")</f>
        <v>Можете ли да ми обясните това? Как се правят сенките?</v>
      </c>
      <c r="F2498" s="1" t="str">
        <f ca="1">IFERROR(__xludf.DUMMYFUNCTION("GOOGLETRANSLATE(English!F2498,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2498" s="1" t="str">
        <f ca="1">IFERROR(__xludf.DUMMYFUNCTION("GOOGLETRANSLATE(English!G2498, ""en"", ""bg"")"),"разговор")</f>
        <v>разговор</v>
      </c>
      <c r="H2498" s="1" t="str">
        <f ca="1">IFERROR(__xludf.DUMMYFUNCTION("GOOGLETRANSLATE(English!H2498, ""en"", ""bg"")"),"образователна_помощ")</f>
        <v>образователна_помощ</v>
      </c>
    </row>
    <row r="2499" spans="1:8" ht="13.2" x14ac:dyDescent="0.25">
      <c r="A2499" s="1" t="str">
        <f ca="1">IFERROR(__xludf.DUMMYFUNCTION("GOOGLETRANSLATE(English!A2499, ""en"", ""bg"")"),"conv_05097")</f>
        <v>conv_05097</v>
      </c>
      <c r="B2499" s="1" t="str">
        <f ca="1">IFERROR(__xludf.DUMMYFUNCTION("GOOGLETRANSLATE(English!B2499, ""en"", ""bg"")"),"физика")</f>
        <v>физика</v>
      </c>
      <c r="C2499" s="1" t="str">
        <f ca="1">IFERROR(__xludf.DUMMYFUNCTION("GOOGLETRANSLATE(English!C2499, ""en"", ""bg"")"),"средата")</f>
        <v>средата</v>
      </c>
      <c r="D2499" s="1" t="str">
        <f ca="1">IFERROR(__xludf.DUMMYFUNCTION("GOOGLETRANSLATE(English!D2499, ""en"", ""bg"")"),"плътност")</f>
        <v>плътност</v>
      </c>
      <c r="E2499" s="1" t="str">
        <f ca="1">IFERROR(__xludf.DUMMYFUNCTION("GOOGLETRANSLATE(English!E2499, ""en"", ""bg"")"),"Не разбирам тази тема. Защо плътността е важна?")</f>
        <v>Не разбирам тази тема. Защо плътността е важна?</v>
      </c>
      <c r="F2499" s="1" t="str">
        <f ca="1">IFERROR(__xludf.DUMMYFUNCTION("GOOGLETRANSLATE(English!F2499,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2499" s="1" t="str">
        <f ca="1">IFERROR(__xludf.DUMMYFUNCTION("GOOGLETRANSLATE(English!G2499, ""en"", ""bg"")"),"разговор")</f>
        <v>разговор</v>
      </c>
      <c r="H2499" s="1" t="str">
        <f ca="1">IFERROR(__xludf.DUMMYFUNCTION("GOOGLETRANSLATE(English!H2499, ""en"", ""bg"")"),"образователна_помощ")</f>
        <v>образователна_помощ</v>
      </c>
    </row>
    <row r="2500" spans="1:8" ht="13.2" x14ac:dyDescent="0.25">
      <c r="A2500" s="1" t="str">
        <f ca="1">IFERROR(__xludf.DUMMYFUNCTION("GOOGLETRANSLATE(English!A2500, ""en"", ""bg"")"),"conv_05759")</f>
        <v>conv_05759</v>
      </c>
      <c r="B2500" s="1" t="str">
        <f ca="1">IFERROR(__xludf.DUMMYFUNCTION("GOOGLETRANSLATE(English!B2500, ""en"", ""bg"")"),"биология")</f>
        <v>биология</v>
      </c>
      <c r="C2500" s="1" t="str">
        <f ca="1">IFERROR(__xludf.DUMMYFUNCTION("GOOGLETRANSLATE(English!C2500, ""en"", ""bg"")"),"средата")</f>
        <v>средата</v>
      </c>
      <c r="D2500" s="1" t="str">
        <f ca="1">IFERROR(__xludf.DUMMYFUNCTION("GOOGLETRANSLATE(English!D2500, ""en"", ""bg"")"),"основи на еволюцията")</f>
        <v>основи на еволюцията</v>
      </c>
      <c r="E2500" s="1" t="str">
        <f ca="1">IFERROR(__xludf.DUMMYFUNCTION("GOOGLETRANSLATE(English!E2500, ""en"", ""bg"")"),"Не разбирам тази тема. Защо основите на еволюцията са важни в биологията?")</f>
        <v>Не разбирам тази тема. Защо основите на еволюцията са важни в биологията?</v>
      </c>
      <c r="F2500" s="1" t="str">
        <f ca="1">IFERROR(__xludf.DUMMYFUNCTION("GOOGLETRANSLATE(English!F2500,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2500" s="1" t="str">
        <f ca="1">IFERROR(__xludf.DUMMYFUNCTION("GOOGLETRANSLATE(English!G2500, ""en"", ""bg"")"),"разговор")</f>
        <v>разговор</v>
      </c>
      <c r="H2500" s="1" t="str">
        <f ca="1">IFERROR(__xludf.DUMMYFUNCTION("GOOGLETRANSLATE(English!H2500, ""en"", ""bg"")"),"образователна_помощ")</f>
        <v>образователна_помощ</v>
      </c>
    </row>
    <row r="2501" spans="1:8" ht="13.2" x14ac:dyDescent="0.25">
      <c r="A2501" s="1" t="str">
        <f ca="1">IFERROR(__xludf.DUMMYFUNCTION("GOOGLETRANSLATE(English!A2501, ""en"", ""bg"")"),"conv_09657")</f>
        <v>conv_09657</v>
      </c>
      <c r="B2501" s="1" t="str">
        <f ca="1">IFERROR(__xludf.DUMMYFUNCTION("GOOGLETRANSLATE(English!B2501, ""en"", ""bg"")"),"физика")</f>
        <v>физика</v>
      </c>
      <c r="C2501" s="1" t="str">
        <f ca="1">IFERROR(__xludf.DUMMYFUNCTION("GOOGLETRANSLATE(English!C2501, ""en"", ""bg"")"),"елементарен")</f>
        <v>елементарен</v>
      </c>
      <c r="D2501" s="1" t="str">
        <f ca="1">IFERROR(__xludf.DUMMYFUNCTION("GOOGLETRANSLATE(English!D2501, ""en"", ""bg"")"),"бутане и дърпане")</f>
        <v>бутане и дърпане</v>
      </c>
      <c r="E2501" s="1" t="str">
        <f ca="1">IFERROR(__xludf.DUMMYFUNCTION("GOOGLETRANSLATE(English!E2501, ""en"", ""bg"")"),"Можете ли да ми обясните това? Какво трябва да знам за бутането и дърпането?")</f>
        <v>Можете ли да ми обясните това? Какво трябва да знам за бутането и дърпането?</v>
      </c>
      <c r="F2501" s="1" t="str">
        <f ca="1">IFERROR(__xludf.DUMMYFUNCTION("GOOGLETRANSLATE(English!F2501,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2501" s="1" t="str">
        <f ca="1">IFERROR(__xludf.DUMMYFUNCTION("GOOGLETRANSLATE(English!G2501, ""en"", ""bg"")"),"разговор")</f>
        <v>разговор</v>
      </c>
      <c r="H2501" s="1" t="str">
        <f ca="1">IFERROR(__xludf.DUMMYFUNCTION("GOOGLETRANSLATE(English!H2501, ""en"", ""bg"")"),"образователна_помощ")</f>
        <v>образователна_помощ</v>
      </c>
    </row>
    <row r="2502" spans="1:8" ht="13.2" x14ac:dyDescent="0.25">
      <c r="A2502" s="1" t="str">
        <f ca="1">IFERROR(__xludf.DUMMYFUNCTION("GOOGLETRANSLATE(English!A2502, ""en"", ""bg"")"),"conv_12355")</f>
        <v>conv_12355</v>
      </c>
      <c r="B2502" s="1" t="str">
        <f ca="1">IFERROR(__xludf.DUMMYFUNCTION("GOOGLETRANSLATE(English!B2502, ""en"", ""bg"")"),"физика")</f>
        <v>физика</v>
      </c>
      <c r="C2502" s="1" t="str">
        <f ca="1">IFERROR(__xludf.DUMMYFUNCTION("GOOGLETRANSLATE(English!C2502, ""en"", ""bg"")"),"елементарен")</f>
        <v>елементарен</v>
      </c>
      <c r="D2502" s="1" t="str">
        <f ca="1">IFERROR(__xludf.DUMMYFUNCTION("GOOGLETRANSLATE(English!D2502, ""en"", ""bg"")"),"плаващ и потъващ")</f>
        <v>плаващ и потъващ</v>
      </c>
      <c r="E2502" s="1" t="str">
        <f ca="1">IFERROR(__xludf.DUMMYFUNCTION("GOOGLETRANSLATE(English!E2502, ""en"", ""bg"")"),"Здравей, преподавателю! Как се плава и потъва във физиката?")</f>
        <v>Здравей, преподавателю! Как се плава и потъва във физиката?</v>
      </c>
      <c r="F2502" s="1" t="str">
        <f ca="1">IFERROR(__xludf.DUMMYFUNCTION("GOOGLETRANSLATE(English!F2502,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2502" s="1" t="str">
        <f ca="1">IFERROR(__xludf.DUMMYFUNCTION("GOOGLETRANSLATE(English!G2502, ""en"", ""bg"")"),"разговор")</f>
        <v>разговор</v>
      </c>
      <c r="H2502" s="1" t="str">
        <f ca="1">IFERROR(__xludf.DUMMYFUNCTION("GOOGLETRANSLATE(English!H2502, ""en"", ""bg"")"),"образователна_помощ")</f>
        <v>образователна_помощ</v>
      </c>
    </row>
    <row r="2503" spans="1:8" ht="13.2" x14ac:dyDescent="0.25">
      <c r="A2503" s="1" t="str">
        <f ca="1">IFERROR(__xludf.DUMMYFUNCTION("GOOGLETRANSLATE(English!A2503, ""en"", ""bg"")"),"conv_17438")</f>
        <v>conv_17438</v>
      </c>
      <c r="B2503" s="1" t="str">
        <f ca="1">IFERROR(__xludf.DUMMYFUNCTION("GOOGLETRANSLATE(English!B2503, ""en"", ""bg"")"),"биология")</f>
        <v>биология</v>
      </c>
      <c r="C2503" s="1" t="str">
        <f ca="1">IFERROR(__xludf.DUMMYFUNCTION("GOOGLETRANSLATE(English!C2503, ""en"", ""bg"")"),"средата")</f>
        <v>средата</v>
      </c>
      <c r="D2503" s="1" t="str">
        <f ca="1">IFERROR(__xludf.DUMMYFUNCTION("GOOGLETRANSLATE(English!D2503, ""en"", ""bg"")"),"основи на генетиката")</f>
        <v>основи на генетиката</v>
      </c>
      <c r="E2503" s="1" t="str">
        <f ca="1">IFERROR(__xludf.DUMMYFUNCTION("GOOGLETRANSLATE(English!E2503, ""en"", ""bg"")"),"Помогнете ми да уча за теста си. Какво е важно да знаем за основите на генетиката?")</f>
        <v>Помогнете ми да уча за теста си. Какво е важно да знаем за основите на генетиката?</v>
      </c>
      <c r="F2503" s="1" t="str">
        <f ca="1">IFERROR(__xludf.DUMMYFUNCTION("GOOGLETRANSLATE(English!F2503,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2503" s="1" t="str">
        <f ca="1">IFERROR(__xludf.DUMMYFUNCTION("GOOGLETRANSLATE(English!G2503, ""en"", ""bg"")"),"разговор")</f>
        <v>разговор</v>
      </c>
      <c r="H2503" s="1" t="str">
        <f ca="1">IFERROR(__xludf.DUMMYFUNCTION("GOOGLETRANSLATE(English!H2503, ""en"", ""bg"")"),"образователна_помощ")</f>
        <v>образователна_помощ</v>
      </c>
    </row>
    <row r="2504" spans="1:8" ht="13.2" x14ac:dyDescent="0.25">
      <c r="A2504" s="1" t="str">
        <f ca="1">IFERROR(__xludf.DUMMYFUNCTION("GOOGLETRANSLATE(English!A2504, ""en"", ""bg"")"),"conv_01558")</f>
        <v>conv_01558</v>
      </c>
      <c r="B2504" s="1" t="str">
        <f ca="1">IFERROR(__xludf.DUMMYFUNCTION("GOOGLETRANSLATE(English!B2504, ""en"", ""bg"")"),"физика")</f>
        <v>физика</v>
      </c>
      <c r="C2504" s="1" t="str">
        <f ca="1">IFERROR(__xludf.DUMMYFUNCTION("GOOGLETRANSLATE(English!C2504, ""en"", ""bg"")"),"високо")</f>
        <v>високо</v>
      </c>
      <c r="D2504" s="1" t="str">
        <f ca="1">IFERROR(__xludf.DUMMYFUNCTION("GOOGLETRANSLATE(English!D2504, ""en"", ""bg"")"),"механика")</f>
        <v>механика</v>
      </c>
      <c r="E2504" s="1" t="str">
        <f ca="1">IFERROR(__xludf.DUMMYFUNCTION("GOOGLETRANSLATE(English!E2504, ""en"", ""bg"")"),"Помогни ми да уча за теста. Можеш ли да ми обясниш механиката?")</f>
        <v>Помогни ми да уча за теста. Можеш ли да ми обясниш механиката?</v>
      </c>
      <c r="F2504" s="1" t="str">
        <f ca="1">IFERROR(__xludf.DUMMYFUNCTION("GOOGLETRANSLATE(English!F2504,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2504" s="1" t="str">
        <f ca="1">IFERROR(__xludf.DUMMYFUNCTION("GOOGLETRANSLATE(English!G2504, ""en"", ""bg"")"),"разговор")</f>
        <v>разговор</v>
      </c>
      <c r="H2504" s="1" t="str">
        <f ca="1">IFERROR(__xludf.DUMMYFUNCTION("GOOGLETRANSLATE(English!H2504, ""en"", ""bg"")"),"образователна_помощ")</f>
        <v>образователна_помощ</v>
      </c>
    </row>
    <row r="2505" spans="1:8" ht="13.2" x14ac:dyDescent="0.25">
      <c r="A2505" s="1" t="str">
        <f ca="1">IFERROR(__xludf.DUMMYFUNCTION("GOOGLETRANSLATE(English!A2505, ""en"", ""bg"")"),"conv_17162")</f>
        <v>conv_17162</v>
      </c>
      <c r="B2505" s="1" t="str">
        <f ca="1">IFERROR(__xludf.DUMMYFUNCTION("GOOGLETRANSLATE(English!B2505, ""en"", ""bg"")"),"биология")</f>
        <v>биология</v>
      </c>
      <c r="C2505" s="1" t="str">
        <f ca="1">IFERROR(__xludf.DUMMYFUNCTION("GOOGLETRANSLATE(English!C2505, ""en"", ""bg"")"),"елементарен")</f>
        <v>елементарен</v>
      </c>
      <c r="D2505" s="1" t="str">
        <f ca="1">IFERROR(__xludf.DUMMYFUNCTION("GOOGLETRANSLATE(English!D2505, ""en"", ""bg"")"),"растения")</f>
        <v>растения</v>
      </c>
      <c r="E2505" s="1" t="str">
        <f ca="1">IFERROR(__xludf.DUMMYFUNCTION("GOOGLETRANSLATE(English!E2505, ""en"", ""bg"")"),"Здравей, учителю! От какво се нуждаят растенията, за да растат?")</f>
        <v>Здравей, учителю! От какво се нуждаят растенията, за да растат?</v>
      </c>
      <c r="F2505" s="1" t="str">
        <f ca="1">IFERROR(__xludf.DUMMYFUNCTION("GOOGLETRANSLATE(English!F2505,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2505" s="1" t="str">
        <f ca="1">IFERROR(__xludf.DUMMYFUNCTION("GOOGLETRANSLATE(English!G2505, ""en"", ""bg"")"),"разговор")</f>
        <v>разговор</v>
      </c>
      <c r="H2505" s="1" t="str">
        <f ca="1">IFERROR(__xludf.DUMMYFUNCTION("GOOGLETRANSLATE(English!H2505, ""en"", ""bg"")"),"образователна_помощ")</f>
        <v>образователна_помощ</v>
      </c>
    </row>
    <row r="2506" spans="1:8" ht="13.2" x14ac:dyDescent="0.25">
      <c r="A2506" s="1" t="str">
        <f ca="1">IFERROR(__xludf.DUMMYFUNCTION("GOOGLETRANSLATE(English!A2506, ""en"", ""bg"")"),"conv_11530")</f>
        <v>conv_11530</v>
      </c>
      <c r="B2506" s="1" t="str">
        <f ca="1">IFERROR(__xludf.DUMMYFUNCTION("GOOGLETRANSLATE(English!B2506, ""en"", ""bg"")"),"физика")</f>
        <v>физика</v>
      </c>
      <c r="C2506" s="1" t="str">
        <f ca="1">IFERROR(__xludf.DUMMYFUNCTION("GOOGLETRANSLATE(English!C2506, ""en"", ""bg"")"),"високо")</f>
        <v>високо</v>
      </c>
      <c r="D2506" s="1" t="str">
        <f ca="1">IFERROR(__xludf.DUMMYFUNCTION("GOOGLETRANSLATE(English!D2506, ""en"", ""bg"")"),"радиоактивност")</f>
        <v>радиоактивност</v>
      </c>
      <c r="E2506" s="1" t="str">
        <f ca="1">IFERROR(__xludf.DUMMYFUNCTION("GOOGLETRANSLATE(English!E2506, ""en"", ""bg"")"),"Здравей, преподавателю! Можеш ли да ми обясниш радиоактивността?")</f>
        <v>Здравей, преподавателю! Можеш ли да ми обясниш радиоактивността?</v>
      </c>
      <c r="F2506" s="1" t="str">
        <f ca="1">IFERROR(__xludf.DUMMYFUNCTION("GOOGLETRANSLATE(English!F2506,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2506" s="1" t="str">
        <f ca="1">IFERROR(__xludf.DUMMYFUNCTION("GOOGLETRANSLATE(English!G2506, ""en"", ""bg"")"),"разговор")</f>
        <v>разговор</v>
      </c>
      <c r="H2506" s="1" t="str">
        <f ca="1">IFERROR(__xludf.DUMMYFUNCTION("GOOGLETRANSLATE(English!H2506, ""en"", ""bg"")"),"образователна_помощ")</f>
        <v>образователна_помощ</v>
      </c>
    </row>
    <row r="2507" spans="1:8" ht="13.2" x14ac:dyDescent="0.25">
      <c r="A2507" s="1" t="str">
        <f ca="1">IFERROR(__xludf.DUMMYFUNCTION("GOOGLETRANSLATE(English!A2507, ""en"", ""bg"")"),"hw_09242")</f>
        <v>hw_09242</v>
      </c>
      <c r="B2507" s="1" t="str">
        <f ca="1">IFERROR(__xludf.DUMMYFUNCTION("GOOGLETRANSLATE(English!B2507, ""en"", ""bg"")"),"физика")</f>
        <v>физика</v>
      </c>
      <c r="C2507" s="1" t="str">
        <f ca="1">IFERROR(__xludf.DUMMYFUNCTION("GOOGLETRANSLATE(English!C2507, ""en"", ""bg"")"),"високо")</f>
        <v>високо</v>
      </c>
      <c r="D2507" s="1" t="str">
        <f ca="1">IFERROR(__xludf.DUMMYFUNCTION("GOOGLETRANSLATE(English!D2507, ""en"", ""bg"")"),"термодинамика")</f>
        <v>термодинамика</v>
      </c>
      <c r="E2507" s="1" t="str">
        <f ca="1">IFERROR(__xludf.DUMMYFUNCTION("GOOGLETRANSLATE(English!E2507, ""en"", ""bg"")"),"Можете ли да решите тази задача по термодинамика с мен?")</f>
        <v>Можете ли да решите тази задача по термодинамика с мен?</v>
      </c>
      <c r="F2507" s="1" t="str">
        <f ca="1">IFERROR(__xludf.DUMMYFUNCTION("GOOGLETRANSLATE(English!F2507,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507" s="1" t="str">
        <f ca="1">IFERROR(__xludf.DUMMYFUNCTION("GOOGLETRANSLATE(English!G2507, ""en"", ""bg"")"),"помощ_за_домашно_изпълнение")</f>
        <v>помощ_за_домашно_изпълнение</v>
      </c>
      <c r="H2507" s="1" t="str">
        <f ca="1">IFERROR(__xludf.DUMMYFUNCTION("GOOGLETRANSLATE(English!H2507, ""en"", ""bg"")"),"помощ_за_домашно_задаване")</f>
        <v>помощ_за_домашно_задаване</v>
      </c>
    </row>
    <row r="2508" spans="1:8" ht="13.2" x14ac:dyDescent="0.25">
      <c r="A2508" s="1" t="str">
        <f ca="1">IFERROR(__xludf.DUMMYFUNCTION("GOOGLETRANSLATE(English!A2508, ""en"", ""bg"")"),"conv_01903")</f>
        <v>conv_01903</v>
      </c>
      <c r="B2508" s="1" t="str">
        <f ca="1">IFERROR(__xludf.DUMMYFUNCTION("GOOGLETRANSLATE(English!B2508, ""en"", ""bg"")"),"химия")</f>
        <v>химия</v>
      </c>
      <c r="C2508" s="1" t="str">
        <f ca="1">IFERROR(__xludf.DUMMYFUNCTION("GOOGLETRANSLATE(English!C2508, ""en"", ""bg"")"),"високо")</f>
        <v>високо</v>
      </c>
      <c r="D2508" s="1" t="str">
        <f ca="1">IFERROR(__xludf.DUMMYFUNCTION("GOOGLETRANSLATE(English!D2508, ""en"", ""bg"")"),"химическо свързване")</f>
        <v>химическо свързване</v>
      </c>
      <c r="E2508" s="1" t="str">
        <f ca="1">IFERROR(__xludf.DUMMYFUNCTION("GOOGLETRANSLATE(English!E2508, ""en"", ""bg"")"),"Помогнете ми да уча за теста. Можете ли да ми помогнете да разбера химичните връзки?")</f>
        <v>Помогнете ми да уча за теста. Можете ли да ми помогнете да разбера химичните връзки?</v>
      </c>
      <c r="F2508" s="1" t="str">
        <f ca="1">IFERROR(__xludf.DUMMYFUNCTION("GOOGLETRANSLATE(English!F2508,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2508" s="1" t="str">
        <f ca="1">IFERROR(__xludf.DUMMYFUNCTION("GOOGLETRANSLATE(English!G2508, ""en"", ""bg"")"),"разговор")</f>
        <v>разговор</v>
      </c>
      <c r="H2508" s="1" t="str">
        <f ca="1">IFERROR(__xludf.DUMMYFUNCTION("GOOGLETRANSLATE(English!H2508, ""en"", ""bg"")"),"образователна_помощ")</f>
        <v>образователна_помощ</v>
      </c>
    </row>
    <row r="2509" spans="1:8" ht="13.2" x14ac:dyDescent="0.25">
      <c r="A2509" s="1" t="str">
        <f ca="1">IFERROR(__xludf.DUMMYFUNCTION("GOOGLETRANSLATE(English!A2509, ""en"", ""bg"")"),"qa_09872")</f>
        <v>qa_09872</v>
      </c>
      <c r="B2509" s="1" t="str">
        <f ca="1">IFERROR(__xludf.DUMMYFUNCTION("GOOGLETRANSLATE(English!B2509, ""en"", ""bg"")"),"биология")</f>
        <v>биология</v>
      </c>
      <c r="C2509" s="1" t="str">
        <f ca="1">IFERROR(__xludf.DUMMYFUNCTION("GOOGLETRANSLATE(English!C2509, ""en"", ""bg"")"),"високо")</f>
        <v>високо</v>
      </c>
      <c r="D2509" s="1" t="str">
        <f ca="1">IFERROR(__xludf.DUMMYFUNCTION("GOOGLETRANSLATE(English!D2509, ""en"", ""bg"")"),"митоза и мейоза")</f>
        <v>митоза и мейоза</v>
      </c>
      <c r="E2509" s="1" t="str">
        <f ca="1">IFERROR(__xludf.DUMMYFUNCTION("GOOGLETRANSLATE(English!E2509, ""en"", ""bg"")"),"Защо митозата и мейозата са важни в биологията?")</f>
        <v>Защо митозата и мейозата са важни в биологията?</v>
      </c>
      <c r="F2509" s="1" t="str">
        <f ca="1">IFERROR(__xludf.DUMMYFUNCTION("GOOGLETRANSLATE(English!F2509,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2509" s="1" t="str">
        <f ca="1">IFERROR(__xludf.DUMMYFUNCTION("GOOGLETRANSLATE(English!G2509, ""en"", ""bg"")"),"direct_qa")</f>
        <v>direct_qa</v>
      </c>
      <c r="H2509" s="1" t="str">
        <f ca="1">IFERROR(__xludf.DUMMYFUNCTION("GOOGLETRANSLATE(English!H2509, ""en"", ""bg"")"),"заявка_за_знание")</f>
        <v>заявка_за_знание</v>
      </c>
    </row>
    <row r="2510" spans="1:8" ht="13.2" x14ac:dyDescent="0.25">
      <c r="A2510" s="1" t="str">
        <f ca="1">IFERROR(__xludf.DUMMYFUNCTION("GOOGLETRANSLATE(English!A2510, ""en"", ""bg"")"),"qa_11527")</f>
        <v>qa_11527</v>
      </c>
      <c r="B2510" s="1" t="str">
        <f ca="1">IFERROR(__xludf.DUMMYFUNCTION("GOOGLETRANSLATE(English!B2510, ""en"", ""bg"")"),"биология")</f>
        <v>биология</v>
      </c>
      <c r="C2510" s="1" t="str">
        <f ca="1">IFERROR(__xludf.DUMMYFUNCTION("GOOGLETRANSLATE(English!C2510, ""en"", ""bg"")"),"средата")</f>
        <v>средата</v>
      </c>
      <c r="D2510" s="1" t="str">
        <f ca="1">IFERROR(__xludf.DUMMYFUNCTION("GOOGLETRANSLATE(English!D2510, ""en"", ""bg"")"),"клетки")</f>
        <v>клетки</v>
      </c>
      <c r="E2510" s="1" t="str">
        <f ca="1">IFERROR(__xludf.DUMMYFUNCTION("GOOGLETRANSLATE(English!E2510, ""en"", ""bg"")"),"Кои са основните части на клетката?")</f>
        <v>Кои са основните части на клетката?</v>
      </c>
      <c r="F2510" s="1" t="str">
        <f ca="1">IFERROR(__xludf.DUMMYFUNCTION("GOOGLETRANSLATE(English!F2510,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2510" s="1" t="str">
        <f ca="1">IFERROR(__xludf.DUMMYFUNCTION("GOOGLETRANSLATE(English!G2510, ""en"", ""bg"")"),"direct_qa")</f>
        <v>direct_qa</v>
      </c>
      <c r="H2510" s="1" t="str">
        <f ca="1">IFERROR(__xludf.DUMMYFUNCTION("GOOGLETRANSLATE(English!H2510, ""en"", ""bg"")"),"заявка_за_знание")</f>
        <v>заявка_за_знание</v>
      </c>
    </row>
    <row r="2511" spans="1:8" ht="13.2" x14ac:dyDescent="0.25">
      <c r="A2511" s="1" t="str">
        <f ca="1">IFERROR(__xludf.DUMMYFUNCTION("GOOGLETRANSLATE(English!A2511, ""en"", ""bg"")"),"qa_05676")</f>
        <v>qa_05676</v>
      </c>
      <c r="B2511" s="1" t="str">
        <f ca="1">IFERROR(__xludf.DUMMYFUNCTION("GOOGLETRANSLATE(English!B2511, ""en"", ""bg"")"),"химия")</f>
        <v>химия</v>
      </c>
      <c r="C2511" s="1" t="str">
        <f ca="1">IFERROR(__xludf.DUMMYFUNCTION("GOOGLETRANSLATE(English!C2511, ""en"", ""bg"")"),"елементарен")</f>
        <v>елементарен</v>
      </c>
      <c r="D2511" s="1" t="str">
        <f ca="1">IFERROR(__xludf.DUMMYFUNCTION("GOOGLETRANSLATE(English!D2511, ""en"", ""bg"")"),"безопасност")</f>
        <v>безопасност</v>
      </c>
      <c r="E2511" s="1" t="str">
        <f ca="1">IFERROR(__xludf.DUMMYFUNCTION("GOOGLETRANSLATE(English!E2511, ""en"", ""bg"")"),"Защо е важно да се учим за безопасността?")</f>
        <v>Защо е важно да се учим за безопасността?</v>
      </c>
      <c r="F2511" s="1" t="str">
        <f ca="1">IFERROR(__xludf.DUMMYFUNCTION("GOOGLETRANSLATE(English!F2511,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2511" s="1" t="str">
        <f ca="1">IFERROR(__xludf.DUMMYFUNCTION("GOOGLETRANSLATE(English!G2511, ""en"", ""bg"")"),"direct_qa")</f>
        <v>direct_qa</v>
      </c>
      <c r="H2511" s="1" t="str">
        <f ca="1">IFERROR(__xludf.DUMMYFUNCTION("GOOGLETRANSLATE(English!H2511, ""en"", ""bg"")"),"заявка_за_знание")</f>
        <v>заявка_за_знание</v>
      </c>
    </row>
    <row r="2512" spans="1:8" ht="13.2" x14ac:dyDescent="0.25">
      <c r="A2512" s="1" t="str">
        <f ca="1">IFERROR(__xludf.DUMMYFUNCTION("GOOGLETRANSLATE(English!A2512, ""en"", ""bg"")"),"qa_12716")</f>
        <v>qa_12716</v>
      </c>
      <c r="B2512" s="1" t="str">
        <f ca="1">IFERROR(__xludf.DUMMYFUNCTION("GOOGLETRANSLATE(English!B2512, ""en"", ""bg"")"),"биология")</f>
        <v>биология</v>
      </c>
      <c r="C2512" s="1" t="str">
        <f ca="1">IFERROR(__xludf.DUMMYFUNCTION("GOOGLETRANSLATE(English!C2512, ""en"", ""bg"")"),"високо")</f>
        <v>високо</v>
      </c>
      <c r="D2512" s="1" t="str">
        <f ca="1">IFERROR(__xludf.DUMMYFUNCTION("GOOGLETRANSLATE(English!D2512, ""en"", ""bg"")"),"митоза и мейоза")</f>
        <v>митоза и мейоза</v>
      </c>
      <c r="E2512" s="1" t="str">
        <f ca="1">IFERROR(__xludf.DUMMYFUNCTION("GOOGLETRANSLATE(English!E2512, ""en"", ""bg"")"),"Защо митозата и мейозата са важни в биологията?")</f>
        <v>Защо митозата и мейозата са важни в биологията?</v>
      </c>
      <c r="F2512" s="1" t="str">
        <f ca="1">IFERROR(__xludf.DUMMYFUNCTION("GOOGLETRANSLATE(English!F2512,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2512" s="1" t="str">
        <f ca="1">IFERROR(__xludf.DUMMYFUNCTION("GOOGLETRANSLATE(English!G2512, ""en"", ""bg"")"),"direct_qa")</f>
        <v>direct_qa</v>
      </c>
      <c r="H2512" s="1" t="str">
        <f ca="1">IFERROR(__xludf.DUMMYFUNCTION("GOOGLETRANSLATE(English!H2512, ""en"", ""bg"")"),"заявка_за_знание")</f>
        <v>заявка_за_знание</v>
      </c>
    </row>
    <row r="2513" spans="1:8" ht="13.2" x14ac:dyDescent="0.25">
      <c r="A2513" s="1" t="str">
        <f ca="1">IFERROR(__xludf.DUMMYFUNCTION("GOOGLETRANSLATE(English!A2513, ""en"", ""bg"")"),"conv_16253")</f>
        <v>conv_16253</v>
      </c>
      <c r="B2513" s="1" t="str">
        <f ca="1">IFERROR(__xludf.DUMMYFUNCTION("GOOGLETRANSLATE(English!B2513, ""en"", ""bg"")"),"химия")</f>
        <v>химия</v>
      </c>
      <c r="C2513" s="1" t="str">
        <f ca="1">IFERROR(__xludf.DUMMYFUNCTION("GOOGLETRANSLATE(English!C2513, ""en"", ""bg"")"),"елементарен")</f>
        <v>елементарен</v>
      </c>
      <c r="D2513" s="1" t="str">
        <f ca="1">IFERROR(__xludf.DUMMYFUNCTION("GOOGLETRANSLATE(English!D2513, ""en"", ""bg"")"),"разтваряне")</f>
        <v>разтваряне</v>
      </c>
      <c r="E2513" s="1" t="str">
        <f ca="1">IFERROR(__xludf.DUMMYFUNCTION("GOOGLETRANSLATE(English!E2513, ""en"", ""bg"")"),"Можете ли да ми помогнете? Какво е разтваряне?")</f>
        <v>Можете ли да ми помогнете? Какво е разтваряне?</v>
      </c>
      <c r="F2513" s="1" t="str">
        <f ca="1">IFERROR(__xludf.DUMMYFUNCTION("GOOGLETRANSLATE(English!F2513,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2513" s="1" t="str">
        <f ca="1">IFERROR(__xludf.DUMMYFUNCTION("GOOGLETRANSLATE(English!G2513, ""en"", ""bg"")"),"разговор")</f>
        <v>разговор</v>
      </c>
      <c r="H2513" s="1" t="str">
        <f ca="1">IFERROR(__xludf.DUMMYFUNCTION("GOOGLETRANSLATE(English!H2513, ""en"", ""bg"")"),"образователна_помощ")</f>
        <v>образователна_помощ</v>
      </c>
    </row>
    <row r="2514" spans="1:8" ht="13.2" x14ac:dyDescent="0.25">
      <c r="A2514" s="1" t="str">
        <f ca="1">IFERROR(__xludf.DUMMYFUNCTION("GOOGLETRANSLATE(English!A2514, ""en"", ""bg"")"),"conv_00132")</f>
        <v>conv_00132</v>
      </c>
      <c r="B2514" s="1" t="str">
        <f ca="1">IFERROR(__xludf.DUMMYFUNCTION("GOOGLETRANSLATE(English!B2514, ""en"", ""bg"")"),"химия")</f>
        <v>химия</v>
      </c>
      <c r="C2514" s="1" t="str">
        <f ca="1">IFERROR(__xludf.DUMMYFUNCTION("GOOGLETRANSLATE(English!C2514, ""en"", ""bg"")"),"високо")</f>
        <v>високо</v>
      </c>
      <c r="D2514" s="1" t="str">
        <f ca="1">IFERROR(__xludf.DUMMYFUNCTION("GOOGLETRANSLATE(English!D2514, ""en"", ""bg"")"),"електрохимия")</f>
        <v>електрохимия</v>
      </c>
      <c r="E2514" s="1" t="str">
        <f ca="1">IFERROR(__xludf.DUMMYFUNCTION("GOOGLETRANSLATE(English!E2514, ""en"", ""bg"")"),"Помогнете ми да уча за теста. Можете ли да ми помогнете да разбера електрохимията?")</f>
        <v>Помогнете ми да уча за теста. Можете ли да ми помогнете да разбера електрохимията?</v>
      </c>
      <c r="F2514" s="1" t="str">
        <f ca="1">IFERROR(__xludf.DUMMYFUNCTION("GOOGLETRANSLATE(English!F2514,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2514" s="1" t="str">
        <f ca="1">IFERROR(__xludf.DUMMYFUNCTION("GOOGLETRANSLATE(English!G2514, ""en"", ""bg"")"),"разговор")</f>
        <v>разговор</v>
      </c>
      <c r="H2514" s="1" t="str">
        <f ca="1">IFERROR(__xludf.DUMMYFUNCTION("GOOGLETRANSLATE(English!H2514, ""en"", ""bg"")"),"образователна_помощ")</f>
        <v>образователна_помощ</v>
      </c>
    </row>
    <row r="2515" spans="1:8" ht="13.2" x14ac:dyDescent="0.25">
      <c r="A2515" s="1" t="str">
        <f ca="1">IFERROR(__xludf.DUMMYFUNCTION("GOOGLETRANSLATE(English!A2515, ""en"", ""bg"")"),"conv_18672")</f>
        <v>conv_18672</v>
      </c>
      <c r="B2515" s="1" t="str">
        <f ca="1">IFERROR(__xludf.DUMMYFUNCTION("GOOGLETRANSLATE(English!B2515, ""en"", ""bg"")"),"химия")</f>
        <v>химия</v>
      </c>
      <c r="C2515" s="1" t="str">
        <f ca="1">IFERROR(__xludf.DUMMYFUNCTION("GOOGLETRANSLATE(English!C2515, ""en"", ""bg"")"),"елементарен")</f>
        <v>елементарен</v>
      </c>
      <c r="D2515" s="1" t="str">
        <f ca="1">IFERROR(__xludf.DUMMYFUNCTION("GOOGLETRANSLATE(English!D2515, ""en"", ""bg"")"),"твърди вещества, течности, газове")</f>
        <v>твърди вещества, течности, газове</v>
      </c>
      <c r="E2515" s="1" t="str">
        <f ca="1">IFERROR(__xludf.DUMMYFUNCTION("GOOGLETRANSLATE(English!E2515, ""en"", ""bg"")"),"Имам научен въпрос: Как водата преминава от течно състояние в газообразно?")</f>
        <v>Имам научен въпрос: Как водата преминава от течно състояние в газообразно?</v>
      </c>
      <c r="F2515" s="1" t="str">
        <f ca="1">IFERROR(__xludf.DUMMYFUNCTION("GOOGLETRANSLATE(English!F2515,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2515" s="1" t="str">
        <f ca="1">IFERROR(__xludf.DUMMYFUNCTION("GOOGLETRANSLATE(English!G2515, ""en"", ""bg"")"),"разговор")</f>
        <v>разговор</v>
      </c>
      <c r="H2515" s="1" t="str">
        <f ca="1">IFERROR(__xludf.DUMMYFUNCTION("GOOGLETRANSLATE(English!H2515, ""en"", ""bg"")"),"образователна_помощ")</f>
        <v>образователна_помощ</v>
      </c>
    </row>
    <row r="2516" spans="1:8" ht="13.2" x14ac:dyDescent="0.25">
      <c r="A2516" s="1" t="str">
        <f ca="1">IFERROR(__xludf.DUMMYFUNCTION("GOOGLETRANSLATE(English!A2516, ""en"", ""bg"")"),"hw_02680")</f>
        <v>hw_02680</v>
      </c>
      <c r="B2516" s="1" t="str">
        <f ca="1">IFERROR(__xludf.DUMMYFUNCTION("GOOGLETRANSLATE(English!B2516, ""en"", ""bg"")"),"физика")</f>
        <v>физика</v>
      </c>
      <c r="C2516" s="1" t="str">
        <f ca="1">IFERROR(__xludf.DUMMYFUNCTION("GOOGLETRANSLATE(English!C2516, ""en"", ""bg"")"),"средата")</f>
        <v>средата</v>
      </c>
      <c r="D2516" s="1" t="str">
        <f ca="1">IFERROR(__xludf.DUMMYFUNCTION("GOOGLETRANSLATE(English!D2516, ""en"", ""bg"")"),"основи на електричеството")</f>
        <v>основи на електричеството</v>
      </c>
      <c r="E2516" s="1" t="str">
        <f ca="1">IFERROR(__xludf.DUMMYFUNCTION("GOOGLETRANSLATE(English!E2516,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2516" s="1" t="str">
        <f ca="1">IFERROR(__xludf.DUMMYFUNCTION("GOOGLETRANSLATE(English!F2516,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2516" s="1" t="str">
        <f ca="1">IFERROR(__xludf.DUMMYFUNCTION("GOOGLETRANSLATE(English!G2516, ""en"", ""bg"")"),"помощ_за_домашно_изпълнение")</f>
        <v>помощ_за_домашно_изпълнение</v>
      </c>
      <c r="H2516" s="1" t="str">
        <f ca="1">IFERROR(__xludf.DUMMYFUNCTION("GOOGLETRANSLATE(English!H2516, ""en"", ""bg"")"),"помощ_за_домашно_задаване")</f>
        <v>помощ_за_домашно_задаване</v>
      </c>
    </row>
    <row r="2517" spans="1:8" ht="13.2" x14ac:dyDescent="0.25">
      <c r="A2517" s="1" t="str">
        <f ca="1">IFERROR(__xludf.DUMMYFUNCTION("GOOGLETRANSLATE(English!A2517, ""en"", ""bg"")"),"conv_01542")</f>
        <v>conv_01542</v>
      </c>
      <c r="B2517" s="1" t="str">
        <f ca="1">IFERROR(__xludf.DUMMYFUNCTION("GOOGLETRANSLATE(English!B2517, ""en"", ""bg"")"),"биология")</f>
        <v>биология</v>
      </c>
      <c r="C2517" s="1" t="str">
        <f ca="1">IFERROR(__xludf.DUMMYFUNCTION("GOOGLETRANSLATE(English!C2517, ""en"", ""bg"")"),"високо")</f>
        <v>високо</v>
      </c>
      <c r="D2517" s="1" t="str">
        <f ca="1">IFERROR(__xludf.DUMMYFUNCTION("GOOGLETRANSLATE(English!D2517, ""en"", ""bg"")"),"клетъчно дишане")</f>
        <v>клетъчно дишане</v>
      </c>
      <c r="E2517" s="1" t="str">
        <f ca="1">IFERROR(__xludf.DUMMYFUNCTION("GOOGLETRANSLATE(English!E2517, ""en"", ""bg"")"),"Не разбирам тази тема. Как работи клетъчното дишане?")</f>
        <v>Не разбирам тази тема. Как работи клетъчното дишане?</v>
      </c>
      <c r="F2517" s="1" t="str">
        <f ca="1">IFERROR(__xludf.DUMMYFUNCTION("GOOGLETRANSLATE(English!F2517,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2517" s="1" t="str">
        <f ca="1">IFERROR(__xludf.DUMMYFUNCTION("GOOGLETRANSLATE(English!G2517, ""en"", ""bg"")"),"разговор")</f>
        <v>разговор</v>
      </c>
      <c r="H2517" s="1" t="str">
        <f ca="1">IFERROR(__xludf.DUMMYFUNCTION("GOOGLETRANSLATE(English!H2517, ""en"", ""bg"")"),"образователна_помощ")</f>
        <v>образователна_помощ</v>
      </c>
    </row>
    <row r="2518" spans="1:8" ht="13.2" x14ac:dyDescent="0.25">
      <c r="A2518" s="1" t="str">
        <f ca="1">IFERROR(__xludf.DUMMYFUNCTION("GOOGLETRANSLATE(English!A2518, ""en"", ""bg"")"),"conv_03583")</f>
        <v>conv_03583</v>
      </c>
      <c r="B2518" s="1" t="str">
        <f ca="1">IFERROR(__xludf.DUMMYFUNCTION("GOOGLETRANSLATE(English!B2518, ""en"", ""bg"")"),"химия")</f>
        <v>химия</v>
      </c>
      <c r="C2518" s="1" t="str">
        <f ca="1">IFERROR(__xludf.DUMMYFUNCTION("GOOGLETRANSLATE(English!C2518, ""en"", ""bg"")"),"високо")</f>
        <v>високо</v>
      </c>
      <c r="D2518" s="1" t="str">
        <f ca="1">IFERROR(__xludf.DUMMYFUNCTION("GOOGLETRANSLATE(English!D2518, ""en"", ""bg"")"),"химическо свързване")</f>
        <v>химическо свързване</v>
      </c>
      <c r="E2518" s="1" t="str">
        <f ca="1">IFERROR(__xludf.DUMMYFUNCTION("GOOGLETRANSLATE(English!E2518, ""en"", ""bg"")"),"Здравей, преподавателю! Защо е важно да се учи химичното свързване?")</f>
        <v>Здравей, преподавателю! Защо е важно да се учи химичното свързване?</v>
      </c>
      <c r="F2518" s="1" t="str">
        <f ca="1">IFERROR(__xludf.DUMMYFUNCTION("GOOGLETRANSLATE(English!F2518,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2518" s="1" t="str">
        <f ca="1">IFERROR(__xludf.DUMMYFUNCTION("GOOGLETRANSLATE(English!G2518, ""en"", ""bg"")"),"разговор")</f>
        <v>разговор</v>
      </c>
      <c r="H2518" s="1" t="str">
        <f ca="1">IFERROR(__xludf.DUMMYFUNCTION("GOOGLETRANSLATE(English!H2518, ""en"", ""bg"")"),"образователна_помощ")</f>
        <v>образователна_помощ</v>
      </c>
    </row>
    <row r="2519" spans="1:8" ht="13.2" x14ac:dyDescent="0.25">
      <c r="A2519" s="1" t="str">
        <f ca="1">IFERROR(__xludf.DUMMYFUNCTION("GOOGLETRANSLATE(English!A2519, ""en"", ""bg"")"),"conv_04635")</f>
        <v>conv_04635</v>
      </c>
      <c r="B2519" s="1" t="str">
        <f ca="1">IFERROR(__xludf.DUMMYFUNCTION("GOOGLETRANSLATE(English!B2519, ""en"", ""bg"")"),"биология")</f>
        <v>биология</v>
      </c>
      <c r="C2519" s="1" t="str">
        <f ca="1">IFERROR(__xludf.DUMMYFUNCTION("GOOGLETRANSLATE(English!C2519, ""en"", ""bg"")"),"средата")</f>
        <v>средата</v>
      </c>
      <c r="D2519" s="1" t="str">
        <f ca="1">IFERROR(__xludf.DUMMYFUNCTION("GOOGLETRANSLATE(English!D2519, ""en"", ""bg"")"),"основи на генетиката")</f>
        <v>основи на генетиката</v>
      </c>
      <c r="E2519" s="1" t="str">
        <f ca="1">IFERROR(__xludf.DUMMYFUNCTION("GOOGLETRANSLATE(English!E2519, ""en"", ""bg"")"),"Помогнете ми да уча за теста. Можете ли да ми разкажете за основите на генетиката?")</f>
        <v>Помогнете ми да уча за теста. Можете ли да ми разкажете за основите на генетиката?</v>
      </c>
      <c r="F2519" s="1" t="str">
        <f ca="1">IFERROR(__xludf.DUMMYFUNCTION("GOOGLETRANSLATE(English!F2519,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2519" s="1" t="str">
        <f ca="1">IFERROR(__xludf.DUMMYFUNCTION("GOOGLETRANSLATE(English!G2519, ""en"", ""bg"")"),"разговор")</f>
        <v>разговор</v>
      </c>
      <c r="H2519" s="1" t="str">
        <f ca="1">IFERROR(__xludf.DUMMYFUNCTION("GOOGLETRANSLATE(English!H2519, ""en"", ""bg"")"),"образователна_помощ")</f>
        <v>образователна_помощ</v>
      </c>
    </row>
    <row r="2520" spans="1:8" ht="13.2" x14ac:dyDescent="0.25">
      <c r="A2520" s="1" t="str">
        <f ca="1">IFERROR(__xludf.DUMMYFUNCTION("GOOGLETRANSLATE(English!A2520, ""en"", ""bg"")"),"conv_04474")</f>
        <v>conv_04474</v>
      </c>
      <c r="B2520" s="1" t="str">
        <f ca="1">IFERROR(__xludf.DUMMYFUNCTION("GOOGLETRANSLATE(English!B2520, ""en"", ""bg"")"),"биология")</f>
        <v>биология</v>
      </c>
      <c r="C2520" s="1" t="str">
        <f ca="1">IFERROR(__xludf.DUMMYFUNCTION("GOOGLETRANSLATE(English!C2520, ""en"", ""bg"")"),"средата")</f>
        <v>средата</v>
      </c>
      <c r="D2520" s="1" t="str">
        <f ca="1">IFERROR(__xludf.DUMMYFUNCTION("GOOGLETRANSLATE(English!D2520, ""en"", ""bg"")"),"клетки")</f>
        <v>клетки</v>
      </c>
      <c r="E2520" s="1" t="str">
        <f ca="1">IFERROR(__xludf.DUMMYFUNCTION("GOOGLETRANSLATE(English!E2520, ""en"", ""bg"")"),"Помогни ми да уча за теста си. Какво прави ядрото?")</f>
        <v>Помогни ми да уча за теста си. Какво прави ядрото?</v>
      </c>
      <c r="F2520" s="1" t="str">
        <f ca="1">IFERROR(__xludf.DUMMYFUNCTION("GOOGLETRANSLATE(English!F2520, ""en"", ""bg"")"),"Ядрото е като мозъка на клетката - то контролира какво прави клетката и съдържа ДНК.")</f>
        <v>Ядрото е като мозъка на клетката - то контролира какво прави клетката и съдържа ДНК.</v>
      </c>
      <c r="G2520" s="1" t="str">
        <f ca="1">IFERROR(__xludf.DUMMYFUNCTION("GOOGLETRANSLATE(English!G2520, ""en"", ""bg"")"),"разговор")</f>
        <v>разговор</v>
      </c>
      <c r="H2520" s="1" t="str">
        <f ca="1">IFERROR(__xludf.DUMMYFUNCTION("GOOGLETRANSLATE(English!H2520, ""en"", ""bg"")"),"образователна_помощ")</f>
        <v>образователна_помощ</v>
      </c>
    </row>
    <row r="2521" spans="1:8" ht="13.2" x14ac:dyDescent="0.25">
      <c r="A2521" s="1" t="str">
        <f ca="1">IFERROR(__xludf.DUMMYFUNCTION("GOOGLETRANSLATE(English!A2521, ""en"", ""bg"")"),"conv_07443")</f>
        <v>conv_07443</v>
      </c>
      <c r="B2521" s="1" t="str">
        <f ca="1">IFERROR(__xludf.DUMMYFUNCTION("GOOGLETRANSLATE(English!B2521, ""en"", ""bg"")"),"физика")</f>
        <v>физика</v>
      </c>
      <c r="C2521" s="1" t="str">
        <f ca="1">IFERROR(__xludf.DUMMYFUNCTION("GOOGLETRANSLATE(English!C2521, ""en"", ""bg"")"),"елементарен")</f>
        <v>елементарен</v>
      </c>
      <c r="D2521" s="1" t="str">
        <f ca="1">IFERROR(__xludf.DUMMYFUNCTION("GOOGLETRANSLATE(English!D2521, ""en"", ""bg"")"),"горещо и студено")</f>
        <v>горещо и студено</v>
      </c>
      <c r="E2521" s="1" t="str">
        <f ca="1">IFERROR(__xludf.DUMMYFUNCTION("GOOGLETRANSLATE(English!E2521, ""en"", ""bg"")"),"Имам научен въпрос. Какво трябва да знам за горещото и студеното?")</f>
        <v>Имам научен въпрос. Какво трябва да знам за горещото и студеното?</v>
      </c>
      <c r="F2521" s="1" t="str">
        <f ca="1">IFERROR(__xludf.DUMMYFUNCTION("GOOGLETRANSLATE(English!F2521,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2521" s="1" t="str">
        <f ca="1">IFERROR(__xludf.DUMMYFUNCTION("GOOGLETRANSLATE(English!G2521, ""en"", ""bg"")"),"разговор")</f>
        <v>разговор</v>
      </c>
      <c r="H2521" s="1" t="str">
        <f ca="1">IFERROR(__xludf.DUMMYFUNCTION("GOOGLETRANSLATE(English!H2521, ""en"", ""bg"")"),"образователна_помощ")</f>
        <v>образователна_помощ</v>
      </c>
    </row>
    <row r="2522" spans="1:8" ht="13.2" x14ac:dyDescent="0.25">
      <c r="A2522" s="1" t="str">
        <f ca="1">IFERROR(__xludf.DUMMYFUNCTION("GOOGLETRANSLATE(English!A2522, ""en"", ""bg"")"),"conv_12293")</f>
        <v>conv_12293</v>
      </c>
      <c r="B2522" s="1" t="str">
        <f ca="1">IFERROR(__xludf.DUMMYFUNCTION("GOOGLETRANSLATE(English!B2522, ""en"", ""bg"")"),"биология")</f>
        <v>биология</v>
      </c>
      <c r="C2522" s="1" t="str">
        <f ca="1">IFERROR(__xludf.DUMMYFUNCTION("GOOGLETRANSLATE(English!C2522, ""en"", ""bg"")"),"средата")</f>
        <v>средата</v>
      </c>
      <c r="D2522" s="1" t="str">
        <f ca="1">IFERROR(__xludf.DUMMYFUNCTION("GOOGLETRANSLATE(English!D2522, ""en"", ""bg"")"),"екосистеми")</f>
        <v>екосистеми</v>
      </c>
      <c r="E2522" s="1" t="str">
        <f ca="1">IFERROR(__xludf.DUMMYFUNCTION("GOOGLETRANSLATE(English!E2522, ""en"", ""bg"")"),"Можете ли да ми обясните това? Как функционират екосистемите?")</f>
        <v>Можете ли да ми обясните това? Как функционират екосистемите?</v>
      </c>
      <c r="F2522" s="1" t="str">
        <f ca="1">IFERROR(__xludf.DUMMYFUNCTION("GOOGLETRANSLATE(English!F2522,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2522" s="1" t="str">
        <f ca="1">IFERROR(__xludf.DUMMYFUNCTION("GOOGLETRANSLATE(English!G2522, ""en"", ""bg"")"),"разговор")</f>
        <v>разговор</v>
      </c>
      <c r="H2522" s="1" t="str">
        <f ca="1">IFERROR(__xludf.DUMMYFUNCTION("GOOGLETRANSLATE(English!H2522, ""en"", ""bg"")"),"образователна_помощ")</f>
        <v>образователна_помощ</v>
      </c>
    </row>
    <row r="2523" spans="1:8" ht="13.2" x14ac:dyDescent="0.25">
      <c r="A2523" s="1" t="str">
        <f ca="1">IFERROR(__xludf.DUMMYFUNCTION("GOOGLETRANSLATE(English!A2523, ""en"", ""bg"")"),"hw_01126")</f>
        <v>hw_01126</v>
      </c>
      <c r="B2523" s="1" t="str">
        <f ca="1">IFERROR(__xludf.DUMMYFUNCTION("GOOGLETRANSLATE(English!B2523, ""en"", ""bg"")"),"физика")</f>
        <v>физика</v>
      </c>
      <c r="C2523" s="1" t="str">
        <f ca="1">IFERROR(__xludf.DUMMYFUNCTION("GOOGLETRANSLATE(English!C2523, ""en"", ""bg"")"),"елементарен")</f>
        <v>елементарен</v>
      </c>
      <c r="D2523" s="1" t="str">
        <f ca="1">IFERROR(__xludf.DUMMYFUNCTION("GOOGLETRANSLATE(English!D2523, ""en"", ""bg"")"),"плаващ и потъващ")</f>
        <v>плаващ и потъващ</v>
      </c>
      <c r="E2523" s="1" t="str">
        <f ca="1">IFERROR(__xludf.DUMMYFUNCTION("GOOGLETRANSLATE(English!E2523, ""en"", ""bg"")"),"Можеш ли да решиш този плаващ и потъващ въпрос с мен?")</f>
        <v>Можеш ли да решиш този плаващ и потъващ въпрос с мен?</v>
      </c>
      <c r="F2523" s="1" t="str">
        <f ca="1">IFERROR(__xludf.DUMMYFUNCTION("GOOGLETRANSLATE(English!F2523,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523" s="1" t="str">
        <f ca="1">IFERROR(__xludf.DUMMYFUNCTION("GOOGLETRANSLATE(English!G2523, ""en"", ""bg"")"),"помощ_за_домашно_изпълнение")</f>
        <v>помощ_за_домашно_изпълнение</v>
      </c>
      <c r="H2523" s="1" t="str">
        <f ca="1">IFERROR(__xludf.DUMMYFUNCTION("GOOGLETRANSLATE(English!H2523, ""en"", ""bg"")"),"помощ_за_домашно_задаване")</f>
        <v>помощ_за_домашно_задаване</v>
      </c>
    </row>
    <row r="2524" spans="1:8" ht="13.2" x14ac:dyDescent="0.25">
      <c r="A2524" s="1" t="str">
        <f ca="1">IFERROR(__xludf.DUMMYFUNCTION("GOOGLETRANSLATE(English!A2524, ""en"", ""bg"")"),"conv_13238")</f>
        <v>conv_13238</v>
      </c>
      <c r="B2524" s="1" t="str">
        <f ca="1">IFERROR(__xludf.DUMMYFUNCTION("GOOGLETRANSLATE(English!B2524, ""en"", ""bg"")"),"биология")</f>
        <v>биология</v>
      </c>
      <c r="C2524" s="1" t="str">
        <f ca="1">IFERROR(__xludf.DUMMYFUNCTION("GOOGLETRANSLATE(English!C2524, ""en"", ""bg"")"),"средата")</f>
        <v>средата</v>
      </c>
      <c r="D2524" s="1" t="str">
        <f ca="1">IFERROR(__xludf.DUMMYFUNCTION("GOOGLETRANSLATE(English!D2524, ""en"", ""bg"")"),"клетки")</f>
        <v>клетки</v>
      </c>
      <c r="E2524" s="1" t="str">
        <f ca="1">IFERROR(__xludf.DUMMYFUNCTION("GOOGLETRANSLATE(English!E2524, ""en"", ""bg"")"),"Имам нужда от помощ с домашното си. Кои са основните части на клетката?")</f>
        <v>Имам нужда от помощ с домашното си. Кои са основните части на клетката?</v>
      </c>
      <c r="F2524" s="1" t="str">
        <f ca="1">IFERROR(__xludf.DUMMYFUNCTION("GOOGLETRANSLATE(English!F2524,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2524" s="1" t="str">
        <f ca="1">IFERROR(__xludf.DUMMYFUNCTION("GOOGLETRANSLATE(English!G2524, ""en"", ""bg"")"),"разговор")</f>
        <v>разговор</v>
      </c>
      <c r="H2524" s="1" t="str">
        <f ca="1">IFERROR(__xludf.DUMMYFUNCTION("GOOGLETRANSLATE(English!H2524, ""en"", ""bg"")"),"образователна_помощ")</f>
        <v>образователна_помощ</v>
      </c>
    </row>
    <row r="2525" spans="1:8" ht="13.2" x14ac:dyDescent="0.25">
      <c r="A2525" s="1" t="str">
        <f ca="1">IFERROR(__xludf.DUMMYFUNCTION("GOOGLETRANSLATE(English!A2525, ""en"", ""bg"")"),"qa_04029")</f>
        <v>qa_04029</v>
      </c>
      <c r="B2525" s="1" t="str">
        <f ca="1">IFERROR(__xludf.DUMMYFUNCTION("GOOGLETRANSLATE(English!B2525, ""en"", ""bg"")"),"химия")</f>
        <v>химия</v>
      </c>
      <c r="C2525" s="1" t="str">
        <f ca="1">IFERROR(__xludf.DUMMYFUNCTION("GOOGLETRANSLATE(English!C2525, ""en"", ""bg"")"),"средата")</f>
        <v>средата</v>
      </c>
      <c r="D2525" s="1" t="str">
        <f ca="1">IFERROR(__xludf.DUMMYFUNCTION("GOOGLETRANSLATE(English!D2525, ""en"", ""bg"")"),"химични реакции")</f>
        <v>химични реакции</v>
      </c>
      <c r="E2525" s="1" t="str">
        <f ca="1">IFERROR(__xludf.DUMMYFUNCTION("GOOGLETRANSLATE(English!E2525, ""en"", ""bg"")"),"Могат ли химичните реакции да бъдат обратими?")</f>
        <v>Могат ли химичните реакции да бъдат обратими?</v>
      </c>
      <c r="F2525" s="1" t="str">
        <f ca="1">IFERROR(__xludf.DUMMYFUNCTION("GOOGLETRANSLATE(English!F2525,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2525" s="1" t="str">
        <f ca="1">IFERROR(__xludf.DUMMYFUNCTION("GOOGLETRANSLATE(English!G2525, ""en"", ""bg"")"),"direct_qa")</f>
        <v>direct_qa</v>
      </c>
      <c r="H2525" s="1" t="str">
        <f ca="1">IFERROR(__xludf.DUMMYFUNCTION("GOOGLETRANSLATE(English!H2525, ""en"", ""bg"")"),"заявка_за_знание")</f>
        <v>заявка_за_знание</v>
      </c>
    </row>
    <row r="2526" spans="1:8" ht="13.2" x14ac:dyDescent="0.25">
      <c r="A2526" s="1" t="str">
        <f ca="1">IFERROR(__xludf.DUMMYFUNCTION("GOOGLETRANSLATE(English!A2526, ""en"", ""bg"")"),"conv_17336")</f>
        <v>conv_17336</v>
      </c>
      <c r="B2526" s="1" t="str">
        <f ca="1">IFERROR(__xludf.DUMMYFUNCTION("GOOGLETRANSLATE(English!B2526, ""en"", ""bg"")"),"физика")</f>
        <v>физика</v>
      </c>
      <c r="C2526" s="1" t="str">
        <f ca="1">IFERROR(__xludf.DUMMYFUNCTION("GOOGLETRANSLATE(English!C2526, ""en"", ""bg"")"),"високо")</f>
        <v>високо</v>
      </c>
      <c r="D2526" s="1" t="str">
        <f ca="1">IFERROR(__xludf.DUMMYFUNCTION("GOOGLETRANSLATE(English!D2526, ""en"", ""bg"")"),"оптика")</f>
        <v>оптика</v>
      </c>
      <c r="E2526" s="1" t="str">
        <f ca="1">IFERROR(__xludf.DUMMYFUNCTION("GOOGLETRANSLATE(English!E2526, ""en"", ""bg"")"),"Не разбирам тази тема. Какво трябва да знам за оптиката?")</f>
        <v>Не разбирам тази тема. Какво трябва да знам за оптиката?</v>
      </c>
      <c r="F2526" s="1" t="str">
        <f ca="1">IFERROR(__xludf.DUMMYFUNCTION("GOOGLETRANSLATE(English!F2526,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2526" s="1" t="str">
        <f ca="1">IFERROR(__xludf.DUMMYFUNCTION("GOOGLETRANSLATE(English!G2526, ""en"", ""bg"")"),"разговор")</f>
        <v>разговор</v>
      </c>
      <c r="H2526" s="1" t="str">
        <f ca="1">IFERROR(__xludf.DUMMYFUNCTION("GOOGLETRANSLATE(English!H2526, ""en"", ""bg"")"),"образователна_помощ")</f>
        <v>образователна_помощ</v>
      </c>
    </row>
    <row r="2527" spans="1:8" ht="13.2" x14ac:dyDescent="0.25">
      <c r="A2527" s="1" t="str">
        <f ca="1">IFERROR(__xludf.DUMMYFUNCTION("GOOGLETRANSLATE(English!A2527, ""en"", ""bg"")"),"qa_11365")</f>
        <v>qa_11365</v>
      </c>
      <c r="B2527" s="1" t="str">
        <f ca="1">IFERROR(__xludf.DUMMYFUNCTION("GOOGLETRANSLATE(English!B2527, ""en"", ""bg"")"),"биология")</f>
        <v>биология</v>
      </c>
      <c r="C2527" s="1" t="str">
        <f ca="1">IFERROR(__xludf.DUMMYFUNCTION("GOOGLETRANSLATE(English!C2527, ""en"", ""bg"")"),"елементарен")</f>
        <v>елементарен</v>
      </c>
      <c r="D2527" s="1" t="str">
        <f ca="1">IFERROR(__xludf.DUMMYFUNCTION("GOOGLETRANSLATE(English!D2527, ""en"", ""bg"")"),"човешкото тяло")</f>
        <v>човешкото тяло</v>
      </c>
      <c r="E2527" s="1" t="str">
        <f ca="1">IFERROR(__xludf.DUMMYFUNCTION("GOOGLETRANSLATE(English!E2527, ""en"", ""bg"")"),"Как работи човешкото тяло?")</f>
        <v>Как работи човешкото тяло?</v>
      </c>
      <c r="F2527" s="1" t="str">
        <f ca="1">IFERROR(__xludf.DUMMYFUNCTION("GOOGLETRANSLATE(English!F2527,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2527" s="1" t="str">
        <f ca="1">IFERROR(__xludf.DUMMYFUNCTION("GOOGLETRANSLATE(English!G2527, ""en"", ""bg"")"),"direct_qa")</f>
        <v>direct_qa</v>
      </c>
      <c r="H2527" s="1" t="str">
        <f ca="1">IFERROR(__xludf.DUMMYFUNCTION("GOOGLETRANSLATE(English!H2527, ""en"", ""bg"")"),"заявка_за_знание")</f>
        <v>заявка_за_знание</v>
      </c>
    </row>
    <row r="2528" spans="1:8" ht="13.2" x14ac:dyDescent="0.25">
      <c r="A2528" s="1" t="str">
        <f ca="1">IFERROR(__xludf.DUMMYFUNCTION("GOOGLETRANSLATE(English!A2528, ""en"", ""bg"")"),"conv_19486")</f>
        <v>conv_19486</v>
      </c>
      <c r="B2528" s="1" t="str">
        <f ca="1">IFERROR(__xludf.DUMMYFUNCTION("GOOGLETRANSLATE(English!B2528, ""en"", ""bg"")"),"химия")</f>
        <v>химия</v>
      </c>
      <c r="C2528" s="1" t="str">
        <f ca="1">IFERROR(__xludf.DUMMYFUNCTION("GOOGLETRANSLATE(English!C2528, ""en"", ""bg"")"),"елементарен")</f>
        <v>елементарен</v>
      </c>
      <c r="D2528" s="1" t="str">
        <f ca="1">IFERROR(__xludf.DUMMYFUNCTION("GOOGLETRANSLATE(English!D2528, ""en"", ""bg"")"),"ежедневни химикали")</f>
        <v>ежедневни химикали</v>
      </c>
      <c r="E2528" s="1" t="str">
        <f ca="1">IFERROR(__xludf.DUMMYFUNCTION("GOOGLETRANSLATE(English!E2528, ""en"", ""bg"")"),"Можете ли да ми помогнете? Защо е важно да се изучават ежедневните химикали?")</f>
        <v>Можете ли да ми помогнете? Защо е важно да се изучават ежедневните химикали?</v>
      </c>
      <c r="F2528" s="1" t="str">
        <f ca="1">IFERROR(__xludf.DUMMYFUNCTION("GOOGLETRANSLATE(English!F2528,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2528" s="1" t="str">
        <f ca="1">IFERROR(__xludf.DUMMYFUNCTION("GOOGLETRANSLATE(English!G2528, ""en"", ""bg"")"),"разговор")</f>
        <v>разговор</v>
      </c>
      <c r="H2528" s="1" t="str">
        <f ca="1">IFERROR(__xludf.DUMMYFUNCTION("GOOGLETRANSLATE(English!H2528, ""en"", ""bg"")"),"образователна_помощ")</f>
        <v>образователна_помощ</v>
      </c>
    </row>
    <row r="2529" spans="1:8" ht="13.2" x14ac:dyDescent="0.25">
      <c r="A2529" s="1" t="str">
        <f ca="1">IFERROR(__xludf.DUMMYFUNCTION("GOOGLETRANSLATE(English!A2529, ""en"", ""bg"")"),"qa_14291")</f>
        <v>qa_14291</v>
      </c>
      <c r="B2529" s="1" t="str">
        <f ca="1">IFERROR(__xludf.DUMMYFUNCTION("GOOGLETRANSLATE(English!B2529, ""en"", ""bg"")"),"биология")</f>
        <v>биология</v>
      </c>
      <c r="C2529" s="1" t="str">
        <f ca="1">IFERROR(__xludf.DUMMYFUNCTION("GOOGLETRANSLATE(English!C2529, ""en"", ""bg"")"),"елементарен")</f>
        <v>елементарен</v>
      </c>
      <c r="D2529" s="1" t="str">
        <f ca="1">IFERROR(__xludf.DUMMYFUNCTION("GOOGLETRANSLATE(English!D2529, ""en"", ""bg"")"),"растения")</f>
        <v>растения</v>
      </c>
      <c r="E2529" s="1" t="str">
        <f ca="1">IFERROR(__xludf.DUMMYFUNCTION("GOOGLETRANSLATE(English!E2529, ""en"", ""bg"")"),"Как семената пътуват до нови места?")</f>
        <v>Как семената пътуват до нови места?</v>
      </c>
      <c r="F2529" s="1" t="str">
        <f ca="1">IFERROR(__xludf.DUMMYFUNCTION("GOOGLETRANSLATE(English!F2529,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2529" s="1" t="str">
        <f ca="1">IFERROR(__xludf.DUMMYFUNCTION("GOOGLETRANSLATE(English!G2529, ""en"", ""bg"")"),"direct_qa")</f>
        <v>direct_qa</v>
      </c>
      <c r="H2529" s="1" t="str">
        <f ca="1">IFERROR(__xludf.DUMMYFUNCTION("GOOGLETRANSLATE(English!H2529, ""en"", ""bg"")"),"заявка_за_знание")</f>
        <v>заявка_за_знание</v>
      </c>
    </row>
    <row r="2530" spans="1:8" ht="13.2" x14ac:dyDescent="0.25">
      <c r="A2530" s="1" t="str">
        <f ca="1">IFERROR(__xludf.DUMMYFUNCTION("GOOGLETRANSLATE(English!A2530, ""en"", ""bg"")"),"conv_10133")</f>
        <v>conv_10133</v>
      </c>
      <c r="B2530" s="1" t="str">
        <f ca="1">IFERROR(__xludf.DUMMYFUNCTION("GOOGLETRANSLATE(English!B2530, ""en"", ""bg"")"),"химия")</f>
        <v>химия</v>
      </c>
      <c r="C2530" s="1" t="str">
        <f ca="1">IFERROR(__xludf.DUMMYFUNCTION("GOOGLETRANSLATE(English!C2530, ""en"", ""bg"")"),"високо")</f>
        <v>високо</v>
      </c>
      <c r="D2530" s="1" t="str">
        <f ca="1">IFERROR(__xludf.DUMMYFUNCTION("GOOGLETRANSLATE(English!D2530, ""en"", ""bg"")"),"органична химия")</f>
        <v>органична химия</v>
      </c>
      <c r="E2530" s="1" t="str">
        <f ca="1">IFERROR(__xludf.DUMMYFUNCTION("GOOGLETRANSLATE(English!E2530, ""en"", ""bg"")"),"Можете ли да ми обясните това? Какво представлява органичната химия?")</f>
        <v>Можете ли да ми обясните това? Какво представлява органичната химия?</v>
      </c>
      <c r="F2530" s="1" t="str">
        <f ca="1">IFERROR(__xludf.DUMMYFUNCTION("GOOGLETRANSLATE(English!F2530,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2530" s="1" t="str">
        <f ca="1">IFERROR(__xludf.DUMMYFUNCTION("GOOGLETRANSLATE(English!G2530, ""en"", ""bg"")"),"разговор")</f>
        <v>разговор</v>
      </c>
      <c r="H2530" s="1" t="str">
        <f ca="1">IFERROR(__xludf.DUMMYFUNCTION("GOOGLETRANSLATE(English!H2530, ""en"", ""bg"")"),"образователна_помощ")</f>
        <v>образователна_помощ</v>
      </c>
    </row>
    <row r="2531" spans="1:8" ht="13.2" x14ac:dyDescent="0.25">
      <c r="A2531" s="1" t="str">
        <f ca="1">IFERROR(__xludf.DUMMYFUNCTION("GOOGLETRANSLATE(English!A2531, ""en"", ""bg"")"),"conv_04236")</f>
        <v>conv_04236</v>
      </c>
      <c r="B2531" s="1" t="str">
        <f ca="1">IFERROR(__xludf.DUMMYFUNCTION("GOOGLETRANSLATE(English!B2531, ""en"", ""bg"")"),"химия")</f>
        <v>химия</v>
      </c>
      <c r="C2531" s="1" t="str">
        <f ca="1">IFERROR(__xludf.DUMMYFUNCTION("GOOGLETRANSLATE(English!C2531, ""en"", ""bg"")"),"високо")</f>
        <v>високо</v>
      </c>
      <c r="D2531" s="1" t="str">
        <f ca="1">IFERROR(__xludf.DUMMYFUNCTION("GOOGLETRANSLATE(English!D2531, ""en"", ""bg"")"),"скорости на реакция")</f>
        <v>скорости на реакция</v>
      </c>
      <c r="E2531" s="1" t="str">
        <f ca="1">IFERROR(__xludf.DUMMYFUNCTION("GOOGLETRANSLATE(English!E2531, ""en"", ""bg"")"),"Можете ли да ми помогнете? Как работят скоростите на реакциите в химията?")</f>
        <v>Можете ли да ми помогнете? Как работят скоростите на реакциите в химията?</v>
      </c>
      <c r="F2531" s="1" t="str">
        <f ca="1">IFERROR(__xludf.DUMMYFUNCTION("GOOGLETRANSLATE(English!F2531,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2531" s="1" t="str">
        <f ca="1">IFERROR(__xludf.DUMMYFUNCTION("GOOGLETRANSLATE(English!G2531, ""en"", ""bg"")"),"разговор")</f>
        <v>разговор</v>
      </c>
      <c r="H2531" s="1" t="str">
        <f ca="1">IFERROR(__xludf.DUMMYFUNCTION("GOOGLETRANSLATE(English!H2531, ""en"", ""bg"")"),"образователна_помощ")</f>
        <v>образователна_помощ</v>
      </c>
    </row>
    <row r="2532" spans="1:8" ht="13.2" x14ac:dyDescent="0.25">
      <c r="A2532" s="1" t="str">
        <f ca="1">IFERROR(__xludf.DUMMYFUNCTION("GOOGLETRANSLATE(English!A2532, ""en"", ""bg"")"),"conv_07662")</f>
        <v>conv_07662</v>
      </c>
      <c r="B2532" s="1" t="str">
        <f ca="1">IFERROR(__xludf.DUMMYFUNCTION("GOOGLETRANSLATE(English!B2532, ""en"", ""bg"")"),"физика")</f>
        <v>физика</v>
      </c>
      <c r="C2532" s="1" t="str">
        <f ca="1">IFERROR(__xludf.DUMMYFUNCTION("GOOGLETRANSLATE(English!C2532, ""en"", ""bg"")"),"средата")</f>
        <v>средата</v>
      </c>
      <c r="D2532" s="1" t="str">
        <f ca="1">IFERROR(__xludf.DUMMYFUNCTION("GOOGLETRANSLATE(English!D2532, ""en"", ""bg"")"),"видове енергия")</f>
        <v>видове енергия</v>
      </c>
      <c r="E2532" s="1" t="str">
        <f ca="1">IFERROR(__xludf.DUMMYFUNCTION("GOOGLETRANSLATE(English!E2532, ""en"", ""bg"")"),"Можете ли да ми помогнете? Какво е кинетична енергия?")</f>
        <v>Можете ли да ми помогнете? Какво е кинетична енергия?</v>
      </c>
      <c r="F2532" s="1" t="str">
        <f ca="1">IFERROR(__xludf.DUMMYFUNCTION("GOOGLETRANSLATE(English!F2532,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2532" s="1" t="str">
        <f ca="1">IFERROR(__xludf.DUMMYFUNCTION("GOOGLETRANSLATE(English!G2532, ""en"", ""bg"")"),"разговор")</f>
        <v>разговор</v>
      </c>
      <c r="H2532" s="1" t="str">
        <f ca="1">IFERROR(__xludf.DUMMYFUNCTION("GOOGLETRANSLATE(English!H2532, ""en"", ""bg"")"),"образователна_помощ")</f>
        <v>образователна_помощ</v>
      </c>
    </row>
    <row r="2533" spans="1:8" ht="13.2" x14ac:dyDescent="0.25">
      <c r="A2533" s="1" t="str">
        <f ca="1">IFERROR(__xludf.DUMMYFUNCTION("GOOGLETRANSLATE(English!A2533, ""en"", ""bg"")"),"qa_11416")</f>
        <v>qa_11416</v>
      </c>
      <c r="B2533" s="1" t="str">
        <f ca="1">IFERROR(__xludf.DUMMYFUNCTION("GOOGLETRANSLATE(English!B2533, ""en"", ""bg"")"),"химия")</f>
        <v>химия</v>
      </c>
      <c r="C2533" s="1" t="str">
        <f ca="1">IFERROR(__xludf.DUMMYFUNCTION("GOOGLETRANSLATE(English!C2533, ""en"", ""bg"")"),"средата")</f>
        <v>средата</v>
      </c>
      <c r="D2533" s="1" t="str">
        <f ca="1">IFERROR(__xludf.DUMMYFUNCTION("GOOGLETRANSLATE(English!D2533, ""en"", ""bg"")"),"химични реакции")</f>
        <v>химични реакции</v>
      </c>
      <c r="E2533" s="1" t="str">
        <f ca="1">IFERROR(__xludf.DUMMYFUNCTION("GOOGLETRANSLATE(English!E2533, ""en"", ""bg"")"),"Как да разберете дали е възникнала химическа реакция?")</f>
        <v>Как да разберете дали е възникнала химическа реакция?</v>
      </c>
      <c r="F2533" s="1" t="str">
        <f ca="1">IFERROR(__xludf.DUMMYFUNCTION("GOOGLETRANSLATE(English!F2533,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2533" s="1" t="str">
        <f ca="1">IFERROR(__xludf.DUMMYFUNCTION("GOOGLETRANSLATE(English!G2533, ""en"", ""bg"")"),"direct_qa")</f>
        <v>direct_qa</v>
      </c>
      <c r="H2533" s="1" t="str">
        <f ca="1">IFERROR(__xludf.DUMMYFUNCTION("GOOGLETRANSLATE(English!H2533, ""en"", ""bg"")"),"заявка_за_знание")</f>
        <v>заявка_за_знание</v>
      </c>
    </row>
    <row r="2534" spans="1:8" ht="13.2" x14ac:dyDescent="0.25">
      <c r="A2534" s="1" t="str">
        <f ca="1">IFERROR(__xludf.DUMMYFUNCTION("GOOGLETRANSLATE(English!A2534, ""en"", ""bg"")"),"conv_12628")</f>
        <v>conv_12628</v>
      </c>
      <c r="B2534" s="1" t="str">
        <f ca="1">IFERROR(__xludf.DUMMYFUNCTION("GOOGLETRANSLATE(English!B2534, ""en"", ""bg"")"),"биология")</f>
        <v>биология</v>
      </c>
      <c r="C2534" s="1" t="str">
        <f ca="1">IFERROR(__xludf.DUMMYFUNCTION("GOOGLETRANSLATE(English!C2534, ""en"", ""bg"")"),"високо")</f>
        <v>високо</v>
      </c>
      <c r="D2534" s="1" t="str">
        <f ca="1">IFERROR(__xludf.DUMMYFUNCTION("GOOGLETRANSLATE(English!D2534, ""en"", ""bg"")"),"модели на наследяване")</f>
        <v>модели на наследяване</v>
      </c>
      <c r="E2534" s="1" t="str">
        <f ca="1">IFERROR(__xludf.DUMMYFUNCTION("GOOGLETRANSLATE(English!E2534, ""en"", ""bg"")"),"Помогнете ми да уча за теста си. Как работят моделите на наследяване?")</f>
        <v>Помогнете ми да уча за теста си. Как работят моделите на наследяване?</v>
      </c>
      <c r="F2534" s="1" t="str">
        <f ca="1">IFERROR(__xludf.DUMMYFUNCTION("GOOGLETRANSLATE(English!F2534,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2534" s="1" t="str">
        <f ca="1">IFERROR(__xludf.DUMMYFUNCTION("GOOGLETRANSLATE(English!G2534, ""en"", ""bg"")"),"разговор")</f>
        <v>разговор</v>
      </c>
      <c r="H2534" s="1" t="str">
        <f ca="1">IFERROR(__xludf.DUMMYFUNCTION("GOOGLETRANSLATE(English!H2534, ""en"", ""bg"")"),"образователна_помощ")</f>
        <v>образователна_помощ</v>
      </c>
    </row>
    <row r="2535" spans="1:8" ht="13.2" x14ac:dyDescent="0.25">
      <c r="A2535" s="1" t="str">
        <f ca="1">IFERROR(__xludf.DUMMYFUNCTION("GOOGLETRANSLATE(English!A2535, ""en"", ""bg"")"),"qa_05763")</f>
        <v>qa_05763</v>
      </c>
      <c r="B2535" s="1" t="str">
        <f ca="1">IFERROR(__xludf.DUMMYFUNCTION("GOOGLETRANSLATE(English!B2535, ""en"", ""bg"")"),"химия")</f>
        <v>химия</v>
      </c>
      <c r="C2535" s="1" t="str">
        <f ca="1">IFERROR(__xludf.DUMMYFUNCTION("GOOGLETRANSLATE(English!C2535, ""en"", ""bg"")"),"средата")</f>
        <v>средата</v>
      </c>
      <c r="D2535" s="1" t="str">
        <f ca="1">IFERROR(__xludf.DUMMYFUNCTION("GOOGLETRANSLATE(English!D2535, ""en"", ""bg"")"),"атоми и молекули")</f>
        <v>атоми и молекули</v>
      </c>
      <c r="E2535" s="1" t="str">
        <f ca="1">IFERROR(__xludf.DUMMYFUNCTION("GOOGLETRANSLATE(English!E2535, ""en"", ""bg"")"),"Какво е атом?")</f>
        <v>Какво е атом?</v>
      </c>
      <c r="F2535" s="1" t="str">
        <f ca="1">IFERROR(__xludf.DUMMYFUNCTION("GOOGLETRANSLATE(English!F2535,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2535" s="1" t="str">
        <f ca="1">IFERROR(__xludf.DUMMYFUNCTION("GOOGLETRANSLATE(English!G2535, ""en"", ""bg"")"),"direct_qa")</f>
        <v>direct_qa</v>
      </c>
      <c r="H2535" s="1" t="str">
        <f ca="1">IFERROR(__xludf.DUMMYFUNCTION("GOOGLETRANSLATE(English!H2535, ""en"", ""bg"")"),"заявка_за_знание")</f>
        <v>заявка_за_знание</v>
      </c>
    </row>
    <row r="2536" spans="1:8" ht="13.2" x14ac:dyDescent="0.25">
      <c r="A2536" s="1" t="str">
        <f ca="1">IFERROR(__xludf.DUMMYFUNCTION("GOOGLETRANSLATE(English!A2536, ""en"", ""bg"")"),"conv_07413")</f>
        <v>conv_07413</v>
      </c>
      <c r="B2536" s="1" t="str">
        <f ca="1">IFERROR(__xludf.DUMMYFUNCTION("GOOGLETRANSLATE(English!B2536, ""en"", ""bg"")"),"химия")</f>
        <v>химия</v>
      </c>
      <c r="C2536" s="1" t="str">
        <f ca="1">IFERROR(__xludf.DUMMYFUNCTION("GOOGLETRANSLATE(English!C2536, ""en"", ""bg"")"),"средата")</f>
        <v>средата</v>
      </c>
      <c r="D2536" s="1" t="str">
        <f ca="1">IFERROR(__xludf.DUMMYFUNCTION("GOOGLETRANSLATE(English!D2536, ""en"", ""bg"")"),"киселини и основи")</f>
        <v>киселини и основи</v>
      </c>
      <c r="E2536" s="1" t="str">
        <f ca="1">IFERROR(__xludf.DUMMYFUNCTION("GOOGLETRANSLATE(English!E2536, ""en"", ""bg"")"),"Можете ли да ми помогнете? Как действат киселините и основите в химията?")</f>
        <v>Можете ли да ми помогнете? Как действат киселините и основите в химията?</v>
      </c>
      <c r="F2536" s="1" t="str">
        <f ca="1">IFERROR(__xludf.DUMMYFUNCTION("GOOGLETRANSLATE(English!F2536,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2536" s="1" t="str">
        <f ca="1">IFERROR(__xludf.DUMMYFUNCTION("GOOGLETRANSLATE(English!G2536, ""en"", ""bg"")"),"разговор")</f>
        <v>разговор</v>
      </c>
      <c r="H2536" s="1" t="str">
        <f ca="1">IFERROR(__xludf.DUMMYFUNCTION("GOOGLETRANSLATE(English!H2536, ""en"", ""bg"")"),"образователна_помощ")</f>
        <v>образователна_помощ</v>
      </c>
    </row>
    <row r="2537" spans="1:8" ht="13.2" x14ac:dyDescent="0.25">
      <c r="A2537" s="1" t="str">
        <f ca="1">IFERROR(__xludf.DUMMYFUNCTION("GOOGLETRANSLATE(English!A2537, ""en"", ""bg"")"),"hw_11426")</f>
        <v>hw_11426</v>
      </c>
      <c r="B2537" s="1" t="str">
        <f ca="1">IFERROR(__xludf.DUMMYFUNCTION("GOOGLETRANSLATE(English!B2537, ""en"", ""bg"")"),"физика")</f>
        <v>физика</v>
      </c>
      <c r="C2537" s="1" t="str">
        <f ca="1">IFERROR(__xludf.DUMMYFUNCTION("GOOGLETRANSLATE(English!C2537, ""en"", ""bg"")"),"елементарен")</f>
        <v>елементарен</v>
      </c>
      <c r="D2537" s="1" t="str">
        <f ca="1">IFERROR(__xludf.DUMMYFUNCTION("GOOGLETRANSLATE(English!D2537, ""en"", ""bg"")"),"горещо и студено")</f>
        <v>горещо и студено</v>
      </c>
      <c r="E2537" s="1" t="str">
        <f ca="1">IFERROR(__xludf.DUMMYFUNCTION("GOOGLETRANSLATE(English!E2537, ""en"", ""bg"")"),"Домашното ми по физика е за горещо и студено. Объркващо е!")</f>
        <v>Домашното ми по физика е за горещо и студено. Объркващо е!</v>
      </c>
      <c r="F2537" s="1" t="str">
        <f ca="1">IFERROR(__xludf.DUMMYFUNCTION("GOOGLETRANSLATE(English!F2537,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2537" s="1" t="str">
        <f ca="1">IFERROR(__xludf.DUMMYFUNCTION("GOOGLETRANSLATE(English!G2537, ""en"", ""bg"")"),"помощ_за_домашно_изпълнение")</f>
        <v>помощ_за_домашно_изпълнение</v>
      </c>
      <c r="H2537" s="1" t="str">
        <f ca="1">IFERROR(__xludf.DUMMYFUNCTION("GOOGLETRANSLATE(English!H2537, ""en"", ""bg"")"),"помощ_за_домашно_задаване")</f>
        <v>помощ_за_домашно_задаване</v>
      </c>
    </row>
    <row r="2538" spans="1:8" ht="13.2" x14ac:dyDescent="0.25">
      <c r="A2538" s="1" t="str">
        <f ca="1">IFERROR(__xludf.DUMMYFUNCTION("GOOGLETRANSLATE(English!A2538, ""en"", ""bg"")"),"conv_15092")</f>
        <v>conv_15092</v>
      </c>
      <c r="B2538" s="1" t="str">
        <f ca="1">IFERROR(__xludf.DUMMYFUNCTION("GOOGLETRANSLATE(English!B2538, ""en"", ""bg"")"),"химия")</f>
        <v>химия</v>
      </c>
      <c r="C2538" s="1" t="str">
        <f ca="1">IFERROR(__xludf.DUMMYFUNCTION("GOOGLETRANSLATE(English!C2538, ""en"", ""bg"")"),"високо")</f>
        <v>високо</v>
      </c>
      <c r="D2538" s="1" t="str">
        <f ca="1">IFERROR(__xludf.DUMMYFUNCTION("GOOGLETRANSLATE(English!D2538, ""en"", ""bg"")"),"химическо свързване")</f>
        <v>химическо свързване</v>
      </c>
      <c r="E2538" s="1" t="str">
        <f ca="1">IFERROR(__xludf.DUMMYFUNCTION("GOOGLETRANSLATE(English!E2538, ""en"", ""bg"")"),"Помогнете ми да уча за теста. Какво представлява химичното свързване?")</f>
        <v>Помогнете ми да уча за теста. Какво представлява химичното свързване?</v>
      </c>
      <c r="F2538" s="1" t="str">
        <f ca="1">IFERROR(__xludf.DUMMYFUNCTION("GOOGLETRANSLATE(English!F2538,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2538" s="1" t="str">
        <f ca="1">IFERROR(__xludf.DUMMYFUNCTION("GOOGLETRANSLATE(English!G2538, ""en"", ""bg"")"),"разговор")</f>
        <v>разговор</v>
      </c>
      <c r="H2538" s="1" t="str">
        <f ca="1">IFERROR(__xludf.DUMMYFUNCTION("GOOGLETRANSLATE(English!H2538, ""en"", ""bg"")"),"образователна_помощ")</f>
        <v>образователна_помощ</v>
      </c>
    </row>
    <row r="2539" spans="1:8" ht="13.2" x14ac:dyDescent="0.25">
      <c r="A2539" s="1" t="str">
        <f ca="1">IFERROR(__xludf.DUMMYFUNCTION("GOOGLETRANSLATE(English!A2539, ""en"", ""bg"")"),"hw_04753")</f>
        <v>hw_04753</v>
      </c>
      <c r="B2539" s="1" t="str">
        <f ca="1">IFERROR(__xludf.DUMMYFUNCTION("GOOGLETRANSLATE(English!B2539, ""en"", ""bg"")"),"химия")</f>
        <v>химия</v>
      </c>
      <c r="C2539" s="1" t="str">
        <f ca="1">IFERROR(__xludf.DUMMYFUNCTION("GOOGLETRANSLATE(English!C2539, ""en"", ""bg"")"),"високо")</f>
        <v>високо</v>
      </c>
      <c r="D2539" s="1" t="str">
        <f ca="1">IFERROR(__xludf.DUMMYFUNCTION("GOOGLETRANSLATE(English!D2539, ""en"", ""bg"")"),"равновесие")</f>
        <v>равновесие</v>
      </c>
      <c r="E2539" s="1" t="str">
        <f ca="1">IFERROR(__xludf.DUMMYFUNCTION("GOOGLETRANSLATE(English!E2539, ""en"", ""bg"")"),"Трудно ми е да пазя равновесието си в домашните.")</f>
        <v>Трудно ми е да пазя равновесието си в домашните.</v>
      </c>
      <c r="F2539" s="1" t="str">
        <f ca="1">IFERROR(__xludf.DUMMYFUNCTION("GOOGLETRANSLATE(English!F2539,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2539" s="1" t="str">
        <f ca="1">IFERROR(__xludf.DUMMYFUNCTION("GOOGLETRANSLATE(English!G2539, ""en"", ""bg"")"),"помощ_за_домашно_изпълнение")</f>
        <v>помощ_за_домашно_изпълнение</v>
      </c>
      <c r="H2539" s="1" t="str">
        <f ca="1">IFERROR(__xludf.DUMMYFUNCTION("GOOGLETRANSLATE(English!H2539, ""en"", ""bg"")"),"помощ_за_домашно_задаване")</f>
        <v>помощ_за_домашно_задаване</v>
      </c>
    </row>
    <row r="2540" spans="1:8" ht="13.2" x14ac:dyDescent="0.25">
      <c r="A2540" s="1" t="str">
        <f ca="1">IFERROR(__xludf.DUMMYFUNCTION("GOOGLETRANSLATE(English!A2540, ""en"", ""bg"")"),"qa_10135")</f>
        <v>qa_10135</v>
      </c>
      <c r="B2540" s="1" t="str">
        <f ca="1">IFERROR(__xludf.DUMMYFUNCTION("GOOGLETRANSLATE(English!B2540, ""en"", ""bg"")"),"физика")</f>
        <v>физика</v>
      </c>
      <c r="C2540" s="1" t="str">
        <f ca="1">IFERROR(__xludf.DUMMYFUNCTION("GOOGLETRANSLATE(English!C2540, ""en"", ""bg"")"),"елементарен")</f>
        <v>елементарен</v>
      </c>
      <c r="D2540" s="1" t="str">
        <f ca="1">IFERROR(__xludf.DUMMYFUNCTION("GOOGLETRANSLATE(English!D2540, ""en"", ""bg"")"),"прости машини")</f>
        <v>прости машини</v>
      </c>
      <c r="E2540" s="1" t="str">
        <f ca="1">IFERROR(__xludf.DUMMYFUNCTION("GOOGLETRANSLATE(English!E2540, ""en"", ""bg"")"),"Защо простите машини са важни?")</f>
        <v>Защо простите машини са важни?</v>
      </c>
      <c r="F2540" s="1" t="str">
        <f ca="1">IFERROR(__xludf.DUMMYFUNCTION("GOOGLETRANSLATE(English!F2540,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2540" s="1" t="str">
        <f ca="1">IFERROR(__xludf.DUMMYFUNCTION("GOOGLETRANSLATE(English!G2540, ""en"", ""bg"")"),"direct_qa")</f>
        <v>direct_qa</v>
      </c>
      <c r="H2540" s="1" t="str">
        <f ca="1">IFERROR(__xludf.DUMMYFUNCTION("GOOGLETRANSLATE(English!H2540, ""en"", ""bg"")"),"заявка_за_знание")</f>
        <v>заявка_за_знание</v>
      </c>
    </row>
    <row r="2541" spans="1:8" ht="13.2" x14ac:dyDescent="0.25">
      <c r="A2541" s="1" t="str">
        <f ca="1">IFERROR(__xludf.DUMMYFUNCTION("GOOGLETRANSLATE(English!A2541, ""en"", ""bg"")"),"conv_16744")</f>
        <v>conv_16744</v>
      </c>
      <c r="B2541" s="1" t="str">
        <f ca="1">IFERROR(__xludf.DUMMYFUNCTION("GOOGLETRANSLATE(English!B2541, ""en"", ""bg"")"),"химия")</f>
        <v>химия</v>
      </c>
      <c r="C2541" s="1" t="str">
        <f ca="1">IFERROR(__xludf.DUMMYFUNCTION("GOOGLETRANSLATE(English!C2541, ""en"", ""bg"")"),"елементарен")</f>
        <v>елементарен</v>
      </c>
      <c r="D2541" s="1" t="str">
        <f ca="1">IFERROR(__xludf.DUMMYFUNCTION("GOOGLETRANSLATE(English!D2541, ""en"", ""bg"")"),"твърди вещества, течности, газове")</f>
        <v>твърди вещества, течности, газове</v>
      </c>
      <c r="E2541" s="1" t="str">
        <f ca="1">IFERROR(__xludf.DUMMYFUNCTION("GOOGLETRANSLATE(English!E2541, ""en"", ""bg"")"),"Не разбирам тази тема. Как водата преминава от течност в газообразно състояние?")</f>
        <v>Не разбирам тази тема. Как водата преминава от течност в газообразно състояние?</v>
      </c>
      <c r="F2541" s="1" t="str">
        <f ca="1">IFERROR(__xludf.DUMMYFUNCTION("GOOGLETRANSLATE(English!F2541,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2541" s="1" t="str">
        <f ca="1">IFERROR(__xludf.DUMMYFUNCTION("GOOGLETRANSLATE(English!G2541, ""en"", ""bg"")"),"разговор")</f>
        <v>разговор</v>
      </c>
      <c r="H2541" s="1" t="str">
        <f ca="1">IFERROR(__xludf.DUMMYFUNCTION("GOOGLETRANSLATE(English!H2541, ""en"", ""bg"")"),"образователна_помощ")</f>
        <v>образователна_помощ</v>
      </c>
    </row>
    <row r="2542" spans="1:8" ht="13.2" x14ac:dyDescent="0.25">
      <c r="A2542" s="1" t="str">
        <f ca="1">IFERROR(__xludf.DUMMYFUNCTION("GOOGLETRANSLATE(English!A2542, ""en"", ""bg"")"),"qa_02759")</f>
        <v>qa_02759</v>
      </c>
      <c r="B2542" s="1" t="str">
        <f ca="1">IFERROR(__xludf.DUMMYFUNCTION("GOOGLETRANSLATE(English!B2542, ""en"", ""bg"")"),"химия")</f>
        <v>химия</v>
      </c>
      <c r="C2542" s="1" t="str">
        <f ca="1">IFERROR(__xludf.DUMMYFUNCTION("GOOGLETRANSLATE(English!C2542, ""en"", ""bg"")"),"високо")</f>
        <v>високо</v>
      </c>
      <c r="D2542" s="1" t="str">
        <f ca="1">IFERROR(__xludf.DUMMYFUNCTION("GOOGLETRANSLATE(English!D2542, ""en"", ""bg"")"),"електрохимия")</f>
        <v>електрохимия</v>
      </c>
      <c r="E2542" s="1" t="str">
        <f ca="1">IFERROR(__xludf.DUMMYFUNCTION("GOOGLETRANSLATE(English!E2542, ""en"", ""bg"")"),"Защо е важно да се учи електрохимия?")</f>
        <v>Защо е важно да се учи електрохимия?</v>
      </c>
      <c r="F2542" s="1" t="str">
        <f ca="1">IFERROR(__xludf.DUMMYFUNCTION("GOOGLETRANSLATE(English!F2542,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2542" s="1" t="str">
        <f ca="1">IFERROR(__xludf.DUMMYFUNCTION("GOOGLETRANSLATE(English!G2542, ""en"", ""bg"")"),"direct_qa")</f>
        <v>direct_qa</v>
      </c>
      <c r="H2542" s="1" t="str">
        <f ca="1">IFERROR(__xludf.DUMMYFUNCTION("GOOGLETRANSLATE(English!H2542, ""en"", ""bg"")"),"заявка_за_знание")</f>
        <v>заявка_за_знание</v>
      </c>
    </row>
    <row r="2543" spans="1:8" ht="13.2" x14ac:dyDescent="0.25">
      <c r="A2543" s="1" t="str">
        <f ca="1">IFERROR(__xludf.DUMMYFUNCTION("GOOGLETRANSLATE(English!A2543, ""en"", ""bg"")"),"qa_14765")</f>
        <v>qa_14765</v>
      </c>
      <c r="B2543" s="1" t="str">
        <f ca="1">IFERROR(__xludf.DUMMYFUNCTION("GOOGLETRANSLATE(English!B2543, ""en"", ""bg"")"),"физика")</f>
        <v>физика</v>
      </c>
      <c r="C2543" s="1" t="str">
        <f ca="1">IFERROR(__xludf.DUMMYFUNCTION("GOOGLETRANSLATE(English!C2543, ""en"", ""bg"")"),"елементарен")</f>
        <v>елементарен</v>
      </c>
      <c r="D2543" s="1" t="str">
        <f ca="1">IFERROR(__xludf.DUMMYFUNCTION("GOOGLETRANSLATE(English!D2543, ""en"", ""bg"")"),"звук")</f>
        <v>звук</v>
      </c>
      <c r="E2543" s="1" t="str">
        <f ca="1">IFERROR(__xludf.DUMMYFUNCTION("GOOGLETRANSLATE(English!E2543, ""en"", ""bg"")"),"Как работи звукът във физиката?")</f>
        <v>Как работи звукът във физиката?</v>
      </c>
      <c r="F2543" s="1" t="str">
        <f ca="1">IFERROR(__xludf.DUMMYFUNCTION("GOOGLETRANSLATE(English!F2543,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2543" s="1" t="str">
        <f ca="1">IFERROR(__xludf.DUMMYFUNCTION("GOOGLETRANSLATE(English!G2543, ""en"", ""bg"")"),"direct_qa")</f>
        <v>direct_qa</v>
      </c>
      <c r="H2543" s="1" t="str">
        <f ca="1">IFERROR(__xludf.DUMMYFUNCTION("GOOGLETRANSLATE(English!H2543, ""en"", ""bg"")"),"заявка_за_знание")</f>
        <v>заявка_за_знание</v>
      </c>
    </row>
    <row r="2544" spans="1:8" ht="13.2" x14ac:dyDescent="0.25">
      <c r="A2544" s="1" t="str">
        <f ca="1">IFERROR(__xludf.DUMMYFUNCTION("GOOGLETRANSLATE(English!A2544, ""en"", ""bg"")"),"conv_19472")</f>
        <v>conv_19472</v>
      </c>
      <c r="B2544" s="1" t="str">
        <f ca="1">IFERROR(__xludf.DUMMYFUNCTION("GOOGLETRANSLATE(English!B2544, ""en"", ""bg"")"),"биология")</f>
        <v>биология</v>
      </c>
      <c r="C2544" s="1" t="str">
        <f ca="1">IFERROR(__xludf.DUMMYFUNCTION("GOOGLETRANSLATE(English!C2544, ""en"", ""bg"")"),"елементарен")</f>
        <v>елементарен</v>
      </c>
      <c r="D2544" s="1" t="str">
        <f ca="1">IFERROR(__xludf.DUMMYFUNCTION("GOOGLETRANSLATE(English!D2544, ""en"", ""bg"")"),"човешкото тяло")</f>
        <v>човешкото тяло</v>
      </c>
      <c r="E2544" s="1" t="str">
        <f ca="1">IFERROR(__xludf.DUMMYFUNCTION("GOOGLETRANSLATE(English!E2544, ""en"", ""bg"")"),"Здравей, преподавателю! Как работи човешкото тяло?")</f>
        <v>Здравей, преподавателю! Как работи човешкото тяло?</v>
      </c>
      <c r="F2544" s="1" t="str">
        <f ca="1">IFERROR(__xludf.DUMMYFUNCTION("GOOGLETRANSLATE(English!F2544,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2544" s="1" t="str">
        <f ca="1">IFERROR(__xludf.DUMMYFUNCTION("GOOGLETRANSLATE(English!G2544, ""en"", ""bg"")"),"разговор")</f>
        <v>разговор</v>
      </c>
      <c r="H2544" s="1" t="str">
        <f ca="1">IFERROR(__xludf.DUMMYFUNCTION("GOOGLETRANSLATE(English!H2544, ""en"", ""bg"")"),"образователна_помощ")</f>
        <v>образователна_помощ</v>
      </c>
    </row>
    <row r="2545" spans="1:8" ht="13.2" x14ac:dyDescent="0.25">
      <c r="A2545" s="1" t="str">
        <f ca="1">IFERROR(__xludf.DUMMYFUNCTION("GOOGLETRANSLATE(English!A2545, ""en"", ""bg"")"),"qa_05226")</f>
        <v>qa_05226</v>
      </c>
      <c r="B2545" s="1" t="str">
        <f ca="1">IFERROR(__xludf.DUMMYFUNCTION("GOOGLETRANSLATE(English!B2545, ""en"", ""bg"")"),"химия")</f>
        <v>химия</v>
      </c>
      <c r="C2545" s="1" t="str">
        <f ca="1">IFERROR(__xludf.DUMMYFUNCTION("GOOGLETRANSLATE(English!C2545, ""en"", ""bg"")"),"средата")</f>
        <v>средата</v>
      </c>
      <c r="D2545" s="1" t="str">
        <f ca="1">IFERROR(__xludf.DUMMYFUNCTION("GOOGLETRANSLATE(English!D2545, ""en"", ""bg"")"),"химични реакции")</f>
        <v>химични реакции</v>
      </c>
      <c r="E2545" s="1" t="str">
        <f ca="1">IFERROR(__xludf.DUMMYFUNCTION("GOOGLETRANSLATE(English!E2545, ""en"", ""bg"")"),"Какво представляват реагентите и продуктите?")</f>
        <v>Какво представляват реагентите и продуктите?</v>
      </c>
      <c r="F2545" s="1" t="str">
        <f ca="1">IFERROR(__xludf.DUMMYFUNCTION("GOOGLETRANSLATE(English!F2545,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2545" s="1" t="str">
        <f ca="1">IFERROR(__xludf.DUMMYFUNCTION("GOOGLETRANSLATE(English!G2545, ""en"", ""bg"")"),"direct_qa")</f>
        <v>direct_qa</v>
      </c>
      <c r="H2545" s="1" t="str">
        <f ca="1">IFERROR(__xludf.DUMMYFUNCTION("GOOGLETRANSLATE(English!H2545, ""en"", ""bg"")"),"заявка_за_знание")</f>
        <v>заявка_за_знание</v>
      </c>
    </row>
    <row r="2546" spans="1:8" ht="13.2" x14ac:dyDescent="0.25">
      <c r="A2546" s="1" t="str">
        <f ca="1">IFERROR(__xludf.DUMMYFUNCTION("GOOGLETRANSLATE(English!A2546, ""en"", ""bg"")"),"qa_10687")</f>
        <v>qa_10687</v>
      </c>
      <c r="B2546" s="1" t="str">
        <f ca="1">IFERROR(__xludf.DUMMYFUNCTION("GOOGLETRANSLATE(English!B2546, ""en"", ""bg"")"),"химия")</f>
        <v>химия</v>
      </c>
      <c r="C2546" s="1" t="str">
        <f ca="1">IFERROR(__xludf.DUMMYFUNCTION("GOOGLETRANSLATE(English!C2546, ""en"", ""bg"")"),"високо")</f>
        <v>високо</v>
      </c>
      <c r="D2546" s="1" t="str">
        <f ca="1">IFERROR(__xludf.DUMMYFUNCTION("GOOGLETRANSLATE(English!D2546, ""en"", ""bg"")"),"електрохимия")</f>
        <v>електрохимия</v>
      </c>
      <c r="E2546" s="1" t="str">
        <f ca="1">IFERROR(__xludf.DUMMYFUNCTION("GOOGLETRANSLATE(English!E2546, ""en"", ""bg"")"),"Какво представлява електрохимията?")</f>
        <v>Какво представлява електрохимията?</v>
      </c>
      <c r="F2546" s="1" t="str">
        <f ca="1">IFERROR(__xludf.DUMMYFUNCTION("GOOGLETRANSLATE(English!F2546,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2546" s="1" t="str">
        <f ca="1">IFERROR(__xludf.DUMMYFUNCTION("GOOGLETRANSLATE(English!G2546, ""en"", ""bg"")"),"direct_qa")</f>
        <v>direct_qa</v>
      </c>
      <c r="H2546" s="1" t="str">
        <f ca="1">IFERROR(__xludf.DUMMYFUNCTION("GOOGLETRANSLATE(English!H2546, ""en"", ""bg"")"),"заявка_за_знание")</f>
        <v>заявка_за_знание</v>
      </c>
    </row>
    <row r="2547" spans="1:8" ht="13.2" x14ac:dyDescent="0.25">
      <c r="A2547" s="1" t="str">
        <f ca="1">IFERROR(__xludf.DUMMYFUNCTION("GOOGLETRANSLATE(English!A2547, ""en"", ""bg"")"),"qa_02750")</f>
        <v>qa_02750</v>
      </c>
      <c r="B2547" s="1" t="str">
        <f ca="1">IFERROR(__xludf.DUMMYFUNCTION("GOOGLETRANSLATE(English!B2547, ""en"", ""bg"")"),"физика")</f>
        <v>физика</v>
      </c>
      <c r="C2547" s="1" t="str">
        <f ca="1">IFERROR(__xludf.DUMMYFUNCTION("GOOGLETRANSLATE(English!C2547, ""en"", ""bg"")"),"елементарен")</f>
        <v>елементарен</v>
      </c>
      <c r="D2547" s="1" t="str">
        <f ca="1">IFERROR(__xludf.DUMMYFUNCTION("GOOGLETRANSLATE(English!D2547, ""en"", ""bg"")"),"прости машини")</f>
        <v>прости машини</v>
      </c>
      <c r="E2547" s="1" t="str">
        <f ca="1">IFERROR(__xludf.DUMMYFUNCTION("GOOGLETRANSLATE(English!E2547, ""en"", ""bg"")"),"Как работят прости машини във физиката?")</f>
        <v>Как работят прости машини във физиката?</v>
      </c>
      <c r="F2547" s="1" t="str">
        <f ca="1">IFERROR(__xludf.DUMMYFUNCTION("GOOGLETRANSLATE(English!F2547,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2547" s="1" t="str">
        <f ca="1">IFERROR(__xludf.DUMMYFUNCTION("GOOGLETRANSLATE(English!G2547, ""en"", ""bg"")"),"direct_qa")</f>
        <v>direct_qa</v>
      </c>
      <c r="H2547" s="1" t="str">
        <f ca="1">IFERROR(__xludf.DUMMYFUNCTION("GOOGLETRANSLATE(English!H2547, ""en"", ""bg"")"),"заявка_за_знание")</f>
        <v>заявка_за_знание</v>
      </c>
    </row>
    <row r="2548" spans="1:8" ht="13.2" x14ac:dyDescent="0.25">
      <c r="A2548" s="1" t="str">
        <f ca="1">IFERROR(__xludf.DUMMYFUNCTION("GOOGLETRANSLATE(English!A2548, ""en"", ""bg"")"),"conv_10239")</f>
        <v>conv_10239</v>
      </c>
      <c r="B2548" s="1" t="str">
        <f ca="1">IFERROR(__xludf.DUMMYFUNCTION("GOOGLETRANSLATE(English!B2548, ""en"", ""bg"")"),"биология")</f>
        <v>биология</v>
      </c>
      <c r="C2548" s="1" t="str">
        <f ca="1">IFERROR(__xludf.DUMMYFUNCTION("GOOGLETRANSLATE(English!C2548, ""en"", ""bg"")"),"елементарен")</f>
        <v>елементарен</v>
      </c>
      <c r="D2548" s="1" t="str">
        <f ca="1">IFERROR(__xludf.DUMMYFUNCTION("GOOGLETRANSLATE(English!D2548, ""en"", ""bg"")"),"сетива")</f>
        <v>сетива</v>
      </c>
      <c r="E2548" s="1" t="str">
        <f ca="1">IFERROR(__xludf.DUMMYFUNCTION("GOOGLETRANSLATE(English!E2548, ""en"", ""bg"")"),"Имам нужда от помощ с домашното си. Как работят сетивата?")</f>
        <v>Имам нужда от помощ с домашното си. Как работят сетивата?</v>
      </c>
      <c r="F2548" s="1" t="str">
        <f ca="1">IFERROR(__xludf.DUMMYFUNCTION("GOOGLETRANSLATE(English!F2548,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2548" s="1" t="str">
        <f ca="1">IFERROR(__xludf.DUMMYFUNCTION("GOOGLETRANSLATE(English!G2548, ""en"", ""bg"")"),"разговор")</f>
        <v>разговор</v>
      </c>
      <c r="H2548" s="1" t="str">
        <f ca="1">IFERROR(__xludf.DUMMYFUNCTION("GOOGLETRANSLATE(English!H2548, ""en"", ""bg"")"),"образователна_помощ")</f>
        <v>образователна_помощ</v>
      </c>
    </row>
    <row r="2549" spans="1:8" ht="13.2" x14ac:dyDescent="0.25">
      <c r="A2549" s="1" t="str">
        <f ca="1">IFERROR(__xludf.DUMMYFUNCTION("GOOGLETRANSLATE(English!A2549, ""en"", ""bg"")"),"hw_11186")</f>
        <v>hw_11186</v>
      </c>
      <c r="B2549" s="1" t="str">
        <f ca="1">IFERROR(__xludf.DUMMYFUNCTION("GOOGLETRANSLATE(English!B2549, ""en"", ""bg"")"),"химия")</f>
        <v>химия</v>
      </c>
      <c r="C2549" s="1" t="str">
        <f ca="1">IFERROR(__xludf.DUMMYFUNCTION("GOOGLETRANSLATE(English!C2549, ""en"", ""bg"")"),"високо")</f>
        <v>високо</v>
      </c>
      <c r="D2549" s="1" t="str">
        <f ca="1">IFERROR(__xludf.DUMMYFUNCTION("GOOGLETRANSLATE(English!D2549, ""en"", ""bg"")"),"електрохимия")</f>
        <v>електрохимия</v>
      </c>
      <c r="E2549" s="1" t="str">
        <f ca="1">IFERROR(__xludf.DUMMYFUNCTION("GOOGLETRANSLATE(English!E2549,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2549" s="1" t="str">
        <f ca="1">IFERROR(__xludf.DUMMYFUNCTION("GOOGLETRANSLATE(English!F2549,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2549" s="1" t="str">
        <f ca="1">IFERROR(__xludf.DUMMYFUNCTION("GOOGLETRANSLATE(English!G2549, ""en"", ""bg"")"),"помощ_за_домашно_изпълнение")</f>
        <v>помощ_за_домашно_изпълнение</v>
      </c>
      <c r="H2549" s="1" t="str">
        <f ca="1">IFERROR(__xludf.DUMMYFUNCTION("GOOGLETRANSLATE(English!H2549, ""en"", ""bg"")"),"помощ_за_домашно_задаване")</f>
        <v>помощ_за_домашно_задаване</v>
      </c>
    </row>
    <row r="2550" spans="1:8" ht="13.2" x14ac:dyDescent="0.25">
      <c r="A2550" s="1" t="str">
        <f ca="1">IFERROR(__xludf.DUMMYFUNCTION("GOOGLETRANSLATE(English!A2550, ""en"", ""bg"")"),"qa_07672")</f>
        <v>qa_07672</v>
      </c>
      <c r="B2550" s="1" t="str">
        <f ca="1">IFERROR(__xludf.DUMMYFUNCTION("GOOGLETRANSLATE(English!B2550, ""en"", ""bg"")"),"химия")</f>
        <v>химия</v>
      </c>
      <c r="C2550" s="1" t="str">
        <f ca="1">IFERROR(__xludf.DUMMYFUNCTION("GOOGLETRANSLATE(English!C2550, ""en"", ""bg"")"),"средата")</f>
        <v>средата</v>
      </c>
      <c r="D2550" s="1" t="str">
        <f ca="1">IFERROR(__xludf.DUMMYFUNCTION("GOOGLETRANSLATE(English!D2550, ""en"", ""bg"")"),"химични промени")</f>
        <v>химични промени</v>
      </c>
      <c r="E2550" s="1" t="str">
        <f ca="1">IFERROR(__xludf.DUMMYFUNCTION("GOOGLETRANSLATE(English!E2550, ""en"", ""bg"")"),"Какво представляват химичните промени?")</f>
        <v>Какво представляват химичните промени?</v>
      </c>
      <c r="F2550" s="1" t="str">
        <f ca="1">IFERROR(__xludf.DUMMYFUNCTION("GOOGLETRANSLATE(English!F2550,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2550" s="1" t="str">
        <f ca="1">IFERROR(__xludf.DUMMYFUNCTION("GOOGLETRANSLATE(English!G2550, ""en"", ""bg"")"),"direct_qa")</f>
        <v>direct_qa</v>
      </c>
      <c r="H2550" s="1" t="str">
        <f ca="1">IFERROR(__xludf.DUMMYFUNCTION("GOOGLETRANSLATE(English!H2550, ""en"", ""bg"")"),"заявка_за_знание")</f>
        <v>заявка_за_знание</v>
      </c>
    </row>
    <row r="2551" spans="1:8" ht="13.2" x14ac:dyDescent="0.25">
      <c r="A2551" s="1" t="str">
        <f ca="1">IFERROR(__xludf.DUMMYFUNCTION("GOOGLETRANSLATE(English!A2551, ""en"", ""bg"")"),"hw_02326")</f>
        <v>hw_02326</v>
      </c>
      <c r="B2551" s="1" t="str">
        <f ca="1">IFERROR(__xludf.DUMMYFUNCTION("GOOGLETRANSLATE(English!B2551, ""en"", ""bg"")"),"биология")</f>
        <v>биология</v>
      </c>
      <c r="C2551" s="1" t="str">
        <f ca="1">IFERROR(__xludf.DUMMYFUNCTION("GOOGLETRANSLATE(English!C2551, ""en"", ""bg"")"),"елементарен")</f>
        <v>елементарен</v>
      </c>
      <c r="D2551" s="1" t="str">
        <f ca="1">IFERROR(__xludf.DUMMYFUNCTION("GOOGLETRANSLATE(English!D2551, ""en"", ""bg"")"),"местообитания")</f>
        <v>местообитания</v>
      </c>
      <c r="E2551" s="1" t="str">
        <f ca="1">IFERROR(__xludf.DUMMYFUNCTION("GOOGLETRANSLATE(English!E2551, ""en"", ""bg"")"),"Трябва да напиша доклад за местообитанията. Можете ли да ми помогнете да започна?")</f>
        <v>Трябва да напиша доклад за местообитанията. Можете ли да ми помогнете да започна?</v>
      </c>
      <c r="F2551" s="1" t="str">
        <f ca="1">IFERROR(__xludf.DUMMYFUNCTION("GOOGLETRANSLATE(English!F2551,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2551" s="1" t="str">
        <f ca="1">IFERROR(__xludf.DUMMYFUNCTION("GOOGLETRANSLATE(English!G2551, ""en"", ""bg"")"),"помощ_за_домашно_изпълнение")</f>
        <v>помощ_за_домашно_изпълнение</v>
      </c>
      <c r="H2551" s="1" t="str">
        <f ca="1">IFERROR(__xludf.DUMMYFUNCTION("GOOGLETRANSLATE(English!H2551, ""en"", ""bg"")"),"помощ_за_домашно_задаване")</f>
        <v>помощ_за_домашно_задаване</v>
      </c>
    </row>
    <row r="2552" spans="1:8" ht="13.2" x14ac:dyDescent="0.25">
      <c r="A2552" s="1" t="str">
        <f ca="1">IFERROR(__xludf.DUMMYFUNCTION("GOOGLETRANSLATE(English!A2552, ""en"", ""bg"")"),"qa_02477")</f>
        <v>qa_02477</v>
      </c>
      <c r="B2552" s="1" t="str">
        <f ca="1">IFERROR(__xludf.DUMMYFUNCTION("GOOGLETRANSLATE(English!B2552, ""en"", ""bg"")"),"химия")</f>
        <v>химия</v>
      </c>
      <c r="C2552" s="1" t="str">
        <f ca="1">IFERROR(__xludf.DUMMYFUNCTION("GOOGLETRANSLATE(English!C2552, ""en"", ""bg"")"),"високо")</f>
        <v>високо</v>
      </c>
      <c r="D2552" s="1" t="str">
        <f ca="1">IFERROR(__xludf.DUMMYFUNCTION("GOOGLETRANSLATE(English!D2552, ""en"", ""bg"")"),"стехиометрия")</f>
        <v>стехиометрия</v>
      </c>
      <c r="E2552" s="1" t="str">
        <f ca="1">IFERROR(__xludf.DUMMYFUNCTION("GOOGLETRANSLATE(English!E2552, ""en"", ""bg"")"),"Защо е важно да се учи стехиометрията?")</f>
        <v>Защо е важно да се учи стехиометрията?</v>
      </c>
      <c r="F2552" s="1" t="str">
        <f ca="1">IFERROR(__xludf.DUMMYFUNCTION("GOOGLETRANSLATE(English!F2552,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2552" s="1" t="str">
        <f ca="1">IFERROR(__xludf.DUMMYFUNCTION("GOOGLETRANSLATE(English!G2552, ""en"", ""bg"")"),"direct_qa")</f>
        <v>direct_qa</v>
      </c>
      <c r="H2552" s="1" t="str">
        <f ca="1">IFERROR(__xludf.DUMMYFUNCTION("GOOGLETRANSLATE(English!H2552, ""en"", ""bg"")"),"заявка_за_знание")</f>
        <v>заявка_за_знание</v>
      </c>
    </row>
    <row r="2553" spans="1:8" ht="13.2" x14ac:dyDescent="0.25">
      <c r="A2553" s="1" t="str">
        <f ca="1">IFERROR(__xludf.DUMMYFUNCTION("GOOGLETRANSLATE(English!A2553, ""en"", ""bg"")"),"conv_15325")</f>
        <v>conv_15325</v>
      </c>
      <c r="B2553" s="1" t="str">
        <f ca="1">IFERROR(__xludf.DUMMYFUNCTION("GOOGLETRANSLATE(English!B2553, ""en"", ""bg"")"),"биология")</f>
        <v>биология</v>
      </c>
      <c r="C2553" s="1" t="str">
        <f ca="1">IFERROR(__xludf.DUMMYFUNCTION("GOOGLETRANSLATE(English!C2553, ""en"", ""bg"")"),"средата")</f>
        <v>средата</v>
      </c>
      <c r="D2553" s="1" t="str">
        <f ca="1">IFERROR(__xludf.DUMMYFUNCTION("GOOGLETRANSLATE(English!D2553, ""en"", ""bg"")"),"клетки")</f>
        <v>клетки</v>
      </c>
      <c r="E2553" s="1" t="str">
        <f ca="1">IFERROR(__xludf.DUMMYFUNCTION("GOOGLETRANSLATE(English!E2553, ""en"", ""bg"")"),"Не разбирам тази тема. По какво се различават растителните и животинските клетки?")</f>
        <v>Не разбирам тази тема. По какво се различават растителните и животинските клетки?</v>
      </c>
      <c r="F2553" s="1" t="str">
        <f ca="1">IFERROR(__xludf.DUMMYFUNCTION("GOOGLETRANSLATE(English!F2553, ""en"", ""bg"")"),"Растителните клетки имат клетъчна стена и хлоропласти, които животинските клетки нямат. Животинските клетки са по-гъвкави.")</f>
        <v>Растителните клетки имат клетъчна стена и хлоропласти, които животинските клетки нямат. Животинските клетки са по-гъвкави.</v>
      </c>
      <c r="G2553" s="1" t="str">
        <f ca="1">IFERROR(__xludf.DUMMYFUNCTION("GOOGLETRANSLATE(English!G2553, ""en"", ""bg"")"),"разговор")</f>
        <v>разговор</v>
      </c>
      <c r="H2553" s="1" t="str">
        <f ca="1">IFERROR(__xludf.DUMMYFUNCTION("GOOGLETRANSLATE(English!H2553, ""en"", ""bg"")"),"образователна_помощ")</f>
        <v>образователна_помощ</v>
      </c>
    </row>
    <row r="2554" spans="1:8" ht="13.2" x14ac:dyDescent="0.25">
      <c r="A2554" s="1" t="str">
        <f ca="1">IFERROR(__xludf.DUMMYFUNCTION("GOOGLETRANSLATE(English!A2554, ""en"", ""bg"")"),"conv_15495")</f>
        <v>conv_15495</v>
      </c>
      <c r="B2554" s="1" t="str">
        <f ca="1">IFERROR(__xludf.DUMMYFUNCTION("GOOGLETRANSLATE(English!B2554, ""en"", ""bg"")"),"химия")</f>
        <v>химия</v>
      </c>
      <c r="C2554" s="1" t="str">
        <f ca="1">IFERROR(__xludf.DUMMYFUNCTION("GOOGLETRANSLATE(English!C2554, ""en"", ""bg"")"),"високо")</f>
        <v>високо</v>
      </c>
      <c r="D2554" s="1" t="str">
        <f ca="1">IFERROR(__xludf.DUMMYFUNCTION("GOOGLETRANSLATE(English!D2554, ""en"", ""bg"")"),"стехиометрия")</f>
        <v>стехиометрия</v>
      </c>
      <c r="E2554" s="1" t="str">
        <f ca="1">IFERROR(__xludf.DUMMYFUNCTION("GOOGLETRANSLATE(English!E2554, ""en"", ""bg"")"),"Имам научен въпрос. Можете ли да ми помогнете да разбера стехиометрията?")</f>
        <v>Имам научен въпрос. Можете ли да ми помогнете да разбера стехиометрията?</v>
      </c>
      <c r="F2554" s="1" t="str">
        <f ca="1">IFERROR(__xludf.DUMMYFUNCTION("GOOGLETRANSLATE(English!F2554,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2554" s="1" t="str">
        <f ca="1">IFERROR(__xludf.DUMMYFUNCTION("GOOGLETRANSLATE(English!G2554, ""en"", ""bg"")"),"разговор")</f>
        <v>разговор</v>
      </c>
      <c r="H2554" s="1" t="str">
        <f ca="1">IFERROR(__xludf.DUMMYFUNCTION("GOOGLETRANSLATE(English!H2554, ""en"", ""bg"")"),"образователна_помощ")</f>
        <v>образователна_помощ</v>
      </c>
    </row>
    <row r="2555" spans="1:8" ht="13.2" x14ac:dyDescent="0.25">
      <c r="A2555" s="1" t="str">
        <f ca="1">IFERROR(__xludf.DUMMYFUNCTION("GOOGLETRANSLATE(English!A2555, ""en"", ""bg"")"),"qa_09383")</f>
        <v>qa_09383</v>
      </c>
      <c r="B2555" s="1" t="str">
        <f ca="1">IFERROR(__xludf.DUMMYFUNCTION("GOOGLETRANSLATE(English!B2555, ""en"", ""bg"")"),"биология")</f>
        <v>биология</v>
      </c>
      <c r="C2555" s="1" t="str">
        <f ca="1">IFERROR(__xludf.DUMMYFUNCTION("GOOGLETRANSLATE(English!C2555, ""en"", ""bg"")"),"елементарен")</f>
        <v>елементарен</v>
      </c>
      <c r="D2555" s="1" t="str">
        <f ca="1">IFERROR(__xludf.DUMMYFUNCTION("GOOGLETRANSLATE(English!D2555, ""en"", ""bg"")"),"хранителни вериги")</f>
        <v>хранителни вериги</v>
      </c>
      <c r="E2555" s="1" t="str">
        <f ca="1">IFERROR(__xludf.DUMMYFUNCTION("GOOGLETRANSLATE(English!E2555, ""en"", ""bg"")"),"Какво е важно да знаем за хранителните вериги?")</f>
        <v>Какво е важно да знаем за хранителните вериги?</v>
      </c>
      <c r="F2555" s="1" t="str">
        <f ca="1">IFERROR(__xludf.DUMMYFUNCTION("GOOGLETRANSLATE(English!F2555,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2555" s="1" t="str">
        <f ca="1">IFERROR(__xludf.DUMMYFUNCTION("GOOGLETRANSLATE(English!G2555, ""en"", ""bg"")"),"direct_qa")</f>
        <v>direct_qa</v>
      </c>
      <c r="H2555" s="1" t="str">
        <f ca="1">IFERROR(__xludf.DUMMYFUNCTION("GOOGLETRANSLATE(English!H2555, ""en"", ""bg"")"),"заявка_за_знание")</f>
        <v>заявка_за_знание</v>
      </c>
    </row>
    <row r="2556" spans="1:8" ht="13.2" x14ac:dyDescent="0.25">
      <c r="A2556" s="1" t="str">
        <f ca="1">IFERROR(__xludf.DUMMYFUNCTION("GOOGLETRANSLATE(English!A2556, ""en"", ""bg"")"),"conv_06941")</f>
        <v>conv_06941</v>
      </c>
      <c r="B2556" s="1" t="str">
        <f ca="1">IFERROR(__xludf.DUMMYFUNCTION("GOOGLETRANSLATE(English!B2556, ""en"", ""bg"")"),"физика")</f>
        <v>физика</v>
      </c>
      <c r="C2556" s="1" t="str">
        <f ca="1">IFERROR(__xludf.DUMMYFUNCTION("GOOGLETRANSLATE(English!C2556, ""en"", ""bg"")"),"елементарен")</f>
        <v>елементарен</v>
      </c>
      <c r="D2556" s="1" t="str">
        <f ca="1">IFERROR(__xludf.DUMMYFUNCTION("GOOGLETRANSLATE(English!D2556, ""en"", ""bg"")"),"звук")</f>
        <v>звук</v>
      </c>
      <c r="E2556" s="1" t="str">
        <f ca="1">IFERROR(__xludf.DUMMYFUNCTION("GOOGLETRANSLATE(English!E2556, ""en"", ""bg"")"),"Здравей, преподавателю! Защо звукът е важен?")</f>
        <v>Здравей, преподавателю! Защо звукът е важен?</v>
      </c>
      <c r="F2556" s="1" t="str">
        <f ca="1">IFERROR(__xludf.DUMMYFUNCTION("GOOGLETRANSLATE(English!F2556,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2556" s="1" t="str">
        <f ca="1">IFERROR(__xludf.DUMMYFUNCTION("GOOGLETRANSLATE(English!G2556, ""en"", ""bg"")"),"разговор")</f>
        <v>разговор</v>
      </c>
      <c r="H2556" s="1" t="str">
        <f ca="1">IFERROR(__xludf.DUMMYFUNCTION("GOOGLETRANSLATE(English!H2556, ""en"", ""bg"")"),"образователна_помощ")</f>
        <v>образователна_помощ</v>
      </c>
    </row>
    <row r="2557" spans="1:8" ht="13.2" x14ac:dyDescent="0.25">
      <c r="A2557" s="1" t="str">
        <f ca="1">IFERROR(__xludf.DUMMYFUNCTION("GOOGLETRANSLATE(English!A2557, ""en"", ""bg"")"),"qa_13711")</f>
        <v>qa_13711</v>
      </c>
      <c r="B2557" s="1" t="str">
        <f ca="1">IFERROR(__xludf.DUMMYFUNCTION("GOOGLETRANSLATE(English!B2557, ""en"", ""bg"")"),"биология")</f>
        <v>биология</v>
      </c>
      <c r="C2557" s="1" t="str">
        <f ca="1">IFERROR(__xludf.DUMMYFUNCTION("GOOGLETRANSLATE(English!C2557, ""en"", ""bg"")"),"елементарен")</f>
        <v>елементарен</v>
      </c>
      <c r="D2557" s="1" t="str">
        <f ca="1">IFERROR(__xludf.DUMMYFUNCTION("GOOGLETRANSLATE(English!D2557, ""en"", ""bg"")"),"хранителни вериги")</f>
        <v>хранителни вериги</v>
      </c>
      <c r="E2557" s="1" t="str">
        <f ca="1">IFERROR(__xludf.DUMMYFUNCTION("GOOGLETRANSLATE(English!E2557, ""en"", ""bg"")"),"Защо хранителните вериги са важни в биологията?")</f>
        <v>Защо хранителните вериги са важни в биологията?</v>
      </c>
      <c r="F2557" s="1" t="str">
        <f ca="1">IFERROR(__xludf.DUMMYFUNCTION("GOOGLETRANSLATE(English!F2557, ""en"", ""bg"")"),"Хранителните вериги са важни, защото ни помагат да разберем живота и как живите същества оцеляват.")</f>
        <v>Хранителните вериги са важни, защото ни помагат да разберем живота и как живите същества оцеляват.</v>
      </c>
      <c r="G2557" s="1" t="str">
        <f ca="1">IFERROR(__xludf.DUMMYFUNCTION("GOOGLETRANSLATE(English!G2557, ""en"", ""bg"")"),"direct_qa")</f>
        <v>direct_qa</v>
      </c>
      <c r="H2557" s="1" t="str">
        <f ca="1">IFERROR(__xludf.DUMMYFUNCTION("GOOGLETRANSLATE(English!H2557, ""en"", ""bg"")"),"заявка_за_знание")</f>
        <v>заявка_за_знание</v>
      </c>
    </row>
    <row r="2558" spans="1:8" ht="13.2" x14ac:dyDescent="0.25">
      <c r="A2558" s="1" t="str">
        <f ca="1">IFERROR(__xludf.DUMMYFUNCTION("GOOGLETRANSLATE(English!A2558, ""en"", ""bg"")"),"hw_14259")</f>
        <v>hw_14259</v>
      </c>
      <c r="B2558" s="1" t="str">
        <f ca="1">IFERROR(__xludf.DUMMYFUNCTION("GOOGLETRANSLATE(English!B2558, ""en"", ""bg"")"),"биология")</f>
        <v>биология</v>
      </c>
      <c r="C2558" s="1" t="str">
        <f ca="1">IFERROR(__xludf.DUMMYFUNCTION("GOOGLETRANSLATE(English!C2558, ""en"", ""bg"")"),"елементарен")</f>
        <v>елементарен</v>
      </c>
      <c r="D2558" s="1" t="str">
        <f ca="1">IFERROR(__xludf.DUMMYFUNCTION("GOOGLETRANSLATE(English!D2558, ""en"", ""bg"")"),"основни нужди")</f>
        <v>основни нужди</v>
      </c>
      <c r="E2558" s="1" t="str">
        <f ca="1">IFERROR(__xludf.DUMMYFUNCTION("GOOGLETRANSLATE(English!E2558, ""en"", ""bg"")"),"Домашното ми пита за основни нужди. Не го разбирам.")</f>
        <v>Домашното ми пита за основни нужди. Не го разбирам.</v>
      </c>
      <c r="F2558" s="1" t="str">
        <f ca="1">IFERROR(__xludf.DUMMYFUNCTION("GOOGLETRANSLATE(English!F2558,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2558" s="1" t="str">
        <f ca="1">IFERROR(__xludf.DUMMYFUNCTION("GOOGLETRANSLATE(English!G2558, ""en"", ""bg"")"),"помощ_за_домашно_изпълнение")</f>
        <v>помощ_за_домашно_изпълнение</v>
      </c>
      <c r="H2558" s="1" t="str">
        <f ca="1">IFERROR(__xludf.DUMMYFUNCTION("GOOGLETRANSLATE(English!H2558, ""en"", ""bg"")"),"помощ_за_домашно_задаване")</f>
        <v>помощ_за_домашно_задаване</v>
      </c>
    </row>
    <row r="2559" spans="1:8" ht="13.2" x14ac:dyDescent="0.25">
      <c r="A2559" s="1" t="str">
        <f ca="1">IFERROR(__xludf.DUMMYFUNCTION("GOOGLETRANSLATE(English!A2559, ""en"", ""bg"")"),"conv_15384")</f>
        <v>conv_15384</v>
      </c>
      <c r="B2559" s="1" t="str">
        <f ca="1">IFERROR(__xludf.DUMMYFUNCTION("GOOGLETRANSLATE(English!B2559, ""en"", ""bg"")"),"физика")</f>
        <v>физика</v>
      </c>
      <c r="C2559" s="1" t="str">
        <f ca="1">IFERROR(__xludf.DUMMYFUNCTION("GOOGLETRANSLATE(English!C2559, ""en"", ""bg"")"),"средата")</f>
        <v>средата</v>
      </c>
      <c r="D2559" s="1" t="str">
        <f ca="1">IFERROR(__xludf.DUMMYFUNCTION("GOOGLETRANSLATE(English!D2559, ""en"", ""bg"")"),"основи на електричеството")</f>
        <v>основи на електричеството</v>
      </c>
      <c r="E2559" s="1" t="str">
        <f ca="1">IFERROR(__xludf.DUMMYFUNCTION("GOOGLETRANSLATE(English!E2559, ""en"", ""bg"")"),"Здравей, преподавателю! Защо основите на електричеството са важни?")</f>
        <v>Здравей, преподавателю! Защо основите на електричеството са важни?</v>
      </c>
      <c r="F2559" s="1" t="str">
        <f ca="1">IFERROR(__xludf.DUMMYFUNCTION("GOOGLETRANSLATE(English!F2559,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2559" s="1" t="str">
        <f ca="1">IFERROR(__xludf.DUMMYFUNCTION("GOOGLETRANSLATE(English!G2559, ""en"", ""bg"")"),"разговор")</f>
        <v>разговор</v>
      </c>
      <c r="H2559" s="1" t="str">
        <f ca="1">IFERROR(__xludf.DUMMYFUNCTION("GOOGLETRANSLATE(English!H2559, ""en"", ""bg"")"),"образователна_помощ")</f>
        <v>образователна_помощ</v>
      </c>
    </row>
    <row r="2560" spans="1:8" ht="13.2" x14ac:dyDescent="0.25">
      <c r="A2560" s="1" t="str">
        <f ca="1">IFERROR(__xludf.DUMMYFUNCTION("GOOGLETRANSLATE(English!A2560, ""en"", ""bg"")"),"qa_01496")</f>
        <v>qa_01496</v>
      </c>
      <c r="B2560" s="1" t="str">
        <f ca="1">IFERROR(__xludf.DUMMYFUNCTION("GOOGLETRANSLATE(English!B2560, ""en"", ""bg"")"),"физика")</f>
        <v>физика</v>
      </c>
      <c r="C2560" s="1" t="str">
        <f ca="1">IFERROR(__xludf.DUMMYFUNCTION("GOOGLETRANSLATE(English!C2560, ""en"", ""bg"")"),"средата")</f>
        <v>средата</v>
      </c>
      <c r="D2560" s="1" t="str">
        <f ca="1">IFERROR(__xludf.DUMMYFUNCTION("GOOGLETRANSLATE(English!D2560, ""en"", ""bg"")"),"състояния на материята")</f>
        <v>състояния на материята</v>
      </c>
      <c r="E2560" s="1" t="str">
        <f ca="1">IFERROR(__xludf.DUMMYFUNCTION("GOOGLETRANSLATE(English!E2560, ""en"", ""bg"")"),"Можете ли да ми обясните състоянията на материята?")</f>
        <v>Можете ли да ми обясните състоянията на материята?</v>
      </c>
      <c r="F2560" s="1" t="str">
        <f ca="1">IFERROR(__xludf.DUMMYFUNCTION("GOOGLETRANSLATE(English!F2560,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2560" s="1" t="str">
        <f ca="1">IFERROR(__xludf.DUMMYFUNCTION("GOOGLETRANSLATE(English!G2560, ""en"", ""bg"")"),"direct_qa")</f>
        <v>direct_qa</v>
      </c>
      <c r="H2560" s="1" t="str">
        <f ca="1">IFERROR(__xludf.DUMMYFUNCTION("GOOGLETRANSLATE(English!H2560, ""en"", ""bg"")"),"заявка_за_знание")</f>
        <v>заявка_за_знание</v>
      </c>
    </row>
    <row r="2561" spans="1:8" ht="13.2" x14ac:dyDescent="0.25">
      <c r="A2561" s="1" t="str">
        <f ca="1">IFERROR(__xludf.DUMMYFUNCTION("GOOGLETRANSLATE(English!A2561, ""en"", ""bg"")"),"conv_14706")</f>
        <v>conv_14706</v>
      </c>
      <c r="B2561" s="1" t="str">
        <f ca="1">IFERROR(__xludf.DUMMYFUNCTION("GOOGLETRANSLATE(English!B2561, ""en"", ""bg"")"),"физика")</f>
        <v>физика</v>
      </c>
      <c r="C2561" s="1" t="str">
        <f ca="1">IFERROR(__xludf.DUMMYFUNCTION("GOOGLETRANSLATE(English!C2561, ""en"", ""bg"")"),"високо")</f>
        <v>високо</v>
      </c>
      <c r="D2561" s="1" t="str">
        <f ca="1">IFERROR(__xludf.DUMMYFUNCTION("GOOGLETRANSLATE(English!D2561, ""en"", ""bg"")"),"механика")</f>
        <v>механика</v>
      </c>
      <c r="E2561" s="1" t="str">
        <f ca="1">IFERROR(__xludf.DUMMYFUNCTION("GOOGLETRANSLATE(English!E2561, ""en"", ""bg"")"),"Помогнете ми да уча за теста си. Как работи механиката във физиката?")</f>
        <v>Помогнете ми да уча за теста си. Как работи механиката във физиката?</v>
      </c>
      <c r="F2561" s="1" t="str">
        <f ca="1">IFERROR(__xludf.DUMMYFUNCTION("GOOGLETRANSLATE(English!F2561,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2561" s="1" t="str">
        <f ca="1">IFERROR(__xludf.DUMMYFUNCTION("GOOGLETRANSLATE(English!G2561, ""en"", ""bg"")"),"разговор")</f>
        <v>разговор</v>
      </c>
      <c r="H2561" s="1" t="str">
        <f ca="1">IFERROR(__xludf.DUMMYFUNCTION("GOOGLETRANSLATE(English!H2561, ""en"", ""bg"")"),"образователна_помощ")</f>
        <v>образователна_помощ</v>
      </c>
    </row>
    <row r="2562" spans="1:8" ht="13.2" x14ac:dyDescent="0.25">
      <c r="A2562" s="1" t="str">
        <f ca="1">IFERROR(__xludf.DUMMYFUNCTION("GOOGLETRANSLATE(English!A2562, ""en"", ""bg"")"),"hw_10220")</f>
        <v>hw_10220</v>
      </c>
      <c r="B2562" s="1" t="str">
        <f ca="1">IFERROR(__xludf.DUMMYFUNCTION("GOOGLETRANSLATE(English!B2562, ""en"", ""bg"")"),"физика")</f>
        <v>физика</v>
      </c>
      <c r="C2562" s="1" t="str">
        <f ca="1">IFERROR(__xludf.DUMMYFUNCTION("GOOGLETRANSLATE(English!C2562, ""en"", ""bg"")"),"високо")</f>
        <v>високо</v>
      </c>
      <c r="D2562" s="1" t="str">
        <f ca="1">IFERROR(__xludf.DUMMYFUNCTION("GOOGLETRANSLATE(English!D2562, ""en"", ""bg"")"),"радиоактивност")</f>
        <v>радиоактивност</v>
      </c>
      <c r="E2562" s="1" t="str">
        <f ca="1">IFERROR(__xludf.DUMMYFUNCTION("GOOGLETRANSLATE(English!E2562, ""en"", ""bg"")"),"Домашното ми по физика е за радиоактивност. Объркващо е!")</f>
        <v>Домашното ми по физика е за радиоактивност. Объркващо е!</v>
      </c>
      <c r="F2562" s="1" t="str">
        <f ca="1">IFERROR(__xludf.DUMMYFUNCTION("GOOGLETRANSLATE(English!F2562,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2562" s="1" t="str">
        <f ca="1">IFERROR(__xludf.DUMMYFUNCTION("GOOGLETRANSLATE(English!G2562, ""en"", ""bg"")"),"помощ_за_домашно_изпълнение")</f>
        <v>помощ_за_домашно_изпълнение</v>
      </c>
      <c r="H2562" s="1" t="str">
        <f ca="1">IFERROR(__xludf.DUMMYFUNCTION("GOOGLETRANSLATE(English!H2562, ""en"", ""bg"")"),"помощ_за_домашно_задаване")</f>
        <v>помощ_за_домашно_задаване</v>
      </c>
    </row>
    <row r="2563" spans="1:8" ht="13.2" x14ac:dyDescent="0.25">
      <c r="A2563" s="1" t="str">
        <f ca="1">IFERROR(__xludf.DUMMYFUNCTION("GOOGLETRANSLATE(English!A2563, ""en"", ""bg"")"),"conv_01638")</f>
        <v>conv_01638</v>
      </c>
      <c r="B2563" s="1" t="str">
        <f ca="1">IFERROR(__xludf.DUMMYFUNCTION("GOOGLETRANSLATE(English!B2563, ""en"", ""bg"")"),"биология")</f>
        <v>биология</v>
      </c>
      <c r="C2563" s="1" t="str">
        <f ca="1">IFERROR(__xludf.DUMMYFUNCTION("GOOGLETRANSLATE(English!C2563, ""en"", ""bg"")"),"елементарен")</f>
        <v>елементарен</v>
      </c>
      <c r="D2563" s="1" t="str">
        <f ca="1">IFERROR(__xludf.DUMMYFUNCTION("GOOGLETRANSLATE(English!D2563, ""en"", ""bg"")"),"сетива")</f>
        <v>сетива</v>
      </c>
      <c r="E2563" s="1" t="str">
        <f ca="1">IFERROR(__xludf.DUMMYFUNCTION("GOOGLETRANSLATE(English!E2563, ""en"", ""bg"")"),"Имам нужда от помощ с домашното. Можете ли да ми разкажете за сетивата?")</f>
        <v>Имам нужда от помощ с домашното. Можете ли да ми разкажете за сетивата?</v>
      </c>
      <c r="F2563" s="1" t="str">
        <f ca="1">IFERROR(__xludf.DUMMYFUNCTION("GOOGLETRANSLATE(English!F2563,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2563" s="1" t="str">
        <f ca="1">IFERROR(__xludf.DUMMYFUNCTION("GOOGLETRANSLATE(English!G2563, ""en"", ""bg"")"),"разговор")</f>
        <v>разговор</v>
      </c>
      <c r="H2563" s="1" t="str">
        <f ca="1">IFERROR(__xludf.DUMMYFUNCTION("GOOGLETRANSLATE(English!H2563, ""en"", ""bg"")"),"образователна_помощ")</f>
        <v>образователна_помощ</v>
      </c>
    </row>
    <row r="2564" spans="1:8" ht="13.2" x14ac:dyDescent="0.25">
      <c r="A2564" s="1" t="str">
        <f ca="1">IFERROR(__xludf.DUMMYFUNCTION("GOOGLETRANSLATE(English!A2564, ""en"", ""bg"")"),"qa_09537")</f>
        <v>qa_09537</v>
      </c>
      <c r="B2564" s="1" t="str">
        <f ca="1">IFERROR(__xludf.DUMMYFUNCTION("GOOGLETRANSLATE(English!B2564, ""en"", ""bg"")"),"биология")</f>
        <v>биология</v>
      </c>
      <c r="C2564" s="1" t="str">
        <f ca="1">IFERROR(__xludf.DUMMYFUNCTION("GOOGLETRANSLATE(English!C2564, ""en"", ""bg"")"),"средата")</f>
        <v>средата</v>
      </c>
      <c r="D2564" s="1" t="str">
        <f ca="1">IFERROR(__xludf.DUMMYFUNCTION("GOOGLETRANSLATE(English!D2564, ""en"", ""bg"")"),"основи на генетиката")</f>
        <v>основи на генетиката</v>
      </c>
      <c r="E2564" s="1" t="str">
        <f ca="1">IFERROR(__xludf.DUMMYFUNCTION("GOOGLETRANSLATE(English!E2564, ""en"", ""bg"")"),"Как работят основите на генетиката?")</f>
        <v>Как работят основите на генетиката?</v>
      </c>
      <c r="F2564" s="1" t="str">
        <f ca="1">IFERROR(__xludf.DUMMYFUNCTION("GOOGLETRANSLATE(English!F2564,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2564" s="1" t="str">
        <f ca="1">IFERROR(__xludf.DUMMYFUNCTION("GOOGLETRANSLATE(English!G2564, ""en"", ""bg"")"),"direct_qa")</f>
        <v>direct_qa</v>
      </c>
      <c r="H2564" s="1" t="str">
        <f ca="1">IFERROR(__xludf.DUMMYFUNCTION("GOOGLETRANSLATE(English!H2564, ""en"", ""bg"")"),"заявка_за_знание")</f>
        <v>заявка_за_знание</v>
      </c>
    </row>
    <row r="2565" spans="1:8" ht="13.2" x14ac:dyDescent="0.25">
      <c r="A2565" s="1" t="str">
        <f ca="1">IFERROR(__xludf.DUMMYFUNCTION("GOOGLETRANSLATE(English!A2565, ""en"", ""bg"")"),"conv_02260")</f>
        <v>conv_02260</v>
      </c>
      <c r="B2565" s="1" t="str">
        <f ca="1">IFERROR(__xludf.DUMMYFUNCTION("GOOGLETRANSLATE(English!B2565, ""en"", ""bg"")"),"биология")</f>
        <v>биология</v>
      </c>
      <c r="C2565" s="1" t="str">
        <f ca="1">IFERROR(__xludf.DUMMYFUNCTION("GOOGLETRANSLATE(English!C2565, ""en"", ""bg"")"),"средата")</f>
        <v>средата</v>
      </c>
      <c r="D2565" s="1" t="str">
        <f ca="1">IFERROR(__xludf.DUMMYFUNCTION("GOOGLETRANSLATE(English!D2565, ""en"", ""bg"")"),"клетки")</f>
        <v>клетки</v>
      </c>
      <c r="E2565" s="1" t="str">
        <f ca="1">IFERROR(__xludf.DUMMYFUNCTION("GOOGLETRANSLATE(English!E2565, ""en"", ""bg"")"),"Помогнете ми да уча за теста си. По какво се различават растителните и животинските клетки?")</f>
        <v>Помогнете ми да уча за теста си. По какво се различават растителните и животинските клетки?</v>
      </c>
      <c r="F2565" s="1" t="str">
        <f ca="1">IFERROR(__xludf.DUMMYFUNCTION("GOOGLETRANSLATE(English!F2565, ""en"", ""bg"")"),"Растителните клетки имат клетъчна стена и хлоропласти, които животинските клетки нямат. Животинските клетки са по-гъвкави.")</f>
        <v>Растителните клетки имат клетъчна стена и хлоропласти, които животинските клетки нямат. Животинските клетки са по-гъвкави.</v>
      </c>
      <c r="G2565" s="1" t="str">
        <f ca="1">IFERROR(__xludf.DUMMYFUNCTION("GOOGLETRANSLATE(English!G2565, ""en"", ""bg"")"),"разговор")</f>
        <v>разговор</v>
      </c>
      <c r="H2565" s="1" t="str">
        <f ca="1">IFERROR(__xludf.DUMMYFUNCTION("GOOGLETRANSLATE(English!H2565, ""en"", ""bg"")"),"образователна_помощ")</f>
        <v>образователна_помощ</v>
      </c>
    </row>
    <row r="2566" spans="1:8" ht="13.2" x14ac:dyDescent="0.25">
      <c r="A2566" s="1" t="str">
        <f ca="1">IFERROR(__xludf.DUMMYFUNCTION("GOOGLETRANSLATE(English!A2566, ""en"", ""bg"")"),"qa_05513")</f>
        <v>qa_05513</v>
      </c>
      <c r="B2566" s="1" t="str">
        <f ca="1">IFERROR(__xludf.DUMMYFUNCTION("GOOGLETRANSLATE(English!B2566, ""en"", ""bg"")"),"физика")</f>
        <v>физика</v>
      </c>
      <c r="C2566" s="1" t="str">
        <f ca="1">IFERROR(__xludf.DUMMYFUNCTION("GOOGLETRANSLATE(English!C2566, ""en"", ""bg"")"),"високо")</f>
        <v>високо</v>
      </c>
      <c r="D2566" s="1" t="str">
        <f ca="1">IFERROR(__xludf.DUMMYFUNCTION("GOOGLETRANSLATE(English!D2566, ""en"", ""bg"")"),"механика")</f>
        <v>механика</v>
      </c>
      <c r="E2566" s="1" t="str">
        <f ca="1">IFERROR(__xludf.DUMMYFUNCTION("GOOGLETRANSLATE(English!E2566, ""en"", ""bg"")"),"Какво трябва да знам за механиката?")</f>
        <v>Какво трябва да знам за механиката?</v>
      </c>
      <c r="F2566" s="1" t="str">
        <f ca="1">IFERROR(__xludf.DUMMYFUNCTION("GOOGLETRANSLATE(English!F2566,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2566" s="1" t="str">
        <f ca="1">IFERROR(__xludf.DUMMYFUNCTION("GOOGLETRANSLATE(English!G2566, ""en"", ""bg"")"),"direct_qa")</f>
        <v>direct_qa</v>
      </c>
      <c r="H2566" s="1" t="str">
        <f ca="1">IFERROR(__xludf.DUMMYFUNCTION("GOOGLETRANSLATE(English!H2566, ""en"", ""bg"")"),"заявка_за_знание")</f>
        <v>заявка_за_знание</v>
      </c>
    </row>
    <row r="2567" spans="1:8" ht="13.2" x14ac:dyDescent="0.25">
      <c r="A2567" s="1" t="str">
        <f ca="1">IFERROR(__xludf.DUMMYFUNCTION("GOOGLETRANSLATE(English!A2567, ""en"", ""bg"")"),"conv_18884")</f>
        <v>conv_18884</v>
      </c>
      <c r="B2567" s="1" t="str">
        <f ca="1">IFERROR(__xludf.DUMMYFUNCTION("GOOGLETRANSLATE(English!B2567, ""en"", ""bg"")"),"физика")</f>
        <v>физика</v>
      </c>
      <c r="C2567" s="1" t="str">
        <f ca="1">IFERROR(__xludf.DUMMYFUNCTION("GOOGLETRANSLATE(English!C2567, ""en"", ""bg"")"),"елементарен")</f>
        <v>елементарен</v>
      </c>
      <c r="D2567" s="1" t="str">
        <f ca="1">IFERROR(__xludf.DUMMYFUNCTION("GOOGLETRANSLATE(English!D2567, ""en"", ""bg"")"),"магнити")</f>
        <v>магнити</v>
      </c>
      <c r="E2567" s="1" t="str">
        <f ca="1">IFERROR(__xludf.DUMMYFUNCTION("GOOGLETRANSLATE(English!E2567, ""en"", ""bg"")"),"Имам научен въпрос. Може ли да се направи магнит по-силен?")</f>
        <v>Имам научен въпрос. Може ли да се направи магнит по-силен?</v>
      </c>
      <c r="F2567" s="1" t="str">
        <f ca="1">IFERROR(__xludf.DUMMYFUNCTION("GOOGLETRANSLATE(English!F2567,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2567" s="1" t="str">
        <f ca="1">IFERROR(__xludf.DUMMYFUNCTION("GOOGLETRANSLATE(English!G2567, ""en"", ""bg"")"),"разговор")</f>
        <v>разговор</v>
      </c>
      <c r="H2567" s="1" t="str">
        <f ca="1">IFERROR(__xludf.DUMMYFUNCTION("GOOGLETRANSLATE(English!H2567, ""en"", ""bg"")"),"образователна_помощ")</f>
        <v>образователна_помощ</v>
      </c>
    </row>
    <row r="2568" spans="1:8" ht="13.2" x14ac:dyDescent="0.25">
      <c r="A2568" s="1" t="str">
        <f ca="1">IFERROR(__xludf.DUMMYFUNCTION("GOOGLETRANSLATE(English!A2568, ""en"", ""bg"")"),"hw_00134")</f>
        <v>hw_00134</v>
      </c>
      <c r="B2568" s="1" t="str">
        <f ca="1">IFERROR(__xludf.DUMMYFUNCTION("GOOGLETRANSLATE(English!B2568, ""en"", ""bg"")"),"химия")</f>
        <v>химия</v>
      </c>
      <c r="C2568" s="1" t="str">
        <f ca="1">IFERROR(__xludf.DUMMYFUNCTION("GOOGLETRANSLATE(English!C2568, ""en"", ""bg"")"),"средата")</f>
        <v>средата</v>
      </c>
      <c r="D2568" s="1" t="str">
        <f ca="1">IFERROR(__xludf.DUMMYFUNCTION("GOOGLETRANSLATE(English!D2568, ""en"", ""bg"")"),"атоми и молекули")</f>
        <v>атоми и молекули</v>
      </c>
      <c r="E2568" s="1" t="str">
        <f ca="1">IFERROR(__xludf.DUMMYFUNCTION("GOOGLETRANSLATE(English!E2568, ""en"", ""bg"")"),"Затруднявам се с атомите и молекулите в домашното си.")</f>
        <v>Затруднявам се с атомите и молекулите в домашното си.</v>
      </c>
      <c r="F2568" s="1" t="str">
        <f ca="1">IFERROR(__xludf.DUMMYFUNCTION("GOOGLETRANSLATE(English!F2568,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568" s="1" t="str">
        <f ca="1">IFERROR(__xludf.DUMMYFUNCTION("GOOGLETRANSLATE(English!G2568, ""en"", ""bg"")"),"помощ_за_домашно_изпълнение")</f>
        <v>помощ_за_домашно_изпълнение</v>
      </c>
      <c r="H2568" s="1" t="str">
        <f ca="1">IFERROR(__xludf.DUMMYFUNCTION("GOOGLETRANSLATE(English!H2568, ""en"", ""bg"")"),"помощ_за_домашно_задаване")</f>
        <v>помощ_за_домашно_задаване</v>
      </c>
    </row>
    <row r="2569" spans="1:8" ht="13.2" x14ac:dyDescent="0.25">
      <c r="A2569" s="1" t="str">
        <f ca="1">IFERROR(__xludf.DUMMYFUNCTION("GOOGLETRANSLATE(English!A2569, ""en"", ""bg"")"),"qa_11499")</f>
        <v>qa_11499</v>
      </c>
      <c r="B2569" s="1" t="str">
        <f ca="1">IFERROR(__xludf.DUMMYFUNCTION("GOOGLETRANSLATE(English!B2569, ""en"", ""bg"")"),"физика")</f>
        <v>физика</v>
      </c>
      <c r="C2569" s="1" t="str">
        <f ca="1">IFERROR(__xludf.DUMMYFUNCTION("GOOGLETRANSLATE(English!C2569, ""en"", ""bg"")"),"средата")</f>
        <v>средата</v>
      </c>
      <c r="D2569" s="1" t="str">
        <f ca="1">IFERROR(__xludf.DUMMYFUNCTION("GOOGLETRANSLATE(English!D2569, ""en"", ""bg"")"),"прости схеми")</f>
        <v>прости схеми</v>
      </c>
      <c r="E2569" s="1" t="str">
        <f ca="1">IFERROR(__xludf.DUMMYFUNCTION("GOOGLETRANSLATE(English!E2569, ""en"", ""bg"")"),"Защо простите електрически вериги са важни?")</f>
        <v>Защо простите електрически вериги са важни?</v>
      </c>
      <c r="F2569" s="1" t="str">
        <f ca="1">IFERROR(__xludf.DUMMYFUNCTION("GOOGLETRANSLATE(English!F2569,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2569" s="1" t="str">
        <f ca="1">IFERROR(__xludf.DUMMYFUNCTION("GOOGLETRANSLATE(English!G2569, ""en"", ""bg"")"),"direct_qa")</f>
        <v>direct_qa</v>
      </c>
      <c r="H2569" s="1" t="str">
        <f ca="1">IFERROR(__xludf.DUMMYFUNCTION("GOOGLETRANSLATE(English!H2569, ""en"", ""bg"")"),"заявка_за_знание")</f>
        <v>заявка_за_знание</v>
      </c>
    </row>
    <row r="2570" spans="1:8" ht="13.2" x14ac:dyDescent="0.25">
      <c r="A2570" s="1" t="str">
        <f ca="1">IFERROR(__xludf.DUMMYFUNCTION("GOOGLETRANSLATE(English!A2570, ""en"", ""bg"")"),"conv_04223")</f>
        <v>conv_04223</v>
      </c>
      <c r="B2570" s="1" t="str">
        <f ca="1">IFERROR(__xludf.DUMMYFUNCTION("GOOGLETRANSLATE(English!B2570, ""en"", ""bg"")"),"биология")</f>
        <v>биология</v>
      </c>
      <c r="C2570" s="1" t="str">
        <f ca="1">IFERROR(__xludf.DUMMYFUNCTION("GOOGLETRANSLATE(English!C2570, ""en"", ""bg"")"),"високо")</f>
        <v>високо</v>
      </c>
      <c r="D2570" s="1" t="str">
        <f ca="1">IFERROR(__xludf.DUMMYFUNCTION("GOOGLETRANSLATE(English!D2570, ""en"", ""bg"")"),"Структура на ДНК")</f>
        <v>Структура на ДНК</v>
      </c>
      <c r="E2570" s="1" t="str">
        <f ca="1">IFERROR(__xludf.DUMMYFUNCTION("GOOGLETRANSLATE(English!E2570, ""en"", ""bg"")"),"Здравей, преподавателю! Защо структурата на ДНК е важна в биологията?")</f>
        <v>Здравей, преподавателю! Защо структурата на ДНК е важна в биологията?</v>
      </c>
      <c r="F2570" s="1" t="str">
        <f ca="1">IFERROR(__xludf.DUMMYFUNCTION("GOOGLETRANSLATE(English!F2570,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2570" s="1" t="str">
        <f ca="1">IFERROR(__xludf.DUMMYFUNCTION("GOOGLETRANSLATE(English!G2570, ""en"", ""bg"")"),"разговор")</f>
        <v>разговор</v>
      </c>
      <c r="H2570" s="1" t="str">
        <f ca="1">IFERROR(__xludf.DUMMYFUNCTION("GOOGLETRANSLATE(English!H2570, ""en"", ""bg"")"),"образователна_помощ")</f>
        <v>образователна_помощ</v>
      </c>
    </row>
    <row r="2571" spans="1:8" ht="13.2" x14ac:dyDescent="0.25">
      <c r="A2571" s="1" t="str">
        <f ca="1">IFERROR(__xludf.DUMMYFUNCTION("GOOGLETRANSLATE(English!A2571, ""en"", ""bg"")"),"conv_08327")</f>
        <v>conv_08327</v>
      </c>
      <c r="B2571" s="1" t="str">
        <f ca="1">IFERROR(__xludf.DUMMYFUNCTION("GOOGLETRANSLATE(English!B2571, ""en"", ""bg"")"),"физика")</f>
        <v>физика</v>
      </c>
      <c r="C2571" s="1" t="str">
        <f ca="1">IFERROR(__xludf.DUMMYFUNCTION("GOOGLETRANSLATE(English!C2571, ""en"", ""bg"")"),"елементарен")</f>
        <v>елементарен</v>
      </c>
      <c r="D2571" s="1" t="str">
        <f ca="1">IFERROR(__xludf.DUMMYFUNCTION("GOOGLETRANSLATE(English!D2571, ""en"", ""bg"")"),"горещо и студено")</f>
        <v>горещо и студено</v>
      </c>
      <c r="E2571" s="1" t="str">
        <f ca="1">IFERROR(__xludf.DUMMYFUNCTION("GOOGLETRANSLATE(English!E2571, ""en"", ""bg"")"),"Не разбирам тази тема. Как работят топлото и студеното във физиката?")</f>
        <v>Не разбирам тази тема. Как работят топлото и студеното във физиката?</v>
      </c>
      <c r="F2571" s="1" t="str">
        <f ca="1">IFERROR(__xludf.DUMMYFUNCTION("GOOGLETRANSLATE(English!F2571,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2571" s="1" t="str">
        <f ca="1">IFERROR(__xludf.DUMMYFUNCTION("GOOGLETRANSLATE(English!G2571, ""en"", ""bg"")"),"разговор")</f>
        <v>разговор</v>
      </c>
      <c r="H2571" s="1" t="str">
        <f ca="1">IFERROR(__xludf.DUMMYFUNCTION("GOOGLETRANSLATE(English!H2571, ""en"", ""bg"")"),"образователна_помощ")</f>
        <v>образователна_помощ</v>
      </c>
    </row>
    <row r="2572" spans="1:8" ht="13.2" x14ac:dyDescent="0.25">
      <c r="A2572" s="1" t="str">
        <f ca="1">IFERROR(__xludf.DUMMYFUNCTION("GOOGLETRANSLATE(English!A2572, ""en"", ""bg"")"),"qa_09628")</f>
        <v>qa_09628</v>
      </c>
      <c r="B2572" s="1" t="str">
        <f ca="1">IFERROR(__xludf.DUMMYFUNCTION("GOOGLETRANSLATE(English!B2572, ""en"", ""bg"")"),"химия")</f>
        <v>химия</v>
      </c>
      <c r="C2572" s="1" t="str">
        <f ca="1">IFERROR(__xludf.DUMMYFUNCTION("GOOGLETRANSLATE(English!C2572, ""en"", ""bg"")"),"високо")</f>
        <v>високо</v>
      </c>
      <c r="D2572" s="1" t="str">
        <f ca="1">IFERROR(__xludf.DUMMYFUNCTION("GOOGLETRANSLATE(English!D2572, ""en"", ""bg"")"),"органична химия")</f>
        <v>органична химия</v>
      </c>
      <c r="E2572" s="1" t="str">
        <f ca="1">IFERROR(__xludf.DUMMYFUNCTION("GOOGLETRANSLATE(English!E2572, ""en"", ""bg"")"),"Можете ли да ми помогнете да разбера органичната химия?")</f>
        <v>Можете ли да ми помогнете да разбера органичната химия?</v>
      </c>
      <c r="F2572" s="1" t="str">
        <f ca="1">IFERROR(__xludf.DUMMYFUNCTION("GOOGLETRANSLATE(English!F2572,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2572" s="1" t="str">
        <f ca="1">IFERROR(__xludf.DUMMYFUNCTION("GOOGLETRANSLATE(English!G2572, ""en"", ""bg"")"),"direct_qa")</f>
        <v>direct_qa</v>
      </c>
      <c r="H2572" s="1" t="str">
        <f ca="1">IFERROR(__xludf.DUMMYFUNCTION("GOOGLETRANSLATE(English!H2572, ""en"", ""bg"")"),"заявка_за_знание")</f>
        <v>заявка_за_знание</v>
      </c>
    </row>
    <row r="2573" spans="1:8" ht="13.2" x14ac:dyDescent="0.25">
      <c r="A2573" s="1" t="str">
        <f ca="1">IFERROR(__xludf.DUMMYFUNCTION("GOOGLETRANSLATE(English!A2573, ""en"", ""bg"")"),"hw_11484")</f>
        <v>hw_11484</v>
      </c>
      <c r="B2573" s="1" t="str">
        <f ca="1">IFERROR(__xludf.DUMMYFUNCTION("GOOGLETRANSLATE(English!B2573, ""en"", ""bg"")"),"физика")</f>
        <v>физика</v>
      </c>
      <c r="C2573" s="1" t="str">
        <f ca="1">IFERROR(__xludf.DUMMYFUNCTION("GOOGLETRANSLATE(English!C2573, ""en"", ""bg"")"),"елементарен")</f>
        <v>елементарен</v>
      </c>
      <c r="D2573" s="1" t="str">
        <f ca="1">IFERROR(__xludf.DUMMYFUNCTION("GOOGLETRANSLATE(English!D2573, ""en"", ""bg"")"),"бутане и дърпане")</f>
        <v>бутане и дърпане</v>
      </c>
      <c r="E2573" s="1" t="str">
        <f ca="1">IFERROR(__xludf.DUMMYFUNCTION("GOOGLETRANSLATE(English!E2573, ""en"", ""bg"")"),"Домашното ми по физика е за бутане и дърпане. Объркващо е!")</f>
        <v>Домашното ми по физика е за бутане и дърпане. Объркващо е!</v>
      </c>
      <c r="F2573" s="1" t="str">
        <f ca="1">IFERROR(__xludf.DUMMYFUNCTION("GOOGLETRANSLATE(English!F2573,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2573" s="1" t="str">
        <f ca="1">IFERROR(__xludf.DUMMYFUNCTION("GOOGLETRANSLATE(English!G2573, ""en"", ""bg"")"),"помощ_за_домашно_изпълнение")</f>
        <v>помощ_за_домашно_изпълнение</v>
      </c>
      <c r="H2573" s="1" t="str">
        <f ca="1">IFERROR(__xludf.DUMMYFUNCTION("GOOGLETRANSLATE(English!H2573, ""en"", ""bg"")"),"помощ_за_домашно_задаване")</f>
        <v>помощ_за_домашно_задаване</v>
      </c>
    </row>
    <row r="2574" spans="1:8" ht="13.2" x14ac:dyDescent="0.25">
      <c r="A2574" s="1" t="str">
        <f ca="1">IFERROR(__xludf.DUMMYFUNCTION("GOOGLETRANSLATE(English!A2574, ""en"", ""bg"")"),"hw_11643")</f>
        <v>hw_11643</v>
      </c>
      <c r="B2574" s="1" t="str">
        <f ca="1">IFERROR(__xludf.DUMMYFUNCTION("GOOGLETRANSLATE(English!B2574, ""en"", ""bg"")"),"химия")</f>
        <v>химия</v>
      </c>
      <c r="C2574" s="1" t="str">
        <f ca="1">IFERROR(__xludf.DUMMYFUNCTION("GOOGLETRANSLATE(English!C2574, ""en"", ""bg"")"),"средата")</f>
        <v>средата</v>
      </c>
      <c r="D2574" s="1" t="str">
        <f ca="1">IFERROR(__xludf.DUMMYFUNCTION("GOOGLETRANSLATE(English!D2574, ""en"", ""bg"")"),"химични реакции")</f>
        <v>химични реакции</v>
      </c>
      <c r="E2574" s="1" t="str">
        <f ca="1">IFERROR(__xludf.DUMMYFUNCTION("GOOGLETRANSLATE(English!E2574, ""en"", ""bg"")"),"Моят доклад по химия е за химични реакции. Помогнете ми да разбера.")</f>
        <v>Моят доклад по химия е за химични реакции. Помогнете ми да разбера.</v>
      </c>
      <c r="F2574" s="1" t="str">
        <f ca="1">IFERROR(__xludf.DUMMYFUNCTION("GOOGLETRANSLATE(English!F2574,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2574" s="1" t="str">
        <f ca="1">IFERROR(__xludf.DUMMYFUNCTION("GOOGLETRANSLATE(English!G2574, ""en"", ""bg"")"),"помощ_за_домашно_изпълнение")</f>
        <v>помощ_за_домашно_изпълнение</v>
      </c>
      <c r="H2574" s="1" t="str">
        <f ca="1">IFERROR(__xludf.DUMMYFUNCTION("GOOGLETRANSLATE(English!H2574, ""en"", ""bg"")"),"помощ_за_домашно_задаване")</f>
        <v>помощ_за_домашно_задаване</v>
      </c>
    </row>
    <row r="2575" spans="1:8" ht="13.2" x14ac:dyDescent="0.25">
      <c r="A2575" s="1" t="str">
        <f ca="1">IFERROR(__xludf.DUMMYFUNCTION("GOOGLETRANSLATE(English!A2575, ""en"", ""bg"")"),"conv_17733")</f>
        <v>conv_17733</v>
      </c>
      <c r="B2575" s="1" t="str">
        <f ca="1">IFERROR(__xludf.DUMMYFUNCTION("GOOGLETRANSLATE(English!B2575, ""en"", ""bg"")"),"биология")</f>
        <v>биология</v>
      </c>
      <c r="C2575" s="1" t="str">
        <f ca="1">IFERROR(__xludf.DUMMYFUNCTION("GOOGLETRANSLATE(English!C2575, ""en"", ""bg"")"),"елементарен")</f>
        <v>елементарен</v>
      </c>
      <c r="D2575" s="1" t="str">
        <f ca="1">IFERROR(__xludf.DUMMYFUNCTION("GOOGLETRANSLATE(English!D2575, ""en"", ""bg"")"),"жизнени цикли")</f>
        <v>жизнени цикли</v>
      </c>
      <c r="E2575" s="1" t="str">
        <f ca="1">IFERROR(__xludf.DUMMYFUNCTION("GOOGLETRANSLATE(English!E2575, ""en"", ""bg"")"),"Можете ли да ми обясните това? Защо жизнените цикли са важни в биологията?")</f>
        <v>Можете ли да ми обясните това? Защо жизнените цикли са важни в биологията?</v>
      </c>
      <c r="F2575" s="1" t="str">
        <f ca="1">IFERROR(__xludf.DUMMYFUNCTION("GOOGLETRANSLATE(English!F2575,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2575" s="1" t="str">
        <f ca="1">IFERROR(__xludf.DUMMYFUNCTION("GOOGLETRANSLATE(English!G2575, ""en"", ""bg"")"),"разговор")</f>
        <v>разговор</v>
      </c>
      <c r="H2575" s="1" t="str">
        <f ca="1">IFERROR(__xludf.DUMMYFUNCTION("GOOGLETRANSLATE(English!H2575, ""en"", ""bg"")"),"образователна_помощ")</f>
        <v>образователна_помощ</v>
      </c>
    </row>
    <row r="2576" spans="1:8" ht="13.2" x14ac:dyDescent="0.25">
      <c r="A2576" s="1" t="str">
        <f ca="1">IFERROR(__xludf.DUMMYFUNCTION("GOOGLETRANSLATE(English!A2576, ""en"", ""bg"")"),"qa_11335")</f>
        <v>qa_11335</v>
      </c>
      <c r="B2576" s="1" t="str">
        <f ca="1">IFERROR(__xludf.DUMMYFUNCTION("GOOGLETRANSLATE(English!B2576, ""en"", ""bg"")"),"химия")</f>
        <v>химия</v>
      </c>
      <c r="C2576" s="1" t="str">
        <f ca="1">IFERROR(__xludf.DUMMYFUNCTION("GOOGLETRANSLATE(English!C2576, ""en"", ""bg"")"),"елементарен")</f>
        <v>елементарен</v>
      </c>
      <c r="D2576" s="1" t="str">
        <f ca="1">IFERROR(__xludf.DUMMYFUNCTION("GOOGLETRANSLATE(English!D2576, ""en"", ""bg"")"),"безопасност")</f>
        <v>безопасност</v>
      </c>
      <c r="E2576" s="1" t="str">
        <f ca="1">IFERROR(__xludf.DUMMYFUNCTION("GOOGLETRANSLATE(English!E2576, ""en"", ""bg"")"),"Можете ли да ми помогнете да разбера безопасността?")</f>
        <v>Можете ли да ми помогнете да разбера безопасността?</v>
      </c>
      <c r="F2576" s="1" t="str">
        <f ca="1">IFERROR(__xludf.DUMMYFUNCTION("GOOGLETRANSLATE(English!F2576,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2576" s="1" t="str">
        <f ca="1">IFERROR(__xludf.DUMMYFUNCTION("GOOGLETRANSLATE(English!G2576, ""en"", ""bg"")"),"direct_qa")</f>
        <v>direct_qa</v>
      </c>
      <c r="H2576" s="1" t="str">
        <f ca="1">IFERROR(__xludf.DUMMYFUNCTION("GOOGLETRANSLATE(English!H2576, ""en"", ""bg"")"),"заявка_за_знание")</f>
        <v>заявка_за_знание</v>
      </c>
    </row>
    <row r="2577" spans="1:8" ht="13.2" x14ac:dyDescent="0.25">
      <c r="A2577" s="1" t="str">
        <f ca="1">IFERROR(__xludf.DUMMYFUNCTION("GOOGLETRANSLATE(English!A2577, ""en"", ""bg"")"),"hw_12112")</f>
        <v>hw_12112</v>
      </c>
      <c r="B2577" s="1" t="str">
        <f ca="1">IFERROR(__xludf.DUMMYFUNCTION("GOOGLETRANSLATE(English!B2577, ""en"", ""bg"")"),"физика")</f>
        <v>физика</v>
      </c>
      <c r="C2577" s="1" t="str">
        <f ca="1">IFERROR(__xludf.DUMMYFUNCTION("GOOGLETRANSLATE(English!C2577, ""en"", ""bg"")"),"средата")</f>
        <v>средата</v>
      </c>
      <c r="D2577" s="1" t="str">
        <f ca="1">IFERROR(__xludf.DUMMYFUNCTION("GOOGLETRANSLATE(English!D2577, ""en"", ""bg"")"),"сили и движение")</f>
        <v>сили и движение</v>
      </c>
      <c r="E2577" s="1" t="str">
        <f ca="1">IFERROR(__xludf.DUMMYFUNCTION("GOOGLETRANSLATE(English!E2577, ""en"", ""bg"")"),"Можете ли да решите тази задача за сили и движение с мен?")</f>
        <v>Можете ли да решите тази задача за сили и движение с мен?</v>
      </c>
      <c r="F2577" s="1" t="str">
        <f ca="1">IFERROR(__xludf.DUMMYFUNCTION("GOOGLETRANSLATE(English!F2577,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2577" s="1" t="str">
        <f ca="1">IFERROR(__xludf.DUMMYFUNCTION("GOOGLETRANSLATE(English!G2577, ""en"", ""bg"")"),"помощ_за_домашно_изпълнение")</f>
        <v>помощ_за_домашно_изпълнение</v>
      </c>
      <c r="H2577" s="1" t="str">
        <f ca="1">IFERROR(__xludf.DUMMYFUNCTION("GOOGLETRANSLATE(English!H2577, ""en"", ""bg"")"),"помощ_за_домашно_задаване")</f>
        <v>помощ_за_домашно_задаване</v>
      </c>
    </row>
    <row r="2578" spans="1:8" ht="13.2" x14ac:dyDescent="0.25">
      <c r="A2578" s="1" t="str">
        <f ca="1">IFERROR(__xludf.DUMMYFUNCTION("GOOGLETRANSLATE(English!A2578, ""en"", ""bg"")"),"qa_10403")</f>
        <v>qa_10403</v>
      </c>
      <c r="B2578" s="1" t="str">
        <f ca="1">IFERROR(__xludf.DUMMYFUNCTION("GOOGLETRANSLATE(English!B2578, ""en"", ""bg"")"),"биология")</f>
        <v>биология</v>
      </c>
      <c r="C2578" s="1" t="str">
        <f ca="1">IFERROR(__xludf.DUMMYFUNCTION("GOOGLETRANSLATE(English!C2578, ""en"", ""bg"")"),"елементарен")</f>
        <v>елементарен</v>
      </c>
      <c r="D2578" s="1" t="str">
        <f ca="1">IFERROR(__xludf.DUMMYFUNCTION("GOOGLETRANSLATE(English!D2578, ""en"", ""bg"")"),"растения")</f>
        <v>растения</v>
      </c>
      <c r="E2578" s="1" t="str">
        <f ca="1">IFERROR(__xludf.DUMMYFUNCTION("GOOGLETRANSLATE(English!E2578, ""en"", ""bg"")"),"Как семената пътуват до нови места?")</f>
        <v>Как семената пътуват до нови места?</v>
      </c>
      <c r="F2578" s="1" t="str">
        <f ca="1">IFERROR(__xludf.DUMMYFUNCTION("GOOGLETRANSLATE(English!F2578,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2578" s="1" t="str">
        <f ca="1">IFERROR(__xludf.DUMMYFUNCTION("GOOGLETRANSLATE(English!G2578, ""en"", ""bg"")"),"direct_qa")</f>
        <v>direct_qa</v>
      </c>
      <c r="H2578" s="1" t="str">
        <f ca="1">IFERROR(__xludf.DUMMYFUNCTION("GOOGLETRANSLATE(English!H2578, ""en"", ""bg"")"),"заявка_за_знание")</f>
        <v>заявка_за_знание</v>
      </c>
    </row>
    <row r="2579" spans="1:8" ht="13.2" x14ac:dyDescent="0.25">
      <c r="A2579" s="1" t="str">
        <f ca="1">IFERROR(__xludf.DUMMYFUNCTION("GOOGLETRANSLATE(English!A2579, ""en"", ""bg"")"),"conv_06283")</f>
        <v>conv_06283</v>
      </c>
      <c r="B2579" s="1" t="str">
        <f ca="1">IFERROR(__xludf.DUMMYFUNCTION("GOOGLETRANSLATE(English!B2579, ""en"", ""bg"")"),"биология")</f>
        <v>биология</v>
      </c>
      <c r="C2579" s="1" t="str">
        <f ca="1">IFERROR(__xludf.DUMMYFUNCTION("GOOGLETRANSLATE(English!C2579, ""en"", ""bg"")"),"високо")</f>
        <v>високо</v>
      </c>
      <c r="D2579" s="1" t="str">
        <f ca="1">IFERROR(__xludf.DUMMYFUNCTION("GOOGLETRANSLATE(English!D2579, ""en"", ""bg"")"),"клетъчно дишане")</f>
        <v>клетъчно дишане</v>
      </c>
      <c r="E2579" s="1" t="str">
        <f ca="1">IFERROR(__xludf.DUMMYFUNCTION("GOOGLETRANSLATE(English!E2579, ""en"", ""bg"")"),"Можете ли да ми обясните това? Защо клетъчното дишане е важно в биологията?")</f>
        <v>Можете ли да ми обясните това? Защо клетъчното дишане е важно в биологията?</v>
      </c>
      <c r="F2579" s="1" t="str">
        <f ca="1">IFERROR(__xludf.DUMMYFUNCTION("GOOGLETRANSLATE(English!F2579,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2579" s="1" t="str">
        <f ca="1">IFERROR(__xludf.DUMMYFUNCTION("GOOGLETRANSLATE(English!G2579, ""en"", ""bg"")"),"разговор")</f>
        <v>разговор</v>
      </c>
      <c r="H2579" s="1" t="str">
        <f ca="1">IFERROR(__xludf.DUMMYFUNCTION("GOOGLETRANSLATE(English!H2579, ""en"", ""bg"")"),"образователна_помощ")</f>
        <v>образователна_помощ</v>
      </c>
    </row>
    <row r="2580" spans="1:8" ht="13.2" x14ac:dyDescent="0.25">
      <c r="A2580" s="1" t="str">
        <f ca="1">IFERROR(__xludf.DUMMYFUNCTION("GOOGLETRANSLATE(English!A2580, ""en"", ""bg"")"),"conv_12089")</f>
        <v>conv_12089</v>
      </c>
      <c r="B2580" s="1" t="str">
        <f ca="1">IFERROR(__xludf.DUMMYFUNCTION("GOOGLETRANSLATE(English!B2580, ""en"", ""bg"")"),"физика")</f>
        <v>физика</v>
      </c>
      <c r="C2580" s="1" t="str">
        <f ca="1">IFERROR(__xludf.DUMMYFUNCTION("GOOGLETRANSLATE(English!C2580, ""en"", ""bg"")"),"елементарен")</f>
        <v>елементарен</v>
      </c>
      <c r="D2580" s="1" t="str">
        <f ca="1">IFERROR(__xludf.DUMMYFUNCTION("GOOGLETRANSLATE(English!D2580, ""en"", ""bg"")"),"плаващ и потъващ")</f>
        <v>плаващ и потъващ</v>
      </c>
      <c r="E2580" s="1" t="str">
        <f ca="1">IFERROR(__xludf.DUMMYFUNCTION("GOOGLETRANSLATE(English!E2580, ""en"", ""bg"")"),"Здравей, преподавателю! Защо е важно да се носиш и да потъваш?")</f>
        <v>Здравей, преподавателю! Защо е важно да се носиш и да потъваш?</v>
      </c>
      <c r="F2580" s="1" t="str">
        <f ca="1">IFERROR(__xludf.DUMMYFUNCTION("GOOGLETRANSLATE(English!F2580,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2580" s="1" t="str">
        <f ca="1">IFERROR(__xludf.DUMMYFUNCTION("GOOGLETRANSLATE(English!G2580, ""en"", ""bg"")"),"разговор")</f>
        <v>разговор</v>
      </c>
      <c r="H2580" s="1" t="str">
        <f ca="1">IFERROR(__xludf.DUMMYFUNCTION("GOOGLETRANSLATE(English!H2580, ""en"", ""bg"")"),"образователна_помощ")</f>
        <v>образователна_помощ</v>
      </c>
    </row>
    <row r="2581" spans="1:8" ht="13.2" x14ac:dyDescent="0.25">
      <c r="A2581" s="1" t="str">
        <f ca="1">IFERROR(__xludf.DUMMYFUNCTION("GOOGLETRANSLATE(English!A2581, ""en"", ""bg"")"),"conv_17666")</f>
        <v>conv_17666</v>
      </c>
      <c r="B2581" s="1" t="str">
        <f ca="1">IFERROR(__xludf.DUMMYFUNCTION("GOOGLETRANSLATE(English!B2581, ""en"", ""bg"")"),"биология")</f>
        <v>биология</v>
      </c>
      <c r="C2581" s="1" t="str">
        <f ca="1">IFERROR(__xludf.DUMMYFUNCTION("GOOGLETRANSLATE(English!C2581, ""en"", ""bg"")"),"средата")</f>
        <v>средата</v>
      </c>
      <c r="D2581" s="1" t="str">
        <f ca="1">IFERROR(__xludf.DUMMYFUNCTION("GOOGLETRANSLATE(English!D2581, ""en"", ""bg"")"),"клетки")</f>
        <v>клетки</v>
      </c>
      <c r="E2581" s="1" t="str">
        <f ca="1">IFERROR(__xludf.DUMMYFUNCTION("GOOGLETRANSLATE(English!E2581, ""en"", ""bg"")"),"Имам нужда от помощ с домашното. Какво прави ядрото?")</f>
        <v>Имам нужда от помощ с домашното. Какво прави ядрото?</v>
      </c>
      <c r="F2581" s="1" t="str">
        <f ca="1">IFERROR(__xludf.DUMMYFUNCTION("GOOGLETRANSLATE(English!F2581, ""en"", ""bg"")"),"Ядрото е като мозъка на клетката - то контролира какво прави клетката и съдържа ДНК.")</f>
        <v>Ядрото е като мозъка на клетката - то контролира какво прави клетката и съдържа ДНК.</v>
      </c>
      <c r="G2581" s="1" t="str">
        <f ca="1">IFERROR(__xludf.DUMMYFUNCTION("GOOGLETRANSLATE(English!G2581, ""en"", ""bg"")"),"разговор")</f>
        <v>разговор</v>
      </c>
      <c r="H2581" s="1" t="str">
        <f ca="1">IFERROR(__xludf.DUMMYFUNCTION("GOOGLETRANSLATE(English!H2581, ""en"", ""bg"")"),"образователна_помощ")</f>
        <v>образователна_помощ</v>
      </c>
    </row>
    <row r="2582" spans="1:8" ht="13.2" x14ac:dyDescent="0.25">
      <c r="A2582" s="1" t="str">
        <f ca="1">IFERROR(__xludf.DUMMYFUNCTION("GOOGLETRANSLATE(English!A2582, ""en"", ""bg"")"),"conv_07767")</f>
        <v>conv_07767</v>
      </c>
      <c r="B2582" s="1" t="str">
        <f ca="1">IFERROR(__xludf.DUMMYFUNCTION("GOOGLETRANSLATE(English!B2582, ""en"", ""bg"")"),"химия")</f>
        <v>химия</v>
      </c>
      <c r="C2582" s="1" t="str">
        <f ca="1">IFERROR(__xludf.DUMMYFUNCTION("GOOGLETRANSLATE(English!C2582, ""en"", ""bg"")"),"елементарен")</f>
        <v>елементарен</v>
      </c>
      <c r="D2582" s="1" t="str">
        <f ca="1">IFERROR(__xludf.DUMMYFUNCTION("GOOGLETRANSLATE(English!D2582, ""en"", ""bg"")"),"безопасност")</f>
        <v>безопасност</v>
      </c>
      <c r="E2582" s="1" t="str">
        <f ca="1">IFERROR(__xludf.DUMMYFUNCTION("GOOGLETRANSLATE(English!E2582, ""en"", ""bg"")"),"Имам нужда от помощ с домашното. Как работи безопасността в химията?")</f>
        <v>Имам нужда от помощ с домашното. Как работи безопасността в химията?</v>
      </c>
      <c r="F2582" s="1" t="str">
        <f ca="1">IFERROR(__xludf.DUMMYFUNCTION("GOOGLETRANSLATE(English!F2582,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2582" s="1" t="str">
        <f ca="1">IFERROR(__xludf.DUMMYFUNCTION("GOOGLETRANSLATE(English!G2582, ""en"", ""bg"")"),"разговор")</f>
        <v>разговор</v>
      </c>
      <c r="H2582" s="1" t="str">
        <f ca="1">IFERROR(__xludf.DUMMYFUNCTION("GOOGLETRANSLATE(English!H2582, ""en"", ""bg"")"),"образователна_помощ")</f>
        <v>образователна_помощ</v>
      </c>
    </row>
    <row r="2583" spans="1:8" ht="13.2" x14ac:dyDescent="0.25">
      <c r="A2583" s="1" t="str">
        <f ca="1">IFERROR(__xludf.DUMMYFUNCTION("GOOGLETRANSLATE(English!A2583, ""en"", ""bg"")"),"conv_13418")</f>
        <v>conv_13418</v>
      </c>
      <c r="B2583" s="1" t="str">
        <f ca="1">IFERROR(__xludf.DUMMYFUNCTION("GOOGLETRANSLATE(English!B2583, ""en"", ""bg"")"),"биология")</f>
        <v>биология</v>
      </c>
      <c r="C2583" s="1" t="str">
        <f ca="1">IFERROR(__xludf.DUMMYFUNCTION("GOOGLETRANSLATE(English!C2583, ""en"", ""bg"")"),"елементарен")</f>
        <v>елементарен</v>
      </c>
      <c r="D2583" s="1" t="str">
        <f ca="1">IFERROR(__xludf.DUMMYFUNCTION("GOOGLETRANSLATE(English!D2583, ""en"", ""bg"")"),"човешкото тяло")</f>
        <v>човешкото тяло</v>
      </c>
      <c r="E2583" s="1" t="str">
        <f ca="1">IFERROR(__xludf.DUMMYFUNCTION("GOOGLETRANSLATE(English!E2583, ""en"", ""bg"")"),"Можете ли да ми помогнете? Защо човешкото тяло е важно в биологията?")</f>
        <v>Можете ли да ми помогнете? Защо човешкото тяло е важно в биологията?</v>
      </c>
      <c r="F2583" s="1" t="str">
        <f ca="1">IFERROR(__xludf.DUMMYFUNCTION("GOOGLETRANSLATE(English!F2583,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2583" s="1" t="str">
        <f ca="1">IFERROR(__xludf.DUMMYFUNCTION("GOOGLETRANSLATE(English!G2583, ""en"", ""bg"")"),"разговор")</f>
        <v>разговор</v>
      </c>
      <c r="H2583" s="1" t="str">
        <f ca="1">IFERROR(__xludf.DUMMYFUNCTION("GOOGLETRANSLATE(English!H2583, ""en"", ""bg"")"),"образователна_помощ")</f>
        <v>образователна_помощ</v>
      </c>
    </row>
    <row r="2584" spans="1:8" ht="13.2" x14ac:dyDescent="0.25">
      <c r="A2584" s="1" t="str">
        <f ca="1">IFERROR(__xludf.DUMMYFUNCTION("GOOGLETRANSLATE(English!A2584, ""en"", ""bg"")"),"qa_09275")</f>
        <v>qa_09275</v>
      </c>
      <c r="B2584" s="1" t="str">
        <f ca="1">IFERROR(__xludf.DUMMYFUNCTION("GOOGLETRANSLATE(English!B2584, ""en"", ""bg"")"),"биология")</f>
        <v>биология</v>
      </c>
      <c r="C2584" s="1" t="str">
        <f ca="1">IFERROR(__xludf.DUMMYFUNCTION("GOOGLETRANSLATE(English!C2584, ""en"", ""bg"")"),"високо")</f>
        <v>високо</v>
      </c>
      <c r="D2584" s="1" t="str">
        <f ca="1">IFERROR(__xludf.DUMMYFUNCTION("GOOGLETRANSLATE(English!D2584, ""en"", ""bg"")"),"синтез на протеини")</f>
        <v>синтез на протеини</v>
      </c>
      <c r="E2584" s="1" t="str">
        <f ca="1">IFERROR(__xludf.DUMMYFUNCTION("GOOGLETRANSLATE(English!E2584, ""en"", ""bg"")"),"Можете ли да ми разкажете за синтеза на протеини?")</f>
        <v>Можете ли да ми разкажете за синтеза на протеини?</v>
      </c>
      <c r="F2584" s="1" t="str">
        <f ca="1">IFERROR(__xludf.DUMMYFUNCTION("GOOGLETRANSLATE(English!F2584,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2584" s="1" t="str">
        <f ca="1">IFERROR(__xludf.DUMMYFUNCTION("GOOGLETRANSLATE(English!G2584, ""en"", ""bg"")"),"direct_qa")</f>
        <v>direct_qa</v>
      </c>
      <c r="H2584" s="1" t="str">
        <f ca="1">IFERROR(__xludf.DUMMYFUNCTION("GOOGLETRANSLATE(English!H2584, ""en"", ""bg"")"),"заявка_за_знание")</f>
        <v>заявка_за_знание</v>
      </c>
    </row>
    <row r="2585" spans="1:8" ht="13.2" x14ac:dyDescent="0.25">
      <c r="A2585" s="1" t="str">
        <f ca="1">IFERROR(__xludf.DUMMYFUNCTION("GOOGLETRANSLATE(English!A2585, ""en"", ""bg"")"),"hw_01695")</f>
        <v>hw_01695</v>
      </c>
      <c r="B2585" s="1" t="str">
        <f ca="1">IFERROR(__xludf.DUMMYFUNCTION("GOOGLETRANSLATE(English!B2585, ""en"", ""bg"")"),"физика")</f>
        <v>физика</v>
      </c>
      <c r="C2585" s="1" t="str">
        <f ca="1">IFERROR(__xludf.DUMMYFUNCTION("GOOGLETRANSLATE(English!C2585, ""en"", ""bg"")"),"средата")</f>
        <v>средата</v>
      </c>
      <c r="D2585" s="1" t="str">
        <f ca="1">IFERROR(__xludf.DUMMYFUNCTION("GOOGLETRANSLATE(English!D2585, ""en"", ""bg"")"),"плътност")</f>
        <v>плътност</v>
      </c>
      <c r="E2585" s="1" t="str">
        <f ca="1">IFERROR(__xludf.DUMMYFUNCTION("GOOGLETRANSLATE(English!E2585, ""en"", ""bg"")"),"Домашното ми по физика е за плътността. Объркващо е!")</f>
        <v>Домашното ми по физика е за плътността. Объркващо е!</v>
      </c>
      <c r="F2585" s="1" t="str">
        <f ca="1">IFERROR(__xludf.DUMMYFUNCTION("GOOGLETRANSLATE(English!F2585,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585" s="1" t="str">
        <f ca="1">IFERROR(__xludf.DUMMYFUNCTION("GOOGLETRANSLATE(English!G2585, ""en"", ""bg"")"),"помощ_за_домашно_изпълнение")</f>
        <v>помощ_за_домашно_изпълнение</v>
      </c>
      <c r="H2585" s="1" t="str">
        <f ca="1">IFERROR(__xludf.DUMMYFUNCTION("GOOGLETRANSLATE(English!H2585, ""en"", ""bg"")"),"помощ_за_домашно_задаване")</f>
        <v>помощ_за_домашно_задаване</v>
      </c>
    </row>
    <row r="2586" spans="1:8" ht="13.2" x14ac:dyDescent="0.25">
      <c r="A2586" s="1" t="str">
        <f ca="1">IFERROR(__xludf.DUMMYFUNCTION("GOOGLETRANSLATE(English!A2586, ""en"", ""bg"")"),"hw_02900")</f>
        <v>hw_02900</v>
      </c>
      <c r="B2586" s="1" t="str">
        <f ca="1">IFERROR(__xludf.DUMMYFUNCTION("GOOGLETRANSLATE(English!B2586, ""en"", ""bg"")"),"физика")</f>
        <v>физика</v>
      </c>
      <c r="C2586" s="1" t="str">
        <f ca="1">IFERROR(__xludf.DUMMYFUNCTION("GOOGLETRANSLATE(English!C2586, ""en"", ""bg"")"),"средата")</f>
        <v>средата</v>
      </c>
      <c r="D2586" s="1" t="str">
        <f ca="1">IFERROR(__xludf.DUMMYFUNCTION("GOOGLETRANSLATE(English!D2586, ""en"", ""bg"")"),"основи на електричеството")</f>
        <v>основи на електричеството</v>
      </c>
      <c r="E2586" s="1" t="str">
        <f ca="1">IFERROR(__xludf.DUMMYFUNCTION("GOOGLETRANSLATE(English!E2586, ""en"", ""bg"")"),"Заседнал съм с този проблем с основите на електричеството. Можете ли да помогнете?")</f>
        <v>Заседнал съм с този проблем с основите на електричеството. Можете ли да помогнете?</v>
      </c>
      <c r="F2586" s="1" t="str">
        <f ca="1">IFERROR(__xludf.DUMMYFUNCTION("GOOGLETRANSLATE(English!F2586,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2586" s="1" t="str">
        <f ca="1">IFERROR(__xludf.DUMMYFUNCTION("GOOGLETRANSLATE(English!G2586, ""en"", ""bg"")"),"помощ_за_домашно_изпълнение")</f>
        <v>помощ_за_домашно_изпълнение</v>
      </c>
      <c r="H2586" s="1" t="str">
        <f ca="1">IFERROR(__xludf.DUMMYFUNCTION("GOOGLETRANSLATE(English!H2586, ""en"", ""bg"")"),"помощ_за_домашно_задаване")</f>
        <v>помощ_за_домашно_задаване</v>
      </c>
    </row>
    <row r="2587" spans="1:8" ht="13.2" x14ac:dyDescent="0.25">
      <c r="A2587" s="1" t="str">
        <f ca="1">IFERROR(__xludf.DUMMYFUNCTION("GOOGLETRANSLATE(English!A2587, ""en"", ""bg"")"),"qa_10289")</f>
        <v>qa_10289</v>
      </c>
      <c r="B2587" s="1" t="str">
        <f ca="1">IFERROR(__xludf.DUMMYFUNCTION("GOOGLETRANSLATE(English!B2587, ""en"", ""bg"")"),"биология")</f>
        <v>биология</v>
      </c>
      <c r="C2587" s="1" t="str">
        <f ca="1">IFERROR(__xludf.DUMMYFUNCTION("GOOGLETRANSLATE(English!C2587, ""en"", ""bg"")"),"елементарен")</f>
        <v>елементарен</v>
      </c>
      <c r="D2587" s="1" t="str">
        <f ca="1">IFERROR(__xludf.DUMMYFUNCTION("GOOGLETRANSLATE(English!D2587, ""en"", ""bg"")"),"растения")</f>
        <v>растения</v>
      </c>
      <c r="E2587" s="1" t="str">
        <f ca="1">IFERROR(__xludf.DUMMYFUNCTION("GOOGLETRANSLATE(English!E2587, ""en"", ""bg"")"),"От какво се нуждаят растенията, за да растат?")</f>
        <v>От какво се нуждаят растенията, за да растат?</v>
      </c>
      <c r="F2587" s="1" t="str">
        <f ca="1">IFERROR(__xludf.DUMMYFUNCTION("GOOGLETRANSLATE(English!F2587,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2587" s="1" t="str">
        <f ca="1">IFERROR(__xludf.DUMMYFUNCTION("GOOGLETRANSLATE(English!G2587, ""en"", ""bg"")"),"direct_qa")</f>
        <v>direct_qa</v>
      </c>
      <c r="H2587" s="1" t="str">
        <f ca="1">IFERROR(__xludf.DUMMYFUNCTION("GOOGLETRANSLATE(English!H2587, ""en"", ""bg"")"),"заявка_за_знание")</f>
        <v>заявка_за_знание</v>
      </c>
    </row>
    <row r="2588" spans="1:8" ht="13.2" x14ac:dyDescent="0.25">
      <c r="A2588" s="1" t="str">
        <f ca="1">IFERROR(__xludf.DUMMYFUNCTION("GOOGLETRANSLATE(English!A2588, ""en"", ""bg"")"),"hw_12567")</f>
        <v>hw_12567</v>
      </c>
      <c r="B2588" s="1" t="str">
        <f ca="1">IFERROR(__xludf.DUMMYFUNCTION("GOOGLETRANSLATE(English!B2588, ""en"", ""bg"")"),"химия")</f>
        <v>химия</v>
      </c>
      <c r="C2588" s="1" t="str">
        <f ca="1">IFERROR(__xludf.DUMMYFUNCTION("GOOGLETRANSLATE(English!C2588, ""en"", ""bg"")"),"елементарен")</f>
        <v>елементарен</v>
      </c>
      <c r="D2588" s="1" t="str">
        <f ca="1">IFERROR(__xludf.DUMMYFUNCTION("GOOGLETRANSLATE(English!D2588, ""en"", ""bg"")"),"безопасност")</f>
        <v>безопасност</v>
      </c>
      <c r="E2588" s="1" t="str">
        <f ca="1">IFERROR(__xludf.DUMMYFUNCTION("GOOGLETRANSLATE(English!E2588, ""en"", ""bg"")"),"Можете ли да ми помогнете с изчисленията за безопасност?")</f>
        <v>Можете ли да ми помогнете с изчисленията за безопасност?</v>
      </c>
      <c r="F2588" s="1" t="str">
        <f ca="1">IFERROR(__xludf.DUMMYFUNCTION("GOOGLETRANSLATE(English!F2588,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2588" s="1" t="str">
        <f ca="1">IFERROR(__xludf.DUMMYFUNCTION("GOOGLETRANSLATE(English!G2588, ""en"", ""bg"")"),"помощ_за_домашно_изпълнение")</f>
        <v>помощ_за_домашно_изпълнение</v>
      </c>
      <c r="H2588" s="1" t="str">
        <f ca="1">IFERROR(__xludf.DUMMYFUNCTION("GOOGLETRANSLATE(English!H2588, ""en"", ""bg"")"),"помощ_за_домашно_задаване")</f>
        <v>помощ_за_домашно_задаване</v>
      </c>
    </row>
    <row r="2589" spans="1:8" ht="13.2" x14ac:dyDescent="0.25">
      <c r="A2589" s="1" t="str">
        <f ca="1">IFERROR(__xludf.DUMMYFUNCTION("GOOGLETRANSLATE(English!A2589, ""en"", ""bg"")"),"qa_05639")</f>
        <v>qa_05639</v>
      </c>
      <c r="B2589" s="1" t="str">
        <f ca="1">IFERROR(__xludf.DUMMYFUNCTION("GOOGLETRANSLATE(English!B2589, ""en"", ""bg"")"),"химия")</f>
        <v>химия</v>
      </c>
      <c r="C2589" s="1" t="str">
        <f ca="1">IFERROR(__xludf.DUMMYFUNCTION("GOOGLETRANSLATE(English!C2589, ""en"", ""bg"")"),"елементарен")</f>
        <v>елементарен</v>
      </c>
      <c r="D2589" s="1" t="str">
        <f ca="1">IFERROR(__xludf.DUMMYFUNCTION("GOOGLETRANSLATE(English!D2589, ""en"", ""bg"")"),"ежедневни химикали")</f>
        <v>ежедневни химикали</v>
      </c>
      <c r="E2589" s="1" t="str">
        <f ca="1">IFERROR(__xludf.DUMMYFUNCTION("GOOGLETRANSLATE(English!E2589, ""en"", ""bg"")"),"Как действат ежедневните химикали в химията?")</f>
        <v>Как действат ежедневните химикали в химията?</v>
      </c>
      <c r="F2589" s="1" t="str">
        <f ca="1">IFERROR(__xludf.DUMMYFUNCTION("GOOGLETRANSLATE(English!F2589,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2589" s="1" t="str">
        <f ca="1">IFERROR(__xludf.DUMMYFUNCTION("GOOGLETRANSLATE(English!G2589, ""en"", ""bg"")"),"direct_qa")</f>
        <v>direct_qa</v>
      </c>
      <c r="H2589" s="1" t="str">
        <f ca="1">IFERROR(__xludf.DUMMYFUNCTION("GOOGLETRANSLATE(English!H2589, ""en"", ""bg"")"),"заявка_за_знание")</f>
        <v>заявка_за_знание</v>
      </c>
    </row>
    <row r="2590" spans="1:8" ht="13.2" x14ac:dyDescent="0.25">
      <c r="A2590" s="1" t="str">
        <f ca="1">IFERROR(__xludf.DUMMYFUNCTION("GOOGLETRANSLATE(English!A2590, ""en"", ""bg"")"),"hw_12619")</f>
        <v>hw_12619</v>
      </c>
      <c r="B2590" s="1" t="str">
        <f ca="1">IFERROR(__xludf.DUMMYFUNCTION("GOOGLETRANSLATE(English!B2590, ""en"", ""bg"")"),"физика")</f>
        <v>физика</v>
      </c>
      <c r="C2590" s="1" t="str">
        <f ca="1">IFERROR(__xludf.DUMMYFUNCTION("GOOGLETRANSLATE(English!C2590, ""en"", ""bg"")"),"средата")</f>
        <v>средата</v>
      </c>
      <c r="D2590" s="1" t="str">
        <f ca="1">IFERROR(__xludf.DUMMYFUNCTION("GOOGLETRANSLATE(English!D2590, ""en"", ""bg"")"),"видове енергия")</f>
        <v>видове енергия</v>
      </c>
      <c r="E2590" s="1" t="str">
        <f ca="1">IFERROR(__xludf.DUMMYFUNCTION("GOOGLETRANSLATE(English!E2590, ""en"", ""bg"")"),"Трябва да разбера видовете енергия за изпита си.")</f>
        <v>Трябва да разбера видовете енергия за изпита си.</v>
      </c>
      <c r="F2590" s="1" t="str">
        <f ca="1">IFERROR(__xludf.DUMMYFUNCTION("GOOGLETRANSLATE(English!F2590,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590" s="1" t="str">
        <f ca="1">IFERROR(__xludf.DUMMYFUNCTION("GOOGLETRANSLATE(English!G2590, ""en"", ""bg"")"),"помощ_за_домашно_изпълнение")</f>
        <v>помощ_за_домашно_изпълнение</v>
      </c>
      <c r="H2590" s="1" t="str">
        <f ca="1">IFERROR(__xludf.DUMMYFUNCTION("GOOGLETRANSLATE(English!H2590, ""en"", ""bg"")"),"помощ_за_домашно_задаване")</f>
        <v>помощ_за_домашно_задаване</v>
      </c>
    </row>
    <row r="2591" spans="1:8" ht="13.2" x14ac:dyDescent="0.25">
      <c r="A2591" s="1" t="str">
        <f ca="1">IFERROR(__xludf.DUMMYFUNCTION("GOOGLETRANSLATE(English!A2591, ""en"", ""bg"")"),"hw_13340")</f>
        <v>hw_13340</v>
      </c>
      <c r="B2591" s="1" t="str">
        <f ca="1">IFERROR(__xludf.DUMMYFUNCTION("GOOGLETRANSLATE(English!B2591, ""en"", ""bg"")"),"физика")</f>
        <v>физика</v>
      </c>
      <c r="C2591" s="1" t="str">
        <f ca="1">IFERROR(__xludf.DUMMYFUNCTION("GOOGLETRANSLATE(English!C2591, ""en"", ""bg"")"),"високо")</f>
        <v>високо</v>
      </c>
      <c r="D2591" s="1" t="str">
        <f ca="1">IFERROR(__xludf.DUMMYFUNCTION("GOOGLETRANSLATE(English!D2591, ""en"", ""bg"")"),"атомна структура")</f>
        <v>атомна структура</v>
      </c>
      <c r="E2591" s="1" t="str">
        <f ca="1">IFERROR(__xludf.DUMMYFUNCTION("GOOGLETRANSLATE(English!E2591, ""en"", ""bg"")"),"Можете ли да решите този въпрос за атомната структура с мен?")</f>
        <v>Можете ли да решите този въпрос за атомната структура с мен?</v>
      </c>
      <c r="F2591" s="1" t="str">
        <f ca="1">IFERROR(__xludf.DUMMYFUNCTION("GOOGLETRANSLATE(English!F2591,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591" s="1" t="str">
        <f ca="1">IFERROR(__xludf.DUMMYFUNCTION("GOOGLETRANSLATE(English!G2591, ""en"", ""bg"")"),"помощ_за_домашно_изпълнение")</f>
        <v>помощ_за_домашно_изпълнение</v>
      </c>
      <c r="H2591" s="1" t="str">
        <f ca="1">IFERROR(__xludf.DUMMYFUNCTION("GOOGLETRANSLATE(English!H2591, ""en"", ""bg"")"),"помощ_за_домашно_задаване")</f>
        <v>помощ_за_домашно_задаване</v>
      </c>
    </row>
    <row r="2592" spans="1:8" ht="13.2" x14ac:dyDescent="0.25">
      <c r="A2592" s="1" t="str">
        <f ca="1">IFERROR(__xludf.DUMMYFUNCTION("GOOGLETRANSLATE(English!A2592, ""en"", ""bg"")"),"qa_11494")</f>
        <v>qa_11494</v>
      </c>
      <c r="B2592" s="1" t="str">
        <f ca="1">IFERROR(__xludf.DUMMYFUNCTION("GOOGLETRANSLATE(English!B2592, ""en"", ""bg"")"),"химия")</f>
        <v>химия</v>
      </c>
      <c r="C2592" s="1" t="str">
        <f ca="1">IFERROR(__xludf.DUMMYFUNCTION("GOOGLETRANSLATE(English!C2592, ""en"", ""bg"")"),"елементарен")</f>
        <v>елементарен</v>
      </c>
      <c r="D2592" s="1" t="str">
        <f ca="1">IFERROR(__xludf.DUMMYFUNCTION("GOOGLETRANSLATE(English!D2592, ""en"", ""bg"")"),"твърди вещества, течности, газове")</f>
        <v>твърди вещества, течности, газове</v>
      </c>
      <c r="E2592" s="1" t="str">
        <f ca="1">IFERROR(__xludf.DUMMYFUNCTION("GOOGLETRANSLATE(English!E2592, ""en"", ""bg"")"),"Какво се случва, когато нагрявате твърдо вещество?")</f>
        <v>Какво се случва, когато нагрявате твърдо вещество?</v>
      </c>
      <c r="F2592" s="1" t="str">
        <f ca="1">IFERROR(__xludf.DUMMYFUNCTION("GOOGLETRANSLATE(English!F2592,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2592" s="1" t="str">
        <f ca="1">IFERROR(__xludf.DUMMYFUNCTION("GOOGLETRANSLATE(English!G2592, ""en"", ""bg"")"),"direct_qa")</f>
        <v>direct_qa</v>
      </c>
      <c r="H2592" s="1" t="str">
        <f ca="1">IFERROR(__xludf.DUMMYFUNCTION("GOOGLETRANSLATE(English!H2592, ""en"", ""bg"")"),"заявка_за_знание")</f>
        <v>заявка_за_знание</v>
      </c>
    </row>
    <row r="2593" spans="1:8" ht="13.2" x14ac:dyDescent="0.25">
      <c r="A2593" s="1" t="str">
        <f ca="1">IFERROR(__xludf.DUMMYFUNCTION("GOOGLETRANSLATE(English!A2593, ""en"", ""bg"")"),"conv_18801")</f>
        <v>conv_18801</v>
      </c>
      <c r="B2593" s="1" t="str">
        <f ca="1">IFERROR(__xludf.DUMMYFUNCTION("GOOGLETRANSLATE(English!B2593, ""en"", ""bg"")"),"физика")</f>
        <v>физика</v>
      </c>
      <c r="C2593" s="1" t="str">
        <f ca="1">IFERROR(__xludf.DUMMYFUNCTION("GOOGLETRANSLATE(English!C2593, ""en"", ""bg"")"),"средата")</f>
        <v>средата</v>
      </c>
      <c r="D2593" s="1" t="str">
        <f ca="1">IFERROR(__xludf.DUMMYFUNCTION("GOOGLETRANSLATE(English!D2593, ""en"", ""bg"")"),"сили и движение")</f>
        <v>сили и движение</v>
      </c>
      <c r="E2593" s="1" t="str">
        <f ca="1">IFERROR(__xludf.DUMMYFUNCTION("GOOGLETRANSLATE(English!E2593, ""en"", ""bg"")"),"Имам нужда от помощ с домашното си. Какъв е първият закон на Нютон?")</f>
        <v>Имам нужда от помощ с домашното си. Какъв е първият закон на Нютон?</v>
      </c>
      <c r="F2593" s="1" t="str">
        <f ca="1">IFERROR(__xludf.DUMMYFUNCTION("GOOGLETRANSLATE(English!F2593,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2593" s="1" t="str">
        <f ca="1">IFERROR(__xludf.DUMMYFUNCTION("GOOGLETRANSLATE(English!G2593, ""en"", ""bg"")"),"разговор")</f>
        <v>разговор</v>
      </c>
      <c r="H2593" s="1" t="str">
        <f ca="1">IFERROR(__xludf.DUMMYFUNCTION("GOOGLETRANSLATE(English!H2593, ""en"", ""bg"")"),"образователна_помощ")</f>
        <v>образователна_помощ</v>
      </c>
    </row>
    <row r="2594" spans="1:8" ht="13.2" x14ac:dyDescent="0.25">
      <c r="A2594" s="1" t="str">
        <f ca="1">IFERROR(__xludf.DUMMYFUNCTION("GOOGLETRANSLATE(English!A2594, ""en"", ""bg"")"),"conv_02100")</f>
        <v>conv_02100</v>
      </c>
      <c r="B2594" s="1" t="str">
        <f ca="1">IFERROR(__xludf.DUMMYFUNCTION("GOOGLETRANSLATE(English!B2594, ""en"", ""bg"")"),"физика")</f>
        <v>физика</v>
      </c>
      <c r="C2594" s="1" t="str">
        <f ca="1">IFERROR(__xludf.DUMMYFUNCTION("GOOGLETRANSLATE(English!C2594, ""en"", ""bg"")"),"средата")</f>
        <v>средата</v>
      </c>
      <c r="D2594" s="1" t="str">
        <f ca="1">IFERROR(__xludf.DUMMYFUNCTION("GOOGLETRANSLATE(English!D2594, ""en"", ""bg"")"),"плътност")</f>
        <v>плътност</v>
      </c>
      <c r="E2594" s="1" t="str">
        <f ca="1">IFERROR(__xludf.DUMMYFUNCTION("GOOGLETRANSLATE(English!E2594, ""en"", ""bg"")"),"Не разбирам тази тема. Как работи плътността във физиката?")</f>
        <v>Не разбирам тази тема. Как работи плътността във физиката?</v>
      </c>
      <c r="F2594" s="1" t="str">
        <f ca="1">IFERROR(__xludf.DUMMYFUNCTION("GOOGLETRANSLATE(English!F2594,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2594" s="1" t="str">
        <f ca="1">IFERROR(__xludf.DUMMYFUNCTION("GOOGLETRANSLATE(English!G2594, ""en"", ""bg"")"),"разговор")</f>
        <v>разговор</v>
      </c>
      <c r="H2594" s="1" t="str">
        <f ca="1">IFERROR(__xludf.DUMMYFUNCTION("GOOGLETRANSLATE(English!H2594, ""en"", ""bg"")"),"образователна_помощ")</f>
        <v>образователна_помощ</v>
      </c>
    </row>
    <row r="2595" spans="1:8" ht="13.2" x14ac:dyDescent="0.25">
      <c r="A2595" s="1" t="str">
        <f ca="1">IFERROR(__xludf.DUMMYFUNCTION("GOOGLETRANSLATE(English!A2595, ""en"", ""bg"")"),"conv_07466")</f>
        <v>conv_07466</v>
      </c>
      <c r="B2595" s="1" t="str">
        <f ca="1">IFERROR(__xludf.DUMMYFUNCTION("GOOGLETRANSLATE(English!B2595, ""en"", ""bg"")"),"физика")</f>
        <v>физика</v>
      </c>
      <c r="C2595" s="1" t="str">
        <f ca="1">IFERROR(__xludf.DUMMYFUNCTION("GOOGLETRANSLATE(English!C2595, ""en"", ""bg"")"),"средата")</f>
        <v>средата</v>
      </c>
      <c r="D2595" s="1" t="str">
        <f ca="1">IFERROR(__xludf.DUMMYFUNCTION("GOOGLETRANSLATE(English!D2595, ""en"", ""bg"")"),"състояния на материята")</f>
        <v>състояния на материята</v>
      </c>
      <c r="E2595" s="1" t="str">
        <f ca="1">IFERROR(__xludf.DUMMYFUNCTION("GOOGLETRANSLATE(English!E2595, ""en"", ""bg"")"),"Не разбирам тази тема. Какво трябва да знам за състоянията на материята?")</f>
        <v>Не разбирам тази тема. Какво трябва да знам за състоянията на материята?</v>
      </c>
      <c r="F2595" s="1" t="str">
        <f ca="1">IFERROR(__xludf.DUMMYFUNCTION("GOOGLETRANSLATE(English!F2595,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2595" s="1" t="str">
        <f ca="1">IFERROR(__xludf.DUMMYFUNCTION("GOOGLETRANSLATE(English!G2595, ""en"", ""bg"")"),"разговор")</f>
        <v>разговор</v>
      </c>
      <c r="H2595" s="1" t="str">
        <f ca="1">IFERROR(__xludf.DUMMYFUNCTION("GOOGLETRANSLATE(English!H2595, ""en"", ""bg"")"),"образователна_помощ")</f>
        <v>образователна_помощ</v>
      </c>
    </row>
    <row r="2596" spans="1:8" ht="13.2" x14ac:dyDescent="0.25">
      <c r="A2596" s="1" t="str">
        <f ca="1">IFERROR(__xludf.DUMMYFUNCTION("GOOGLETRANSLATE(English!A2596, ""en"", ""bg"")"),"conv_01098")</f>
        <v>conv_01098</v>
      </c>
      <c r="B2596" s="1" t="str">
        <f ca="1">IFERROR(__xludf.DUMMYFUNCTION("GOOGLETRANSLATE(English!B2596, ""en"", ""bg"")"),"химия")</f>
        <v>химия</v>
      </c>
      <c r="C2596" s="1" t="str">
        <f ca="1">IFERROR(__xludf.DUMMYFUNCTION("GOOGLETRANSLATE(English!C2596, ""en"", ""bg"")"),"високо")</f>
        <v>високо</v>
      </c>
      <c r="D2596" s="1" t="str">
        <f ca="1">IFERROR(__xludf.DUMMYFUNCTION("GOOGLETRANSLATE(English!D2596, ""en"", ""bg"")"),"химическо свързване")</f>
        <v>химическо свързване</v>
      </c>
      <c r="E2596" s="1" t="str">
        <f ca="1">IFERROR(__xludf.DUMMYFUNCTION("GOOGLETRANSLATE(English!E2596, ""en"", ""bg"")"),"Имам нужда от помощ с домашното си. Какво представлява химичното свързване?")</f>
        <v>Имам нужда от помощ с домашното си. Какво представлява химичното свързване?</v>
      </c>
      <c r="F2596" s="1" t="str">
        <f ca="1">IFERROR(__xludf.DUMMYFUNCTION("GOOGLETRANSLATE(English!F2596,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2596" s="1" t="str">
        <f ca="1">IFERROR(__xludf.DUMMYFUNCTION("GOOGLETRANSLATE(English!G2596, ""en"", ""bg"")"),"разговор")</f>
        <v>разговор</v>
      </c>
      <c r="H2596" s="1" t="str">
        <f ca="1">IFERROR(__xludf.DUMMYFUNCTION("GOOGLETRANSLATE(English!H2596, ""en"", ""bg"")"),"образователна_помощ")</f>
        <v>образователна_помощ</v>
      </c>
    </row>
    <row r="2597" spans="1:8" ht="13.2" x14ac:dyDescent="0.25">
      <c r="A2597" s="1" t="str">
        <f ca="1">IFERROR(__xludf.DUMMYFUNCTION("GOOGLETRANSLATE(English!A2597, ""en"", ""bg"")"),"conv_09573")</f>
        <v>conv_09573</v>
      </c>
      <c r="B2597" s="1" t="str">
        <f ca="1">IFERROR(__xludf.DUMMYFUNCTION("GOOGLETRANSLATE(English!B2597, ""en"", ""bg"")"),"биология")</f>
        <v>биология</v>
      </c>
      <c r="C2597" s="1" t="str">
        <f ca="1">IFERROR(__xludf.DUMMYFUNCTION("GOOGLETRANSLATE(English!C2597, ""en"", ""bg"")"),"високо")</f>
        <v>високо</v>
      </c>
      <c r="D2597" s="1" t="str">
        <f ca="1">IFERROR(__xludf.DUMMYFUNCTION("GOOGLETRANSLATE(English!D2597, ""en"", ""bg"")"),"модели на наследяване")</f>
        <v>модели на наследяване</v>
      </c>
      <c r="E2597" s="1" t="str">
        <f ca="1">IFERROR(__xludf.DUMMYFUNCTION("GOOGLETRANSLATE(English!E2597, ""en"", ""bg"")"),"Имам научен въпрос. Как работят моделите на наследяване?")</f>
        <v>Имам научен въпрос. Как работят моделите на наследяване?</v>
      </c>
      <c r="F2597" s="1" t="str">
        <f ca="1">IFERROR(__xludf.DUMMYFUNCTION("GOOGLETRANSLATE(English!F2597,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2597" s="1" t="str">
        <f ca="1">IFERROR(__xludf.DUMMYFUNCTION("GOOGLETRANSLATE(English!G2597, ""en"", ""bg"")"),"разговор")</f>
        <v>разговор</v>
      </c>
      <c r="H2597" s="1" t="str">
        <f ca="1">IFERROR(__xludf.DUMMYFUNCTION("GOOGLETRANSLATE(English!H2597, ""en"", ""bg"")"),"образователна_помощ")</f>
        <v>образователна_помощ</v>
      </c>
    </row>
    <row r="2598" spans="1:8" ht="13.2" x14ac:dyDescent="0.25">
      <c r="A2598" s="1" t="str">
        <f ca="1">IFERROR(__xludf.DUMMYFUNCTION("GOOGLETRANSLATE(English!A2598, ""en"", ""bg"")"),"conv_06673")</f>
        <v>conv_06673</v>
      </c>
      <c r="B2598" s="1" t="str">
        <f ca="1">IFERROR(__xludf.DUMMYFUNCTION("GOOGLETRANSLATE(English!B2598, ""en"", ""bg"")"),"биология")</f>
        <v>биология</v>
      </c>
      <c r="C2598" s="1" t="str">
        <f ca="1">IFERROR(__xludf.DUMMYFUNCTION("GOOGLETRANSLATE(English!C2598, ""en"", ""bg"")"),"елементарен")</f>
        <v>елементарен</v>
      </c>
      <c r="D2598" s="1" t="str">
        <f ca="1">IFERROR(__xludf.DUMMYFUNCTION("GOOGLETRANSLATE(English!D2598, ""en"", ""bg"")"),"растения")</f>
        <v>растения</v>
      </c>
      <c r="E2598" s="1" t="str">
        <f ca="1">IFERROR(__xludf.DUMMYFUNCTION("GOOGLETRANSLATE(English!E2598, ""en"", ""bg"")"),"Можете ли да ми обясните това? Защо листата обикновено са зелени?")</f>
        <v>Можете ли да ми обясните това? Защо листата обикновено са зелени?</v>
      </c>
      <c r="F2598" s="1" t="str">
        <f ca="1">IFERROR(__xludf.DUMMYFUNCTION("GOOGLETRANSLATE(English!F2598, ""en"", ""bg"")"),"Листата са зелени, защото съдържат хлорофил, специално вещество, което помага на растенията да улавят слънчевата светлина.")</f>
        <v>Листата са зелени, защото съдържат хлорофил, специално вещество, което помага на растенията да улавят слънчевата светлина.</v>
      </c>
      <c r="G2598" s="1" t="str">
        <f ca="1">IFERROR(__xludf.DUMMYFUNCTION("GOOGLETRANSLATE(English!G2598, ""en"", ""bg"")"),"разговор")</f>
        <v>разговор</v>
      </c>
      <c r="H2598" s="1" t="str">
        <f ca="1">IFERROR(__xludf.DUMMYFUNCTION("GOOGLETRANSLATE(English!H2598, ""en"", ""bg"")"),"образователна_помощ")</f>
        <v>образователна_помощ</v>
      </c>
    </row>
    <row r="2599" spans="1:8" ht="13.2" x14ac:dyDescent="0.25">
      <c r="A2599" s="1" t="str">
        <f ca="1">IFERROR(__xludf.DUMMYFUNCTION("GOOGLETRANSLATE(English!A2599, ""en"", ""bg"")"),"hw_00423")</f>
        <v>hw_00423</v>
      </c>
      <c r="B2599" s="1" t="str">
        <f ca="1">IFERROR(__xludf.DUMMYFUNCTION("GOOGLETRANSLATE(English!B2599, ""en"", ""bg"")"),"физика")</f>
        <v>физика</v>
      </c>
      <c r="C2599" s="1" t="str">
        <f ca="1">IFERROR(__xludf.DUMMYFUNCTION("GOOGLETRANSLATE(English!C2599, ""en"", ""bg"")"),"високо")</f>
        <v>високо</v>
      </c>
      <c r="D2599" s="1" t="str">
        <f ca="1">IFERROR(__xludf.DUMMYFUNCTION("GOOGLETRANSLATE(English!D2599, ""en"", ""bg"")"),"механика")</f>
        <v>механика</v>
      </c>
      <c r="E2599" s="1" t="str">
        <f ca="1">IFERROR(__xludf.DUMMYFUNCTION("GOOGLETRANSLATE(English!E2599, ""en"", ""bg"")"),"Можеш ли да решиш този механичен въпрос с мен?")</f>
        <v>Можеш ли да решиш този механичен въпрос с мен?</v>
      </c>
      <c r="F2599" s="1" t="str">
        <f ca="1">IFERROR(__xludf.DUMMYFUNCTION("GOOGLETRANSLATE(English!F2599,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2599" s="1" t="str">
        <f ca="1">IFERROR(__xludf.DUMMYFUNCTION("GOOGLETRANSLATE(English!G2599, ""en"", ""bg"")"),"помощ_за_домашно_изпълнение")</f>
        <v>помощ_за_домашно_изпълнение</v>
      </c>
      <c r="H2599" s="1" t="str">
        <f ca="1">IFERROR(__xludf.DUMMYFUNCTION("GOOGLETRANSLATE(English!H2599, ""en"", ""bg"")"),"помощ_за_домашно_задаване")</f>
        <v>помощ_за_домашно_задаване</v>
      </c>
    </row>
    <row r="2600" spans="1:8" ht="13.2" x14ac:dyDescent="0.25">
      <c r="A2600" s="1" t="str">
        <f ca="1">IFERROR(__xludf.DUMMYFUNCTION("GOOGLETRANSLATE(English!A2600, ""en"", ""bg"")"),"conv_04587")</f>
        <v>conv_04587</v>
      </c>
      <c r="B2600" s="1" t="str">
        <f ca="1">IFERROR(__xludf.DUMMYFUNCTION("GOOGLETRANSLATE(English!B2600, ""en"", ""bg"")"),"химия")</f>
        <v>химия</v>
      </c>
      <c r="C2600" s="1" t="str">
        <f ca="1">IFERROR(__xludf.DUMMYFUNCTION("GOOGLETRANSLATE(English!C2600, ""en"", ""bg"")"),"високо")</f>
        <v>високо</v>
      </c>
      <c r="D2600" s="1" t="str">
        <f ca="1">IFERROR(__xludf.DUMMYFUNCTION("GOOGLETRANSLATE(English!D2600, ""en"", ""bg"")"),"равновесие")</f>
        <v>равновесие</v>
      </c>
      <c r="E2600" s="1" t="str">
        <f ca="1">IFERROR(__xludf.DUMMYFUNCTION("GOOGLETRANSLATE(English!E2600, ""en"", ""bg"")"),"Имам научен въпрос. Как работи равновесието в химията?")</f>
        <v>Имам научен въпрос. Как работи равновесието в химията?</v>
      </c>
      <c r="F2600" s="1" t="str">
        <f ca="1">IFERROR(__xludf.DUMMYFUNCTION("GOOGLETRANSLATE(English!F2600,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2600" s="1" t="str">
        <f ca="1">IFERROR(__xludf.DUMMYFUNCTION("GOOGLETRANSLATE(English!G2600, ""en"", ""bg"")"),"разговор")</f>
        <v>разговор</v>
      </c>
      <c r="H2600" s="1" t="str">
        <f ca="1">IFERROR(__xludf.DUMMYFUNCTION("GOOGLETRANSLATE(English!H2600, ""en"", ""bg"")"),"образователна_помощ")</f>
        <v>образователна_помощ</v>
      </c>
    </row>
    <row r="2601" spans="1:8" ht="13.2" x14ac:dyDescent="0.25">
      <c r="A2601" s="1" t="str">
        <f ca="1">IFERROR(__xludf.DUMMYFUNCTION("GOOGLETRANSLATE(English!A2601, ""en"", ""bg"")"),"conv_04795")</f>
        <v>conv_04795</v>
      </c>
      <c r="B2601" s="1" t="str">
        <f ca="1">IFERROR(__xludf.DUMMYFUNCTION("GOOGLETRANSLATE(English!B2601, ""en"", ""bg"")"),"биология")</f>
        <v>биология</v>
      </c>
      <c r="C2601" s="1" t="str">
        <f ca="1">IFERROR(__xludf.DUMMYFUNCTION("GOOGLETRANSLATE(English!C2601, ""en"", ""bg"")"),"елементарен")</f>
        <v>елементарен</v>
      </c>
      <c r="D2601" s="1" t="str">
        <f ca="1">IFERROR(__xludf.DUMMYFUNCTION("GOOGLETRANSLATE(English!D2601, ""en"", ""bg"")"),"местообитания")</f>
        <v>местообитания</v>
      </c>
      <c r="E2601" s="1" t="str">
        <f ca="1">IFERROR(__xludf.DUMMYFUNCTION("GOOGLETRANSLATE(English!E2601, ""en"", ""bg"")"),"Помогнете ми да уча за теста си. Защо местообитанията са важни в биологията?")</f>
        <v>Помогнете ми да уча за теста си. Защо местообитанията са важни в биологията?</v>
      </c>
      <c r="F2601" s="1" t="str">
        <f ca="1">IFERROR(__xludf.DUMMYFUNCTION("GOOGLETRANSLATE(English!F2601,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2601" s="1" t="str">
        <f ca="1">IFERROR(__xludf.DUMMYFUNCTION("GOOGLETRANSLATE(English!G2601, ""en"", ""bg"")"),"разговор")</f>
        <v>разговор</v>
      </c>
      <c r="H2601" s="1" t="str">
        <f ca="1">IFERROR(__xludf.DUMMYFUNCTION("GOOGLETRANSLATE(English!H2601, ""en"", ""bg"")"),"образователна_помощ")</f>
        <v>образователна_помощ</v>
      </c>
    </row>
    <row r="2602" spans="1:8" ht="13.2" x14ac:dyDescent="0.25">
      <c r="A2602" s="1" t="str">
        <f ca="1">IFERROR(__xludf.DUMMYFUNCTION("GOOGLETRANSLATE(English!A2602, ""en"", ""bg"")"),"qa_02534")</f>
        <v>qa_02534</v>
      </c>
      <c r="B2602" s="1" t="str">
        <f ca="1">IFERROR(__xludf.DUMMYFUNCTION("GOOGLETRANSLATE(English!B2602, ""en"", ""bg"")"),"химия")</f>
        <v>химия</v>
      </c>
      <c r="C2602" s="1" t="str">
        <f ca="1">IFERROR(__xludf.DUMMYFUNCTION("GOOGLETRANSLATE(English!C2602, ""en"", ""bg"")"),"средата")</f>
        <v>средата</v>
      </c>
      <c r="D2602" s="1" t="str">
        <f ca="1">IFERROR(__xludf.DUMMYFUNCTION("GOOGLETRANSLATE(English!D2602, ""en"", ""bg"")"),"основи на периодичната таблица")</f>
        <v>основи на периодичната таблица</v>
      </c>
      <c r="E2602" s="1" t="str">
        <f ca="1">IFERROR(__xludf.DUMMYFUNCTION("GOOGLETRANSLATE(English!E2602, ""en"", ""bg"")"),"Какво представляват основите на периодичната таблица?")</f>
        <v>Какво представляват основите на периодичната таблица?</v>
      </c>
      <c r="F2602" s="1" t="str">
        <f ca="1">IFERROR(__xludf.DUMMYFUNCTION("GOOGLETRANSLATE(English!F2602,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2602" s="1" t="str">
        <f ca="1">IFERROR(__xludf.DUMMYFUNCTION("GOOGLETRANSLATE(English!G2602, ""en"", ""bg"")"),"direct_qa")</f>
        <v>direct_qa</v>
      </c>
      <c r="H2602" s="1" t="str">
        <f ca="1">IFERROR(__xludf.DUMMYFUNCTION("GOOGLETRANSLATE(English!H2602, ""en"", ""bg"")"),"заявка_за_знание")</f>
        <v>заявка_за_знание</v>
      </c>
    </row>
    <row r="2603" spans="1:8" ht="13.2" x14ac:dyDescent="0.25">
      <c r="A2603" s="1" t="str">
        <f ca="1">IFERROR(__xludf.DUMMYFUNCTION("GOOGLETRANSLATE(English!A2603, ""en"", ""bg"")"),"qa_07579")</f>
        <v>qa_07579</v>
      </c>
      <c r="B2603" s="1" t="str">
        <f ca="1">IFERROR(__xludf.DUMMYFUNCTION("GOOGLETRANSLATE(English!B2603, ""en"", ""bg"")"),"химия")</f>
        <v>химия</v>
      </c>
      <c r="C2603" s="1" t="str">
        <f ca="1">IFERROR(__xludf.DUMMYFUNCTION("GOOGLETRANSLATE(English!C2603, ""en"", ""bg"")"),"средата")</f>
        <v>средата</v>
      </c>
      <c r="D2603" s="1" t="str">
        <f ca="1">IFERROR(__xludf.DUMMYFUNCTION("GOOGLETRANSLATE(English!D2603, ""en"", ""bg"")"),"киселини и основи")</f>
        <v>киселини и основи</v>
      </c>
      <c r="E2603" s="1" t="str">
        <f ca="1">IFERROR(__xludf.DUMMYFUNCTION("GOOGLETRANSLATE(English!E2603, ""en"", ""bg"")"),"Как действат киселините и основите в химията?")</f>
        <v>Как действат киселините и основите в химията?</v>
      </c>
      <c r="F2603" s="1" t="str">
        <f ca="1">IFERROR(__xludf.DUMMYFUNCTION("GOOGLETRANSLATE(English!F2603,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2603" s="1" t="str">
        <f ca="1">IFERROR(__xludf.DUMMYFUNCTION("GOOGLETRANSLATE(English!G2603, ""en"", ""bg"")"),"direct_qa")</f>
        <v>direct_qa</v>
      </c>
      <c r="H2603" s="1" t="str">
        <f ca="1">IFERROR(__xludf.DUMMYFUNCTION("GOOGLETRANSLATE(English!H2603, ""en"", ""bg"")"),"заявка_за_знание")</f>
        <v>заявка_за_знание</v>
      </c>
    </row>
    <row r="2604" spans="1:8" ht="13.2" x14ac:dyDescent="0.25">
      <c r="A2604" s="1" t="str">
        <f ca="1">IFERROR(__xludf.DUMMYFUNCTION("GOOGLETRANSLATE(English!A2604, ""en"", ""bg"")"),"hw_03626")</f>
        <v>hw_03626</v>
      </c>
      <c r="B2604" s="1" t="str">
        <f ca="1">IFERROR(__xludf.DUMMYFUNCTION("GOOGLETRANSLATE(English!B2604, ""en"", ""bg"")"),"химия")</f>
        <v>химия</v>
      </c>
      <c r="C2604" s="1" t="str">
        <f ca="1">IFERROR(__xludf.DUMMYFUNCTION("GOOGLETRANSLATE(English!C2604, ""en"", ""bg"")"),"средата")</f>
        <v>средата</v>
      </c>
      <c r="D2604" s="1" t="str">
        <f ca="1">IFERROR(__xludf.DUMMYFUNCTION("GOOGLETRANSLATE(English!D2604, ""en"", ""bg"")"),"киселини и основи")</f>
        <v>киселини и основи</v>
      </c>
      <c r="E2604" s="1" t="str">
        <f ca="1">IFERROR(__xludf.DUMMYFUNCTION("GOOGLETRANSLATE(English!E2604, ""en"", ""bg"")"),"Не разбирам тази концепция за киселини и основи. Моля, обяснете!")</f>
        <v>Не разбирам тази концепция за киселини и основи. Моля, обяснете!</v>
      </c>
      <c r="F2604" s="1" t="str">
        <f ca="1">IFERROR(__xludf.DUMMYFUNCTION("GOOGLETRANSLATE(English!F2604,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2604" s="1" t="str">
        <f ca="1">IFERROR(__xludf.DUMMYFUNCTION("GOOGLETRANSLATE(English!G2604, ""en"", ""bg"")"),"помощ_за_домашно_изпълнение")</f>
        <v>помощ_за_домашно_изпълнение</v>
      </c>
      <c r="H2604" s="1" t="str">
        <f ca="1">IFERROR(__xludf.DUMMYFUNCTION("GOOGLETRANSLATE(English!H2604, ""en"", ""bg"")"),"помощ_за_домашно_задаване")</f>
        <v>помощ_за_домашно_задаване</v>
      </c>
    </row>
    <row r="2605" spans="1:8" ht="13.2" x14ac:dyDescent="0.25">
      <c r="A2605" s="1" t="str">
        <f ca="1">IFERROR(__xludf.DUMMYFUNCTION("GOOGLETRANSLATE(English!A2605, ""en"", ""bg"")"),"conv_01019")</f>
        <v>conv_01019</v>
      </c>
      <c r="B2605" s="1" t="str">
        <f ca="1">IFERROR(__xludf.DUMMYFUNCTION("GOOGLETRANSLATE(English!B2605, ""en"", ""bg"")"),"химия")</f>
        <v>химия</v>
      </c>
      <c r="C2605" s="1" t="str">
        <f ca="1">IFERROR(__xludf.DUMMYFUNCTION("GOOGLETRANSLATE(English!C2605, ""en"", ""bg"")"),"средата")</f>
        <v>средата</v>
      </c>
      <c r="D2605" s="1" t="str">
        <f ca="1">IFERROR(__xludf.DUMMYFUNCTION("GOOGLETRANSLATE(English!D2605, ""en"", ""bg"")"),"съединения срещу елементи")</f>
        <v>съединения срещу елементи</v>
      </c>
      <c r="E2605" s="1" t="str">
        <f ca="1">IFERROR(__xludf.DUMMYFUNCTION("GOOGLETRANSLATE(English!E2605, ""en"", ""bg"")"),"Здравей, преподавателю! Можеш ли да ми помогнеш да разбера по-добре какво представляват съединенията спрямо елементите?")</f>
        <v>Здравей, преподавателю! Можеш ли да ми помогнеш да разбера по-добре какво представляват съединенията спрямо елементите?</v>
      </c>
      <c r="F2605" s="1" t="str">
        <f ca="1">IFERROR(__xludf.DUMMYFUNCTION("GOOGLETRANSLATE(English!F2605,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2605" s="1" t="str">
        <f ca="1">IFERROR(__xludf.DUMMYFUNCTION("GOOGLETRANSLATE(English!G2605, ""en"", ""bg"")"),"разговор")</f>
        <v>разговор</v>
      </c>
      <c r="H2605" s="1" t="str">
        <f ca="1">IFERROR(__xludf.DUMMYFUNCTION("GOOGLETRANSLATE(English!H2605, ""en"", ""bg"")"),"образователна_помощ")</f>
        <v>образователна_помощ</v>
      </c>
    </row>
    <row r="2606" spans="1:8" ht="13.2" x14ac:dyDescent="0.25">
      <c r="A2606" s="1" t="str">
        <f ca="1">IFERROR(__xludf.DUMMYFUNCTION("GOOGLETRANSLATE(English!A2606, ""en"", ""bg"")"),"conv_11405")</f>
        <v>conv_11405</v>
      </c>
      <c r="B2606" s="1" t="str">
        <f ca="1">IFERROR(__xludf.DUMMYFUNCTION("GOOGLETRANSLATE(English!B2606, ""en"", ""bg"")"),"биология")</f>
        <v>биология</v>
      </c>
      <c r="C2606" s="1" t="str">
        <f ca="1">IFERROR(__xludf.DUMMYFUNCTION("GOOGLETRANSLATE(English!C2606, ""en"", ""bg"")"),"високо")</f>
        <v>високо</v>
      </c>
      <c r="D2606" s="1" t="str">
        <f ca="1">IFERROR(__xludf.DUMMYFUNCTION("GOOGLETRANSLATE(English!D2606, ""en"", ""bg"")"),"митоза и мейоза")</f>
        <v>митоза и мейоза</v>
      </c>
      <c r="E2606" s="1" t="str">
        <f ca="1">IFERROR(__xludf.DUMMYFUNCTION("GOOGLETRANSLATE(English!E2606, ""en"", ""bg"")"),"Здравей, преподавателю! Как протичат митозата и мейозата?")</f>
        <v>Здравей, преподавателю! Как протичат митозата и мейозата?</v>
      </c>
      <c r="F2606" s="1" t="str">
        <f ca="1">IFERROR(__xludf.DUMMYFUNCTION("GOOGLETRANSLATE(English!F2606,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2606" s="1" t="str">
        <f ca="1">IFERROR(__xludf.DUMMYFUNCTION("GOOGLETRANSLATE(English!G2606, ""en"", ""bg"")"),"разговор")</f>
        <v>разговор</v>
      </c>
      <c r="H2606" s="1" t="str">
        <f ca="1">IFERROR(__xludf.DUMMYFUNCTION("GOOGLETRANSLATE(English!H2606, ""en"", ""bg"")"),"образователна_помощ")</f>
        <v>образователна_помощ</v>
      </c>
    </row>
    <row r="2607" spans="1:8" ht="13.2" x14ac:dyDescent="0.25">
      <c r="A2607" s="1" t="str">
        <f ca="1">IFERROR(__xludf.DUMMYFUNCTION("GOOGLETRANSLATE(English!A2607, ""en"", ""bg"")"),"conv_13862")</f>
        <v>conv_13862</v>
      </c>
      <c r="B2607" s="1" t="str">
        <f ca="1">IFERROR(__xludf.DUMMYFUNCTION("GOOGLETRANSLATE(English!B2607, ""en"", ""bg"")"),"биология")</f>
        <v>биология</v>
      </c>
      <c r="C2607" s="1" t="str">
        <f ca="1">IFERROR(__xludf.DUMMYFUNCTION("GOOGLETRANSLATE(English!C2607, ""en"", ""bg"")"),"средата")</f>
        <v>средата</v>
      </c>
      <c r="D2607" s="1" t="str">
        <f ca="1">IFERROR(__xludf.DUMMYFUNCTION("GOOGLETRANSLATE(English!D2607, ""en"", ""bg"")"),"основи на генетиката")</f>
        <v>основи на генетиката</v>
      </c>
      <c r="E2607" s="1" t="str">
        <f ca="1">IFERROR(__xludf.DUMMYFUNCTION("GOOGLETRANSLATE(English!E2607, ""en"", ""bg"")"),"Помогнете ми да уча за теста си. Какво е важно да знаем за основите на генетиката?")</f>
        <v>Помогнете ми да уча за теста си. Какво е важно да знаем за основите на генетиката?</v>
      </c>
      <c r="F2607" s="1" t="str">
        <f ca="1">IFERROR(__xludf.DUMMYFUNCTION("GOOGLETRANSLATE(English!F2607,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2607" s="1" t="str">
        <f ca="1">IFERROR(__xludf.DUMMYFUNCTION("GOOGLETRANSLATE(English!G2607, ""en"", ""bg"")"),"разговор")</f>
        <v>разговор</v>
      </c>
      <c r="H2607" s="1" t="str">
        <f ca="1">IFERROR(__xludf.DUMMYFUNCTION("GOOGLETRANSLATE(English!H2607, ""en"", ""bg"")"),"образователна_помощ")</f>
        <v>образователна_помощ</v>
      </c>
    </row>
    <row r="2608" spans="1:8" ht="13.2" x14ac:dyDescent="0.25">
      <c r="A2608" s="1" t="str">
        <f ca="1">IFERROR(__xludf.DUMMYFUNCTION("GOOGLETRANSLATE(English!A2608, ""en"", ""bg"")"),"hw_09306")</f>
        <v>hw_09306</v>
      </c>
      <c r="B2608" s="1" t="str">
        <f ca="1">IFERROR(__xludf.DUMMYFUNCTION("GOOGLETRANSLATE(English!B2608, ""en"", ""bg"")"),"биология")</f>
        <v>биология</v>
      </c>
      <c r="C2608" s="1" t="str">
        <f ca="1">IFERROR(__xludf.DUMMYFUNCTION("GOOGLETRANSLATE(English!C2608, ""en"", ""bg"")"),"средата")</f>
        <v>средата</v>
      </c>
      <c r="D2608" s="1" t="str">
        <f ca="1">IFERROR(__xludf.DUMMYFUNCTION("GOOGLETRANSLATE(English!D2608, ""en"", ""bg"")"),"класификация")</f>
        <v>класификация</v>
      </c>
      <c r="E2608" s="1" t="str">
        <f ca="1">IFERROR(__xludf.DUMMYFUNCTION("GOOGLETRANSLATE(English!E2608, ""en"", ""bg"")"),"Можете ли да обясните класификацията за моя научен проект?")</f>
        <v>Можете ли да обясните класификацията за моя научен проект?</v>
      </c>
      <c r="F2608" s="1" t="str">
        <f ca="1">IFERROR(__xludf.DUMMYFUNCTION("GOOGLETRANSLATE(English!F2608,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2608" s="1" t="str">
        <f ca="1">IFERROR(__xludf.DUMMYFUNCTION("GOOGLETRANSLATE(English!G2608, ""en"", ""bg"")"),"помощ_за_домашно_изпълнение")</f>
        <v>помощ_за_домашно_изпълнение</v>
      </c>
      <c r="H2608" s="1" t="str">
        <f ca="1">IFERROR(__xludf.DUMMYFUNCTION("GOOGLETRANSLATE(English!H2608, ""en"", ""bg"")"),"помощ_за_домашно_задаване")</f>
        <v>помощ_за_домашно_задаване</v>
      </c>
    </row>
    <row r="2609" spans="1:8" ht="13.2" x14ac:dyDescent="0.25">
      <c r="A2609" s="1" t="str">
        <f ca="1">IFERROR(__xludf.DUMMYFUNCTION("GOOGLETRANSLATE(English!A2609, ""en"", ""bg"")"),"conv_00588")</f>
        <v>conv_00588</v>
      </c>
      <c r="B2609" s="1" t="str">
        <f ca="1">IFERROR(__xludf.DUMMYFUNCTION("GOOGLETRANSLATE(English!B2609, ""en"", ""bg"")"),"химия")</f>
        <v>химия</v>
      </c>
      <c r="C2609" s="1" t="str">
        <f ca="1">IFERROR(__xludf.DUMMYFUNCTION("GOOGLETRANSLATE(English!C2609, ""en"", ""bg"")"),"средата")</f>
        <v>средата</v>
      </c>
      <c r="D2609" s="1" t="str">
        <f ca="1">IFERROR(__xludf.DUMMYFUNCTION("GOOGLETRANSLATE(English!D2609, ""en"", ""bg"")"),"основи на периодичната таблица")</f>
        <v>основи на периодичната таблица</v>
      </c>
      <c r="E2609" s="1" t="str">
        <f ca="1">IFERROR(__xludf.DUMMYFUNCTION("GOOGLETRANSLATE(English!E2609, ""en"", ""bg"")"),"Здравей, преподавателю! Защо е важно да се изучат основите на периодичната таблица?")</f>
        <v>Здравей, преподавателю! Защо е важно да се изучат основите на периодичната таблица?</v>
      </c>
      <c r="F2609" s="1" t="str">
        <f ca="1">IFERROR(__xludf.DUMMYFUNCTION("GOOGLETRANSLATE(English!F2609,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2609" s="1" t="str">
        <f ca="1">IFERROR(__xludf.DUMMYFUNCTION("GOOGLETRANSLATE(English!G2609, ""en"", ""bg"")"),"разговор")</f>
        <v>разговор</v>
      </c>
      <c r="H2609" s="1" t="str">
        <f ca="1">IFERROR(__xludf.DUMMYFUNCTION("GOOGLETRANSLATE(English!H2609, ""en"", ""bg"")"),"образователна_помощ")</f>
        <v>образователна_помощ</v>
      </c>
    </row>
    <row r="2610" spans="1:8" ht="13.2" x14ac:dyDescent="0.25">
      <c r="A2610" s="1" t="str">
        <f ca="1">IFERROR(__xludf.DUMMYFUNCTION("GOOGLETRANSLATE(English!A2610, ""en"", ""bg"")"),"hw_06430")</f>
        <v>hw_06430</v>
      </c>
      <c r="B2610" s="1" t="str">
        <f ca="1">IFERROR(__xludf.DUMMYFUNCTION("GOOGLETRANSLATE(English!B2610, ""en"", ""bg"")"),"физика")</f>
        <v>физика</v>
      </c>
      <c r="C2610" s="1" t="str">
        <f ca="1">IFERROR(__xludf.DUMMYFUNCTION("GOOGLETRANSLATE(English!C2610, ""en"", ""bg"")"),"средата")</f>
        <v>средата</v>
      </c>
      <c r="D2610" s="1" t="str">
        <f ca="1">IFERROR(__xludf.DUMMYFUNCTION("GOOGLETRANSLATE(English!D2610, ""en"", ""bg"")"),"видове енергия")</f>
        <v>видове енергия</v>
      </c>
      <c r="E2610" s="1" t="str">
        <f ca="1">IFERROR(__xludf.DUMMYFUNCTION("GOOGLETRANSLATE(English!E2610, ""en"", ""bg"")"),"Можете ли да решите този въпрос за видовете енергия с мен?")</f>
        <v>Можете ли да решите този въпрос за видовете енергия с мен?</v>
      </c>
      <c r="F2610" s="1" t="str">
        <f ca="1">IFERROR(__xludf.DUMMYFUNCTION("GOOGLETRANSLATE(English!F2610,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610" s="1" t="str">
        <f ca="1">IFERROR(__xludf.DUMMYFUNCTION("GOOGLETRANSLATE(English!G2610, ""en"", ""bg"")"),"помощ_за_домашно_изпълнение")</f>
        <v>помощ_за_домашно_изпълнение</v>
      </c>
      <c r="H2610" s="1" t="str">
        <f ca="1">IFERROR(__xludf.DUMMYFUNCTION("GOOGLETRANSLATE(English!H2610, ""en"", ""bg"")"),"помощ_за_домашно_задаване")</f>
        <v>помощ_за_домашно_задаване</v>
      </c>
    </row>
    <row r="2611" spans="1:8" ht="13.2" x14ac:dyDescent="0.25">
      <c r="A2611" s="1" t="str">
        <f ca="1">IFERROR(__xludf.DUMMYFUNCTION("GOOGLETRANSLATE(English!A2611, ""en"", ""bg"")"),"conv_16502")</f>
        <v>conv_16502</v>
      </c>
      <c r="B2611" s="1" t="str">
        <f ca="1">IFERROR(__xludf.DUMMYFUNCTION("GOOGLETRANSLATE(English!B2611, ""en"", ""bg"")"),"биология")</f>
        <v>биология</v>
      </c>
      <c r="C2611" s="1" t="str">
        <f ca="1">IFERROR(__xludf.DUMMYFUNCTION("GOOGLETRANSLATE(English!C2611, ""en"", ""bg"")"),"високо")</f>
        <v>високо</v>
      </c>
      <c r="D2611" s="1" t="str">
        <f ca="1">IFERROR(__xludf.DUMMYFUNCTION("GOOGLETRANSLATE(English!D2611, ""en"", ""bg"")"),"синтез на протеини")</f>
        <v>синтез на протеини</v>
      </c>
      <c r="E2611" s="1" t="str">
        <f ca="1">IFERROR(__xludf.DUMMYFUNCTION("GOOGLETRANSLATE(English!E2611, ""en"", ""bg"")"),"Имам нужда от помощ с домашното. Какво е важно да знаем за синтеза на протеини?")</f>
        <v>Имам нужда от помощ с домашното. Какво е важно да знаем за синтеза на протеини?</v>
      </c>
      <c r="F2611" s="1" t="str">
        <f ca="1">IFERROR(__xludf.DUMMYFUNCTION("GOOGLETRANSLATE(English!F2611,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2611" s="1" t="str">
        <f ca="1">IFERROR(__xludf.DUMMYFUNCTION("GOOGLETRANSLATE(English!G2611, ""en"", ""bg"")"),"разговор")</f>
        <v>разговор</v>
      </c>
      <c r="H2611" s="1" t="str">
        <f ca="1">IFERROR(__xludf.DUMMYFUNCTION("GOOGLETRANSLATE(English!H2611, ""en"", ""bg"")"),"образователна_помощ")</f>
        <v>образователна_помощ</v>
      </c>
    </row>
    <row r="2612" spans="1:8" ht="13.2" x14ac:dyDescent="0.25">
      <c r="A2612" s="1" t="str">
        <f ca="1">IFERROR(__xludf.DUMMYFUNCTION("GOOGLETRANSLATE(English!A2612, ""en"", ""bg"")"),"conv_10940")</f>
        <v>conv_10940</v>
      </c>
      <c r="B2612" s="1" t="str">
        <f ca="1">IFERROR(__xludf.DUMMYFUNCTION("GOOGLETRANSLATE(English!B2612, ""en"", ""bg"")"),"химия")</f>
        <v>химия</v>
      </c>
      <c r="C2612" s="1" t="str">
        <f ca="1">IFERROR(__xludf.DUMMYFUNCTION("GOOGLETRANSLATE(English!C2612, ""en"", ""bg"")"),"високо")</f>
        <v>високо</v>
      </c>
      <c r="D2612" s="1" t="str">
        <f ca="1">IFERROR(__xludf.DUMMYFUNCTION("GOOGLETRANSLATE(English!D2612, ""en"", ""bg"")"),"химическо свързване")</f>
        <v>химическо свързване</v>
      </c>
      <c r="E2612" s="1" t="str">
        <f ca="1">IFERROR(__xludf.DUMMYFUNCTION("GOOGLETRANSLATE(English!E2612, ""en"", ""bg"")"),"Помогнете ми да уча за теста си. Как работи химическата връзка в химията?")</f>
        <v>Помогнете ми да уча за теста си. Как работи химическата връзка в химията?</v>
      </c>
      <c r="F2612" s="1" t="str">
        <f ca="1">IFERROR(__xludf.DUMMYFUNCTION("GOOGLETRANSLATE(English!F2612,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2612" s="1" t="str">
        <f ca="1">IFERROR(__xludf.DUMMYFUNCTION("GOOGLETRANSLATE(English!G2612, ""en"", ""bg"")"),"разговор")</f>
        <v>разговор</v>
      </c>
      <c r="H2612" s="1" t="str">
        <f ca="1">IFERROR(__xludf.DUMMYFUNCTION("GOOGLETRANSLATE(English!H2612, ""en"", ""bg"")"),"образователна_помощ")</f>
        <v>образователна_помощ</v>
      </c>
    </row>
    <row r="2613" spans="1:8" ht="13.2" x14ac:dyDescent="0.25">
      <c r="A2613" s="1" t="str">
        <f ca="1">IFERROR(__xludf.DUMMYFUNCTION("GOOGLETRANSLATE(English!A2613, ""en"", ""bg"")"),"qa_00491")</f>
        <v>qa_00491</v>
      </c>
      <c r="B2613" s="1" t="str">
        <f ca="1">IFERROR(__xludf.DUMMYFUNCTION("GOOGLETRANSLATE(English!B2613, ""en"", ""bg"")"),"химия")</f>
        <v>химия</v>
      </c>
      <c r="C2613" s="1" t="str">
        <f ca="1">IFERROR(__xludf.DUMMYFUNCTION("GOOGLETRANSLATE(English!C2613, ""en"", ""bg"")"),"елементарен")</f>
        <v>елементарен</v>
      </c>
      <c r="D2613" s="1" t="str">
        <f ca="1">IFERROR(__xludf.DUMMYFUNCTION("GOOGLETRANSLATE(English!D2613, ""en"", ""bg"")"),"промени в материалите")</f>
        <v>промени в материалите</v>
      </c>
      <c r="E2613" s="1" t="str">
        <f ca="1">IFERROR(__xludf.DUMMYFUNCTION("GOOGLETRANSLATE(English!E2613, ""en"", ""bg"")"),"Можете ли да ми помогнете да разбера промените в материалите?")</f>
        <v>Можете ли да ми помогнете да разбера промените в материалите?</v>
      </c>
      <c r="F2613" s="1" t="str">
        <f ca="1">IFERROR(__xludf.DUMMYFUNCTION("GOOGLETRANSLATE(English!F2613,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2613" s="1" t="str">
        <f ca="1">IFERROR(__xludf.DUMMYFUNCTION("GOOGLETRANSLATE(English!G2613, ""en"", ""bg"")"),"direct_qa")</f>
        <v>direct_qa</v>
      </c>
      <c r="H2613" s="1" t="str">
        <f ca="1">IFERROR(__xludf.DUMMYFUNCTION("GOOGLETRANSLATE(English!H2613, ""en"", ""bg"")"),"заявка_за_знание")</f>
        <v>заявка_за_знание</v>
      </c>
    </row>
    <row r="2614" spans="1:8" ht="13.2" x14ac:dyDescent="0.25">
      <c r="A2614" s="1" t="str">
        <f ca="1">IFERROR(__xludf.DUMMYFUNCTION("GOOGLETRANSLATE(English!A2614, ""en"", ""bg"")"),"conv_16304")</f>
        <v>conv_16304</v>
      </c>
      <c r="B2614" s="1" t="str">
        <f ca="1">IFERROR(__xludf.DUMMYFUNCTION("GOOGLETRANSLATE(English!B2614, ""en"", ""bg"")"),"биология")</f>
        <v>биология</v>
      </c>
      <c r="C2614" s="1" t="str">
        <f ca="1">IFERROR(__xludf.DUMMYFUNCTION("GOOGLETRANSLATE(English!C2614, ""en"", ""bg"")"),"елементарен")</f>
        <v>елементарен</v>
      </c>
      <c r="D2614" s="1" t="str">
        <f ca="1">IFERROR(__xludf.DUMMYFUNCTION("GOOGLETRANSLATE(English!D2614, ""en"", ""bg"")"),"домашни любимци срещу диви животни")</f>
        <v>домашни любимци срещу диви животни</v>
      </c>
      <c r="E2614" s="1" t="str">
        <f ca="1">IFERROR(__xludf.DUMMYFUNCTION("GOOGLETRANSLATE(English!E2614, ""en"", ""bg"")"),"Имам нужда от помощ с домашното. Какво е важно да знаем за домашните любимци спрямо дивите животни?")</f>
        <v>Имам нужда от помощ с домашното. Какво е важно да знаем за домашните любимци спрямо дивите животни?</v>
      </c>
      <c r="F2614" s="1" t="str">
        <f ca="1">IFERROR(__xludf.DUMMYFUNCTION("GOOGLETRANSLATE(English!F2614,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2614" s="1" t="str">
        <f ca="1">IFERROR(__xludf.DUMMYFUNCTION("GOOGLETRANSLATE(English!G2614, ""en"", ""bg"")"),"разговор")</f>
        <v>разговор</v>
      </c>
      <c r="H2614" s="1" t="str">
        <f ca="1">IFERROR(__xludf.DUMMYFUNCTION("GOOGLETRANSLATE(English!H2614, ""en"", ""bg"")"),"образователна_помощ")</f>
        <v>образователна_помощ</v>
      </c>
    </row>
    <row r="2615" spans="1:8" ht="13.2" x14ac:dyDescent="0.25">
      <c r="A2615" s="1" t="str">
        <f ca="1">IFERROR(__xludf.DUMMYFUNCTION("GOOGLETRANSLATE(English!A2615, ""en"", ""bg"")"),"hw_01350")</f>
        <v>hw_01350</v>
      </c>
      <c r="B2615" s="1" t="str">
        <f ca="1">IFERROR(__xludf.DUMMYFUNCTION("GOOGLETRANSLATE(English!B2615, ""en"", ""bg"")"),"биология")</f>
        <v>биология</v>
      </c>
      <c r="C2615" s="1" t="str">
        <f ca="1">IFERROR(__xludf.DUMMYFUNCTION("GOOGLETRANSLATE(English!C2615, ""en"", ""bg"")"),"елементарен")</f>
        <v>елементарен</v>
      </c>
      <c r="D2615" s="1" t="str">
        <f ca="1">IFERROR(__xludf.DUMMYFUNCTION("GOOGLETRANSLATE(English!D2615, ""en"", ""bg"")"),"човешкото тяло")</f>
        <v>човешкото тяло</v>
      </c>
      <c r="E2615" s="1" t="str">
        <f ca="1">IFERROR(__xludf.DUMMYFUNCTION("GOOGLETRANSLATE(English!E2615, ""en"", ""bg"")"),"Домашното ми пита за човешкото тяло. Не го разбирам.")</f>
        <v>Домашното ми пита за човешкото тяло. Не го разбирам.</v>
      </c>
      <c r="F2615" s="1" t="str">
        <f ca="1">IFERROR(__xludf.DUMMYFUNCTION("GOOGLETRANSLATE(English!F2615,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2615" s="1" t="str">
        <f ca="1">IFERROR(__xludf.DUMMYFUNCTION("GOOGLETRANSLATE(English!G2615, ""en"", ""bg"")"),"помощ_за_домашно_изпълнение")</f>
        <v>помощ_за_домашно_изпълнение</v>
      </c>
      <c r="H2615" s="1" t="str">
        <f ca="1">IFERROR(__xludf.DUMMYFUNCTION("GOOGLETRANSLATE(English!H2615, ""en"", ""bg"")"),"помощ_за_домашно_задаване")</f>
        <v>помощ_за_домашно_задаване</v>
      </c>
    </row>
    <row r="2616" spans="1:8" ht="13.2" x14ac:dyDescent="0.25">
      <c r="A2616" s="1" t="str">
        <f ca="1">IFERROR(__xludf.DUMMYFUNCTION("GOOGLETRANSLATE(English!A2616, ""en"", ""bg"")"),"hw_04131")</f>
        <v>hw_04131</v>
      </c>
      <c r="B2616" s="1" t="str">
        <f ca="1">IFERROR(__xludf.DUMMYFUNCTION("GOOGLETRANSLATE(English!B2616, ""en"", ""bg"")"),"физика")</f>
        <v>физика</v>
      </c>
      <c r="C2616" s="1" t="str">
        <f ca="1">IFERROR(__xludf.DUMMYFUNCTION("GOOGLETRANSLATE(English!C2616, ""en"", ""bg"")"),"високо")</f>
        <v>високо</v>
      </c>
      <c r="D2616" s="1" t="str">
        <f ca="1">IFERROR(__xludf.DUMMYFUNCTION("GOOGLETRANSLATE(English!D2616, ""en"", ""bg"")"),"радиоактивност")</f>
        <v>радиоактивност</v>
      </c>
      <c r="E2616" s="1" t="str">
        <f ca="1">IFERROR(__xludf.DUMMYFUNCTION("GOOGLETRANSLATE(English!E2616,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2616" s="1" t="str">
        <f ca="1">IFERROR(__xludf.DUMMYFUNCTION("GOOGLETRANSLATE(English!F2616,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2616" s="1" t="str">
        <f ca="1">IFERROR(__xludf.DUMMYFUNCTION("GOOGLETRANSLATE(English!G2616, ""en"", ""bg"")"),"помощ_за_домашно_изпълнение")</f>
        <v>помощ_за_домашно_изпълнение</v>
      </c>
      <c r="H2616" s="1" t="str">
        <f ca="1">IFERROR(__xludf.DUMMYFUNCTION("GOOGLETRANSLATE(English!H2616, ""en"", ""bg"")"),"помощ_за_домашно_задаване")</f>
        <v>помощ_за_домашно_задаване</v>
      </c>
    </row>
    <row r="2617" spans="1:8" ht="13.2" x14ac:dyDescent="0.25">
      <c r="A2617" s="1" t="str">
        <f ca="1">IFERROR(__xludf.DUMMYFUNCTION("GOOGLETRANSLATE(English!A2617, ""en"", ""bg"")"),"qa_03079")</f>
        <v>qa_03079</v>
      </c>
      <c r="B2617" s="1" t="str">
        <f ca="1">IFERROR(__xludf.DUMMYFUNCTION("GOOGLETRANSLATE(English!B2617, ""en"", ""bg"")"),"физика")</f>
        <v>физика</v>
      </c>
      <c r="C2617" s="1" t="str">
        <f ca="1">IFERROR(__xludf.DUMMYFUNCTION("GOOGLETRANSLATE(English!C2617, ""en"", ""bg"")"),"високо")</f>
        <v>високо</v>
      </c>
      <c r="D2617" s="1" t="str">
        <f ca="1">IFERROR(__xludf.DUMMYFUNCTION("GOOGLETRANSLATE(English!D2617, ""en"", ""bg"")"),"радиоактивност")</f>
        <v>радиоактивност</v>
      </c>
      <c r="E2617" s="1" t="str">
        <f ca="1">IFERROR(__xludf.DUMMYFUNCTION("GOOGLETRANSLATE(English!E2617, ""en"", ""bg"")"),"Какво трябва да знам за радиоактивността?")</f>
        <v>Какво трябва да знам за радиоактивността?</v>
      </c>
      <c r="F2617" s="1" t="str">
        <f ca="1">IFERROR(__xludf.DUMMYFUNCTION("GOOGLETRANSLATE(English!F2617,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2617" s="1" t="str">
        <f ca="1">IFERROR(__xludf.DUMMYFUNCTION("GOOGLETRANSLATE(English!G2617, ""en"", ""bg"")"),"direct_qa")</f>
        <v>direct_qa</v>
      </c>
      <c r="H2617" s="1" t="str">
        <f ca="1">IFERROR(__xludf.DUMMYFUNCTION("GOOGLETRANSLATE(English!H2617, ""en"", ""bg"")"),"заявка_за_знание")</f>
        <v>заявка_за_знание</v>
      </c>
    </row>
    <row r="2618" spans="1:8" ht="13.2" x14ac:dyDescent="0.25">
      <c r="A2618" s="1" t="str">
        <f ca="1">IFERROR(__xludf.DUMMYFUNCTION("GOOGLETRANSLATE(English!A2618, ""en"", ""bg"")"),"conv_00936")</f>
        <v>conv_00936</v>
      </c>
      <c r="B2618" s="1" t="str">
        <f ca="1">IFERROR(__xludf.DUMMYFUNCTION("GOOGLETRANSLATE(English!B2618, ""en"", ""bg"")"),"химия")</f>
        <v>химия</v>
      </c>
      <c r="C2618" s="1" t="str">
        <f ca="1">IFERROR(__xludf.DUMMYFUNCTION("GOOGLETRANSLATE(English!C2618, ""en"", ""bg"")"),"високо")</f>
        <v>високо</v>
      </c>
      <c r="D2618" s="1" t="str">
        <f ca="1">IFERROR(__xludf.DUMMYFUNCTION("GOOGLETRANSLATE(English!D2618, ""en"", ""bg"")"),"скорости на реакция")</f>
        <v>скорости на реакция</v>
      </c>
      <c r="E2618" s="1" t="str">
        <f ca="1">IFERROR(__xludf.DUMMYFUNCTION("GOOGLETRANSLATE(English!E2618, ""en"", ""bg"")"),"Имам научен въпрос. Как работят скоростите на реакциите в химията?")</f>
        <v>Имам научен въпрос. Как работят скоростите на реакциите в химията?</v>
      </c>
      <c r="F2618" s="1" t="str">
        <f ca="1">IFERROR(__xludf.DUMMYFUNCTION("GOOGLETRANSLATE(English!F2618,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2618" s="1" t="str">
        <f ca="1">IFERROR(__xludf.DUMMYFUNCTION("GOOGLETRANSLATE(English!G2618, ""en"", ""bg"")"),"разговор")</f>
        <v>разговор</v>
      </c>
      <c r="H2618" s="1" t="str">
        <f ca="1">IFERROR(__xludf.DUMMYFUNCTION("GOOGLETRANSLATE(English!H2618, ""en"", ""bg"")"),"образователна_помощ")</f>
        <v>образователна_помощ</v>
      </c>
    </row>
    <row r="2619" spans="1:8" ht="13.2" x14ac:dyDescent="0.25">
      <c r="A2619" s="1" t="str">
        <f ca="1">IFERROR(__xludf.DUMMYFUNCTION("GOOGLETRANSLATE(English!A2619, ""en"", ""bg"")"),"qa_05601")</f>
        <v>qa_05601</v>
      </c>
      <c r="B2619" s="1" t="str">
        <f ca="1">IFERROR(__xludf.DUMMYFUNCTION("GOOGLETRANSLATE(English!B2619, ""en"", ""bg"")"),"физика")</f>
        <v>физика</v>
      </c>
      <c r="C2619" s="1" t="str">
        <f ca="1">IFERROR(__xludf.DUMMYFUNCTION("GOOGLETRANSLATE(English!C2619, ""en"", ""bg"")"),"елементарен")</f>
        <v>елементарен</v>
      </c>
      <c r="D2619" s="1" t="str">
        <f ca="1">IFERROR(__xludf.DUMMYFUNCTION("GOOGLETRANSLATE(English!D2619, ""en"", ""bg"")"),"светлина и сянка")</f>
        <v>светлина и сянка</v>
      </c>
      <c r="E2619" s="1" t="str">
        <f ca="1">IFERROR(__xludf.DUMMYFUNCTION("GOOGLETRANSLATE(English!E2619, ""en"", ""bg"")"),"Какво се случва, когато светлината попадне в огледало?")</f>
        <v>Какво се случва, когато светлината попадне в огледало?</v>
      </c>
      <c r="F2619" s="1" t="str">
        <f ca="1">IFERROR(__xludf.DUMMYFUNCTION("GOOGLETRANSLATE(English!F2619,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2619" s="1" t="str">
        <f ca="1">IFERROR(__xludf.DUMMYFUNCTION("GOOGLETRANSLATE(English!G2619, ""en"", ""bg"")"),"direct_qa")</f>
        <v>direct_qa</v>
      </c>
      <c r="H2619" s="1" t="str">
        <f ca="1">IFERROR(__xludf.DUMMYFUNCTION("GOOGLETRANSLATE(English!H2619, ""en"", ""bg"")"),"заявка_за_знание")</f>
        <v>заявка_за_знание</v>
      </c>
    </row>
    <row r="2620" spans="1:8" ht="13.2" x14ac:dyDescent="0.25">
      <c r="A2620" s="1" t="str">
        <f ca="1">IFERROR(__xludf.DUMMYFUNCTION("GOOGLETRANSLATE(English!A2620, ""en"", ""bg"")"),"hw_07906")</f>
        <v>hw_07906</v>
      </c>
      <c r="B2620" s="1" t="str">
        <f ca="1">IFERROR(__xludf.DUMMYFUNCTION("GOOGLETRANSLATE(English!B2620, ""en"", ""bg"")"),"химия")</f>
        <v>химия</v>
      </c>
      <c r="C2620" s="1" t="str">
        <f ca="1">IFERROR(__xludf.DUMMYFUNCTION("GOOGLETRANSLATE(English!C2620, ""en"", ""bg"")"),"средата")</f>
        <v>средата</v>
      </c>
      <c r="D2620" s="1" t="str">
        <f ca="1">IFERROR(__xludf.DUMMYFUNCTION("GOOGLETRANSLATE(English!D2620, ""en"", ""bg"")"),"химични реакции")</f>
        <v>химични реакции</v>
      </c>
      <c r="E2620" s="1" t="str">
        <f ca="1">IFERROR(__xludf.DUMMYFUNCTION("GOOGLETRANSLATE(English!E2620,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2620" s="1" t="str">
        <f ca="1">IFERROR(__xludf.DUMMYFUNCTION("GOOGLETRANSLATE(English!F2620,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2620" s="1" t="str">
        <f ca="1">IFERROR(__xludf.DUMMYFUNCTION("GOOGLETRANSLATE(English!G2620, ""en"", ""bg"")"),"помощ_за_домашно_изпълнение")</f>
        <v>помощ_за_домашно_изпълнение</v>
      </c>
      <c r="H2620" s="1" t="str">
        <f ca="1">IFERROR(__xludf.DUMMYFUNCTION("GOOGLETRANSLATE(English!H2620, ""en"", ""bg"")"),"помощ_за_домашно_задаване")</f>
        <v>помощ_за_домашно_задаване</v>
      </c>
    </row>
    <row r="2621" spans="1:8" ht="13.2" x14ac:dyDescent="0.25">
      <c r="A2621" s="1" t="str">
        <f ca="1">IFERROR(__xludf.DUMMYFUNCTION("GOOGLETRANSLATE(English!A2621, ""en"", ""bg"")"),"conv_19900")</f>
        <v>conv_19900</v>
      </c>
      <c r="B2621" s="1" t="str">
        <f ca="1">IFERROR(__xludf.DUMMYFUNCTION("GOOGLETRANSLATE(English!B2621, ""en"", ""bg"")"),"биология")</f>
        <v>биология</v>
      </c>
      <c r="C2621" s="1" t="str">
        <f ca="1">IFERROR(__xludf.DUMMYFUNCTION("GOOGLETRANSLATE(English!C2621, ""en"", ""bg"")"),"високо")</f>
        <v>високо</v>
      </c>
      <c r="D2621" s="1" t="str">
        <f ca="1">IFERROR(__xludf.DUMMYFUNCTION("GOOGLETRANSLATE(English!D2621, ""en"", ""bg"")"),"митоза и мейоза")</f>
        <v>митоза и мейоза</v>
      </c>
      <c r="E2621" s="1" t="str">
        <f ca="1">IFERROR(__xludf.DUMMYFUNCTION("GOOGLETRANSLATE(English!E2621, ""en"", ""bg"")"),"Не разбирам тази тема. Какво е важно да знаем за митозата и мейозата?")</f>
        <v>Не разбирам тази тема. Какво е важно да знаем за митозата и мейозата?</v>
      </c>
      <c r="F2621" s="1" t="str">
        <f ca="1">IFERROR(__xludf.DUMMYFUNCTION("GOOGLETRANSLATE(English!F2621,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2621" s="1" t="str">
        <f ca="1">IFERROR(__xludf.DUMMYFUNCTION("GOOGLETRANSLATE(English!G2621, ""en"", ""bg"")"),"разговор")</f>
        <v>разговор</v>
      </c>
      <c r="H2621" s="1" t="str">
        <f ca="1">IFERROR(__xludf.DUMMYFUNCTION("GOOGLETRANSLATE(English!H2621, ""en"", ""bg"")"),"образователна_помощ")</f>
        <v>образователна_помощ</v>
      </c>
    </row>
    <row r="2622" spans="1:8" ht="13.2" x14ac:dyDescent="0.25">
      <c r="A2622" s="1" t="str">
        <f ca="1">IFERROR(__xludf.DUMMYFUNCTION("GOOGLETRANSLATE(English!A2622, ""en"", ""bg"")"),"conv_12039")</f>
        <v>conv_12039</v>
      </c>
      <c r="B2622" s="1" t="str">
        <f ca="1">IFERROR(__xludf.DUMMYFUNCTION("GOOGLETRANSLATE(English!B2622, ""en"", ""bg"")"),"химия")</f>
        <v>химия</v>
      </c>
      <c r="C2622" s="1" t="str">
        <f ca="1">IFERROR(__xludf.DUMMYFUNCTION("GOOGLETRANSLATE(English!C2622, ""en"", ""bg"")"),"средата")</f>
        <v>средата</v>
      </c>
      <c r="D2622" s="1" t="str">
        <f ca="1">IFERROR(__xludf.DUMMYFUNCTION("GOOGLETRANSLATE(English!D2622, ""en"", ""bg"")"),"химични реакции")</f>
        <v>химични реакции</v>
      </c>
      <c r="E2622" s="1" t="str">
        <f ca="1">IFERROR(__xludf.DUMMYFUNCTION("GOOGLETRANSLATE(English!E2622, ""en"", ""bg"")"),"Помогнете ми да уча за теста си. Какво е химична реакция?")</f>
        <v>Помогнете ми да уча за теста си. Какво е химична реакция?</v>
      </c>
      <c r="F2622" s="1" t="str">
        <f ca="1">IFERROR(__xludf.DUMMYFUNCTION("GOOGLETRANSLATE(English!F2622,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2622" s="1" t="str">
        <f ca="1">IFERROR(__xludf.DUMMYFUNCTION("GOOGLETRANSLATE(English!G2622, ""en"", ""bg"")"),"разговор")</f>
        <v>разговор</v>
      </c>
      <c r="H2622" s="1" t="str">
        <f ca="1">IFERROR(__xludf.DUMMYFUNCTION("GOOGLETRANSLATE(English!H2622, ""en"", ""bg"")"),"образователна_помощ")</f>
        <v>образователна_помощ</v>
      </c>
    </row>
    <row r="2623" spans="1:8" ht="13.2" x14ac:dyDescent="0.25">
      <c r="A2623" s="1" t="str">
        <f ca="1">IFERROR(__xludf.DUMMYFUNCTION("GOOGLETRANSLATE(English!A2623, ""en"", ""bg"")"),"qa_14716")</f>
        <v>qa_14716</v>
      </c>
      <c r="B2623" s="1" t="str">
        <f ca="1">IFERROR(__xludf.DUMMYFUNCTION("GOOGLETRANSLATE(English!B2623, ""en"", ""bg"")"),"физика")</f>
        <v>физика</v>
      </c>
      <c r="C2623" s="1" t="str">
        <f ca="1">IFERROR(__xludf.DUMMYFUNCTION("GOOGLETRANSLATE(English!C2623, ""en"", ""bg"")"),"елементарен")</f>
        <v>елементарен</v>
      </c>
      <c r="D2623" s="1" t="str">
        <f ca="1">IFERROR(__xludf.DUMMYFUNCTION("GOOGLETRANSLATE(English!D2623, ""en"", ""bg"")"),"прости машини")</f>
        <v>прости машини</v>
      </c>
      <c r="E2623" s="1" t="str">
        <f ca="1">IFERROR(__xludf.DUMMYFUNCTION("GOOGLETRANSLATE(English!E2623, ""en"", ""bg"")"),"Какво трябва да знам за простите машини?")</f>
        <v>Какво трябва да знам за простите машини?</v>
      </c>
      <c r="F2623" s="1" t="str">
        <f ca="1">IFERROR(__xludf.DUMMYFUNCTION("GOOGLETRANSLATE(English!F2623,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2623" s="1" t="str">
        <f ca="1">IFERROR(__xludf.DUMMYFUNCTION("GOOGLETRANSLATE(English!G2623, ""en"", ""bg"")"),"direct_qa")</f>
        <v>direct_qa</v>
      </c>
      <c r="H2623" s="1" t="str">
        <f ca="1">IFERROR(__xludf.DUMMYFUNCTION("GOOGLETRANSLATE(English!H2623, ""en"", ""bg"")"),"заявка_за_знание")</f>
        <v>заявка_за_знание</v>
      </c>
    </row>
    <row r="2624" spans="1:8" ht="13.2" x14ac:dyDescent="0.25">
      <c r="A2624" s="1" t="str">
        <f ca="1">IFERROR(__xludf.DUMMYFUNCTION("GOOGLETRANSLATE(English!A2624, ""en"", ""bg"")"),"conv_18068")</f>
        <v>conv_18068</v>
      </c>
      <c r="B2624" s="1" t="str">
        <f ca="1">IFERROR(__xludf.DUMMYFUNCTION("GOOGLETRANSLATE(English!B2624, ""en"", ""bg"")"),"биология")</f>
        <v>биология</v>
      </c>
      <c r="C2624" s="1" t="str">
        <f ca="1">IFERROR(__xludf.DUMMYFUNCTION("GOOGLETRANSLATE(English!C2624, ""en"", ""bg"")"),"високо")</f>
        <v>високо</v>
      </c>
      <c r="D2624" s="1" t="str">
        <f ca="1">IFERROR(__xludf.DUMMYFUNCTION("GOOGLETRANSLATE(English!D2624, ""en"", ""bg"")"),"модели на наследяване")</f>
        <v>модели на наследяване</v>
      </c>
      <c r="E2624" s="1" t="str">
        <f ca="1">IFERROR(__xludf.DUMMYFUNCTION("GOOGLETRANSLATE(English!E2624, ""en"", ""bg"")"),"Можете ли да ми помогнете? Защо моделите на наследяване са важни в биологията?")</f>
        <v>Можете ли да ми помогнете? Защо моделите на наследяване са важни в биологията?</v>
      </c>
      <c r="F2624" s="1" t="str">
        <f ca="1">IFERROR(__xludf.DUMMYFUNCTION("GOOGLETRANSLATE(English!F2624,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2624" s="1" t="str">
        <f ca="1">IFERROR(__xludf.DUMMYFUNCTION("GOOGLETRANSLATE(English!G2624, ""en"", ""bg"")"),"разговор")</f>
        <v>разговор</v>
      </c>
      <c r="H2624" s="1" t="str">
        <f ca="1">IFERROR(__xludf.DUMMYFUNCTION("GOOGLETRANSLATE(English!H2624, ""en"", ""bg"")"),"образователна_помощ")</f>
        <v>образователна_помощ</v>
      </c>
    </row>
    <row r="2625" spans="1:8" ht="13.2" x14ac:dyDescent="0.25">
      <c r="A2625" s="1" t="str">
        <f ca="1">IFERROR(__xludf.DUMMYFUNCTION("GOOGLETRANSLATE(English!A2625, ""en"", ""bg"")"),"qa_10029")</f>
        <v>qa_10029</v>
      </c>
      <c r="B2625" s="1" t="str">
        <f ca="1">IFERROR(__xludf.DUMMYFUNCTION("GOOGLETRANSLATE(English!B2625, ""en"", ""bg"")"),"биология")</f>
        <v>биология</v>
      </c>
      <c r="C2625" s="1" t="str">
        <f ca="1">IFERROR(__xludf.DUMMYFUNCTION("GOOGLETRANSLATE(English!C2625, ""en"", ""bg"")"),"средата")</f>
        <v>средата</v>
      </c>
      <c r="D2625" s="1" t="str">
        <f ca="1">IFERROR(__xludf.DUMMYFUNCTION("GOOGLETRANSLATE(English!D2625, ""en"", ""bg"")"),"фотосинтеза")</f>
        <v>фотосинтеза</v>
      </c>
      <c r="E2625" s="1" t="str">
        <f ca="1">IFERROR(__xludf.DUMMYFUNCTION("GOOGLETRANSLATE(English!E2625, ""en"", ""bg"")"),"Как работи фотосинтезата?")</f>
        <v>Как работи фотосинтезата?</v>
      </c>
      <c r="F2625" s="1" t="str">
        <f ca="1">IFERROR(__xludf.DUMMYFUNCTION("GOOGLETRANSLATE(English!F2625,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2625" s="1" t="str">
        <f ca="1">IFERROR(__xludf.DUMMYFUNCTION("GOOGLETRANSLATE(English!G2625, ""en"", ""bg"")"),"direct_qa")</f>
        <v>direct_qa</v>
      </c>
      <c r="H2625" s="1" t="str">
        <f ca="1">IFERROR(__xludf.DUMMYFUNCTION("GOOGLETRANSLATE(English!H2625, ""en"", ""bg"")"),"заявка_за_знание")</f>
        <v>заявка_за_знание</v>
      </c>
    </row>
    <row r="2626" spans="1:8" ht="13.2" x14ac:dyDescent="0.25">
      <c r="A2626" s="1" t="str">
        <f ca="1">IFERROR(__xludf.DUMMYFUNCTION("GOOGLETRANSLATE(English!A2626, ""en"", ""bg"")"),"conv_18254")</f>
        <v>conv_18254</v>
      </c>
      <c r="B2626" s="1" t="str">
        <f ca="1">IFERROR(__xludf.DUMMYFUNCTION("GOOGLETRANSLATE(English!B2626, ""en"", ""bg"")"),"химия")</f>
        <v>химия</v>
      </c>
      <c r="C2626" s="1" t="str">
        <f ca="1">IFERROR(__xludf.DUMMYFUNCTION("GOOGLETRANSLATE(English!C2626, ""en"", ""bg"")"),"елементарен")</f>
        <v>елементарен</v>
      </c>
      <c r="D2626" s="1" t="str">
        <f ca="1">IFERROR(__xludf.DUMMYFUNCTION("GOOGLETRANSLATE(English!D2626, ""en"", ""bg"")"),"твърди вещества, течности, газове")</f>
        <v>твърди вещества, течности, газове</v>
      </c>
      <c r="E2626" s="1" t="str">
        <f ca="1">IFERROR(__xludf.DUMMYFUNCTION("GOOGLETRANSLATE(English!E2626, ""en"", ""bg"")"),"Имам нужда от помощ с домашното. Какво се случва, когато нагрявате твърдо тяло?")</f>
        <v>Имам нужда от помощ с домашното. Какво се случва, когато нагрявате твърдо тяло?</v>
      </c>
      <c r="F2626" s="1" t="str">
        <f ca="1">IFERROR(__xludf.DUMMYFUNCTION("GOOGLETRANSLATE(English!F2626,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2626" s="1" t="str">
        <f ca="1">IFERROR(__xludf.DUMMYFUNCTION("GOOGLETRANSLATE(English!G2626, ""en"", ""bg"")"),"разговор")</f>
        <v>разговор</v>
      </c>
      <c r="H2626" s="1" t="str">
        <f ca="1">IFERROR(__xludf.DUMMYFUNCTION("GOOGLETRANSLATE(English!H2626, ""en"", ""bg"")"),"образователна_помощ")</f>
        <v>образователна_помощ</v>
      </c>
    </row>
    <row r="2627" spans="1:8" ht="13.2" x14ac:dyDescent="0.25">
      <c r="A2627" s="1" t="str">
        <f ca="1">IFERROR(__xludf.DUMMYFUNCTION("GOOGLETRANSLATE(English!A2627, ""en"", ""bg"")"),"conv_08355")</f>
        <v>conv_08355</v>
      </c>
      <c r="B2627" s="1" t="str">
        <f ca="1">IFERROR(__xludf.DUMMYFUNCTION("GOOGLETRANSLATE(English!B2627, ""en"", ""bg"")"),"химия")</f>
        <v>химия</v>
      </c>
      <c r="C2627" s="1" t="str">
        <f ca="1">IFERROR(__xludf.DUMMYFUNCTION("GOOGLETRANSLATE(English!C2627, ""en"", ""bg"")"),"елементарен")</f>
        <v>елементарен</v>
      </c>
      <c r="D2627" s="1" t="str">
        <f ca="1">IFERROR(__xludf.DUMMYFUNCTION("GOOGLETRANSLATE(English!D2627, ""en"", ""bg"")"),"смесване на материали")</f>
        <v>смесване на материали</v>
      </c>
      <c r="E2627" s="1" t="str">
        <f ca="1">IFERROR(__xludf.DUMMYFUNCTION("GOOGLETRANSLATE(English!E2627, ""en"", ""bg"")"),"Помогнете ми да уча за теста си. Защо някои неща се разтварят, а други не?")</f>
        <v>Помогнете ми да уча за теста си. Защо някои неща се разтварят, а други не?</v>
      </c>
      <c r="F2627" s="1" t="str">
        <f ca="1">IFERROR(__xludf.DUMMYFUNCTION("GOOGLETRANSLATE(English!F2627,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2627" s="1" t="str">
        <f ca="1">IFERROR(__xludf.DUMMYFUNCTION("GOOGLETRANSLATE(English!G2627, ""en"", ""bg"")"),"разговор")</f>
        <v>разговор</v>
      </c>
      <c r="H2627" s="1" t="str">
        <f ca="1">IFERROR(__xludf.DUMMYFUNCTION("GOOGLETRANSLATE(English!H2627, ""en"", ""bg"")"),"образователна_помощ")</f>
        <v>образователна_помощ</v>
      </c>
    </row>
    <row r="2628" spans="1:8" ht="13.2" x14ac:dyDescent="0.25">
      <c r="A2628" s="1" t="str">
        <f ca="1">IFERROR(__xludf.DUMMYFUNCTION("GOOGLETRANSLATE(English!A2628, ""en"", ""bg"")"),"hw_07764")</f>
        <v>hw_07764</v>
      </c>
      <c r="B2628" s="1" t="str">
        <f ca="1">IFERROR(__xludf.DUMMYFUNCTION("GOOGLETRANSLATE(English!B2628, ""en"", ""bg"")"),"физика")</f>
        <v>физика</v>
      </c>
      <c r="C2628" s="1" t="str">
        <f ca="1">IFERROR(__xludf.DUMMYFUNCTION("GOOGLETRANSLATE(English!C2628, ""en"", ""bg"")"),"високо")</f>
        <v>високо</v>
      </c>
      <c r="D2628" s="1" t="str">
        <f ca="1">IFERROR(__xludf.DUMMYFUNCTION("GOOGLETRANSLATE(English!D2628, ""en"", ""bg"")"),"термодинамика")</f>
        <v>термодинамика</v>
      </c>
      <c r="E2628" s="1" t="str">
        <f ca="1">IFERROR(__xludf.DUMMYFUNCTION("GOOGLETRANSLATE(English!E2628, ""en"", ""bg"")"),"Трябва да разбирам термодинамиката за изпита си.")</f>
        <v>Трябва да разбирам термодинамиката за изпита си.</v>
      </c>
      <c r="F2628" s="1" t="str">
        <f ca="1">IFERROR(__xludf.DUMMYFUNCTION("GOOGLETRANSLATE(English!F2628,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628" s="1" t="str">
        <f ca="1">IFERROR(__xludf.DUMMYFUNCTION("GOOGLETRANSLATE(English!G2628, ""en"", ""bg"")"),"помощ_за_домашно_изпълнение")</f>
        <v>помощ_за_домашно_изпълнение</v>
      </c>
      <c r="H2628" s="1" t="str">
        <f ca="1">IFERROR(__xludf.DUMMYFUNCTION("GOOGLETRANSLATE(English!H2628, ""en"", ""bg"")"),"помощ_за_домашно_задаване")</f>
        <v>помощ_за_домашно_задаване</v>
      </c>
    </row>
    <row r="2629" spans="1:8" ht="13.2" x14ac:dyDescent="0.25">
      <c r="A2629" s="1" t="str">
        <f ca="1">IFERROR(__xludf.DUMMYFUNCTION("GOOGLETRANSLATE(English!A2629, ""en"", ""bg"")"),"conv_02439")</f>
        <v>conv_02439</v>
      </c>
      <c r="B2629" s="1" t="str">
        <f ca="1">IFERROR(__xludf.DUMMYFUNCTION("GOOGLETRANSLATE(English!B2629, ""en"", ""bg"")"),"физика")</f>
        <v>физика</v>
      </c>
      <c r="C2629" s="1" t="str">
        <f ca="1">IFERROR(__xludf.DUMMYFUNCTION("GOOGLETRANSLATE(English!C2629, ""en"", ""bg"")"),"средата")</f>
        <v>средата</v>
      </c>
      <c r="D2629" s="1" t="str">
        <f ca="1">IFERROR(__xludf.DUMMYFUNCTION("GOOGLETRANSLATE(English!D2629, ""en"", ""bg"")"),"вълни")</f>
        <v>вълни</v>
      </c>
      <c r="E2629" s="1" t="str">
        <f ca="1">IFERROR(__xludf.DUMMYFUNCTION("GOOGLETRANSLATE(English!E2629, ""en"", ""bg"")"),"Можете ли да ми помогнете? Какво трябва да знам за вълните?")</f>
        <v>Можете ли да ми помогнете? Какво трябва да знам за вълните?</v>
      </c>
      <c r="F2629" s="1" t="str">
        <f ca="1">IFERROR(__xludf.DUMMYFUNCTION("GOOGLETRANSLATE(English!F2629,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2629" s="1" t="str">
        <f ca="1">IFERROR(__xludf.DUMMYFUNCTION("GOOGLETRANSLATE(English!G2629, ""en"", ""bg"")"),"разговор")</f>
        <v>разговор</v>
      </c>
      <c r="H2629" s="1" t="str">
        <f ca="1">IFERROR(__xludf.DUMMYFUNCTION("GOOGLETRANSLATE(English!H2629, ""en"", ""bg"")"),"образователна_помощ")</f>
        <v>образователна_помощ</v>
      </c>
    </row>
    <row r="2630" spans="1:8" ht="13.2" x14ac:dyDescent="0.25">
      <c r="A2630" s="1" t="str">
        <f ca="1">IFERROR(__xludf.DUMMYFUNCTION("GOOGLETRANSLATE(English!A2630, ""en"", ""bg"")"),"hw_05254")</f>
        <v>hw_05254</v>
      </c>
      <c r="B2630" s="1" t="str">
        <f ca="1">IFERROR(__xludf.DUMMYFUNCTION("GOOGLETRANSLATE(English!B2630, ""en"", ""bg"")"),"физика")</f>
        <v>физика</v>
      </c>
      <c r="C2630" s="1" t="str">
        <f ca="1">IFERROR(__xludf.DUMMYFUNCTION("GOOGLETRANSLATE(English!C2630, ""en"", ""bg"")"),"средата")</f>
        <v>средата</v>
      </c>
      <c r="D2630" s="1" t="str">
        <f ca="1">IFERROR(__xludf.DUMMYFUNCTION("GOOGLETRANSLATE(English!D2630, ""en"", ""bg"")"),"прости схеми")</f>
        <v>прости схеми</v>
      </c>
      <c r="E2630" s="1" t="str">
        <f ca="1">IFERROR(__xludf.DUMMYFUNCTION("GOOGLETRANSLATE(English!E2630, ""en"", ""bg"")"),"Заседнал съм с този прост проблем с електрическите схеми. Можете ли да помогнете?")</f>
        <v>Заседнал съм с този прост проблем с електрическите схеми. Можете ли да помогнете?</v>
      </c>
      <c r="F2630" s="1" t="str">
        <f ca="1">IFERROR(__xludf.DUMMYFUNCTION("GOOGLETRANSLATE(English!F2630,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2630" s="1" t="str">
        <f ca="1">IFERROR(__xludf.DUMMYFUNCTION("GOOGLETRANSLATE(English!G2630, ""en"", ""bg"")"),"помощ_за_домашно_изпълнение")</f>
        <v>помощ_за_домашно_изпълнение</v>
      </c>
      <c r="H2630" s="1" t="str">
        <f ca="1">IFERROR(__xludf.DUMMYFUNCTION("GOOGLETRANSLATE(English!H2630, ""en"", ""bg"")"),"помощ_за_домашно_задаване")</f>
        <v>помощ_за_домашно_задаване</v>
      </c>
    </row>
    <row r="2631" spans="1:8" ht="13.2" x14ac:dyDescent="0.25">
      <c r="A2631" s="1" t="str">
        <f ca="1">IFERROR(__xludf.DUMMYFUNCTION("GOOGLETRANSLATE(English!A2631, ""en"", ""bg"")"),"hw_00015")</f>
        <v>hw_00015</v>
      </c>
      <c r="B2631" s="1" t="str">
        <f ca="1">IFERROR(__xludf.DUMMYFUNCTION("GOOGLETRANSLATE(English!B2631, ""en"", ""bg"")"),"биология")</f>
        <v>биология</v>
      </c>
      <c r="C2631" s="1" t="str">
        <f ca="1">IFERROR(__xludf.DUMMYFUNCTION("GOOGLETRANSLATE(English!C2631, ""en"", ""bg"")"),"средата")</f>
        <v>средата</v>
      </c>
      <c r="D2631" s="1" t="str">
        <f ca="1">IFERROR(__xludf.DUMMYFUNCTION("GOOGLETRANSLATE(English!D2631, ""en"", ""bg"")"),"основи на еволюцията")</f>
        <v>основи на еволюцията</v>
      </c>
      <c r="E2631" s="1" t="str">
        <f ca="1">IFERROR(__xludf.DUMMYFUNCTION("GOOGLETRANSLATE(English!E2631, ""en"", ""bg"")"),"Утре имам тест по основи на еволюцията. Помогни ми да уча!")</f>
        <v>Утре имам тест по основи на еволюцията. Помогни ми да уча!</v>
      </c>
      <c r="F2631" s="1" t="str">
        <f ca="1">IFERROR(__xludf.DUMMYFUNCTION("GOOGLETRANSLATE(English!F2631,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631" s="1" t="str">
        <f ca="1">IFERROR(__xludf.DUMMYFUNCTION("GOOGLETRANSLATE(English!G2631, ""en"", ""bg"")"),"помощ_за_домашно_изпълнение")</f>
        <v>помощ_за_домашно_изпълнение</v>
      </c>
      <c r="H2631" s="1" t="str">
        <f ca="1">IFERROR(__xludf.DUMMYFUNCTION("GOOGLETRANSLATE(English!H2631, ""en"", ""bg"")"),"помощ_за_домашно_задаване")</f>
        <v>помощ_за_домашно_задаване</v>
      </c>
    </row>
    <row r="2632" spans="1:8" ht="13.2" x14ac:dyDescent="0.25">
      <c r="A2632" s="1" t="str">
        <f ca="1">IFERROR(__xludf.DUMMYFUNCTION("GOOGLETRANSLATE(English!A2632, ""en"", ""bg"")"),"hw_06657")</f>
        <v>hw_06657</v>
      </c>
      <c r="B2632" s="1" t="str">
        <f ca="1">IFERROR(__xludf.DUMMYFUNCTION("GOOGLETRANSLATE(English!B2632, ""en"", ""bg"")"),"биология")</f>
        <v>биология</v>
      </c>
      <c r="C2632" s="1" t="str">
        <f ca="1">IFERROR(__xludf.DUMMYFUNCTION("GOOGLETRANSLATE(English!C2632, ""en"", ""bg"")"),"елементарен")</f>
        <v>елементарен</v>
      </c>
      <c r="D2632" s="1" t="str">
        <f ca="1">IFERROR(__xludf.DUMMYFUNCTION("GOOGLETRANSLATE(English!D2632, ""en"", ""bg"")"),"животни")</f>
        <v>животни</v>
      </c>
      <c r="E2632" s="1" t="str">
        <f ca="1">IFERROR(__xludf.DUMMYFUNCTION("GOOGLETRANSLATE(English!E2632, ""en"", ""bg"")"),"Трябва да напиша доклад за животни. Можете ли да ми помогнете да започна?")</f>
        <v>Трябва да напиша доклад за животни. Можете ли да ми помогнете да започна?</v>
      </c>
      <c r="F2632" s="1" t="str">
        <f ca="1">IFERROR(__xludf.DUMMYFUNCTION("GOOGLETRANSLATE(English!F2632,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2632" s="1" t="str">
        <f ca="1">IFERROR(__xludf.DUMMYFUNCTION("GOOGLETRANSLATE(English!G2632, ""en"", ""bg"")"),"помощ_за_домашно_изпълнение")</f>
        <v>помощ_за_домашно_изпълнение</v>
      </c>
      <c r="H2632" s="1" t="str">
        <f ca="1">IFERROR(__xludf.DUMMYFUNCTION("GOOGLETRANSLATE(English!H2632, ""en"", ""bg"")"),"помощ_за_домашно_задаване")</f>
        <v>помощ_за_домашно_задаване</v>
      </c>
    </row>
    <row r="2633" spans="1:8" ht="13.2" x14ac:dyDescent="0.25">
      <c r="A2633" s="1" t="str">
        <f ca="1">IFERROR(__xludf.DUMMYFUNCTION("GOOGLETRANSLATE(English!A2633, ""en"", ""bg"")"),"hw_01495")</f>
        <v>hw_01495</v>
      </c>
      <c r="B2633" s="1" t="str">
        <f ca="1">IFERROR(__xludf.DUMMYFUNCTION("GOOGLETRANSLATE(English!B2633, ""en"", ""bg"")"),"физика")</f>
        <v>физика</v>
      </c>
      <c r="C2633" s="1" t="str">
        <f ca="1">IFERROR(__xludf.DUMMYFUNCTION("GOOGLETRANSLATE(English!C2633, ""en"", ""bg"")"),"средата")</f>
        <v>средата</v>
      </c>
      <c r="D2633" s="1" t="str">
        <f ca="1">IFERROR(__xludf.DUMMYFUNCTION("GOOGLETRANSLATE(English!D2633, ""en"", ""bg"")"),"видове енергия")</f>
        <v>видове енергия</v>
      </c>
      <c r="E2633" s="1" t="str">
        <f ca="1">IFERROR(__xludf.DUMMYFUNCTION("GOOGLETRANSLATE(English!E2633, ""en"", ""bg"")"),"Можете ли да решите този въпрос за видовете енергия с мен?")</f>
        <v>Можете ли да решите този въпрос за видовете енергия с мен?</v>
      </c>
      <c r="F2633" s="1" t="str">
        <f ca="1">IFERROR(__xludf.DUMMYFUNCTION("GOOGLETRANSLATE(English!F2633,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633" s="1" t="str">
        <f ca="1">IFERROR(__xludf.DUMMYFUNCTION("GOOGLETRANSLATE(English!G2633, ""en"", ""bg"")"),"помощ_за_домашно_изпълнение")</f>
        <v>помощ_за_домашно_изпълнение</v>
      </c>
      <c r="H2633" s="1" t="str">
        <f ca="1">IFERROR(__xludf.DUMMYFUNCTION("GOOGLETRANSLATE(English!H2633, ""en"", ""bg"")"),"помощ_за_домашно_задаване")</f>
        <v>помощ_за_домашно_задаване</v>
      </c>
    </row>
    <row r="2634" spans="1:8" ht="13.2" x14ac:dyDescent="0.25">
      <c r="A2634" s="1" t="str">
        <f ca="1">IFERROR(__xludf.DUMMYFUNCTION("GOOGLETRANSLATE(English!A2634, ""en"", ""bg"")"),"qa_09701")</f>
        <v>qa_09701</v>
      </c>
      <c r="B2634" s="1" t="str">
        <f ca="1">IFERROR(__xludf.DUMMYFUNCTION("GOOGLETRANSLATE(English!B2634, ""en"", ""bg"")"),"физика")</f>
        <v>физика</v>
      </c>
      <c r="C2634" s="1" t="str">
        <f ca="1">IFERROR(__xludf.DUMMYFUNCTION("GOOGLETRANSLATE(English!C2634, ""en"", ""bg"")"),"елементарен")</f>
        <v>елементарен</v>
      </c>
      <c r="D2634" s="1" t="str">
        <f ca="1">IFERROR(__xludf.DUMMYFUNCTION("GOOGLETRANSLATE(English!D2634, ""en"", ""bg"")"),"звук")</f>
        <v>звук</v>
      </c>
      <c r="E2634" s="1" t="str">
        <f ca="1">IFERROR(__xludf.DUMMYFUNCTION("GOOGLETRANSLATE(English!E2634, ""en"", ""bg"")"),"Защо звукът е важен?")</f>
        <v>Защо звукът е важен?</v>
      </c>
      <c r="F2634" s="1" t="str">
        <f ca="1">IFERROR(__xludf.DUMMYFUNCTION("GOOGLETRANSLATE(English!F2634,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2634" s="1" t="str">
        <f ca="1">IFERROR(__xludf.DUMMYFUNCTION("GOOGLETRANSLATE(English!G2634, ""en"", ""bg"")"),"direct_qa")</f>
        <v>direct_qa</v>
      </c>
      <c r="H2634" s="1" t="str">
        <f ca="1">IFERROR(__xludf.DUMMYFUNCTION("GOOGLETRANSLATE(English!H2634, ""en"", ""bg"")"),"заявка_за_знание")</f>
        <v>заявка_за_знание</v>
      </c>
    </row>
    <row r="2635" spans="1:8" ht="13.2" x14ac:dyDescent="0.25">
      <c r="A2635" s="1" t="str">
        <f ca="1">IFERROR(__xludf.DUMMYFUNCTION("GOOGLETRANSLATE(English!A2635, ""en"", ""bg"")"),"conv_07135")</f>
        <v>conv_07135</v>
      </c>
      <c r="B2635" s="1" t="str">
        <f ca="1">IFERROR(__xludf.DUMMYFUNCTION("GOOGLETRANSLATE(English!B2635, ""en"", ""bg"")"),"биология")</f>
        <v>биология</v>
      </c>
      <c r="C2635" s="1" t="str">
        <f ca="1">IFERROR(__xludf.DUMMYFUNCTION("GOOGLETRANSLATE(English!C2635, ""en"", ""bg"")"),"елементарен")</f>
        <v>елементарен</v>
      </c>
      <c r="D2635" s="1" t="str">
        <f ca="1">IFERROR(__xludf.DUMMYFUNCTION("GOOGLETRANSLATE(English!D2635, ""en"", ""bg"")"),"местообитания")</f>
        <v>местообитания</v>
      </c>
      <c r="E2635" s="1" t="str">
        <f ca="1">IFERROR(__xludf.DUMMYFUNCTION("GOOGLETRANSLATE(English!E2635, ""en"", ""bg"")"),"Здравей, преподавателю! Какво е важно да знаеш за местообитанията?")</f>
        <v>Здравей, преподавателю! Какво е важно да знаеш за местообитанията?</v>
      </c>
      <c r="F2635" s="1" t="str">
        <f ca="1">IFERROR(__xludf.DUMMYFUNCTION("GOOGLETRANSLATE(English!F2635, ""en"", ""bg"")"),"Най-важното нещо за местообитанията е как те се свързват с други части на живота и природата.")</f>
        <v>Най-важното нещо за местообитанията е как те се свързват с други части на живота и природата.</v>
      </c>
      <c r="G2635" s="1" t="str">
        <f ca="1">IFERROR(__xludf.DUMMYFUNCTION("GOOGLETRANSLATE(English!G2635, ""en"", ""bg"")"),"разговор")</f>
        <v>разговор</v>
      </c>
      <c r="H2635" s="1" t="str">
        <f ca="1">IFERROR(__xludf.DUMMYFUNCTION("GOOGLETRANSLATE(English!H2635, ""en"", ""bg"")"),"образователна_помощ")</f>
        <v>образователна_помощ</v>
      </c>
    </row>
    <row r="2636" spans="1:8" ht="13.2" x14ac:dyDescent="0.25">
      <c r="A2636" s="1" t="str">
        <f ca="1">IFERROR(__xludf.DUMMYFUNCTION("GOOGLETRANSLATE(English!A2636, ""en"", ""bg"")"),"conv_08392")</f>
        <v>conv_08392</v>
      </c>
      <c r="B2636" s="1" t="str">
        <f ca="1">IFERROR(__xludf.DUMMYFUNCTION("GOOGLETRANSLATE(English!B2636, ""en"", ""bg"")"),"химия")</f>
        <v>химия</v>
      </c>
      <c r="C2636" s="1" t="str">
        <f ca="1">IFERROR(__xludf.DUMMYFUNCTION("GOOGLETRANSLATE(English!C2636, ""en"", ""bg"")"),"елементарен")</f>
        <v>елементарен</v>
      </c>
      <c r="D2636" s="1" t="str">
        <f ca="1">IFERROR(__xludf.DUMMYFUNCTION("GOOGLETRANSLATE(English!D2636, ""en"", ""bg"")"),"безопасност")</f>
        <v>безопасност</v>
      </c>
      <c r="E2636" s="1" t="str">
        <f ca="1">IFERROR(__xludf.DUMMYFUNCTION("GOOGLETRANSLATE(English!E2636, ""en"", ""bg"")"),"Здравей, преподавателю! Как работи безопасността в химията?")</f>
        <v>Здравей, преподавателю! Как работи безопасността в химията?</v>
      </c>
      <c r="F2636" s="1" t="str">
        <f ca="1">IFERROR(__xludf.DUMMYFUNCTION("GOOGLETRANSLATE(English!F2636,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2636" s="1" t="str">
        <f ca="1">IFERROR(__xludf.DUMMYFUNCTION("GOOGLETRANSLATE(English!G2636, ""en"", ""bg"")"),"разговор")</f>
        <v>разговор</v>
      </c>
      <c r="H2636" s="1" t="str">
        <f ca="1">IFERROR(__xludf.DUMMYFUNCTION("GOOGLETRANSLATE(English!H2636, ""en"", ""bg"")"),"образователна_помощ")</f>
        <v>образователна_помощ</v>
      </c>
    </row>
    <row r="2637" spans="1:8" ht="13.2" x14ac:dyDescent="0.25">
      <c r="A2637" s="1" t="str">
        <f ca="1">IFERROR(__xludf.DUMMYFUNCTION("GOOGLETRANSLATE(English!A2637, ""en"", ""bg"")"),"conv_15987")</f>
        <v>conv_15987</v>
      </c>
      <c r="B2637" s="1" t="str">
        <f ca="1">IFERROR(__xludf.DUMMYFUNCTION("GOOGLETRANSLATE(English!B2637, ""en"", ""bg"")"),"химия")</f>
        <v>химия</v>
      </c>
      <c r="C2637" s="1" t="str">
        <f ca="1">IFERROR(__xludf.DUMMYFUNCTION("GOOGLETRANSLATE(English!C2637, ""en"", ""bg"")"),"високо")</f>
        <v>високо</v>
      </c>
      <c r="D2637" s="1" t="str">
        <f ca="1">IFERROR(__xludf.DUMMYFUNCTION("GOOGLETRANSLATE(English!D2637, ""en"", ""bg"")"),"стехиометрия")</f>
        <v>стехиометрия</v>
      </c>
      <c r="E2637" s="1" t="str">
        <f ca="1">IFERROR(__xludf.DUMMYFUNCTION("GOOGLETRANSLATE(English!E2637, ""en"", ""bg"")"),"Имам нужда от помощ с домашното си. Как работи стехиометрията в химията?")</f>
        <v>Имам нужда от помощ с домашното си. Как работи стехиометрията в химията?</v>
      </c>
      <c r="F2637" s="1" t="str">
        <f ca="1">IFERROR(__xludf.DUMMYFUNCTION("GOOGLETRANSLATE(English!F2637,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2637" s="1" t="str">
        <f ca="1">IFERROR(__xludf.DUMMYFUNCTION("GOOGLETRANSLATE(English!G2637, ""en"", ""bg"")"),"разговор")</f>
        <v>разговор</v>
      </c>
      <c r="H2637" s="1" t="str">
        <f ca="1">IFERROR(__xludf.DUMMYFUNCTION("GOOGLETRANSLATE(English!H2637, ""en"", ""bg"")"),"образователна_помощ")</f>
        <v>образователна_помощ</v>
      </c>
    </row>
    <row r="2638" spans="1:8" ht="13.2" x14ac:dyDescent="0.25">
      <c r="A2638" s="1" t="str">
        <f ca="1">IFERROR(__xludf.DUMMYFUNCTION("GOOGLETRANSLATE(English!A2638, ""en"", ""bg"")"),"qa_13689")</f>
        <v>qa_13689</v>
      </c>
      <c r="B2638" s="1" t="str">
        <f ca="1">IFERROR(__xludf.DUMMYFUNCTION("GOOGLETRANSLATE(English!B2638, ""en"", ""bg"")"),"химия")</f>
        <v>химия</v>
      </c>
      <c r="C2638" s="1" t="str">
        <f ca="1">IFERROR(__xludf.DUMMYFUNCTION("GOOGLETRANSLATE(English!C2638, ""en"", ""bg"")"),"високо")</f>
        <v>високо</v>
      </c>
      <c r="D2638" s="1" t="str">
        <f ca="1">IFERROR(__xludf.DUMMYFUNCTION("GOOGLETRANSLATE(English!D2638, ""en"", ""bg"")"),"химическо свързване")</f>
        <v>химическо свързване</v>
      </c>
      <c r="E2638" s="1" t="str">
        <f ca="1">IFERROR(__xludf.DUMMYFUNCTION("GOOGLETRANSLATE(English!E2638, ""en"", ""bg"")"),"Как работи химическата връзка в химията?")</f>
        <v>Как работи химическата връзка в химията?</v>
      </c>
      <c r="F2638" s="1" t="str">
        <f ca="1">IFERROR(__xludf.DUMMYFUNCTION("GOOGLETRANSLATE(English!F2638,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2638" s="1" t="str">
        <f ca="1">IFERROR(__xludf.DUMMYFUNCTION("GOOGLETRANSLATE(English!G2638, ""en"", ""bg"")"),"direct_qa")</f>
        <v>direct_qa</v>
      </c>
      <c r="H2638" s="1" t="str">
        <f ca="1">IFERROR(__xludf.DUMMYFUNCTION("GOOGLETRANSLATE(English!H2638, ""en"", ""bg"")"),"заявка_за_знание")</f>
        <v>заявка_за_знание</v>
      </c>
    </row>
    <row r="2639" spans="1:8" ht="13.2" x14ac:dyDescent="0.25">
      <c r="A2639" s="1" t="str">
        <f ca="1">IFERROR(__xludf.DUMMYFUNCTION("GOOGLETRANSLATE(English!A2639, ""en"", ""bg"")"),"qa_02044")</f>
        <v>qa_02044</v>
      </c>
      <c r="B2639" s="1" t="str">
        <f ca="1">IFERROR(__xludf.DUMMYFUNCTION("GOOGLETRANSLATE(English!B2639, ""en"", ""bg"")"),"биология")</f>
        <v>биология</v>
      </c>
      <c r="C2639" s="1" t="str">
        <f ca="1">IFERROR(__xludf.DUMMYFUNCTION("GOOGLETRANSLATE(English!C2639, ""en"", ""bg"")"),"елементарен")</f>
        <v>елементарен</v>
      </c>
      <c r="D2639" s="1" t="str">
        <f ca="1">IFERROR(__xludf.DUMMYFUNCTION("GOOGLETRANSLATE(English!D2639, ""en"", ""bg"")"),"домашни любимци срещу диви животни")</f>
        <v>домашни любимци срещу диви животни</v>
      </c>
      <c r="E2639" s="1" t="str">
        <f ca="1">IFERROR(__xludf.DUMMYFUNCTION("GOOGLETRANSLATE(English!E2639, ""en"", ""bg"")"),"Какво е важно да знаем за домашните любимци спрямо дивите животни?")</f>
        <v>Какво е важно да знаем за домашните любимци спрямо дивите животни?</v>
      </c>
      <c r="F2639" s="1" t="str">
        <f ca="1">IFERROR(__xludf.DUMMYFUNCTION("GOOGLETRANSLATE(English!F2639,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2639" s="1" t="str">
        <f ca="1">IFERROR(__xludf.DUMMYFUNCTION("GOOGLETRANSLATE(English!G2639, ""en"", ""bg"")"),"direct_qa")</f>
        <v>direct_qa</v>
      </c>
      <c r="H2639" s="1" t="str">
        <f ca="1">IFERROR(__xludf.DUMMYFUNCTION("GOOGLETRANSLATE(English!H2639, ""en"", ""bg"")"),"заявка_за_знание")</f>
        <v>заявка_за_знание</v>
      </c>
    </row>
    <row r="2640" spans="1:8" ht="13.2" x14ac:dyDescent="0.25">
      <c r="A2640" s="1" t="str">
        <f ca="1">IFERROR(__xludf.DUMMYFUNCTION("GOOGLETRANSLATE(English!A2640, ""en"", ""bg"")"),"qa_02852")</f>
        <v>qa_02852</v>
      </c>
      <c r="B2640" s="1" t="str">
        <f ca="1">IFERROR(__xludf.DUMMYFUNCTION("GOOGLETRANSLATE(English!B2640, ""en"", ""bg"")"),"биология")</f>
        <v>биология</v>
      </c>
      <c r="C2640" s="1" t="str">
        <f ca="1">IFERROR(__xludf.DUMMYFUNCTION("GOOGLETRANSLATE(English!C2640, ""en"", ""bg"")"),"средата")</f>
        <v>средата</v>
      </c>
      <c r="D2640" s="1" t="str">
        <f ca="1">IFERROR(__xludf.DUMMYFUNCTION("GOOGLETRANSLATE(English!D2640, ""en"", ""bg"")"),"класификация")</f>
        <v>класификация</v>
      </c>
      <c r="E2640" s="1" t="str">
        <f ca="1">IFERROR(__xludf.DUMMYFUNCTION("GOOGLETRANSLATE(English!E2640, ""en"", ""bg"")"),"Какво е важно да знаем за класификацията?")</f>
        <v>Какво е важно да знаем за класификацията?</v>
      </c>
      <c r="F2640" s="1" t="str">
        <f ca="1">IFERROR(__xludf.DUMMYFUNCTION("GOOGLETRANSLATE(English!F2640,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2640" s="1" t="str">
        <f ca="1">IFERROR(__xludf.DUMMYFUNCTION("GOOGLETRANSLATE(English!G2640, ""en"", ""bg"")"),"direct_qa")</f>
        <v>direct_qa</v>
      </c>
      <c r="H2640" s="1" t="str">
        <f ca="1">IFERROR(__xludf.DUMMYFUNCTION("GOOGLETRANSLATE(English!H2640, ""en"", ""bg"")"),"заявка_за_знание")</f>
        <v>заявка_за_знание</v>
      </c>
    </row>
    <row r="2641" spans="1:8" ht="13.2" x14ac:dyDescent="0.25">
      <c r="A2641" s="1" t="str">
        <f ca="1">IFERROR(__xludf.DUMMYFUNCTION("GOOGLETRANSLATE(English!A2641, ""en"", ""bg"")"),"conv_05717")</f>
        <v>conv_05717</v>
      </c>
      <c r="B2641" s="1" t="str">
        <f ca="1">IFERROR(__xludf.DUMMYFUNCTION("GOOGLETRANSLATE(English!B2641, ""en"", ""bg"")"),"физика")</f>
        <v>физика</v>
      </c>
      <c r="C2641" s="1" t="str">
        <f ca="1">IFERROR(__xludf.DUMMYFUNCTION("GOOGLETRANSLATE(English!C2641, ""en"", ""bg"")"),"високо")</f>
        <v>високо</v>
      </c>
      <c r="D2641" s="1" t="str">
        <f ca="1">IFERROR(__xludf.DUMMYFUNCTION("GOOGLETRANSLATE(English!D2641, ""en"", ""bg"")"),"оптика")</f>
        <v>оптика</v>
      </c>
      <c r="E2641" s="1" t="str">
        <f ca="1">IFERROR(__xludf.DUMMYFUNCTION("GOOGLETRANSLATE(English!E2641, ""en"", ""bg"")"),"Не разбирам тази тема. Можете ли да ми обясните оптиката?")</f>
        <v>Не разбирам тази тема. Можете ли да ми обясните оптиката?</v>
      </c>
      <c r="F2641" s="1" t="str">
        <f ca="1">IFERROR(__xludf.DUMMYFUNCTION("GOOGLETRANSLATE(English!F2641,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2641" s="1" t="str">
        <f ca="1">IFERROR(__xludf.DUMMYFUNCTION("GOOGLETRANSLATE(English!G2641, ""en"", ""bg"")"),"разговор")</f>
        <v>разговор</v>
      </c>
      <c r="H2641" s="1" t="str">
        <f ca="1">IFERROR(__xludf.DUMMYFUNCTION("GOOGLETRANSLATE(English!H2641, ""en"", ""bg"")"),"образователна_помощ")</f>
        <v>образователна_помощ</v>
      </c>
    </row>
    <row r="2642" spans="1:8" ht="13.2" x14ac:dyDescent="0.25">
      <c r="A2642" s="1" t="str">
        <f ca="1">IFERROR(__xludf.DUMMYFUNCTION("GOOGLETRANSLATE(English!A2642, ""en"", ""bg"")"),"conv_14123")</f>
        <v>conv_14123</v>
      </c>
      <c r="B2642" s="1" t="str">
        <f ca="1">IFERROR(__xludf.DUMMYFUNCTION("GOOGLETRANSLATE(English!B2642, ""en"", ""bg"")"),"биология")</f>
        <v>биология</v>
      </c>
      <c r="C2642" s="1" t="str">
        <f ca="1">IFERROR(__xludf.DUMMYFUNCTION("GOOGLETRANSLATE(English!C2642, ""en"", ""bg"")"),"средата")</f>
        <v>средата</v>
      </c>
      <c r="D2642" s="1" t="str">
        <f ca="1">IFERROR(__xludf.DUMMYFUNCTION("GOOGLETRANSLATE(English!D2642, ""en"", ""bg"")"),"класификация")</f>
        <v>класификация</v>
      </c>
      <c r="E2642" s="1" t="str">
        <f ca="1">IFERROR(__xludf.DUMMYFUNCTION("GOOGLETRANSLATE(English!E2642, ""en"", ""bg"")"),"Можете ли да ми обясните това? Какво е важно да се знае за класификацията?")</f>
        <v>Можете ли да ми обясните това? Какво е важно да се знае за класификацията?</v>
      </c>
      <c r="F2642" s="1" t="str">
        <f ca="1">IFERROR(__xludf.DUMMYFUNCTION("GOOGLETRANSLATE(English!F2642,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2642" s="1" t="str">
        <f ca="1">IFERROR(__xludf.DUMMYFUNCTION("GOOGLETRANSLATE(English!G2642, ""en"", ""bg"")"),"разговор")</f>
        <v>разговор</v>
      </c>
      <c r="H2642" s="1" t="str">
        <f ca="1">IFERROR(__xludf.DUMMYFUNCTION("GOOGLETRANSLATE(English!H2642, ""en"", ""bg"")"),"образователна_помощ")</f>
        <v>образователна_помощ</v>
      </c>
    </row>
    <row r="2643" spans="1:8" ht="13.2" x14ac:dyDescent="0.25">
      <c r="A2643" s="1" t="str">
        <f ca="1">IFERROR(__xludf.DUMMYFUNCTION("GOOGLETRANSLATE(English!A2643, ""en"", ""bg"")"),"hw_11072")</f>
        <v>hw_11072</v>
      </c>
      <c r="B2643" s="1" t="str">
        <f ca="1">IFERROR(__xludf.DUMMYFUNCTION("GOOGLETRANSLATE(English!B2643, ""en"", ""bg"")"),"биология")</f>
        <v>биология</v>
      </c>
      <c r="C2643" s="1" t="str">
        <f ca="1">IFERROR(__xludf.DUMMYFUNCTION("GOOGLETRANSLATE(English!C2643, ""en"", ""bg"")"),"средата")</f>
        <v>средата</v>
      </c>
      <c r="D2643" s="1" t="str">
        <f ca="1">IFERROR(__xludf.DUMMYFUNCTION("GOOGLETRANSLATE(English!D2643, ""en"", ""bg"")"),"основи на еволюцията")</f>
        <v>основи на еволюцията</v>
      </c>
      <c r="E2643" s="1" t="str">
        <f ca="1">IFERROR(__xludf.DUMMYFUNCTION("GOOGLETRANSLATE(English!E2643, ""en"", ""bg"")"),"Утре имам тест по основи на еволюцията. Помогни ми да уча!")</f>
        <v>Утре имам тест по основи на еволюцията. Помогни ми да уча!</v>
      </c>
      <c r="F2643" s="1" t="str">
        <f ca="1">IFERROR(__xludf.DUMMYFUNCTION("GOOGLETRANSLATE(English!F2643,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643" s="1" t="str">
        <f ca="1">IFERROR(__xludf.DUMMYFUNCTION("GOOGLETRANSLATE(English!G2643, ""en"", ""bg"")"),"помощ_за_домашно_изпълнение")</f>
        <v>помощ_за_домашно_изпълнение</v>
      </c>
      <c r="H2643" s="1" t="str">
        <f ca="1">IFERROR(__xludf.DUMMYFUNCTION("GOOGLETRANSLATE(English!H2643, ""en"", ""bg"")"),"помощ_за_домашно_задаване")</f>
        <v>помощ_за_домашно_задаване</v>
      </c>
    </row>
    <row r="2644" spans="1:8" ht="13.2" x14ac:dyDescent="0.25">
      <c r="A2644" s="1" t="str">
        <f ca="1">IFERROR(__xludf.DUMMYFUNCTION("GOOGLETRANSLATE(English!A2644, ""en"", ""bg"")"),"hw_00786")</f>
        <v>hw_00786</v>
      </c>
      <c r="B2644" s="1" t="str">
        <f ca="1">IFERROR(__xludf.DUMMYFUNCTION("GOOGLETRANSLATE(English!B2644, ""en"", ""bg"")"),"биология")</f>
        <v>биология</v>
      </c>
      <c r="C2644" s="1" t="str">
        <f ca="1">IFERROR(__xludf.DUMMYFUNCTION("GOOGLETRANSLATE(English!C2644, ""en"", ""bg"")"),"елементарен")</f>
        <v>елементарен</v>
      </c>
      <c r="D2644" s="1" t="str">
        <f ca="1">IFERROR(__xludf.DUMMYFUNCTION("GOOGLETRANSLATE(English!D2644, ""en"", ""bg"")"),"жизнени цикли")</f>
        <v>жизнени цикли</v>
      </c>
      <c r="E2644" s="1" t="str">
        <f ca="1">IFERROR(__xludf.DUMMYFUNCTION("GOOGLETRANSLATE(English!E2644, ""en"", ""bg"")"),"Домашното ми пита за жизнените цикли. Не го разбирам.")</f>
        <v>Домашното ми пита за жизнените цикли. Не го разбирам.</v>
      </c>
      <c r="F2644" s="1" t="str">
        <f ca="1">IFERROR(__xludf.DUMMYFUNCTION("GOOGLETRANSLATE(English!F2644,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2644" s="1" t="str">
        <f ca="1">IFERROR(__xludf.DUMMYFUNCTION("GOOGLETRANSLATE(English!G2644, ""en"", ""bg"")"),"помощ_за_домашно_изпълнение")</f>
        <v>помощ_за_домашно_изпълнение</v>
      </c>
      <c r="H2644" s="1" t="str">
        <f ca="1">IFERROR(__xludf.DUMMYFUNCTION("GOOGLETRANSLATE(English!H2644, ""en"", ""bg"")"),"помощ_за_домашно_задаване")</f>
        <v>помощ_за_домашно_задаване</v>
      </c>
    </row>
    <row r="2645" spans="1:8" ht="13.2" x14ac:dyDescent="0.25">
      <c r="A2645" s="1" t="str">
        <f ca="1">IFERROR(__xludf.DUMMYFUNCTION("GOOGLETRANSLATE(English!A2645, ""en"", ""bg"")"),"qa_09698")</f>
        <v>qa_09698</v>
      </c>
      <c r="B2645" s="1" t="str">
        <f ca="1">IFERROR(__xludf.DUMMYFUNCTION("GOOGLETRANSLATE(English!B2645, ""en"", ""bg"")"),"химия")</f>
        <v>химия</v>
      </c>
      <c r="C2645" s="1" t="str">
        <f ca="1">IFERROR(__xludf.DUMMYFUNCTION("GOOGLETRANSLATE(English!C2645, ""en"", ""bg"")"),"елементарен")</f>
        <v>елементарен</v>
      </c>
      <c r="D2645" s="1" t="str">
        <f ca="1">IFERROR(__xludf.DUMMYFUNCTION("GOOGLETRANSLATE(English!D2645, ""en"", ""bg"")"),"разтваряне")</f>
        <v>разтваряне</v>
      </c>
      <c r="E2645" s="1" t="str">
        <f ca="1">IFERROR(__xludf.DUMMYFUNCTION("GOOGLETRANSLATE(English!E2645, ""en"", ""bg"")"),"Какво е разтварянето?")</f>
        <v>Какво е разтварянето?</v>
      </c>
      <c r="F2645" s="1" t="str">
        <f ca="1">IFERROR(__xludf.DUMMYFUNCTION("GOOGLETRANSLATE(English!F2645,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2645" s="1" t="str">
        <f ca="1">IFERROR(__xludf.DUMMYFUNCTION("GOOGLETRANSLATE(English!G2645, ""en"", ""bg"")"),"direct_qa")</f>
        <v>direct_qa</v>
      </c>
      <c r="H2645" s="1" t="str">
        <f ca="1">IFERROR(__xludf.DUMMYFUNCTION("GOOGLETRANSLATE(English!H2645, ""en"", ""bg"")"),"заявка_за_знание")</f>
        <v>заявка_за_знание</v>
      </c>
    </row>
    <row r="2646" spans="1:8" ht="13.2" x14ac:dyDescent="0.25">
      <c r="A2646" s="1" t="str">
        <f ca="1">IFERROR(__xludf.DUMMYFUNCTION("GOOGLETRANSLATE(English!A2646, ""en"", ""bg"")"),"conv_12567")</f>
        <v>conv_12567</v>
      </c>
      <c r="B2646" s="1" t="str">
        <f ca="1">IFERROR(__xludf.DUMMYFUNCTION("GOOGLETRANSLATE(English!B2646, ""en"", ""bg"")"),"химия")</f>
        <v>химия</v>
      </c>
      <c r="C2646" s="1" t="str">
        <f ca="1">IFERROR(__xludf.DUMMYFUNCTION("GOOGLETRANSLATE(English!C2646, ""en"", ""bg"")"),"средата")</f>
        <v>средата</v>
      </c>
      <c r="D2646" s="1" t="str">
        <f ca="1">IFERROR(__xludf.DUMMYFUNCTION("GOOGLETRANSLATE(English!D2646, ""en"", ""bg"")"),"химични реакции")</f>
        <v>химични реакции</v>
      </c>
      <c r="E2646" s="1" t="str">
        <f ca="1">IFERROR(__xludf.DUMMYFUNCTION("GOOGLETRANSLATE(English!E2646, ""en"", ""bg"")"),"Имам научен въпрос. Как разбирате дали е протекла химическа реакция?")</f>
        <v>Имам научен въпрос. Как разбирате дали е протекла химическа реакция?</v>
      </c>
      <c r="F2646" s="1" t="str">
        <f ca="1">IFERROR(__xludf.DUMMYFUNCTION("GOOGLETRANSLATE(English!F2646,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2646" s="1" t="str">
        <f ca="1">IFERROR(__xludf.DUMMYFUNCTION("GOOGLETRANSLATE(English!G2646, ""en"", ""bg"")"),"разговор")</f>
        <v>разговор</v>
      </c>
      <c r="H2646" s="1" t="str">
        <f ca="1">IFERROR(__xludf.DUMMYFUNCTION("GOOGLETRANSLATE(English!H2646, ""en"", ""bg"")"),"образователна_помощ")</f>
        <v>образователна_помощ</v>
      </c>
    </row>
    <row r="2647" spans="1:8" ht="13.2" x14ac:dyDescent="0.25">
      <c r="A2647" s="1" t="str">
        <f ca="1">IFERROR(__xludf.DUMMYFUNCTION("GOOGLETRANSLATE(English!A2647, ""en"", ""bg"")"),"hw_07549")</f>
        <v>hw_07549</v>
      </c>
      <c r="B2647" s="1" t="str">
        <f ca="1">IFERROR(__xludf.DUMMYFUNCTION("GOOGLETRANSLATE(English!B2647, ""en"", ""bg"")"),"биология")</f>
        <v>биология</v>
      </c>
      <c r="C2647" s="1" t="str">
        <f ca="1">IFERROR(__xludf.DUMMYFUNCTION("GOOGLETRANSLATE(English!C2647, ""en"", ""bg"")"),"средата")</f>
        <v>средата</v>
      </c>
      <c r="D2647" s="1" t="str">
        <f ca="1">IFERROR(__xludf.DUMMYFUNCTION("GOOGLETRANSLATE(English!D2647, ""en"", ""bg"")"),"основи на еволюцията")</f>
        <v>основи на еволюцията</v>
      </c>
      <c r="E2647" s="1" t="str">
        <f ca="1">IFERROR(__xludf.DUMMYFUNCTION("GOOGLETRANSLATE(English!E2647, ""en"", ""bg"")"),"Утре имам тест по основи на еволюцията. Помогни ми да уча!")</f>
        <v>Утре имам тест по основи на еволюцията. Помогни ми да уча!</v>
      </c>
      <c r="F2647" s="1" t="str">
        <f ca="1">IFERROR(__xludf.DUMMYFUNCTION("GOOGLETRANSLATE(English!F2647,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647" s="1" t="str">
        <f ca="1">IFERROR(__xludf.DUMMYFUNCTION("GOOGLETRANSLATE(English!G2647, ""en"", ""bg"")"),"помощ_за_домашно_изпълнение")</f>
        <v>помощ_за_домашно_изпълнение</v>
      </c>
      <c r="H2647" s="1" t="str">
        <f ca="1">IFERROR(__xludf.DUMMYFUNCTION("GOOGLETRANSLATE(English!H2647, ""en"", ""bg"")"),"помощ_за_домашно_задаване")</f>
        <v>помощ_за_домашно_задаване</v>
      </c>
    </row>
    <row r="2648" spans="1:8" ht="13.2" x14ac:dyDescent="0.25">
      <c r="A2648" s="1" t="str">
        <f ca="1">IFERROR(__xludf.DUMMYFUNCTION("GOOGLETRANSLATE(English!A2648, ""en"", ""bg"")"),"conv_09514")</f>
        <v>conv_09514</v>
      </c>
      <c r="B2648" s="1" t="str">
        <f ca="1">IFERROR(__xludf.DUMMYFUNCTION("GOOGLETRANSLATE(English!B2648, ""en"", ""bg"")"),"физика")</f>
        <v>физика</v>
      </c>
      <c r="C2648" s="1" t="str">
        <f ca="1">IFERROR(__xludf.DUMMYFUNCTION("GOOGLETRANSLATE(English!C2648, ""en"", ""bg"")"),"високо")</f>
        <v>високо</v>
      </c>
      <c r="D2648" s="1" t="str">
        <f ca="1">IFERROR(__xludf.DUMMYFUNCTION("GOOGLETRANSLATE(English!D2648, ""en"", ""bg"")"),"електромагнетизъм")</f>
        <v>електромагнетизъм</v>
      </c>
      <c r="E2648" s="1" t="str">
        <f ca="1">IFERROR(__xludf.DUMMYFUNCTION("GOOGLETRANSLATE(English!E2648, ""en"", ""bg"")"),"Имам нужда от помощ с домашното. Можете ли да ми обясните електромагнетизма?")</f>
        <v>Имам нужда от помощ с домашното. Можете ли да ми обясните електромагнетизма?</v>
      </c>
      <c r="F2648" s="1" t="str">
        <f ca="1">IFERROR(__xludf.DUMMYFUNCTION("GOOGLETRANSLATE(English!F2648,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2648" s="1" t="str">
        <f ca="1">IFERROR(__xludf.DUMMYFUNCTION("GOOGLETRANSLATE(English!G2648, ""en"", ""bg"")"),"разговор")</f>
        <v>разговор</v>
      </c>
      <c r="H2648" s="1" t="str">
        <f ca="1">IFERROR(__xludf.DUMMYFUNCTION("GOOGLETRANSLATE(English!H2648, ""en"", ""bg"")"),"образователна_помощ")</f>
        <v>образователна_помощ</v>
      </c>
    </row>
    <row r="2649" spans="1:8" ht="13.2" x14ac:dyDescent="0.25">
      <c r="A2649" s="1" t="str">
        <f ca="1">IFERROR(__xludf.DUMMYFUNCTION("GOOGLETRANSLATE(English!A2649, ""en"", ""bg"")"),"hw_06568")</f>
        <v>hw_06568</v>
      </c>
      <c r="B2649" s="1" t="str">
        <f ca="1">IFERROR(__xludf.DUMMYFUNCTION("GOOGLETRANSLATE(English!B2649, ""en"", ""bg"")"),"физика")</f>
        <v>физика</v>
      </c>
      <c r="C2649" s="1" t="str">
        <f ca="1">IFERROR(__xludf.DUMMYFUNCTION("GOOGLETRANSLATE(English!C2649, ""en"", ""bg"")"),"високо")</f>
        <v>високо</v>
      </c>
      <c r="D2649" s="1" t="str">
        <f ca="1">IFERROR(__xludf.DUMMYFUNCTION("GOOGLETRANSLATE(English!D2649, ""en"", ""bg"")"),"оптика")</f>
        <v>оптика</v>
      </c>
      <c r="E2649" s="1" t="str">
        <f ca="1">IFERROR(__xludf.DUMMYFUNCTION("GOOGLETRANSLATE(English!E2649, ""en"", ""bg"")"),"Можете ли да решите този въпрос с оптиката с мен?")</f>
        <v>Можете ли да решите този въпрос с оптиката с мен?</v>
      </c>
      <c r="F2649" s="1" t="str">
        <f ca="1">IFERROR(__xludf.DUMMYFUNCTION("GOOGLETRANSLATE(English!F2649,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2649" s="1" t="str">
        <f ca="1">IFERROR(__xludf.DUMMYFUNCTION("GOOGLETRANSLATE(English!G2649, ""en"", ""bg"")"),"помощ_за_домашно_изпълнение")</f>
        <v>помощ_за_домашно_изпълнение</v>
      </c>
      <c r="H2649" s="1" t="str">
        <f ca="1">IFERROR(__xludf.DUMMYFUNCTION("GOOGLETRANSLATE(English!H2649, ""en"", ""bg"")"),"помощ_за_домашно_задаване")</f>
        <v>помощ_за_домашно_задаване</v>
      </c>
    </row>
    <row r="2650" spans="1:8" ht="13.2" x14ac:dyDescent="0.25">
      <c r="A2650" s="1" t="str">
        <f ca="1">IFERROR(__xludf.DUMMYFUNCTION("GOOGLETRANSLATE(English!A2650, ""en"", ""bg"")"),"conv_03416")</f>
        <v>conv_03416</v>
      </c>
      <c r="B2650" s="1" t="str">
        <f ca="1">IFERROR(__xludf.DUMMYFUNCTION("GOOGLETRANSLATE(English!B2650, ""en"", ""bg"")"),"химия")</f>
        <v>химия</v>
      </c>
      <c r="C2650" s="1" t="str">
        <f ca="1">IFERROR(__xludf.DUMMYFUNCTION("GOOGLETRANSLATE(English!C2650, ""en"", ""bg"")"),"средата")</f>
        <v>средата</v>
      </c>
      <c r="D2650" s="1" t="str">
        <f ca="1">IFERROR(__xludf.DUMMYFUNCTION("GOOGLETRANSLATE(English!D2650, ""en"", ""bg"")"),"атоми и молекули")</f>
        <v>атоми и молекули</v>
      </c>
      <c r="E2650" s="1" t="str">
        <f ca="1">IFERROR(__xludf.DUMMYFUNCTION("GOOGLETRANSLATE(English!E2650, ""en"", ""bg"")"),"Можете ли да ми обясните това? Защо атомите се свързват?")</f>
        <v>Можете ли да ми обясните това? Защо атомите се свързват?</v>
      </c>
      <c r="F2650" s="1" t="str">
        <f ca="1">IFERROR(__xludf.DUMMYFUNCTION("GOOGLETRANSLATE(English!F2650,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2650" s="1" t="str">
        <f ca="1">IFERROR(__xludf.DUMMYFUNCTION("GOOGLETRANSLATE(English!G2650, ""en"", ""bg"")"),"разговор")</f>
        <v>разговор</v>
      </c>
      <c r="H2650" s="1" t="str">
        <f ca="1">IFERROR(__xludf.DUMMYFUNCTION("GOOGLETRANSLATE(English!H2650, ""en"", ""bg"")"),"образователна_помощ")</f>
        <v>образователна_помощ</v>
      </c>
    </row>
    <row r="2651" spans="1:8" ht="13.2" x14ac:dyDescent="0.25">
      <c r="A2651" s="1" t="str">
        <f ca="1">IFERROR(__xludf.DUMMYFUNCTION("GOOGLETRANSLATE(English!A2651, ""en"", ""bg"")"),"hw_04455")</f>
        <v>hw_04455</v>
      </c>
      <c r="B2651" s="1" t="str">
        <f ca="1">IFERROR(__xludf.DUMMYFUNCTION("GOOGLETRANSLATE(English!B2651, ""en"", ""bg"")"),"физика")</f>
        <v>физика</v>
      </c>
      <c r="C2651" s="1" t="str">
        <f ca="1">IFERROR(__xludf.DUMMYFUNCTION("GOOGLETRANSLATE(English!C2651, ""en"", ""bg"")"),"високо")</f>
        <v>високо</v>
      </c>
      <c r="D2651" s="1" t="str">
        <f ca="1">IFERROR(__xludf.DUMMYFUNCTION("GOOGLETRANSLATE(English!D2651, ""en"", ""bg"")"),"електромагнетизъм")</f>
        <v>електромагнетизъм</v>
      </c>
      <c r="E2651" s="1" t="str">
        <f ca="1">IFERROR(__xludf.DUMMYFUNCTION("GOOGLETRANSLATE(English!E2651, ""en"", ""bg"")"),"Трябва да разбирам електромагнетизма за изпита си.")</f>
        <v>Трябва да разбирам електромагнетизма за изпита си.</v>
      </c>
      <c r="F2651" s="1" t="str">
        <f ca="1">IFERROR(__xludf.DUMMYFUNCTION("GOOGLETRANSLATE(English!F2651,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2651" s="1" t="str">
        <f ca="1">IFERROR(__xludf.DUMMYFUNCTION("GOOGLETRANSLATE(English!G2651, ""en"", ""bg"")"),"помощ_за_домашно_изпълнение")</f>
        <v>помощ_за_домашно_изпълнение</v>
      </c>
      <c r="H2651" s="1" t="str">
        <f ca="1">IFERROR(__xludf.DUMMYFUNCTION("GOOGLETRANSLATE(English!H2651, ""en"", ""bg"")"),"помощ_за_домашно_задаване")</f>
        <v>помощ_за_домашно_задаване</v>
      </c>
    </row>
    <row r="2652" spans="1:8" ht="13.2" x14ac:dyDescent="0.25">
      <c r="A2652" s="1" t="str">
        <f ca="1">IFERROR(__xludf.DUMMYFUNCTION("GOOGLETRANSLATE(English!A2652, ""en"", ""bg"")"),"conv_08984")</f>
        <v>conv_08984</v>
      </c>
      <c r="B2652" s="1" t="str">
        <f ca="1">IFERROR(__xludf.DUMMYFUNCTION("GOOGLETRANSLATE(English!B2652, ""en"", ""bg"")"),"химия")</f>
        <v>химия</v>
      </c>
      <c r="C2652" s="1" t="str">
        <f ca="1">IFERROR(__xludf.DUMMYFUNCTION("GOOGLETRANSLATE(English!C2652, ""en"", ""bg"")"),"средата")</f>
        <v>средата</v>
      </c>
      <c r="D2652" s="1" t="str">
        <f ca="1">IFERROR(__xludf.DUMMYFUNCTION("GOOGLETRANSLATE(English!D2652, ""en"", ""bg"")"),"основи на периодичната таблица")</f>
        <v>основи на периодичната таблица</v>
      </c>
      <c r="E2652" s="1" t="str">
        <f ca="1">IFERROR(__xludf.DUMMYFUNCTION("GOOGLETRANSLATE(English!E2652, ""en"", ""bg"")"),"Имам научен въпрос. Как се използват основите на периодичната таблица в химията?")</f>
        <v>Имам научен въпрос. Как се използват основите на периодичната таблица в химията?</v>
      </c>
      <c r="F2652" s="1" t="str">
        <f ca="1">IFERROR(__xludf.DUMMYFUNCTION("GOOGLETRANSLATE(English!F2652,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2652" s="1" t="str">
        <f ca="1">IFERROR(__xludf.DUMMYFUNCTION("GOOGLETRANSLATE(English!G2652, ""en"", ""bg"")"),"разговор")</f>
        <v>разговор</v>
      </c>
      <c r="H2652" s="1" t="str">
        <f ca="1">IFERROR(__xludf.DUMMYFUNCTION("GOOGLETRANSLATE(English!H2652, ""en"", ""bg"")"),"образователна_помощ")</f>
        <v>образователна_помощ</v>
      </c>
    </row>
    <row r="2653" spans="1:8" ht="13.2" x14ac:dyDescent="0.25">
      <c r="A2653" s="1" t="str">
        <f ca="1">IFERROR(__xludf.DUMMYFUNCTION("GOOGLETRANSLATE(English!A2653, ""en"", ""bg"")"),"conv_01640")</f>
        <v>conv_01640</v>
      </c>
      <c r="B2653" s="1" t="str">
        <f ca="1">IFERROR(__xludf.DUMMYFUNCTION("GOOGLETRANSLATE(English!B2653, ""en"", ""bg"")"),"биология")</f>
        <v>биология</v>
      </c>
      <c r="C2653" s="1" t="str">
        <f ca="1">IFERROR(__xludf.DUMMYFUNCTION("GOOGLETRANSLATE(English!C2653, ""en"", ""bg"")"),"елементарен")</f>
        <v>елементарен</v>
      </c>
      <c r="D2653" s="1" t="str">
        <f ca="1">IFERROR(__xludf.DUMMYFUNCTION("GOOGLETRANSLATE(English!D2653, ""en"", ""bg"")"),"местообитания")</f>
        <v>местообитания</v>
      </c>
      <c r="E2653" s="1" t="str">
        <f ca="1">IFERROR(__xludf.DUMMYFUNCTION("GOOGLETRANSLATE(English!E2653, ""en"", ""bg"")"),"Можете ли да ми помогнете? Можете ли да ми разкажете за местообитанията?")</f>
        <v>Можете ли да ми помогнете? Можете ли да ми разкажете за местообитанията?</v>
      </c>
      <c r="F2653" s="1" t="str">
        <f ca="1">IFERROR(__xludf.DUMMYFUNCTION("GOOGLETRANSLATE(English!F2653,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2653" s="1" t="str">
        <f ca="1">IFERROR(__xludf.DUMMYFUNCTION("GOOGLETRANSLATE(English!G2653, ""en"", ""bg"")"),"разговор")</f>
        <v>разговор</v>
      </c>
      <c r="H2653" s="1" t="str">
        <f ca="1">IFERROR(__xludf.DUMMYFUNCTION("GOOGLETRANSLATE(English!H2653, ""en"", ""bg"")"),"образователна_помощ")</f>
        <v>образователна_помощ</v>
      </c>
    </row>
    <row r="2654" spans="1:8" ht="13.2" x14ac:dyDescent="0.25">
      <c r="A2654" s="1" t="str">
        <f ca="1">IFERROR(__xludf.DUMMYFUNCTION("GOOGLETRANSLATE(English!A2654, ""en"", ""bg"")"),"hw_07244")</f>
        <v>hw_07244</v>
      </c>
      <c r="B2654" s="1" t="str">
        <f ca="1">IFERROR(__xludf.DUMMYFUNCTION("GOOGLETRANSLATE(English!B2654, ""en"", ""bg"")"),"биология")</f>
        <v>биология</v>
      </c>
      <c r="C2654" s="1" t="str">
        <f ca="1">IFERROR(__xludf.DUMMYFUNCTION("GOOGLETRANSLATE(English!C2654, ""en"", ""bg"")"),"елементарен")</f>
        <v>елементарен</v>
      </c>
      <c r="D2654" s="1" t="str">
        <f ca="1">IFERROR(__xludf.DUMMYFUNCTION("GOOGLETRANSLATE(English!D2654, ""en"", ""bg"")"),"основни нужди")</f>
        <v>основни нужди</v>
      </c>
      <c r="E2654" s="1" t="str">
        <f ca="1">IFERROR(__xludf.DUMMYFUNCTION("GOOGLETRANSLATE(English!E2654, ""en"", ""bg"")"),"Трябва да напиша доклад за основните нужди. Можете ли да ми помогнете да започна?")</f>
        <v>Трябва да напиша доклад за основните нужди. Можете ли да ми помогнете да започна?</v>
      </c>
      <c r="F2654" s="1" t="str">
        <f ca="1">IFERROR(__xludf.DUMMYFUNCTION("GOOGLETRANSLATE(English!F2654,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2654" s="1" t="str">
        <f ca="1">IFERROR(__xludf.DUMMYFUNCTION("GOOGLETRANSLATE(English!G2654, ""en"", ""bg"")"),"помощ_за_домашно_изпълнение")</f>
        <v>помощ_за_домашно_изпълнение</v>
      </c>
      <c r="H2654" s="1" t="str">
        <f ca="1">IFERROR(__xludf.DUMMYFUNCTION("GOOGLETRANSLATE(English!H2654, ""en"", ""bg"")"),"помощ_за_домашно_задаване")</f>
        <v>помощ_за_домашно_задаване</v>
      </c>
    </row>
    <row r="2655" spans="1:8" ht="13.2" x14ac:dyDescent="0.25">
      <c r="A2655" s="1" t="str">
        <f ca="1">IFERROR(__xludf.DUMMYFUNCTION("GOOGLETRANSLATE(English!A2655, ""en"", ""bg"")"),"hw_10150")</f>
        <v>hw_10150</v>
      </c>
      <c r="B2655" s="1" t="str">
        <f ca="1">IFERROR(__xludf.DUMMYFUNCTION("GOOGLETRANSLATE(English!B2655, ""en"", ""bg"")"),"биология")</f>
        <v>биология</v>
      </c>
      <c r="C2655" s="1" t="str">
        <f ca="1">IFERROR(__xludf.DUMMYFUNCTION("GOOGLETRANSLATE(English!C2655, ""en"", ""bg"")"),"елементарен")</f>
        <v>елементарен</v>
      </c>
      <c r="D2655" s="1" t="str">
        <f ca="1">IFERROR(__xludf.DUMMYFUNCTION("GOOGLETRANSLATE(English!D2655, ""en"", ""bg"")"),"домашни любимци срещу диви животни")</f>
        <v>домашни любимци срещу диви животни</v>
      </c>
      <c r="E2655" s="1" t="str">
        <f ca="1">IFERROR(__xludf.DUMMYFUNCTION("GOOGLETRANSLATE(English!E2655, ""en"", ""bg"")"),"Можете ли да обясните понятията домашни любимци и диви животни за моя научен проект?")</f>
        <v>Можете ли да обясните понятията домашни любимци и диви животни за моя научен проект?</v>
      </c>
      <c r="F2655" s="1" t="str">
        <f ca="1">IFERROR(__xludf.DUMMYFUNCTION("GOOGLETRANSLATE(English!F2655,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2655" s="1" t="str">
        <f ca="1">IFERROR(__xludf.DUMMYFUNCTION("GOOGLETRANSLATE(English!G2655, ""en"", ""bg"")"),"помощ_за_домашно_изпълнение")</f>
        <v>помощ_за_домашно_изпълнение</v>
      </c>
      <c r="H2655" s="1" t="str">
        <f ca="1">IFERROR(__xludf.DUMMYFUNCTION("GOOGLETRANSLATE(English!H2655, ""en"", ""bg"")"),"помощ_за_домашно_задаване")</f>
        <v>помощ_за_домашно_задаване</v>
      </c>
    </row>
    <row r="2656" spans="1:8" ht="13.2" x14ac:dyDescent="0.25">
      <c r="A2656" s="1" t="str">
        <f ca="1">IFERROR(__xludf.DUMMYFUNCTION("GOOGLETRANSLATE(English!A2656, ""en"", ""bg"")"),"qa_05087")</f>
        <v>qa_05087</v>
      </c>
      <c r="B2656" s="1" t="str">
        <f ca="1">IFERROR(__xludf.DUMMYFUNCTION("GOOGLETRANSLATE(English!B2656, ""en"", ""bg"")"),"химия")</f>
        <v>химия</v>
      </c>
      <c r="C2656" s="1" t="str">
        <f ca="1">IFERROR(__xludf.DUMMYFUNCTION("GOOGLETRANSLATE(English!C2656, ""en"", ""bg"")"),"елементарен")</f>
        <v>елементарен</v>
      </c>
      <c r="D2656" s="1" t="str">
        <f ca="1">IFERROR(__xludf.DUMMYFUNCTION("GOOGLETRANSLATE(English!D2656, ""en"", ""bg"")"),"промени в материалите")</f>
        <v>промени в материалите</v>
      </c>
      <c r="E2656" s="1" t="str">
        <f ca="1">IFERROR(__xludf.DUMMYFUNCTION("GOOGLETRANSLATE(English!E2656, ""en"", ""bg"")"),"Можете ли да ми помогнете да разбера промените в материалите?")</f>
        <v>Можете ли да ми помогнете да разбера промените в материалите?</v>
      </c>
      <c r="F2656" s="1" t="str">
        <f ca="1">IFERROR(__xludf.DUMMYFUNCTION("GOOGLETRANSLATE(English!F2656,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2656" s="1" t="str">
        <f ca="1">IFERROR(__xludf.DUMMYFUNCTION("GOOGLETRANSLATE(English!G2656, ""en"", ""bg"")"),"direct_qa")</f>
        <v>direct_qa</v>
      </c>
      <c r="H2656" s="1" t="str">
        <f ca="1">IFERROR(__xludf.DUMMYFUNCTION("GOOGLETRANSLATE(English!H2656, ""en"", ""bg"")"),"заявка_за_знание")</f>
        <v>заявка_за_знание</v>
      </c>
    </row>
    <row r="2657" spans="1:8" ht="13.2" x14ac:dyDescent="0.25">
      <c r="A2657" s="1" t="str">
        <f ca="1">IFERROR(__xludf.DUMMYFUNCTION("GOOGLETRANSLATE(English!A2657, ""en"", ""bg"")"),"qa_06436")</f>
        <v>qa_06436</v>
      </c>
      <c r="B2657" s="1" t="str">
        <f ca="1">IFERROR(__xludf.DUMMYFUNCTION("GOOGLETRANSLATE(English!B2657, ""en"", ""bg"")"),"химия")</f>
        <v>химия</v>
      </c>
      <c r="C2657" s="1" t="str">
        <f ca="1">IFERROR(__xludf.DUMMYFUNCTION("GOOGLETRANSLATE(English!C2657, ""en"", ""bg"")"),"средата")</f>
        <v>средата</v>
      </c>
      <c r="D2657" s="1" t="str">
        <f ca="1">IFERROR(__xludf.DUMMYFUNCTION("GOOGLETRANSLATE(English!D2657, ""en"", ""bg"")"),"химични промени")</f>
        <v>химични промени</v>
      </c>
      <c r="E2657" s="1" t="str">
        <f ca="1">IFERROR(__xludf.DUMMYFUNCTION("GOOGLETRANSLATE(English!E2657, ""en"", ""bg"")"),"Как протичат химичните промени в химията?")</f>
        <v>Как протичат химичните промени в химията?</v>
      </c>
      <c r="F2657" s="1" t="str">
        <f ca="1">IFERROR(__xludf.DUMMYFUNCTION("GOOGLETRANSLATE(English!F2657,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2657" s="1" t="str">
        <f ca="1">IFERROR(__xludf.DUMMYFUNCTION("GOOGLETRANSLATE(English!G2657, ""en"", ""bg"")"),"direct_qa")</f>
        <v>direct_qa</v>
      </c>
      <c r="H2657" s="1" t="str">
        <f ca="1">IFERROR(__xludf.DUMMYFUNCTION("GOOGLETRANSLATE(English!H2657, ""en"", ""bg"")"),"заявка_за_знание")</f>
        <v>заявка_за_знание</v>
      </c>
    </row>
    <row r="2658" spans="1:8" ht="13.2" x14ac:dyDescent="0.25">
      <c r="A2658" s="1" t="str">
        <f ca="1">IFERROR(__xludf.DUMMYFUNCTION("GOOGLETRANSLATE(English!A2658, ""en"", ""bg"")"),"conv_01014")</f>
        <v>conv_01014</v>
      </c>
      <c r="B2658" s="1" t="str">
        <f ca="1">IFERROR(__xludf.DUMMYFUNCTION("GOOGLETRANSLATE(English!B2658, ""en"", ""bg"")"),"физика")</f>
        <v>физика</v>
      </c>
      <c r="C2658" s="1" t="str">
        <f ca="1">IFERROR(__xludf.DUMMYFUNCTION("GOOGLETRANSLATE(English!C2658, ""en"", ""bg"")"),"високо")</f>
        <v>високо</v>
      </c>
      <c r="D2658" s="1" t="str">
        <f ca="1">IFERROR(__xludf.DUMMYFUNCTION("GOOGLETRANSLATE(English!D2658, ""en"", ""bg"")"),"атомна структура")</f>
        <v>атомна структура</v>
      </c>
      <c r="E2658" s="1" t="str">
        <f ca="1">IFERROR(__xludf.DUMMYFUNCTION("GOOGLETRANSLATE(English!E2658, ""en"", ""bg"")"),"Не разбирам тази тема. Защо атомната структура е важна?")</f>
        <v>Не разбирам тази тема. Защо атомната структура е важна?</v>
      </c>
      <c r="F2658" s="1" t="str">
        <f ca="1">IFERROR(__xludf.DUMMYFUNCTION("GOOGLETRANSLATE(English!F2658,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2658" s="1" t="str">
        <f ca="1">IFERROR(__xludf.DUMMYFUNCTION("GOOGLETRANSLATE(English!G2658, ""en"", ""bg"")"),"разговор")</f>
        <v>разговор</v>
      </c>
      <c r="H2658" s="1" t="str">
        <f ca="1">IFERROR(__xludf.DUMMYFUNCTION("GOOGLETRANSLATE(English!H2658, ""en"", ""bg"")"),"образователна_помощ")</f>
        <v>образователна_помощ</v>
      </c>
    </row>
    <row r="2659" spans="1:8" ht="13.2" x14ac:dyDescent="0.25">
      <c r="A2659" s="1" t="str">
        <f ca="1">IFERROR(__xludf.DUMMYFUNCTION("GOOGLETRANSLATE(English!A2659, ""en"", ""bg"")"),"conv_15690")</f>
        <v>conv_15690</v>
      </c>
      <c r="B2659" s="1" t="str">
        <f ca="1">IFERROR(__xludf.DUMMYFUNCTION("GOOGLETRANSLATE(English!B2659, ""en"", ""bg"")"),"физика")</f>
        <v>физика</v>
      </c>
      <c r="C2659" s="1" t="str">
        <f ca="1">IFERROR(__xludf.DUMMYFUNCTION("GOOGLETRANSLATE(English!C2659, ""en"", ""bg"")"),"високо")</f>
        <v>високо</v>
      </c>
      <c r="D2659" s="1" t="str">
        <f ca="1">IFERROR(__xludf.DUMMYFUNCTION("GOOGLETRANSLATE(English!D2659, ""en"", ""bg"")"),"механика")</f>
        <v>механика</v>
      </c>
      <c r="E2659" s="1" t="str">
        <f ca="1">IFERROR(__xludf.DUMMYFUNCTION("GOOGLETRANSLATE(English!E2659, ""en"", ""bg"")"),"Имам научен въпрос. Какво трябва да знам за механиката?")</f>
        <v>Имам научен въпрос. Какво трябва да знам за механиката?</v>
      </c>
      <c r="F2659" s="1" t="str">
        <f ca="1">IFERROR(__xludf.DUMMYFUNCTION("GOOGLETRANSLATE(English!F2659,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2659" s="1" t="str">
        <f ca="1">IFERROR(__xludf.DUMMYFUNCTION("GOOGLETRANSLATE(English!G2659, ""en"", ""bg"")"),"разговор")</f>
        <v>разговор</v>
      </c>
      <c r="H2659" s="1" t="str">
        <f ca="1">IFERROR(__xludf.DUMMYFUNCTION("GOOGLETRANSLATE(English!H2659, ""en"", ""bg"")"),"образователна_помощ")</f>
        <v>образователна_помощ</v>
      </c>
    </row>
    <row r="2660" spans="1:8" ht="13.2" x14ac:dyDescent="0.25">
      <c r="A2660" s="1" t="str">
        <f ca="1">IFERROR(__xludf.DUMMYFUNCTION("GOOGLETRANSLATE(English!A2660, ""en"", ""bg"")"),"conv_15272")</f>
        <v>conv_15272</v>
      </c>
      <c r="B2660" s="1" t="str">
        <f ca="1">IFERROR(__xludf.DUMMYFUNCTION("GOOGLETRANSLATE(English!B2660, ""en"", ""bg"")"),"химия")</f>
        <v>химия</v>
      </c>
      <c r="C2660" s="1" t="str">
        <f ca="1">IFERROR(__xludf.DUMMYFUNCTION("GOOGLETRANSLATE(English!C2660, ""en"", ""bg"")"),"високо")</f>
        <v>високо</v>
      </c>
      <c r="D2660" s="1" t="str">
        <f ca="1">IFERROR(__xludf.DUMMYFUNCTION("GOOGLETRANSLATE(English!D2660, ""en"", ""bg"")"),"скорости на реакция")</f>
        <v>скорости на реакция</v>
      </c>
      <c r="E2660" s="1" t="str">
        <f ca="1">IFERROR(__xludf.DUMMYFUNCTION("GOOGLETRANSLATE(English!E2660, ""en"", ""bg"")"),"Имам нужда от помощ с домашното. Какво представляват скоростите на реакция?")</f>
        <v>Имам нужда от помощ с домашното. Какво представляват скоростите на реакция?</v>
      </c>
      <c r="F2660" s="1" t="str">
        <f ca="1">IFERROR(__xludf.DUMMYFUNCTION("GOOGLETRANSLATE(English!F2660,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2660" s="1" t="str">
        <f ca="1">IFERROR(__xludf.DUMMYFUNCTION("GOOGLETRANSLATE(English!G2660, ""en"", ""bg"")"),"разговор")</f>
        <v>разговор</v>
      </c>
      <c r="H2660" s="1" t="str">
        <f ca="1">IFERROR(__xludf.DUMMYFUNCTION("GOOGLETRANSLATE(English!H2660, ""en"", ""bg"")"),"образователна_помощ")</f>
        <v>образователна_помощ</v>
      </c>
    </row>
    <row r="2661" spans="1:8" ht="13.2" x14ac:dyDescent="0.25">
      <c r="A2661" s="1" t="str">
        <f ca="1">IFERROR(__xludf.DUMMYFUNCTION("GOOGLETRANSLATE(English!A2661, ""en"", ""bg"")"),"hw_10711")</f>
        <v>hw_10711</v>
      </c>
      <c r="B2661" s="1" t="str">
        <f ca="1">IFERROR(__xludf.DUMMYFUNCTION("GOOGLETRANSLATE(English!B2661, ""en"", ""bg"")"),"биология")</f>
        <v>биология</v>
      </c>
      <c r="C2661" s="1" t="str">
        <f ca="1">IFERROR(__xludf.DUMMYFUNCTION("GOOGLETRANSLATE(English!C2661, ""en"", ""bg"")"),"средата")</f>
        <v>средата</v>
      </c>
      <c r="D2661" s="1" t="str">
        <f ca="1">IFERROR(__xludf.DUMMYFUNCTION("GOOGLETRANSLATE(English!D2661, ""en"", ""bg"")"),"класификация")</f>
        <v>класификация</v>
      </c>
      <c r="E2661" s="1" t="str">
        <f ca="1">IFERROR(__xludf.DUMMYFUNCTION("GOOGLETRANSLATE(English!E2661, ""en"", ""bg"")"),"Трябва да напиша доклад за класификацията. Можете ли да ми помогнете да започна?")</f>
        <v>Трябва да напиша доклад за класификацията. Можете ли да ми помогнете да започна?</v>
      </c>
      <c r="F2661" s="1" t="str">
        <f ca="1">IFERROR(__xludf.DUMMYFUNCTION("GOOGLETRANSLATE(English!F2661,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2661" s="1" t="str">
        <f ca="1">IFERROR(__xludf.DUMMYFUNCTION("GOOGLETRANSLATE(English!G2661, ""en"", ""bg"")"),"помощ_за_домашно_изпълнение")</f>
        <v>помощ_за_домашно_изпълнение</v>
      </c>
      <c r="H2661" s="1" t="str">
        <f ca="1">IFERROR(__xludf.DUMMYFUNCTION("GOOGLETRANSLATE(English!H2661, ""en"", ""bg"")"),"помощ_за_домашно_задаване")</f>
        <v>помощ_за_домашно_задаване</v>
      </c>
    </row>
    <row r="2662" spans="1:8" ht="13.2" x14ac:dyDescent="0.25">
      <c r="A2662" s="1" t="str">
        <f ca="1">IFERROR(__xludf.DUMMYFUNCTION("GOOGLETRANSLATE(English!A2662, ""en"", ""bg"")"),"conv_13178")</f>
        <v>conv_13178</v>
      </c>
      <c r="B2662" s="1" t="str">
        <f ca="1">IFERROR(__xludf.DUMMYFUNCTION("GOOGLETRANSLATE(English!B2662, ""en"", ""bg"")"),"химия")</f>
        <v>химия</v>
      </c>
      <c r="C2662" s="1" t="str">
        <f ca="1">IFERROR(__xludf.DUMMYFUNCTION("GOOGLETRANSLATE(English!C2662, ""en"", ""bg"")"),"средата")</f>
        <v>средата</v>
      </c>
      <c r="D2662" s="1" t="str">
        <f ca="1">IFERROR(__xludf.DUMMYFUNCTION("GOOGLETRANSLATE(English!D2662, ""en"", ""bg"")"),"киселини и основи")</f>
        <v>киселини и основи</v>
      </c>
      <c r="E2662" s="1" t="str">
        <f ca="1">IFERROR(__xludf.DUMMYFUNCTION("GOOGLETRANSLATE(English!E2662, ""en"", ""bg"")"),"Можете ли да ми помогнете? Как действат киселините и основите в химията?")</f>
        <v>Можете ли да ми помогнете? Как действат киселините и основите в химията?</v>
      </c>
      <c r="F2662" s="1" t="str">
        <f ca="1">IFERROR(__xludf.DUMMYFUNCTION("GOOGLETRANSLATE(English!F2662,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2662" s="1" t="str">
        <f ca="1">IFERROR(__xludf.DUMMYFUNCTION("GOOGLETRANSLATE(English!G2662, ""en"", ""bg"")"),"разговор")</f>
        <v>разговор</v>
      </c>
      <c r="H2662" s="1" t="str">
        <f ca="1">IFERROR(__xludf.DUMMYFUNCTION("GOOGLETRANSLATE(English!H2662, ""en"", ""bg"")"),"образователна_помощ")</f>
        <v>образователна_помощ</v>
      </c>
    </row>
    <row r="2663" spans="1:8" ht="13.2" x14ac:dyDescent="0.25">
      <c r="A2663" s="1" t="str">
        <f ca="1">IFERROR(__xludf.DUMMYFUNCTION("GOOGLETRANSLATE(English!A2663, ""en"", ""bg"")"),"hw_12894")</f>
        <v>hw_12894</v>
      </c>
      <c r="B2663" s="1" t="str">
        <f ca="1">IFERROR(__xludf.DUMMYFUNCTION("GOOGLETRANSLATE(English!B2663, ""en"", ""bg"")"),"химия")</f>
        <v>химия</v>
      </c>
      <c r="C2663" s="1" t="str">
        <f ca="1">IFERROR(__xludf.DUMMYFUNCTION("GOOGLETRANSLATE(English!C2663, ""en"", ""bg"")"),"елементарен")</f>
        <v>елементарен</v>
      </c>
      <c r="D2663" s="1" t="str">
        <f ca="1">IFERROR(__xludf.DUMMYFUNCTION("GOOGLETRANSLATE(English!D2663, ""en"", ""bg"")"),"твърди вещества, течности, газове")</f>
        <v>твърди вещества, течности, газове</v>
      </c>
      <c r="E2663" s="1" t="str">
        <f ca="1">IFERROR(__xludf.DUMMYFUNCTION("GOOGLETRANSLATE(English!E2663,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2663" s="1" t="str">
        <f ca="1">IFERROR(__xludf.DUMMYFUNCTION("GOOGLETRANSLATE(English!F2663,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663" s="1" t="str">
        <f ca="1">IFERROR(__xludf.DUMMYFUNCTION("GOOGLETRANSLATE(English!G2663, ""en"", ""bg"")"),"помощ_за_домашно_изпълнение")</f>
        <v>помощ_за_домашно_изпълнение</v>
      </c>
      <c r="H2663" s="1" t="str">
        <f ca="1">IFERROR(__xludf.DUMMYFUNCTION("GOOGLETRANSLATE(English!H2663, ""en"", ""bg"")"),"помощ_за_домашно_задаване")</f>
        <v>помощ_за_домашно_задаване</v>
      </c>
    </row>
    <row r="2664" spans="1:8" ht="13.2" x14ac:dyDescent="0.25">
      <c r="A2664" s="1" t="str">
        <f ca="1">IFERROR(__xludf.DUMMYFUNCTION("GOOGLETRANSLATE(English!A2664, ""en"", ""bg"")"),"qa_14211")</f>
        <v>qa_14211</v>
      </c>
      <c r="B2664" s="1" t="str">
        <f ca="1">IFERROR(__xludf.DUMMYFUNCTION("GOOGLETRANSLATE(English!B2664, ""en"", ""bg"")"),"физика")</f>
        <v>физика</v>
      </c>
      <c r="C2664" s="1" t="str">
        <f ca="1">IFERROR(__xludf.DUMMYFUNCTION("GOOGLETRANSLATE(English!C2664, ""en"", ""bg"")"),"високо")</f>
        <v>високо</v>
      </c>
      <c r="D2664" s="1" t="str">
        <f ca="1">IFERROR(__xludf.DUMMYFUNCTION("GOOGLETRANSLATE(English!D2664, ""en"", ""bg"")"),"радиоактивност")</f>
        <v>радиоактивност</v>
      </c>
      <c r="E2664" s="1" t="str">
        <f ca="1">IFERROR(__xludf.DUMMYFUNCTION("GOOGLETRANSLATE(English!E2664, ""en"", ""bg"")"),"Какво трябва да знам за радиоактивността?")</f>
        <v>Какво трябва да знам за радиоактивността?</v>
      </c>
      <c r="F2664" s="1" t="str">
        <f ca="1">IFERROR(__xludf.DUMMYFUNCTION("GOOGLETRANSLATE(English!F2664,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2664" s="1" t="str">
        <f ca="1">IFERROR(__xludf.DUMMYFUNCTION("GOOGLETRANSLATE(English!G2664, ""en"", ""bg"")"),"direct_qa")</f>
        <v>direct_qa</v>
      </c>
      <c r="H2664" s="1" t="str">
        <f ca="1">IFERROR(__xludf.DUMMYFUNCTION("GOOGLETRANSLATE(English!H2664, ""en"", ""bg"")"),"заявка_за_знание")</f>
        <v>заявка_за_знание</v>
      </c>
    </row>
    <row r="2665" spans="1:8" ht="13.2" x14ac:dyDescent="0.25">
      <c r="A2665" s="1" t="str">
        <f ca="1">IFERROR(__xludf.DUMMYFUNCTION("GOOGLETRANSLATE(English!A2665, ""en"", ""bg"")"),"qa_12263")</f>
        <v>qa_12263</v>
      </c>
      <c r="B2665" s="1" t="str">
        <f ca="1">IFERROR(__xludf.DUMMYFUNCTION("GOOGLETRANSLATE(English!B2665, ""en"", ""bg"")"),"химия")</f>
        <v>химия</v>
      </c>
      <c r="C2665" s="1" t="str">
        <f ca="1">IFERROR(__xludf.DUMMYFUNCTION("GOOGLETRANSLATE(English!C2665, ""en"", ""bg"")"),"средата")</f>
        <v>средата</v>
      </c>
      <c r="D2665" s="1" t="str">
        <f ca="1">IFERROR(__xludf.DUMMYFUNCTION("GOOGLETRANSLATE(English!D2665, ""en"", ""bg"")"),"съединения срещу елементи")</f>
        <v>съединения срещу елементи</v>
      </c>
      <c r="E2665" s="1" t="str">
        <f ca="1">IFERROR(__xludf.DUMMYFUNCTION("GOOGLETRANSLATE(English!E2665, ""en"", ""bg"")"),"Можете ли да ми помогнете да разбера по-добре съединенията спрямо елементите?")</f>
        <v>Можете ли да ми помогнете да разбера по-добре съединенията спрямо елементите?</v>
      </c>
      <c r="F2665" s="1" t="str">
        <f ca="1">IFERROR(__xludf.DUMMYFUNCTION("GOOGLETRANSLATE(English!F2665,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2665" s="1" t="str">
        <f ca="1">IFERROR(__xludf.DUMMYFUNCTION("GOOGLETRANSLATE(English!G2665, ""en"", ""bg"")"),"direct_qa")</f>
        <v>direct_qa</v>
      </c>
      <c r="H2665" s="1" t="str">
        <f ca="1">IFERROR(__xludf.DUMMYFUNCTION("GOOGLETRANSLATE(English!H2665, ""en"", ""bg"")"),"заявка_за_знание")</f>
        <v>заявка_за_знание</v>
      </c>
    </row>
    <row r="2666" spans="1:8" ht="13.2" x14ac:dyDescent="0.25">
      <c r="A2666" s="1" t="str">
        <f ca="1">IFERROR(__xludf.DUMMYFUNCTION("GOOGLETRANSLATE(English!A2666, ""en"", ""bg"")"),"conv_16048")</f>
        <v>conv_16048</v>
      </c>
      <c r="B2666" s="1" t="str">
        <f ca="1">IFERROR(__xludf.DUMMYFUNCTION("GOOGLETRANSLATE(English!B2666, ""en"", ""bg"")"),"химия")</f>
        <v>химия</v>
      </c>
      <c r="C2666" s="1" t="str">
        <f ca="1">IFERROR(__xludf.DUMMYFUNCTION("GOOGLETRANSLATE(English!C2666, ""en"", ""bg"")"),"средата")</f>
        <v>средата</v>
      </c>
      <c r="D2666" s="1" t="str">
        <f ca="1">IFERROR(__xludf.DUMMYFUNCTION("GOOGLETRANSLATE(English!D2666, ""en"", ""bg"")"),"киселини и основи")</f>
        <v>киселини и основи</v>
      </c>
      <c r="E2666" s="1" t="str">
        <f ca="1">IFERROR(__xludf.DUMMYFUNCTION("GOOGLETRANSLATE(English!E2666, ""en"", ""bg"")"),"Помогнете ми да уча за теста. Можете ли да ми помогнете да разбера киселините и основите?")</f>
        <v>Помогнете ми да уча за теста. Можете ли да ми помогнете да разбера киселините и основите?</v>
      </c>
      <c r="F2666" s="1" t="str">
        <f ca="1">IFERROR(__xludf.DUMMYFUNCTION("GOOGLETRANSLATE(English!F2666,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2666" s="1" t="str">
        <f ca="1">IFERROR(__xludf.DUMMYFUNCTION("GOOGLETRANSLATE(English!G2666, ""en"", ""bg"")"),"разговор")</f>
        <v>разговор</v>
      </c>
      <c r="H2666" s="1" t="str">
        <f ca="1">IFERROR(__xludf.DUMMYFUNCTION("GOOGLETRANSLATE(English!H2666, ""en"", ""bg"")"),"образователна_помощ")</f>
        <v>образователна_помощ</v>
      </c>
    </row>
    <row r="2667" spans="1:8" ht="13.2" x14ac:dyDescent="0.25">
      <c r="A2667" s="1" t="str">
        <f ca="1">IFERROR(__xludf.DUMMYFUNCTION("GOOGLETRANSLATE(English!A2667, ""en"", ""bg"")"),"qa_11969")</f>
        <v>qa_11969</v>
      </c>
      <c r="B2667" s="1" t="str">
        <f ca="1">IFERROR(__xludf.DUMMYFUNCTION("GOOGLETRANSLATE(English!B2667, ""en"", ""bg"")"),"биология")</f>
        <v>биология</v>
      </c>
      <c r="C2667" s="1" t="str">
        <f ca="1">IFERROR(__xludf.DUMMYFUNCTION("GOOGLETRANSLATE(English!C2667, ""en"", ""bg"")"),"високо")</f>
        <v>високо</v>
      </c>
      <c r="D2667" s="1" t="str">
        <f ca="1">IFERROR(__xludf.DUMMYFUNCTION("GOOGLETRANSLATE(English!D2667, ""en"", ""bg"")"),"Структура на ДНК")</f>
        <v>Структура на ДНК</v>
      </c>
      <c r="E2667" s="1" t="str">
        <f ca="1">IFERROR(__xludf.DUMMYFUNCTION("GOOGLETRANSLATE(English!E2667, ""en"", ""bg"")"),"Защо структурата на ДНК е важна в биологията?")</f>
        <v>Защо структурата на ДНК е важна в биологията?</v>
      </c>
      <c r="F2667" s="1" t="str">
        <f ca="1">IFERROR(__xludf.DUMMYFUNCTION("GOOGLETRANSLATE(English!F2667,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2667" s="1" t="str">
        <f ca="1">IFERROR(__xludf.DUMMYFUNCTION("GOOGLETRANSLATE(English!G2667, ""en"", ""bg"")"),"direct_qa")</f>
        <v>direct_qa</v>
      </c>
      <c r="H2667" s="1" t="str">
        <f ca="1">IFERROR(__xludf.DUMMYFUNCTION("GOOGLETRANSLATE(English!H2667, ""en"", ""bg"")"),"заявка_за_знание")</f>
        <v>заявка_за_знание</v>
      </c>
    </row>
    <row r="2668" spans="1:8" ht="13.2" x14ac:dyDescent="0.25">
      <c r="A2668" s="1" t="str">
        <f ca="1">IFERROR(__xludf.DUMMYFUNCTION("GOOGLETRANSLATE(English!A2668, ""en"", ""bg"")"),"hw_03757")</f>
        <v>hw_03757</v>
      </c>
      <c r="B2668" s="1" t="str">
        <f ca="1">IFERROR(__xludf.DUMMYFUNCTION("GOOGLETRANSLATE(English!B2668, ""en"", ""bg"")"),"физика")</f>
        <v>физика</v>
      </c>
      <c r="C2668" s="1" t="str">
        <f ca="1">IFERROR(__xludf.DUMMYFUNCTION("GOOGLETRANSLATE(English!C2668, ""en"", ""bg"")"),"елементарен")</f>
        <v>елементарен</v>
      </c>
      <c r="D2668" s="1" t="str">
        <f ca="1">IFERROR(__xludf.DUMMYFUNCTION("GOOGLETRANSLATE(English!D2668, ""en"", ""bg"")"),"бутане и дърпане")</f>
        <v>бутане и дърпане</v>
      </c>
      <c r="E2668" s="1" t="str">
        <f ca="1">IFERROR(__xludf.DUMMYFUNCTION("GOOGLETRANSLATE(English!E2668, ""en"", ""bg"")"),"Трябва да разбера тласкането и дърпането за изпита си.")</f>
        <v>Трябва да разбера тласкането и дърпането за изпита си.</v>
      </c>
      <c r="F2668" s="1" t="str">
        <f ca="1">IFERROR(__xludf.DUMMYFUNCTION("GOOGLETRANSLATE(English!F2668,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2668" s="1" t="str">
        <f ca="1">IFERROR(__xludf.DUMMYFUNCTION("GOOGLETRANSLATE(English!G2668, ""en"", ""bg"")"),"помощ_за_домашно_изпълнение")</f>
        <v>помощ_за_домашно_изпълнение</v>
      </c>
      <c r="H2668" s="1" t="str">
        <f ca="1">IFERROR(__xludf.DUMMYFUNCTION("GOOGLETRANSLATE(English!H2668, ""en"", ""bg"")"),"помощ_за_домашно_задаване")</f>
        <v>помощ_за_домашно_задаване</v>
      </c>
    </row>
    <row r="2669" spans="1:8" ht="13.2" x14ac:dyDescent="0.25">
      <c r="A2669" s="1" t="str">
        <f ca="1">IFERROR(__xludf.DUMMYFUNCTION("GOOGLETRANSLATE(English!A2669, ""en"", ""bg"")"),"hw_06416")</f>
        <v>hw_06416</v>
      </c>
      <c r="B2669" s="1" t="str">
        <f ca="1">IFERROR(__xludf.DUMMYFUNCTION("GOOGLETRANSLATE(English!B2669, ""en"", ""bg"")"),"химия")</f>
        <v>химия</v>
      </c>
      <c r="C2669" s="1" t="str">
        <f ca="1">IFERROR(__xludf.DUMMYFUNCTION("GOOGLETRANSLATE(English!C2669, ""en"", ""bg"")"),"средата")</f>
        <v>средата</v>
      </c>
      <c r="D2669" s="1" t="str">
        <f ca="1">IFERROR(__xludf.DUMMYFUNCTION("GOOGLETRANSLATE(English!D2669, ""en"", ""bg"")"),"химични реакции")</f>
        <v>химични реакции</v>
      </c>
      <c r="E2669" s="1" t="str">
        <f ca="1">IFERROR(__xludf.DUMMYFUNCTION("GOOGLETRANSLATE(English!E2669,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2669" s="1" t="str">
        <f ca="1">IFERROR(__xludf.DUMMYFUNCTION("GOOGLETRANSLATE(English!F2669,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2669" s="1" t="str">
        <f ca="1">IFERROR(__xludf.DUMMYFUNCTION("GOOGLETRANSLATE(English!G2669, ""en"", ""bg"")"),"помощ_за_домашно_изпълнение")</f>
        <v>помощ_за_домашно_изпълнение</v>
      </c>
      <c r="H2669" s="1" t="str">
        <f ca="1">IFERROR(__xludf.DUMMYFUNCTION("GOOGLETRANSLATE(English!H2669, ""en"", ""bg"")"),"помощ_за_домашно_задаване")</f>
        <v>помощ_за_домашно_задаване</v>
      </c>
    </row>
    <row r="2670" spans="1:8" ht="13.2" x14ac:dyDescent="0.25">
      <c r="A2670" s="1" t="str">
        <f ca="1">IFERROR(__xludf.DUMMYFUNCTION("GOOGLETRANSLATE(English!A2670, ""en"", ""bg"")"),"conv_04996")</f>
        <v>conv_04996</v>
      </c>
      <c r="B2670" s="1" t="str">
        <f ca="1">IFERROR(__xludf.DUMMYFUNCTION("GOOGLETRANSLATE(English!B2670, ""en"", ""bg"")"),"физика")</f>
        <v>физика</v>
      </c>
      <c r="C2670" s="1" t="str">
        <f ca="1">IFERROR(__xludf.DUMMYFUNCTION("GOOGLETRANSLATE(English!C2670, ""en"", ""bg"")"),"средата")</f>
        <v>средата</v>
      </c>
      <c r="D2670" s="1" t="str">
        <f ca="1">IFERROR(__xludf.DUMMYFUNCTION("GOOGLETRANSLATE(English!D2670, ""en"", ""bg"")"),"сили и движение")</f>
        <v>сили и движение</v>
      </c>
      <c r="E2670" s="1" t="str">
        <f ca="1">IFERROR(__xludf.DUMMYFUNCTION("GOOGLETRANSLATE(English!E2670, ""en"", ""bg"")"),"Имам научен въпрос. Как триенето влияе на движението?")</f>
        <v>Имам научен въпрос. Как триенето влияе на движението?</v>
      </c>
      <c r="F2670" s="1" t="str">
        <f ca="1">IFERROR(__xludf.DUMMYFUNCTION("GOOGLETRANSLATE(English!F2670,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2670" s="1" t="str">
        <f ca="1">IFERROR(__xludf.DUMMYFUNCTION("GOOGLETRANSLATE(English!G2670, ""en"", ""bg"")"),"разговор")</f>
        <v>разговор</v>
      </c>
      <c r="H2670" s="1" t="str">
        <f ca="1">IFERROR(__xludf.DUMMYFUNCTION("GOOGLETRANSLATE(English!H2670, ""en"", ""bg"")"),"образователна_помощ")</f>
        <v>образователна_помощ</v>
      </c>
    </row>
    <row r="2671" spans="1:8" ht="13.2" x14ac:dyDescent="0.25">
      <c r="A2671" s="1" t="str">
        <f ca="1">IFERROR(__xludf.DUMMYFUNCTION("GOOGLETRANSLATE(English!A2671, ""en"", ""bg"")"),"hw_14491")</f>
        <v>hw_14491</v>
      </c>
      <c r="B2671" s="1" t="str">
        <f ca="1">IFERROR(__xludf.DUMMYFUNCTION("GOOGLETRANSLATE(English!B2671, ""en"", ""bg"")"),"биология")</f>
        <v>биология</v>
      </c>
      <c r="C2671" s="1" t="str">
        <f ca="1">IFERROR(__xludf.DUMMYFUNCTION("GOOGLETRANSLATE(English!C2671, ""en"", ""bg"")"),"средата")</f>
        <v>средата</v>
      </c>
      <c r="D2671" s="1" t="str">
        <f ca="1">IFERROR(__xludf.DUMMYFUNCTION("GOOGLETRANSLATE(English!D2671, ""en"", ""bg"")"),"дишане")</f>
        <v>дишане</v>
      </c>
      <c r="E2671" s="1" t="str">
        <f ca="1">IFERROR(__xludf.DUMMYFUNCTION("GOOGLETRANSLATE(English!E2671, ""en"", ""bg"")"),"Утре имам тест по дишане. Помогни ми да уча!")</f>
        <v>Утре имам тест по дишане. Помогни ми да уча!</v>
      </c>
      <c r="F2671" s="1" t="str">
        <f ca="1">IFERROR(__xludf.DUMMYFUNCTION("GOOGLETRANSLATE(English!F2671,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2671" s="1" t="str">
        <f ca="1">IFERROR(__xludf.DUMMYFUNCTION("GOOGLETRANSLATE(English!G2671, ""en"", ""bg"")"),"помощ_за_домашно_изпълнение")</f>
        <v>помощ_за_домашно_изпълнение</v>
      </c>
      <c r="H2671" s="1" t="str">
        <f ca="1">IFERROR(__xludf.DUMMYFUNCTION("GOOGLETRANSLATE(English!H2671, ""en"", ""bg"")"),"помощ_за_домашно_задаване")</f>
        <v>помощ_за_домашно_задаване</v>
      </c>
    </row>
    <row r="2672" spans="1:8" ht="13.2" x14ac:dyDescent="0.25">
      <c r="A2672" s="1" t="str">
        <f ca="1">IFERROR(__xludf.DUMMYFUNCTION("GOOGLETRANSLATE(English!A2672, ""en"", ""bg"")"),"conv_10657")</f>
        <v>conv_10657</v>
      </c>
      <c r="B2672" s="1" t="str">
        <f ca="1">IFERROR(__xludf.DUMMYFUNCTION("GOOGLETRANSLATE(English!B2672, ""en"", ""bg"")"),"биология")</f>
        <v>биология</v>
      </c>
      <c r="C2672" s="1" t="str">
        <f ca="1">IFERROR(__xludf.DUMMYFUNCTION("GOOGLETRANSLATE(English!C2672, ""en"", ""bg"")"),"елементарен")</f>
        <v>елементарен</v>
      </c>
      <c r="D2672" s="1" t="str">
        <f ca="1">IFERROR(__xludf.DUMMYFUNCTION("GOOGLETRANSLATE(English!D2672, ""en"", ""bg"")"),"животни")</f>
        <v>животни</v>
      </c>
      <c r="E2672" s="1" t="str">
        <f ca="1">IFERROR(__xludf.DUMMYFUNCTION("GOOGLETRANSLATE(English!E2672, ""en"", ""bg"")"),"Помогнете ми да уча за теста си. Какво отличава бозайниците от птиците?")</f>
        <v>Помогнете ми да уча за теста си. Какво отличава бозайниците от птиците?</v>
      </c>
      <c r="F2672" s="1" t="str">
        <f ca="1">IFERROR(__xludf.DUMMYFUNCTION("GOOGLETRANSLATE(English!F2672,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2672" s="1" t="str">
        <f ca="1">IFERROR(__xludf.DUMMYFUNCTION("GOOGLETRANSLATE(English!G2672, ""en"", ""bg"")"),"разговор")</f>
        <v>разговор</v>
      </c>
      <c r="H2672" s="1" t="str">
        <f ca="1">IFERROR(__xludf.DUMMYFUNCTION("GOOGLETRANSLATE(English!H2672, ""en"", ""bg"")"),"образователна_помощ")</f>
        <v>образователна_помощ</v>
      </c>
    </row>
    <row r="2673" spans="1:8" ht="13.2" x14ac:dyDescent="0.25">
      <c r="A2673" s="1" t="str">
        <f ca="1">IFERROR(__xludf.DUMMYFUNCTION("GOOGLETRANSLATE(English!A2673, ""en"", ""bg"")"),"conv_19355")</f>
        <v>conv_19355</v>
      </c>
      <c r="B2673" s="1" t="str">
        <f ca="1">IFERROR(__xludf.DUMMYFUNCTION("GOOGLETRANSLATE(English!B2673, ""en"", ""bg"")"),"биология")</f>
        <v>биология</v>
      </c>
      <c r="C2673" s="1" t="str">
        <f ca="1">IFERROR(__xludf.DUMMYFUNCTION("GOOGLETRANSLATE(English!C2673, ""en"", ""bg"")"),"високо")</f>
        <v>високо</v>
      </c>
      <c r="D2673" s="1" t="str">
        <f ca="1">IFERROR(__xludf.DUMMYFUNCTION("GOOGLETRANSLATE(English!D2673, ""en"", ""bg"")"),"молекулярна биология")</f>
        <v>молекулярна биология</v>
      </c>
      <c r="E2673" s="1" t="str">
        <f ca="1">IFERROR(__xludf.DUMMYFUNCTION("GOOGLETRANSLATE(English!E2673, ""en"", ""bg"")"),"Здравей, преподавателю! Какво е важно да знаеш за молекулярната биология?")</f>
        <v>Здравей, преподавателю! Какво е важно да знаеш за молекулярната биология?</v>
      </c>
      <c r="F2673" s="1" t="str">
        <f ca="1">IFERROR(__xludf.DUMMYFUNCTION("GOOGLETRANSLATE(English!F2673,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2673" s="1" t="str">
        <f ca="1">IFERROR(__xludf.DUMMYFUNCTION("GOOGLETRANSLATE(English!G2673, ""en"", ""bg"")"),"разговор")</f>
        <v>разговор</v>
      </c>
      <c r="H2673" s="1" t="str">
        <f ca="1">IFERROR(__xludf.DUMMYFUNCTION("GOOGLETRANSLATE(English!H2673, ""en"", ""bg"")"),"образователна_помощ")</f>
        <v>образователна_помощ</v>
      </c>
    </row>
    <row r="2674" spans="1:8" ht="13.2" x14ac:dyDescent="0.25">
      <c r="A2674" s="1" t="str">
        <f ca="1">IFERROR(__xludf.DUMMYFUNCTION("GOOGLETRANSLATE(English!A2674, ""en"", ""bg"")"),"qa_01645")</f>
        <v>qa_01645</v>
      </c>
      <c r="B2674" s="1" t="str">
        <f ca="1">IFERROR(__xludf.DUMMYFUNCTION("GOOGLETRANSLATE(English!B2674, ""en"", ""bg"")"),"химия")</f>
        <v>химия</v>
      </c>
      <c r="C2674" s="1" t="str">
        <f ca="1">IFERROR(__xludf.DUMMYFUNCTION("GOOGLETRANSLATE(English!C2674, ""en"", ""bg"")"),"средата")</f>
        <v>средата</v>
      </c>
      <c r="D2674" s="1" t="str">
        <f ca="1">IFERROR(__xludf.DUMMYFUNCTION("GOOGLETRANSLATE(English!D2674, ""en"", ""bg"")"),"основи на периодичната таблица")</f>
        <v>основи на периодичната таблица</v>
      </c>
      <c r="E2674" s="1" t="str">
        <f ca="1">IFERROR(__xludf.DUMMYFUNCTION("GOOGLETRANSLATE(English!E2674, ""en"", ""bg"")"),"Как функционират основите на периодичната таблица в химията?")</f>
        <v>Как функционират основите на периодичната таблица в химията?</v>
      </c>
      <c r="F2674" s="1" t="str">
        <f ca="1">IFERROR(__xludf.DUMMYFUNCTION("GOOGLETRANSLATE(English!F2674,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2674" s="1" t="str">
        <f ca="1">IFERROR(__xludf.DUMMYFUNCTION("GOOGLETRANSLATE(English!G2674, ""en"", ""bg"")"),"direct_qa")</f>
        <v>direct_qa</v>
      </c>
      <c r="H2674" s="1" t="str">
        <f ca="1">IFERROR(__xludf.DUMMYFUNCTION("GOOGLETRANSLATE(English!H2674, ""en"", ""bg"")"),"заявка_за_знание")</f>
        <v>заявка_за_знание</v>
      </c>
    </row>
    <row r="2675" spans="1:8" ht="13.2" x14ac:dyDescent="0.25">
      <c r="A2675" s="1" t="str">
        <f ca="1">IFERROR(__xludf.DUMMYFUNCTION("GOOGLETRANSLATE(English!A2675, ""en"", ""bg"")"),"hw_07102")</f>
        <v>hw_07102</v>
      </c>
      <c r="B2675" s="1" t="str">
        <f ca="1">IFERROR(__xludf.DUMMYFUNCTION("GOOGLETRANSLATE(English!B2675, ""en"", ""bg"")"),"физика")</f>
        <v>физика</v>
      </c>
      <c r="C2675" s="1" t="str">
        <f ca="1">IFERROR(__xludf.DUMMYFUNCTION("GOOGLETRANSLATE(English!C2675, ""en"", ""bg"")"),"високо")</f>
        <v>високо</v>
      </c>
      <c r="D2675" s="1" t="str">
        <f ca="1">IFERROR(__xludf.DUMMYFUNCTION("GOOGLETRANSLATE(English!D2675, ""en"", ""bg"")"),"атомна структура")</f>
        <v>атомна структура</v>
      </c>
      <c r="E2675" s="1" t="str">
        <f ca="1">IFERROR(__xludf.DUMMYFUNCTION("GOOGLETRANSLATE(English!E2675,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2675" s="1" t="str">
        <f ca="1">IFERROR(__xludf.DUMMYFUNCTION("GOOGLETRANSLATE(English!F2675,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675" s="1" t="str">
        <f ca="1">IFERROR(__xludf.DUMMYFUNCTION("GOOGLETRANSLATE(English!G2675, ""en"", ""bg"")"),"помощ_за_домашно_изпълнение")</f>
        <v>помощ_за_домашно_изпълнение</v>
      </c>
      <c r="H2675" s="1" t="str">
        <f ca="1">IFERROR(__xludf.DUMMYFUNCTION("GOOGLETRANSLATE(English!H2675, ""en"", ""bg"")"),"помощ_за_домашно_задаване")</f>
        <v>помощ_за_домашно_задаване</v>
      </c>
    </row>
    <row r="2676" spans="1:8" ht="13.2" x14ac:dyDescent="0.25">
      <c r="A2676" s="1" t="str">
        <f ca="1">IFERROR(__xludf.DUMMYFUNCTION("GOOGLETRANSLATE(English!A2676, ""en"", ""bg"")"),"hw_10121")</f>
        <v>hw_10121</v>
      </c>
      <c r="B2676" s="1" t="str">
        <f ca="1">IFERROR(__xludf.DUMMYFUNCTION("GOOGLETRANSLATE(English!B2676, ""en"", ""bg"")"),"физика")</f>
        <v>физика</v>
      </c>
      <c r="C2676" s="1" t="str">
        <f ca="1">IFERROR(__xludf.DUMMYFUNCTION("GOOGLETRANSLATE(English!C2676, ""en"", ""bg"")"),"високо")</f>
        <v>високо</v>
      </c>
      <c r="D2676" s="1" t="str">
        <f ca="1">IFERROR(__xludf.DUMMYFUNCTION("GOOGLETRANSLATE(English!D2676, ""en"", ""bg"")"),"атомна структура")</f>
        <v>атомна структура</v>
      </c>
      <c r="E2676" s="1" t="str">
        <f ca="1">IFERROR(__xludf.DUMMYFUNCTION("GOOGLETRANSLATE(English!E2676,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2676" s="1" t="str">
        <f ca="1">IFERROR(__xludf.DUMMYFUNCTION("GOOGLETRANSLATE(English!F2676,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676" s="1" t="str">
        <f ca="1">IFERROR(__xludf.DUMMYFUNCTION("GOOGLETRANSLATE(English!G2676, ""en"", ""bg"")"),"помощ_за_домашно_изпълнение")</f>
        <v>помощ_за_домашно_изпълнение</v>
      </c>
      <c r="H2676" s="1" t="str">
        <f ca="1">IFERROR(__xludf.DUMMYFUNCTION("GOOGLETRANSLATE(English!H2676, ""en"", ""bg"")"),"помощ_за_домашно_задаване")</f>
        <v>помощ_за_домашно_задаване</v>
      </c>
    </row>
    <row r="2677" spans="1:8" ht="13.2" x14ac:dyDescent="0.25">
      <c r="A2677" s="1" t="str">
        <f ca="1">IFERROR(__xludf.DUMMYFUNCTION("GOOGLETRANSLATE(English!A2677, ""en"", ""bg"")"),"hw_05243")</f>
        <v>hw_05243</v>
      </c>
      <c r="B2677" s="1" t="str">
        <f ca="1">IFERROR(__xludf.DUMMYFUNCTION("GOOGLETRANSLATE(English!B2677, ""en"", ""bg"")"),"физика")</f>
        <v>физика</v>
      </c>
      <c r="C2677" s="1" t="str">
        <f ca="1">IFERROR(__xludf.DUMMYFUNCTION("GOOGLETRANSLATE(English!C2677, ""en"", ""bg"")"),"средата")</f>
        <v>средата</v>
      </c>
      <c r="D2677" s="1" t="str">
        <f ca="1">IFERROR(__xludf.DUMMYFUNCTION("GOOGLETRANSLATE(English!D2677, ""en"", ""bg"")"),"състояния на материята")</f>
        <v>състояния на материята</v>
      </c>
      <c r="E2677" s="1" t="str">
        <f ca="1">IFERROR(__xludf.DUMMYFUNCTION("GOOGLETRANSLATE(English!E2677, ""en"", ""bg"")"),"Трябва да разбера състоянията на материята за изпита си.")</f>
        <v>Трябва да разбера състоянията на материята за изпита си.</v>
      </c>
      <c r="F2677" s="1" t="str">
        <f ca="1">IFERROR(__xludf.DUMMYFUNCTION("GOOGLETRANSLATE(English!F2677,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2677" s="1" t="str">
        <f ca="1">IFERROR(__xludf.DUMMYFUNCTION("GOOGLETRANSLATE(English!G2677, ""en"", ""bg"")"),"помощ_за_домашно_изпълнение")</f>
        <v>помощ_за_домашно_изпълнение</v>
      </c>
      <c r="H2677" s="1" t="str">
        <f ca="1">IFERROR(__xludf.DUMMYFUNCTION("GOOGLETRANSLATE(English!H2677, ""en"", ""bg"")"),"помощ_за_домашно_задаване")</f>
        <v>помощ_за_домашно_задаване</v>
      </c>
    </row>
    <row r="2678" spans="1:8" ht="13.2" x14ac:dyDescent="0.25">
      <c r="A2678" s="1" t="str">
        <f ca="1">IFERROR(__xludf.DUMMYFUNCTION("GOOGLETRANSLATE(English!A2678, ""en"", ""bg"")"),"hw_04491")</f>
        <v>hw_04491</v>
      </c>
      <c r="B2678" s="1" t="str">
        <f ca="1">IFERROR(__xludf.DUMMYFUNCTION("GOOGLETRANSLATE(English!B2678, ""en"", ""bg"")"),"химия")</f>
        <v>химия</v>
      </c>
      <c r="C2678" s="1" t="str">
        <f ca="1">IFERROR(__xludf.DUMMYFUNCTION("GOOGLETRANSLATE(English!C2678, ""en"", ""bg"")"),"високо")</f>
        <v>високо</v>
      </c>
      <c r="D2678" s="1" t="str">
        <f ca="1">IFERROR(__xludf.DUMMYFUNCTION("GOOGLETRANSLATE(English!D2678, ""en"", ""bg"")"),"равновесие")</f>
        <v>равновесие</v>
      </c>
      <c r="E2678" s="1" t="str">
        <f ca="1">IFERROR(__xludf.DUMMYFUNCTION("GOOGLETRANSLATE(English!E2678,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2678" s="1" t="str">
        <f ca="1">IFERROR(__xludf.DUMMYFUNCTION("GOOGLETRANSLATE(English!F2678,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2678" s="1" t="str">
        <f ca="1">IFERROR(__xludf.DUMMYFUNCTION("GOOGLETRANSLATE(English!G2678, ""en"", ""bg"")"),"помощ_за_домашно_изпълнение")</f>
        <v>помощ_за_домашно_изпълнение</v>
      </c>
      <c r="H2678" s="1" t="str">
        <f ca="1">IFERROR(__xludf.DUMMYFUNCTION("GOOGLETRANSLATE(English!H2678, ""en"", ""bg"")"),"помощ_за_домашно_задаване")</f>
        <v>помощ_за_домашно_задаване</v>
      </c>
    </row>
    <row r="2679" spans="1:8" ht="13.2" x14ac:dyDescent="0.25">
      <c r="A2679" s="1" t="str">
        <f ca="1">IFERROR(__xludf.DUMMYFUNCTION("GOOGLETRANSLATE(English!A2679, ""en"", ""bg"")"),"conv_10728")</f>
        <v>conv_10728</v>
      </c>
      <c r="B2679" s="1" t="str">
        <f ca="1">IFERROR(__xludf.DUMMYFUNCTION("GOOGLETRANSLATE(English!B2679, ""en"", ""bg"")"),"биология")</f>
        <v>биология</v>
      </c>
      <c r="C2679" s="1" t="str">
        <f ca="1">IFERROR(__xludf.DUMMYFUNCTION("GOOGLETRANSLATE(English!C2679, ""en"", ""bg"")"),"високо")</f>
        <v>високо</v>
      </c>
      <c r="D2679" s="1" t="str">
        <f ca="1">IFERROR(__xludf.DUMMYFUNCTION("GOOGLETRANSLATE(English!D2679, ""en"", ""bg"")"),"клетъчно дишане")</f>
        <v>клетъчно дишане</v>
      </c>
      <c r="E2679" s="1" t="str">
        <f ca="1">IFERROR(__xludf.DUMMYFUNCTION("GOOGLETRANSLATE(English!E2679, ""en"", ""bg"")"),"Имам нужда от помощ с домашното. Защо клетъчното дишане е важно в биологията?")</f>
        <v>Имам нужда от помощ с домашното. Защо клетъчното дишане е важно в биологията?</v>
      </c>
      <c r="F2679" s="1" t="str">
        <f ca="1">IFERROR(__xludf.DUMMYFUNCTION("GOOGLETRANSLATE(English!F2679,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2679" s="1" t="str">
        <f ca="1">IFERROR(__xludf.DUMMYFUNCTION("GOOGLETRANSLATE(English!G2679, ""en"", ""bg"")"),"разговор")</f>
        <v>разговор</v>
      </c>
      <c r="H2679" s="1" t="str">
        <f ca="1">IFERROR(__xludf.DUMMYFUNCTION("GOOGLETRANSLATE(English!H2679, ""en"", ""bg"")"),"образователна_помощ")</f>
        <v>образователна_помощ</v>
      </c>
    </row>
    <row r="2680" spans="1:8" ht="13.2" x14ac:dyDescent="0.25">
      <c r="A2680" s="1" t="str">
        <f ca="1">IFERROR(__xludf.DUMMYFUNCTION("GOOGLETRANSLATE(English!A2680, ""en"", ""bg"")"),"qa_08133")</f>
        <v>qa_08133</v>
      </c>
      <c r="B2680" s="1" t="str">
        <f ca="1">IFERROR(__xludf.DUMMYFUNCTION("GOOGLETRANSLATE(English!B2680, ""en"", ""bg"")"),"химия")</f>
        <v>химия</v>
      </c>
      <c r="C2680" s="1" t="str">
        <f ca="1">IFERROR(__xludf.DUMMYFUNCTION("GOOGLETRANSLATE(English!C2680, ""en"", ""bg"")"),"високо")</f>
        <v>високо</v>
      </c>
      <c r="D2680" s="1" t="str">
        <f ca="1">IFERROR(__xludf.DUMMYFUNCTION("GOOGLETRANSLATE(English!D2680, ""en"", ""bg"")"),"стехиометрия")</f>
        <v>стехиометрия</v>
      </c>
      <c r="E2680" s="1" t="str">
        <f ca="1">IFERROR(__xludf.DUMMYFUNCTION("GOOGLETRANSLATE(English!E2680, ""en"", ""bg"")"),"Какво е стехиометрията?")</f>
        <v>Какво е стехиометрията?</v>
      </c>
      <c r="F2680" s="1" t="str">
        <f ca="1">IFERROR(__xludf.DUMMYFUNCTION("GOOGLETRANSLATE(English!F2680,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2680" s="1" t="str">
        <f ca="1">IFERROR(__xludf.DUMMYFUNCTION("GOOGLETRANSLATE(English!G2680, ""en"", ""bg"")"),"direct_qa")</f>
        <v>direct_qa</v>
      </c>
      <c r="H2680" s="1" t="str">
        <f ca="1">IFERROR(__xludf.DUMMYFUNCTION("GOOGLETRANSLATE(English!H2680, ""en"", ""bg"")"),"заявка_за_знание")</f>
        <v>заявка_за_знание</v>
      </c>
    </row>
    <row r="2681" spans="1:8" ht="13.2" x14ac:dyDescent="0.25">
      <c r="A2681" s="1" t="str">
        <f ca="1">IFERROR(__xludf.DUMMYFUNCTION("GOOGLETRANSLATE(English!A2681, ""en"", ""bg"")"),"conv_10586")</f>
        <v>conv_10586</v>
      </c>
      <c r="B2681" s="1" t="str">
        <f ca="1">IFERROR(__xludf.DUMMYFUNCTION("GOOGLETRANSLATE(English!B2681, ""en"", ""bg"")"),"химия")</f>
        <v>химия</v>
      </c>
      <c r="C2681" s="1" t="str">
        <f ca="1">IFERROR(__xludf.DUMMYFUNCTION("GOOGLETRANSLATE(English!C2681, ""en"", ""bg"")"),"високо")</f>
        <v>високо</v>
      </c>
      <c r="D2681" s="1" t="str">
        <f ca="1">IFERROR(__xludf.DUMMYFUNCTION("GOOGLETRANSLATE(English!D2681, ""en"", ""bg"")"),"скорости на реакция")</f>
        <v>скорости на реакция</v>
      </c>
      <c r="E2681" s="1" t="str">
        <f ca="1">IFERROR(__xludf.DUMMYFUNCTION("GOOGLETRANSLATE(English!E2681, ""en"", ""bg"")"),"Помогнете ми да уча за теста. Защо е важно да се учи скоростта на реакция?")</f>
        <v>Помогнете ми да уча за теста. Защо е важно да се учи скоростта на реакция?</v>
      </c>
      <c r="F2681" s="1" t="str">
        <f ca="1">IFERROR(__xludf.DUMMYFUNCTION("GOOGLETRANSLATE(English!F2681,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2681" s="1" t="str">
        <f ca="1">IFERROR(__xludf.DUMMYFUNCTION("GOOGLETRANSLATE(English!G2681, ""en"", ""bg"")"),"разговор")</f>
        <v>разговор</v>
      </c>
      <c r="H2681" s="1" t="str">
        <f ca="1">IFERROR(__xludf.DUMMYFUNCTION("GOOGLETRANSLATE(English!H2681, ""en"", ""bg"")"),"образователна_помощ")</f>
        <v>образователна_помощ</v>
      </c>
    </row>
    <row r="2682" spans="1:8" ht="13.2" x14ac:dyDescent="0.25">
      <c r="A2682" s="1" t="str">
        <f ca="1">IFERROR(__xludf.DUMMYFUNCTION("GOOGLETRANSLATE(English!A2682, ""en"", ""bg"")"),"hw_04359")</f>
        <v>hw_04359</v>
      </c>
      <c r="B2682" s="1" t="str">
        <f ca="1">IFERROR(__xludf.DUMMYFUNCTION("GOOGLETRANSLATE(English!B2682, ""en"", ""bg"")"),"химия")</f>
        <v>химия</v>
      </c>
      <c r="C2682" s="1" t="str">
        <f ca="1">IFERROR(__xludf.DUMMYFUNCTION("GOOGLETRANSLATE(English!C2682, ""en"", ""bg"")"),"елементарен")</f>
        <v>елементарен</v>
      </c>
      <c r="D2682" s="1" t="str">
        <f ca="1">IFERROR(__xludf.DUMMYFUNCTION("GOOGLETRANSLATE(English!D2682, ""en"", ""bg"")"),"разтваряне")</f>
        <v>разтваряне</v>
      </c>
      <c r="E2682" s="1" t="str">
        <f ca="1">IFERROR(__xludf.DUMMYFUNCTION("GOOGLETRANSLATE(English!E2682,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2682" s="1" t="str">
        <f ca="1">IFERROR(__xludf.DUMMYFUNCTION("GOOGLETRANSLATE(English!F2682,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2682" s="1" t="str">
        <f ca="1">IFERROR(__xludf.DUMMYFUNCTION("GOOGLETRANSLATE(English!G2682, ""en"", ""bg"")"),"помощ_за_домашно_изпълнение")</f>
        <v>помощ_за_домашно_изпълнение</v>
      </c>
      <c r="H2682" s="1" t="str">
        <f ca="1">IFERROR(__xludf.DUMMYFUNCTION("GOOGLETRANSLATE(English!H2682, ""en"", ""bg"")"),"помощ_за_домашно_задаване")</f>
        <v>помощ_за_домашно_задаване</v>
      </c>
    </row>
    <row r="2683" spans="1:8" ht="13.2" x14ac:dyDescent="0.25">
      <c r="A2683" s="1" t="str">
        <f ca="1">IFERROR(__xludf.DUMMYFUNCTION("GOOGLETRANSLATE(English!A2683, ""en"", ""bg"")"),"hw_03055")</f>
        <v>hw_03055</v>
      </c>
      <c r="B2683" s="1" t="str">
        <f ca="1">IFERROR(__xludf.DUMMYFUNCTION("GOOGLETRANSLATE(English!B2683, ""en"", ""bg"")"),"физика")</f>
        <v>физика</v>
      </c>
      <c r="C2683" s="1" t="str">
        <f ca="1">IFERROR(__xludf.DUMMYFUNCTION("GOOGLETRANSLATE(English!C2683, ""en"", ""bg"")"),"средата")</f>
        <v>средата</v>
      </c>
      <c r="D2683" s="1" t="str">
        <f ca="1">IFERROR(__xludf.DUMMYFUNCTION("GOOGLETRANSLATE(English!D2683, ""en"", ""bg"")"),"плътност")</f>
        <v>плътност</v>
      </c>
      <c r="E2683" s="1" t="str">
        <f ca="1">IFERROR(__xludf.DUMMYFUNCTION("GOOGLETRANSLATE(English!E2683,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2683" s="1" t="str">
        <f ca="1">IFERROR(__xludf.DUMMYFUNCTION("GOOGLETRANSLATE(English!F2683,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683" s="1" t="str">
        <f ca="1">IFERROR(__xludf.DUMMYFUNCTION("GOOGLETRANSLATE(English!G2683, ""en"", ""bg"")"),"помощ_за_домашно_изпълнение")</f>
        <v>помощ_за_домашно_изпълнение</v>
      </c>
      <c r="H2683" s="1" t="str">
        <f ca="1">IFERROR(__xludf.DUMMYFUNCTION("GOOGLETRANSLATE(English!H2683, ""en"", ""bg"")"),"помощ_за_домашно_задаване")</f>
        <v>помощ_за_домашно_задаване</v>
      </c>
    </row>
    <row r="2684" spans="1:8" ht="13.2" x14ac:dyDescent="0.25">
      <c r="A2684" s="1" t="str">
        <f ca="1">IFERROR(__xludf.DUMMYFUNCTION("GOOGLETRANSLATE(English!A2684, ""en"", ""bg"")"),"qa_11347")</f>
        <v>qa_11347</v>
      </c>
      <c r="B2684" s="1" t="str">
        <f ca="1">IFERROR(__xludf.DUMMYFUNCTION("GOOGLETRANSLATE(English!B2684, ""en"", ""bg"")"),"физика")</f>
        <v>физика</v>
      </c>
      <c r="C2684" s="1" t="str">
        <f ca="1">IFERROR(__xludf.DUMMYFUNCTION("GOOGLETRANSLATE(English!C2684, ""en"", ""bg"")"),"средата")</f>
        <v>средата</v>
      </c>
      <c r="D2684" s="1" t="str">
        <f ca="1">IFERROR(__xludf.DUMMYFUNCTION("GOOGLETRANSLATE(English!D2684, ""en"", ""bg"")"),"плътност")</f>
        <v>плътност</v>
      </c>
      <c r="E2684" s="1" t="str">
        <f ca="1">IFERROR(__xludf.DUMMYFUNCTION("GOOGLETRANSLATE(English!E2684, ""en"", ""bg"")"),"Какво трябва да знам за плътността?")</f>
        <v>Какво трябва да знам за плътността?</v>
      </c>
      <c r="F2684" s="1" t="str">
        <f ca="1">IFERROR(__xludf.DUMMYFUNCTION("GOOGLETRANSLATE(English!F2684,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2684" s="1" t="str">
        <f ca="1">IFERROR(__xludf.DUMMYFUNCTION("GOOGLETRANSLATE(English!G2684, ""en"", ""bg"")"),"direct_qa")</f>
        <v>direct_qa</v>
      </c>
      <c r="H2684" s="1" t="str">
        <f ca="1">IFERROR(__xludf.DUMMYFUNCTION("GOOGLETRANSLATE(English!H2684, ""en"", ""bg"")"),"заявка_за_знание")</f>
        <v>заявка_за_знание</v>
      </c>
    </row>
    <row r="2685" spans="1:8" ht="13.2" x14ac:dyDescent="0.25">
      <c r="A2685" s="1" t="str">
        <f ca="1">IFERROR(__xludf.DUMMYFUNCTION("GOOGLETRANSLATE(English!A2685, ""en"", ""bg"")"),"qa_08182")</f>
        <v>qa_08182</v>
      </c>
      <c r="B2685" s="1" t="str">
        <f ca="1">IFERROR(__xludf.DUMMYFUNCTION("GOOGLETRANSLATE(English!B2685, ""en"", ""bg"")"),"химия")</f>
        <v>химия</v>
      </c>
      <c r="C2685" s="1" t="str">
        <f ca="1">IFERROR(__xludf.DUMMYFUNCTION("GOOGLETRANSLATE(English!C2685, ""en"", ""bg"")"),"високо")</f>
        <v>високо</v>
      </c>
      <c r="D2685" s="1" t="str">
        <f ca="1">IFERROR(__xludf.DUMMYFUNCTION("GOOGLETRANSLATE(English!D2685, ""en"", ""bg"")"),"скорости на реакция")</f>
        <v>скорости на реакция</v>
      </c>
      <c r="E2685" s="1" t="str">
        <f ca="1">IFERROR(__xludf.DUMMYFUNCTION("GOOGLETRANSLATE(English!E2685, ""en"", ""bg"")"),"Какво представляват скоростите на реакция?")</f>
        <v>Какво представляват скоростите на реакция?</v>
      </c>
      <c r="F2685" s="1" t="str">
        <f ca="1">IFERROR(__xludf.DUMMYFUNCTION("GOOGLETRANSLATE(English!F2685,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2685" s="1" t="str">
        <f ca="1">IFERROR(__xludf.DUMMYFUNCTION("GOOGLETRANSLATE(English!G2685, ""en"", ""bg"")"),"direct_qa")</f>
        <v>direct_qa</v>
      </c>
      <c r="H2685" s="1" t="str">
        <f ca="1">IFERROR(__xludf.DUMMYFUNCTION("GOOGLETRANSLATE(English!H2685, ""en"", ""bg"")"),"заявка_за_знание")</f>
        <v>заявка_за_знание</v>
      </c>
    </row>
    <row r="2686" spans="1:8" ht="13.2" x14ac:dyDescent="0.25">
      <c r="A2686" s="1" t="str">
        <f ca="1">IFERROR(__xludf.DUMMYFUNCTION("GOOGLETRANSLATE(English!A2686, ""en"", ""bg"")"),"qa_02639")</f>
        <v>qa_02639</v>
      </c>
      <c r="B2686" s="1" t="str">
        <f ca="1">IFERROR(__xludf.DUMMYFUNCTION("GOOGLETRANSLATE(English!B2686, ""en"", ""bg"")"),"физика")</f>
        <v>физика</v>
      </c>
      <c r="C2686" s="1" t="str">
        <f ca="1">IFERROR(__xludf.DUMMYFUNCTION("GOOGLETRANSLATE(English!C2686, ""en"", ""bg"")"),"високо")</f>
        <v>високо</v>
      </c>
      <c r="D2686" s="1" t="str">
        <f ca="1">IFERROR(__xludf.DUMMYFUNCTION("GOOGLETRANSLATE(English!D2686, ""en"", ""bg"")"),"електромагнетизъм")</f>
        <v>електромагнетизъм</v>
      </c>
      <c r="E2686" s="1" t="str">
        <f ca="1">IFERROR(__xludf.DUMMYFUNCTION("GOOGLETRANSLATE(English!E2686, ""en"", ""bg"")"),"Можете ли да ми обясните електромагнетизма?")</f>
        <v>Можете ли да ми обясните електромагнетизма?</v>
      </c>
      <c r="F2686" s="1" t="str">
        <f ca="1">IFERROR(__xludf.DUMMYFUNCTION("GOOGLETRANSLATE(English!F2686,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2686" s="1" t="str">
        <f ca="1">IFERROR(__xludf.DUMMYFUNCTION("GOOGLETRANSLATE(English!G2686, ""en"", ""bg"")"),"direct_qa")</f>
        <v>direct_qa</v>
      </c>
      <c r="H2686" s="1" t="str">
        <f ca="1">IFERROR(__xludf.DUMMYFUNCTION("GOOGLETRANSLATE(English!H2686, ""en"", ""bg"")"),"заявка_за_знание")</f>
        <v>заявка_за_знание</v>
      </c>
    </row>
    <row r="2687" spans="1:8" ht="13.2" x14ac:dyDescent="0.25">
      <c r="A2687" s="1" t="str">
        <f ca="1">IFERROR(__xludf.DUMMYFUNCTION("GOOGLETRANSLATE(English!A2687, ""en"", ""bg"")"),"qa_00856")</f>
        <v>qa_00856</v>
      </c>
      <c r="B2687" s="1" t="str">
        <f ca="1">IFERROR(__xludf.DUMMYFUNCTION("GOOGLETRANSLATE(English!B2687, ""en"", ""bg"")"),"физика")</f>
        <v>физика</v>
      </c>
      <c r="C2687" s="1" t="str">
        <f ca="1">IFERROR(__xludf.DUMMYFUNCTION("GOOGLETRANSLATE(English!C2687, ""en"", ""bg"")"),"средата")</f>
        <v>средата</v>
      </c>
      <c r="D2687" s="1" t="str">
        <f ca="1">IFERROR(__xludf.DUMMYFUNCTION("GOOGLETRANSLATE(English!D2687, ""en"", ""bg"")"),"състояния на материята")</f>
        <v>състояния на материята</v>
      </c>
      <c r="E2687" s="1" t="str">
        <f ca="1">IFERROR(__xludf.DUMMYFUNCTION("GOOGLETRANSLATE(English!E2687, ""en"", ""bg"")"),"Какво трябва да знам за състоянията на материята?")</f>
        <v>Какво трябва да знам за състоянията на материята?</v>
      </c>
      <c r="F2687" s="1" t="str">
        <f ca="1">IFERROR(__xludf.DUMMYFUNCTION("GOOGLETRANSLATE(English!F2687,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2687" s="1" t="str">
        <f ca="1">IFERROR(__xludf.DUMMYFUNCTION("GOOGLETRANSLATE(English!G2687, ""en"", ""bg"")"),"direct_qa")</f>
        <v>direct_qa</v>
      </c>
      <c r="H2687" s="1" t="str">
        <f ca="1">IFERROR(__xludf.DUMMYFUNCTION("GOOGLETRANSLATE(English!H2687, ""en"", ""bg"")"),"заявка_за_знание")</f>
        <v>заявка_за_знание</v>
      </c>
    </row>
    <row r="2688" spans="1:8" ht="13.2" x14ac:dyDescent="0.25">
      <c r="A2688" s="1" t="str">
        <f ca="1">IFERROR(__xludf.DUMMYFUNCTION("GOOGLETRANSLATE(English!A2688, ""en"", ""bg"")"),"hw_13678")</f>
        <v>hw_13678</v>
      </c>
      <c r="B2688" s="1" t="str">
        <f ca="1">IFERROR(__xludf.DUMMYFUNCTION("GOOGLETRANSLATE(English!B2688, ""en"", ""bg"")"),"физика")</f>
        <v>физика</v>
      </c>
      <c r="C2688" s="1" t="str">
        <f ca="1">IFERROR(__xludf.DUMMYFUNCTION("GOOGLETRANSLATE(English!C2688, ""en"", ""bg"")"),"високо")</f>
        <v>високо</v>
      </c>
      <c r="D2688" s="1" t="str">
        <f ca="1">IFERROR(__xludf.DUMMYFUNCTION("GOOGLETRANSLATE(English!D2688, ""en"", ""bg"")"),"механика")</f>
        <v>механика</v>
      </c>
      <c r="E2688" s="1" t="str">
        <f ca="1">IFERROR(__xludf.DUMMYFUNCTION("GOOGLETRANSLATE(English!E2688, ""en"", ""bg"")"),"Заседнал съм с този механичен проблем. Можете ли да помогнете?")</f>
        <v>Заседнал съм с този механичен проблем. Можете ли да помогнете?</v>
      </c>
      <c r="F2688" s="1" t="str">
        <f ca="1">IFERROR(__xludf.DUMMYFUNCTION("GOOGLETRANSLATE(English!F2688,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2688" s="1" t="str">
        <f ca="1">IFERROR(__xludf.DUMMYFUNCTION("GOOGLETRANSLATE(English!G2688, ""en"", ""bg"")"),"помощ_за_домашно_изпълнение")</f>
        <v>помощ_за_домашно_изпълнение</v>
      </c>
      <c r="H2688" s="1" t="str">
        <f ca="1">IFERROR(__xludf.DUMMYFUNCTION("GOOGLETRANSLATE(English!H2688, ""en"", ""bg"")"),"помощ_за_домашно_задаване")</f>
        <v>помощ_за_домашно_задаване</v>
      </c>
    </row>
    <row r="2689" spans="1:8" ht="13.2" x14ac:dyDescent="0.25">
      <c r="A2689" s="1" t="str">
        <f ca="1">IFERROR(__xludf.DUMMYFUNCTION("GOOGLETRANSLATE(English!A2689, ""en"", ""bg"")"),"conv_07256")</f>
        <v>conv_07256</v>
      </c>
      <c r="B2689" s="1" t="str">
        <f ca="1">IFERROR(__xludf.DUMMYFUNCTION("GOOGLETRANSLATE(English!B2689, ""en"", ""bg"")"),"физика")</f>
        <v>физика</v>
      </c>
      <c r="C2689" s="1" t="str">
        <f ca="1">IFERROR(__xludf.DUMMYFUNCTION("GOOGLETRANSLATE(English!C2689, ""en"", ""bg"")"),"елементарен")</f>
        <v>елементарен</v>
      </c>
      <c r="D2689" s="1" t="str">
        <f ca="1">IFERROR(__xludf.DUMMYFUNCTION("GOOGLETRANSLATE(English!D2689, ""en"", ""bg"")"),"магнити")</f>
        <v>магнити</v>
      </c>
      <c r="E2689" s="1" t="str">
        <f ca="1">IFERROR(__xludf.DUMMYFUNCTION("GOOGLETRANSLATE(English!E2689, ""en"", ""bg"")"),"Можете ли да ми обясните това? Какво се случва, когато сложите два магнита заедно?")</f>
        <v>Можете ли да ми обясните това? Какво се случва, когато сложите два магнита заедно?</v>
      </c>
      <c r="F2689" s="1" t="str">
        <f ca="1">IFERROR(__xludf.DUMMYFUNCTION("GOOGLETRANSLATE(English!F2689, ""en"", ""bg"")"),"Когато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друг!")</f>
        <v>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</v>
      </c>
      <c r="G2689" s="1" t="str">
        <f ca="1">IFERROR(__xludf.DUMMYFUNCTION("GOOGLETRANSLATE(English!G2689, ""en"", ""bg"")"),"разговор")</f>
        <v>разговор</v>
      </c>
      <c r="H2689" s="1" t="str">
        <f ca="1">IFERROR(__xludf.DUMMYFUNCTION("GOOGLETRANSLATE(English!H2689, ""en"", ""bg"")"),"образователна_помощ")</f>
        <v>образователна_помощ</v>
      </c>
    </row>
    <row r="2690" spans="1:8" ht="13.2" x14ac:dyDescent="0.25">
      <c r="A2690" s="1" t="str">
        <f ca="1">IFERROR(__xludf.DUMMYFUNCTION("GOOGLETRANSLATE(English!A2690, ""en"", ""bg"")"),"qa_06631")</f>
        <v>qa_06631</v>
      </c>
      <c r="B2690" s="1" t="str">
        <f ca="1">IFERROR(__xludf.DUMMYFUNCTION("GOOGLETRANSLATE(English!B2690, ""en"", ""bg"")"),"биология")</f>
        <v>биология</v>
      </c>
      <c r="C2690" s="1" t="str">
        <f ca="1">IFERROR(__xludf.DUMMYFUNCTION("GOOGLETRANSLATE(English!C2690, ""en"", ""bg"")"),"високо")</f>
        <v>високо</v>
      </c>
      <c r="D2690" s="1" t="str">
        <f ca="1">IFERROR(__xludf.DUMMYFUNCTION("GOOGLETRANSLATE(English!D2690, ""en"", ""bg"")"),"митоза и мейоза")</f>
        <v>митоза и мейоза</v>
      </c>
      <c r="E2690" s="1" t="str">
        <f ca="1">IFERROR(__xludf.DUMMYFUNCTION("GOOGLETRANSLATE(English!E2690, ""en"", ""bg"")"),"Как протичат митозата и мейозата?")</f>
        <v>Как протичат митозата и мейозата?</v>
      </c>
      <c r="F2690" s="1" t="str">
        <f ca="1">IFERROR(__xludf.DUMMYFUNCTION("GOOGLETRANSLATE(English!F2690,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2690" s="1" t="str">
        <f ca="1">IFERROR(__xludf.DUMMYFUNCTION("GOOGLETRANSLATE(English!G2690, ""en"", ""bg"")"),"direct_qa")</f>
        <v>direct_qa</v>
      </c>
      <c r="H2690" s="1" t="str">
        <f ca="1">IFERROR(__xludf.DUMMYFUNCTION("GOOGLETRANSLATE(English!H2690, ""en"", ""bg"")"),"заявка_за_знание")</f>
        <v>заявка_за_знание</v>
      </c>
    </row>
    <row r="2691" spans="1:8" ht="13.2" x14ac:dyDescent="0.25">
      <c r="A2691" s="1" t="str">
        <f ca="1">IFERROR(__xludf.DUMMYFUNCTION("GOOGLETRANSLATE(English!A2691, ""en"", ""bg"")"),"qa_00858")</f>
        <v>qa_00858</v>
      </c>
      <c r="B2691" s="1" t="str">
        <f ca="1">IFERROR(__xludf.DUMMYFUNCTION("GOOGLETRANSLATE(English!B2691, ""en"", ""bg"")"),"биология")</f>
        <v>биология</v>
      </c>
      <c r="C2691" s="1" t="str">
        <f ca="1">IFERROR(__xludf.DUMMYFUNCTION("GOOGLETRANSLATE(English!C2691, ""en"", ""bg"")"),"средата")</f>
        <v>средата</v>
      </c>
      <c r="D2691" s="1" t="str">
        <f ca="1">IFERROR(__xludf.DUMMYFUNCTION("GOOGLETRANSLATE(English!D2691, ""en"", ""bg"")"),"класификация")</f>
        <v>класификация</v>
      </c>
      <c r="E2691" s="1" t="str">
        <f ca="1">IFERROR(__xludf.DUMMYFUNCTION("GOOGLETRANSLATE(English!E2691, ""en"", ""bg"")"),"Как работи класификацията?")</f>
        <v>Как работи класификацията?</v>
      </c>
      <c r="F2691" s="1" t="str">
        <f ca="1">IFERROR(__xludf.DUMMYFUNCTION("GOOGLETRANSLATE(English!F2691,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2691" s="1" t="str">
        <f ca="1">IFERROR(__xludf.DUMMYFUNCTION("GOOGLETRANSLATE(English!G2691, ""en"", ""bg"")"),"direct_qa")</f>
        <v>direct_qa</v>
      </c>
      <c r="H2691" s="1" t="str">
        <f ca="1">IFERROR(__xludf.DUMMYFUNCTION("GOOGLETRANSLATE(English!H2691, ""en"", ""bg"")"),"заявка_за_знание")</f>
        <v>заявка_за_знание</v>
      </c>
    </row>
    <row r="2692" spans="1:8" ht="13.2" x14ac:dyDescent="0.25">
      <c r="A2692" s="1" t="str">
        <f ca="1">IFERROR(__xludf.DUMMYFUNCTION("GOOGLETRANSLATE(English!A2692, ""en"", ""bg"")"),"hw_08926")</f>
        <v>hw_08926</v>
      </c>
      <c r="B2692" s="1" t="str">
        <f ca="1">IFERROR(__xludf.DUMMYFUNCTION("GOOGLETRANSLATE(English!B2692, ""en"", ""bg"")"),"физика")</f>
        <v>физика</v>
      </c>
      <c r="C2692" s="1" t="str">
        <f ca="1">IFERROR(__xludf.DUMMYFUNCTION("GOOGLETRANSLATE(English!C2692, ""en"", ""bg"")"),"средата")</f>
        <v>средата</v>
      </c>
      <c r="D2692" s="1" t="str">
        <f ca="1">IFERROR(__xludf.DUMMYFUNCTION("GOOGLETRANSLATE(English!D2692, ""en"", ""bg"")"),"видове енергия")</f>
        <v>видове енергия</v>
      </c>
      <c r="E2692" s="1" t="str">
        <f ca="1">IFERROR(__xludf.DUMMYFUNCTION("GOOGLETRANSLATE(English!E2692, ""en"", ""bg"")"),"Можете ли да решите този въпрос за видовете енергия с мен?")</f>
        <v>Можете ли да решите този въпрос за видовете енергия с мен?</v>
      </c>
      <c r="F2692" s="1" t="str">
        <f ca="1">IFERROR(__xludf.DUMMYFUNCTION("GOOGLETRANSLATE(English!F2692,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692" s="1" t="str">
        <f ca="1">IFERROR(__xludf.DUMMYFUNCTION("GOOGLETRANSLATE(English!G2692, ""en"", ""bg"")"),"помощ_за_домашно_изпълнение")</f>
        <v>помощ_за_домашно_изпълнение</v>
      </c>
      <c r="H2692" s="1" t="str">
        <f ca="1">IFERROR(__xludf.DUMMYFUNCTION("GOOGLETRANSLATE(English!H2692, ""en"", ""bg"")"),"помощ_за_домашно_задаване")</f>
        <v>помощ_за_домашно_задаване</v>
      </c>
    </row>
    <row r="2693" spans="1:8" ht="13.2" x14ac:dyDescent="0.25">
      <c r="A2693" s="1" t="str">
        <f ca="1">IFERROR(__xludf.DUMMYFUNCTION("GOOGLETRANSLATE(English!A2693, ""en"", ""bg"")"),"hw_10043")</f>
        <v>hw_10043</v>
      </c>
      <c r="B2693" s="1" t="str">
        <f ca="1">IFERROR(__xludf.DUMMYFUNCTION("GOOGLETRANSLATE(English!B2693, ""en"", ""bg"")"),"химия")</f>
        <v>химия</v>
      </c>
      <c r="C2693" s="1" t="str">
        <f ca="1">IFERROR(__xludf.DUMMYFUNCTION("GOOGLETRANSLATE(English!C2693, ""en"", ""bg"")"),"високо")</f>
        <v>високо</v>
      </c>
      <c r="D2693" s="1" t="str">
        <f ca="1">IFERROR(__xludf.DUMMYFUNCTION("GOOGLETRANSLATE(English!D2693, ""en"", ""bg"")"),"скорости на реакция")</f>
        <v>скорости на реакция</v>
      </c>
      <c r="E2693" s="1" t="str">
        <f ca="1">IFERROR(__xludf.DUMMYFUNCTION("GOOGLETRANSLATE(English!E2693, ""en"", ""bg"")"),"Докладът ми по химия е за скоростите на реакциите. Помогнете ми да разбера.")</f>
        <v>Докладът ми по химия е за скоростите на реакциите. Помогнете ми да разбера.</v>
      </c>
      <c r="F2693" s="1" t="str">
        <f ca="1">IFERROR(__xludf.DUMMYFUNCTION("GOOGLETRANSLATE(English!F2693,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2693" s="1" t="str">
        <f ca="1">IFERROR(__xludf.DUMMYFUNCTION("GOOGLETRANSLATE(English!G2693, ""en"", ""bg"")"),"помощ_за_домашно_изпълнение")</f>
        <v>помощ_за_домашно_изпълнение</v>
      </c>
      <c r="H2693" s="1" t="str">
        <f ca="1">IFERROR(__xludf.DUMMYFUNCTION("GOOGLETRANSLATE(English!H2693, ""en"", ""bg"")"),"помощ_за_домашно_задаване")</f>
        <v>помощ_за_домашно_задаване</v>
      </c>
    </row>
    <row r="2694" spans="1:8" ht="13.2" x14ac:dyDescent="0.25">
      <c r="A2694" s="1" t="str">
        <f ca="1">IFERROR(__xludf.DUMMYFUNCTION("GOOGLETRANSLATE(English!A2694, ""en"", ""bg"")"),"qa_06947")</f>
        <v>qa_06947</v>
      </c>
      <c r="B2694" s="1" t="str">
        <f ca="1">IFERROR(__xludf.DUMMYFUNCTION("GOOGLETRANSLATE(English!B2694, ""en"", ""bg"")"),"химия")</f>
        <v>химия</v>
      </c>
      <c r="C2694" s="1" t="str">
        <f ca="1">IFERROR(__xludf.DUMMYFUNCTION("GOOGLETRANSLATE(English!C2694, ""en"", ""bg"")"),"средата")</f>
        <v>средата</v>
      </c>
      <c r="D2694" s="1" t="str">
        <f ca="1">IFERROR(__xludf.DUMMYFUNCTION("GOOGLETRANSLATE(English!D2694, ""en"", ""bg"")"),"атоми и молекули")</f>
        <v>атоми и молекули</v>
      </c>
      <c r="E2694" s="1" t="str">
        <f ca="1">IFERROR(__xludf.DUMMYFUNCTION("GOOGLETRANSLATE(English!E2694, ""en"", ""bg"")"),"Кои са частите на един атом?")</f>
        <v>Кои са частите на един атом?</v>
      </c>
      <c r="F2694" s="1" t="str">
        <f ca="1">IFERROR(__xludf.DUMMYFUNCTION("GOOGLETRANSLATE(English!F2694,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2694" s="1" t="str">
        <f ca="1">IFERROR(__xludf.DUMMYFUNCTION("GOOGLETRANSLATE(English!G2694, ""en"", ""bg"")"),"direct_qa")</f>
        <v>direct_qa</v>
      </c>
      <c r="H2694" s="1" t="str">
        <f ca="1">IFERROR(__xludf.DUMMYFUNCTION("GOOGLETRANSLATE(English!H2694, ""en"", ""bg"")"),"заявка_за_знание")</f>
        <v>заявка_за_знание</v>
      </c>
    </row>
    <row r="2695" spans="1:8" ht="13.2" x14ac:dyDescent="0.25">
      <c r="A2695" s="1" t="str">
        <f ca="1">IFERROR(__xludf.DUMMYFUNCTION("GOOGLETRANSLATE(English!A2695, ""en"", ""bg"")"),"qa_13627")</f>
        <v>qa_13627</v>
      </c>
      <c r="B2695" s="1" t="str">
        <f ca="1">IFERROR(__xludf.DUMMYFUNCTION("GOOGLETRANSLATE(English!B2695, ""en"", ""bg"")"),"физика")</f>
        <v>физика</v>
      </c>
      <c r="C2695" s="1" t="str">
        <f ca="1">IFERROR(__xludf.DUMMYFUNCTION("GOOGLETRANSLATE(English!C2695, ""en"", ""bg"")"),"средата")</f>
        <v>средата</v>
      </c>
      <c r="D2695" s="1" t="str">
        <f ca="1">IFERROR(__xludf.DUMMYFUNCTION("GOOGLETRANSLATE(English!D2695, ""en"", ""bg"")"),"видове енергия")</f>
        <v>видове енергия</v>
      </c>
      <c r="E2695" s="1" t="str">
        <f ca="1">IFERROR(__xludf.DUMMYFUNCTION("GOOGLETRANSLATE(English!E2695, ""en"", ""bg"")"),"Какви са различните видове енергия?")</f>
        <v>Какви са различните видове енергия?</v>
      </c>
      <c r="F2695" s="1" t="str">
        <f ca="1">IFERROR(__xludf.DUMMYFUNCTION("GOOGLETRANSLATE(English!F2695,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2695" s="1" t="str">
        <f ca="1">IFERROR(__xludf.DUMMYFUNCTION("GOOGLETRANSLATE(English!G2695, ""en"", ""bg"")"),"direct_qa")</f>
        <v>direct_qa</v>
      </c>
      <c r="H2695" s="1" t="str">
        <f ca="1">IFERROR(__xludf.DUMMYFUNCTION("GOOGLETRANSLATE(English!H2695, ""en"", ""bg"")"),"заявка_за_знание")</f>
        <v>заявка_за_знание</v>
      </c>
    </row>
    <row r="2696" spans="1:8" ht="13.2" x14ac:dyDescent="0.25">
      <c r="A2696" s="1" t="str">
        <f ca="1">IFERROR(__xludf.DUMMYFUNCTION("GOOGLETRANSLATE(English!A2696, ""en"", ""bg"")"),"conv_04313")</f>
        <v>conv_04313</v>
      </c>
      <c r="B2696" s="1" t="str">
        <f ca="1">IFERROR(__xludf.DUMMYFUNCTION("GOOGLETRANSLATE(English!B2696, ""en"", ""bg"")"),"биология")</f>
        <v>биология</v>
      </c>
      <c r="C2696" s="1" t="str">
        <f ca="1">IFERROR(__xludf.DUMMYFUNCTION("GOOGLETRANSLATE(English!C2696, ""en"", ""bg"")"),"високо")</f>
        <v>високо</v>
      </c>
      <c r="D2696" s="1" t="str">
        <f ca="1">IFERROR(__xludf.DUMMYFUNCTION("GOOGLETRANSLATE(English!D2696, ""en"", ""bg"")"),"клетъчно дишане")</f>
        <v>клетъчно дишане</v>
      </c>
      <c r="E2696" s="1" t="str">
        <f ca="1">IFERROR(__xludf.DUMMYFUNCTION("GOOGLETRANSLATE(English!E2696, ""en"", ""bg"")"),"Помогнете ми да уча за теста си. Какво е важно да знаем за клетъчното дишане?")</f>
        <v>Помогнете ми да уча за теста си. Какво е важно да знаем за клетъчното дишане?</v>
      </c>
      <c r="F2696" s="1" t="str">
        <f ca="1">IFERROR(__xludf.DUMMYFUNCTION("GOOGLETRANSLATE(English!F2696,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2696" s="1" t="str">
        <f ca="1">IFERROR(__xludf.DUMMYFUNCTION("GOOGLETRANSLATE(English!G2696, ""en"", ""bg"")"),"разговор")</f>
        <v>разговор</v>
      </c>
      <c r="H2696" s="1" t="str">
        <f ca="1">IFERROR(__xludf.DUMMYFUNCTION("GOOGLETRANSLATE(English!H2696, ""en"", ""bg"")"),"образователна_помощ")</f>
        <v>образователна_помощ</v>
      </c>
    </row>
    <row r="2697" spans="1:8" ht="13.2" x14ac:dyDescent="0.25">
      <c r="A2697" s="1" t="str">
        <f ca="1">IFERROR(__xludf.DUMMYFUNCTION("GOOGLETRANSLATE(English!A2697, ""en"", ""bg"")"),"qa_00426")</f>
        <v>qa_00426</v>
      </c>
      <c r="B2697" s="1" t="str">
        <f ca="1">IFERROR(__xludf.DUMMYFUNCTION("GOOGLETRANSLATE(English!B2697, ""en"", ""bg"")"),"физика")</f>
        <v>физика</v>
      </c>
      <c r="C2697" s="1" t="str">
        <f ca="1">IFERROR(__xludf.DUMMYFUNCTION("GOOGLETRANSLATE(English!C2697, ""en"", ""bg"")"),"средата")</f>
        <v>средата</v>
      </c>
      <c r="D2697" s="1" t="str">
        <f ca="1">IFERROR(__xludf.DUMMYFUNCTION("GOOGLETRANSLATE(English!D2697, ""en"", ""bg"")"),"видове енергия")</f>
        <v>видове енергия</v>
      </c>
      <c r="E2697" s="1" t="str">
        <f ca="1">IFERROR(__xludf.DUMMYFUNCTION("GOOGLETRANSLATE(English!E2697, ""en"", ""bg"")"),"Какво е потенциална енергия?")</f>
        <v>Какво е потенциална енергия?</v>
      </c>
      <c r="F2697" s="1" t="str">
        <f ca="1">IFERROR(__xludf.DUMMYFUNCTION("GOOGLETRANSLATE(English!F2697,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697" s="1" t="str">
        <f ca="1">IFERROR(__xludf.DUMMYFUNCTION("GOOGLETRANSLATE(English!G2697, ""en"", ""bg"")"),"direct_qa")</f>
        <v>direct_qa</v>
      </c>
      <c r="H2697" s="1" t="str">
        <f ca="1">IFERROR(__xludf.DUMMYFUNCTION("GOOGLETRANSLATE(English!H2697, ""en"", ""bg"")"),"заявка_за_знание")</f>
        <v>заявка_за_знание</v>
      </c>
    </row>
    <row r="2698" spans="1:8" ht="13.2" x14ac:dyDescent="0.25">
      <c r="A2698" s="1" t="str">
        <f ca="1">IFERROR(__xludf.DUMMYFUNCTION("GOOGLETRANSLATE(English!A2698, ""en"", ""bg"")"),"hw_14447")</f>
        <v>hw_14447</v>
      </c>
      <c r="B2698" s="1" t="str">
        <f ca="1">IFERROR(__xludf.DUMMYFUNCTION("GOOGLETRANSLATE(English!B2698, ""en"", ""bg"")"),"химия")</f>
        <v>химия</v>
      </c>
      <c r="C2698" s="1" t="str">
        <f ca="1">IFERROR(__xludf.DUMMYFUNCTION("GOOGLETRANSLATE(English!C2698, ""en"", ""bg"")"),"средата")</f>
        <v>средата</v>
      </c>
      <c r="D2698" s="1" t="str">
        <f ca="1">IFERROR(__xludf.DUMMYFUNCTION("GOOGLETRANSLATE(English!D2698, ""en"", ""bg"")"),"киселини и основи")</f>
        <v>киселини и основи</v>
      </c>
      <c r="E2698" s="1" t="str">
        <f ca="1">IFERROR(__xludf.DUMMYFUNCTION("GOOGLETRANSLATE(English!E2698,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2698" s="1" t="str">
        <f ca="1">IFERROR(__xludf.DUMMYFUNCTION("GOOGLETRANSLATE(English!F2698,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2698" s="1" t="str">
        <f ca="1">IFERROR(__xludf.DUMMYFUNCTION("GOOGLETRANSLATE(English!G2698, ""en"", ""bg"")"),"помощ_за_домашно_изпълнение")</f>
        <v>помощ_за_домашно_изпълнение</v>
      </c>
      <c r="H2698" s="1" t="str">
        <f ca="1">IFERROR(__xludf.DUMMYFUNCTION("GOOGLETRANSLATE(English!H2698, ""en"", ""bg"")"),"помощ_за_домашно_задаване")</f>
        <v>помощ_за_домашно_задаване</v>
      </c>
    </row>
    <row r="2699" spans="1:8" ht="13.2" x14ac:dyDescent="0.25">
      <c r="A2699" s="1" t="str">
        <f ca="1">IFERROR(__xludf.DUMMYFUNCTION("GOOGLETRANSLATE(English!A2699, ""en"", ""bg"")"),"qa_10159")</f>
        <v>qa_10159</v>
      </c>
      <c r="B2699" s="1" t="str">
        <f ca="1">IFERROR(__xludf.DUMMYFUNCTION("GOOGLETRANSLATE(English!B2699, ""en"", ""bg"")"),"химия")</f>
        <v>химия</v>
      </c>
      <c r="C2699" s="1" t="str">
        <f ca="1">IFERROR(__xludf.DUMMYFUNCTION("GOOGLETRANSLATE(English!C2699, ""en"", ""bg"")"),"високо")</f>
        <v>високо</v>
      </c>
      <c r="D2699" s="1" t="str">
        <f ca="1">IFERROR(__xludf.DUMMYFUNCTION("GOOGLETRANSLATE(English!D2699, ""en"", ""bg"")"),"стехиометрия")</f>
        <v>стехиометрия</v>
      </c>
      <c r="E2699" s="1" t="str">
        <f ca="1">IFERROR(__xludf.DUMMYFUNCTION("GOOGLETRANSLATE(English!E2699, ""en"", ""bg"")"),"Как работи стехиометрията в химията?")</f>
        <v>Как работи стехиометрията в химията?</v>
      </c>
      <c r="F2699" s="1" t="str">
        <f ca="1">IFERROR(__xludf.DUMMYFUNCTION("GOOGLETRANSLATE(English!F2699,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2699" s="1" t="str">
        <f ca="1">IFERROR(__xludf.DUMMYFUNCTION("GOOGLETRANSLATE(English!G2699, ""en"", ""bg"")"),"direct_qa")</f>
        <v>direct_qa</v>
      </c>
      <c r="H2699" s="1" t="str">
        <f ca="1">IFERROR(__xludf.DUMMYFUNCTION("GOOGLETRANSLATE(English!H2699, ""en"", ""bg"")"),"заявка_за_знание")</f>
        <v>заявка_за_знание</v>
      </c>
    </row>
    <row r="2700" spans="1:8" ht="13.2" x14ac:dyDescent="0.25">
      <c r="A2700" s="1" t="str">
        <f ca="1">IFERROR(__xludf.DUMMYFUNCTION("GOOGLETRANSLATE(English!A2700, ""en"", ""bg"")"),"conv_02491")</f>
        <v>conv_02491</v>
      </c>
      <c r="B2700" s="1" t="str">
        <f ca="1">IFERROR(__xludf.DUMMYFUNCTION("GOOGLETRANSLATE(English!B2700, ""en"", ""bg"")"),"химия")</f>
        <v>химия</v>
      </c>
      <c r="C2700" s="1" t="str">
        <f ca="1">IFERROR(__xludf.DUMMYFUNCTION("GOOGLETRANSLATE(English!C2700, ""en"", ""bg"")"),"средата")</f>
        <v>средата</v>
      </c>
      <c r="D2700" s="1" t="str">
        <f ca="1">IFERROR(__xludf.DUMMYFUNCTION("GOOGLETRANSLATE(English!D2700, ""en"", ""bg"")"),"основи на периодичната таблица")</f>
        <v>основи на периодичната таблица</v>
      </c>
      <c r="E2700" s="1" t="str">
        <f ca="1">IFERROR(__xludf.DUMMYFUNCTION("GOOGLETRANSLATE(English!E2700, ""en"", ""bg"")"),"Не разбирам тази тема. Как функционират основите на периодичната таблица в химията?")</f>
        <v>Не разбирам тази тема. Как функционират основите на периодичната таблица в химията?</v>
      </c>
      <c r="F2700" s="1" t="str">
        <f ca="1">IFERROR(__xludf.DUMMYFUNCTION("GOOGLETRANSLATE(English!F2700,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2700" s="1" t="str">
        <f ca="1">IFERROR(__xludf.DUMMYFUNCTION("GOOGLETRANSLATE(English!G2700, ""en"", ""bg"")"),"разговор")</f>
        <v>разговор</v>
      </c>
      <c r="H2700" s="1" t="str">
        <f ca="1">IFERROR(__xludf.DUMMYFUNCTION("GOOGLETRANSLATE(English!H2700, ""en"", ""bg"")"),"образователна_помощ")</f>
        <v>образователна_помощ</v>
      </c>
    </row>
    <row r="2701" spans="1:8" ht="13.2" x14ac:dyDescent="0.25">
      <c r="A2701" s="1" t="str">
        <f ca="1">IFERROR(__xludf.DUMMYFUNCTION("GOOGLETRANSLATE(English!A2701, ""en"", ""bg"")"),"conv_18456")</f>
        <v>conv_18456</v>
      </c>
      <c r="B2701" s="1" t="str">
        <f ca="1">IFERROR(__xludf.DUMMYFUNCTION("GOOGLETRANSLATE(English!B2701, ""en"", ""bg"")"),"физика")</f>
        <v>физика</v>
      </c>
      <c r="C2701" s="1" t="str">
        <f ca="1">IFERROR(__xludf.DUMMYFUNCTION("GOOGLETRANSLATE(English!C2701, ""en"", ""bg"")"),"средата")</f>
        <v>средата</v>
      </c>
      <c r="D2701" s="1" t="str">
        <f ca="1">IFERROR(__xludf.DUMMYFUNCTION("GOOGLETRANSLATE(English!D2701, ""en"", ""bg"")"),"видове енергия")</f>
        <v>видове енергия</v>
      </c>
      <c r="E2701" s="1" t="str">
        <f ca="1">IFERROR(__xludf.DUMMYFUNCTION("GOOGLETRANSLATE(English!E2701, ""en"", ""bg"")"),"Можете ли да ми помогнете? Какво е кинетична енергия?")</f>
        <v>Можете ли да ми помогнете? Какво е кинетична енергия?</v>
      </c>
      <c r="F2701" s="1" t="str">
        <f ca="1">IFERROR(__xludf.DUMMYFUNCTION("GOOGLETRANSLATE(English!F2701,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2701" s="1" t="str">
        <f ca="1">IFERROR(__xludf.DUMMYFUNCTION("GOOGLETRANSLATE(English!G2701, ""en"", ""bg"")"),"разговор")</f>
        <v>разговор</v>
      </c>
      <c r="H2701" s="1" t="str">
        <f ca="1">IFERROR(__xludf.DUMMYFUNCTION("GOOGLETRANSLATE(English!H2701, ""en"", ""bg"")"),"образователна_помощ")</f>
        <v>образователна_помощ</v>
      </c>
    </row>
    <row r="2702" spans="1:8" ht="13.2" x14ac:dyDescent="0.25">
      <c r="A2702" s="1" t="str">
        <f ca="1">IFERROR(__xludf.DUMMYFUNCTION("GOOGLETRANSLATE(English!A2702, ""en"", ""bg"")"),"qa_04726")</f>
        <v>qa_04726</v>
      </c>
      <c r="B2702" s="1" t="str">
        <f ca="1">IFERROR(__xludf.DUMMYFUNCTION("GOOGLETRANSLATE(English!B2702, ""en"", ""bg"")"),"физика")</f>
        <v>физика</v>
      </c>
      <c r="C2702" s="1" t="str">
        <f ca="1">IFERROR(__xludf.DUMMYFUNCTION("GOOGLETRANSLATE(English!C2702, ""en"", ""bg"")"),"високо")</f>
        <v>високо</v>
      </c>
      <c r="D2702" s="1" t="str">
        <f ca="1">IFERROR(__xludf.DUMMYFUNCTION("GOOGLETRANSLATE(English!D2702, ""en"", ""bg"")"),"електромагнетизъм")</f>
        <v>електромагнетизъм</v>
      </c>
      <c r="E2702" s="1" t="str">
        <f ca="1">IFERROR(__xludf.DUMMYFUNCTION("GOOGLETRANSLATE(English!E2702, ""en"", ""bg"")"),"Можете ли да ми обясните електромагнетизма?")</f>
        <v>Можете ли да ми обясните електромагнетизма?</v>
      </c>
      <c r="F2702" s="1" t="str">
        <f ca="1">IFERROR(__xludf.DUMMYFUNCTION("GOOGLETRANSLATE(English!F2702,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2702" s="1" t="str">
        <f ca="1">IFERROR(__xludf.DUMMYFUNCTION("GOOGLETRANSLATE(English!G2702, ""en"", ""bg"")"),"direct_qa")</f>
        <v>direct_qa</v>
      </c>
      <c r="H2702" s="1" t="str">
        <f ca="1">IFERROR(__xludf.DUMMYFUNCTION("GOOGLETRANSLATE(English!H2702, ""en"", ""bg"")"),"заявка_за_знание")</f>
        <v>заявка_за_знание</v>
      </c>
    </row>
    <row r="2703" spans="1:8" ht="13.2" x14ac:dyDescent="0.25">
      <c r="A2703" s="1" t="str">
        <f ca="1">IFERROR(__xludf.DUMMYFUNCTION("GOOGLETRANSLATE(English!A2703, ""en"", ""bg"")"),"hw_07631")</f>
        <v>hw_07631</v>
      </c>
      <c r="B2703" s="1" t="str">
        <f ca="1">IFERROR(__xludf.DUMMYFUNCTION("GOOGLETRANSLATE(English!B2703, ""en"", ""bg"")"),"химия")</f>
        <v>химия</v>
      </c>
      <c r="C2703" s="1" t="str">
        <f ca="1">IFERROR(__xludf.DUMMYFUNCTION("GOOGLETRANSLATE(English!C2703, ""en"", ""bg"")"),"средата")</f>
        <v>средата</v>
      </c>
      <c r="D2703" s="1" t="str">
        <f ca="1">IFERROR(__xludf.DUMMYFUNCTION("GOOGLETRANSLATE(English!D2703, ""en"", ""bg"")"),"основи на периодичната таблица")</f>
        <v>основи на периодичната таблица</v>
      </c>
      <c r="E2703" s="1" t="str">
        <f ca="1">IFERROR(__xludf.DUMMYFUNCTION("GOOGLETRANSLATE(English!E2703, ""en"", ""bg"")"),"Имам затруднения с основите на периодичната таблица в домашното си.")</f>
        <v>Имам затруднения с основите на периодичната таблица в домашното си.</v>
      </c>
      <c r="F2703" s="1" t="str">
        <f ca="1">IFERROR(__xludf.DUMMYFUNCTION("GOOGLETRANSLATE(English!F2703,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2703" s="1" t="str">
        <f ca="1">IFERROR(__xludf.DUMMYFUNCTION("GOOGLETRANSLATE(English!G2703, ""en"", ""bg"")"),"помощ_за_домашно_изпълнение")</f>
        <v>помощ_за_домашно_изпълнение</v>
      </c>
      <c r="H2703" s="1" t="str">
        <f ca="1">IFERROR(__xludf.DUMMYFUNCTION("GOOGLETRANSLATE(English!H2703, ""en"", ""bg"")"),"помощ_за_домашно_задаване")</f>
        <v>помощ_за_домашно_задаване</v>
      </c>
    </row>
    <row r="2704" spans="1:8" ht="13.2" x14ac:dyDescent="0.25">
      <c r="A2704" s="1" t="str">
        <f ca="1">IFERROR(__xludf.DUMMYFUNCTION("GOOGLETRANSLATE(English!A2704, ""en"", ""bg"")"),"conv_02615")</f>
        <v>conv_02615</v>
      </c>
      <c r="B2704" s="1" t="str">
        <f ca="1">IFERROR(__xludf.DUMMYFUNCTION("GOOGLETRANSLATE(English!B2704, ""en"", ""bg"")"),"биология")</f>
        <v>биология</v>
      </c>
      <c r="C2704" s="1" t="str">
        <f ca="1">IFERROR(__xludf.DUMMYFUNCTION("GOOGLETRANSLATE(English!C2704, ""en"", ""bg"")"),"средата")</f>
        <v>средата</v>
      </c>
      <c r="D2704" s="1" t="str">
        <f ca="1">IFERROR(__xludf.DUMMYFUNCTION("GOOGLETRANSLATE(English!D2704, ""en"", ""bg"")"),"фотосинтеза")</f>
        <v>фотосинтеза</v>
      </c>
      <c r="E2704" s="1" t="str">
        <f ca="1">IFERROR(__xludf.DUMMYFUNCTION("GOOGLETRANSLATE(English!E2704, ""en"", ""bg"")"),"Здравей, преподавателю! Какво е важно да знаеш за фотосинтезата?")</f>
        <v>Здравей, преподавателю! Какво е важно да знаеш за фотосинтезата?</v>
      </c>
      <c r="F2704" s="1" t="str">
        <f ca="1">IFERROR(__xludf.DUMMYFUNCTION("GOOGLETRANSLATE(English!F2704,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2704" s="1" t="str">
        <f ca="1">IFERROR(__xludf.DUMMYFUNCTION("GOOGLETRANSLATE(English!G2704, ""en"", ""bg"")"),"разговор")</f>
        <v>разговор</v>
      </c>
      <c r="H2704" s="1" t="str">
        <f ca="1">IFERROR(__xludf.DUMMYFUNCTION("GOOGLETRANSLATE(English!H2704, ""en"", ""bg"")"),"образователна_помощ")</f>
        <v>образователна_помощ</v>
      </c>
    </row>
    <row r="2705" spans="1:8" ht="13.2" x14ac:dyDescent="0.25">
      <c r="A2705" s="1" t="str">
        <f ca="1">IFERROR(__xludf.DUMMYFUNCTION("GOOGLETRANSLATE(English!A2705, ""en"", ""bg"")"),"conv_13837")</f>
        <v>conv_13837</v>
      </c>
      <c r="B2705" s="1" t="str">
        <f ca="1">IFERROR(__xludf.DUMMYFUNCTION("GOOGLETRANSLATE(English!B2705, ""en"", ""bg"")"),"биология")</f>
        <v>биология</v>
      </c>
      <c r="C2705" s="1" t="str">
        <f ca="1">IFERROR(__xludf.DUMMYFUNCTION("GOOGLETRANSLATE(English!C2705, ""en"", ""bg"")"),"високо")</f>
        <v>високо</v>
      </c>
      <c r="D2705" s="1" t="str">
        <f ca="1">IFERROR(__xludf.DUMMYFUNCTION("GOOGLETRANSLATE(English!D2705, ""en"", ""bg"")"),"молекулярна биология")</f>
        <v>молекулярна биология</v>
      </c>
      <c r="E2705" s="1" t="str">
        <f ca="1">IFERROR(__xludf.DUMMYFUNCTION("GOOGLETRANSLATE(English!E2705, ""en"", ""bg"")"),"Здравей, преподавателю! Как работи молекулярната биология?")</f>
        <v>Здравей, преподавателю! Как работи молекулярната биология?</v>
      </c>
      <c r="F2705" s="1" t="str">
        <f ca="1">IFERROR(__xludf.DUMMYFUNCTION("GOOGLETRANSLATE(English!F2705,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2705" s="1" t="str">
        <f ca="1">IFERROR(__xludf.DUMMYFUNCTION("GOOGLETRANSLATE(English!G2705, ""en"", ""bg"")"),"разговор")</f>
        <v>разговор</v>
      </c>
      <c r="H2705" s="1" t="str">
        <f ca="1">IFERROR(__xludf.DUMMYFUNCTION("GOOGLETRANSLATE(English!H2705, ""en"", ""bg"")"),"образователна_помощ")</f>
        <v>образователна_помощ</v>
      </c>
    </row>
    <row r="2706" spans="1:8" ht="13.2" x14ac:dyDescent="0.25">
      <c r="A2706" s="1" t="str">
        <f ca="1">IFERROR(__xludf.DUMMYFUNCTION("GOOGLETRANSLATE(English!A2706, ""en"", ""bg"")"),"conv_07703")</f>
        <v>conv_07703</v>
      </c>
      <c r="B2706" s="1" t="str">
        <f ca="1">IFERROR(__xludf.DUMMYFUNCTION("GOOGLETRANSLATE(English!B2706, ""en"", ""bg"")"),"химия")</f>
        <v>химия</v>
      </c>
      <c r="C2706" s="1" t="str">
        <f ca="1">IFERROR(__xludf.DUMMYFUNCTION("GOOGLETRANSLATE(English!C2706, ""en"", ""bg"")"),"средата")</f>
        <v>средата</v>
      </c>
      <c r="D2706" s="1" t="str">
        <f ca="1">IFERROR(__xludf.DUMMYFUNCTION("GOOGLETRANSLATE(English!D2706, ""en"", ""bg"")"),"основи на периодичната таблица")</f>
        <v>основи на периодичната таблица</v>
      </c>
      <c r="E2706" s="1" t="str">
        <f ca="1">IFERROR(__xludf.DUMMYFUNCTION("GOOGLETRANSLATE(English!E2706, ""en"", ""bg"")"),"Можете ли да ми помогнете? Как се използват основите на периодичната таблица в химията?")</f>
        <v>Можете ли да ми помогнете? Как се използват основите на периодичната таблица в химията?</v>
      </c>
      <c r="F2706" s="1" t="str">
        <f ca="1">IFERROR(__xludf.DUMMYFUNCTION("GOOGLETRANSLATE(English!F2706,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2706" s="1" t="str">
        <f ca="1">IFERROR(__xludf.DUMMYFUNCTION("GOOGLETRANSLATE(English!G2706, ""en"", ""bg"")"),"разговор")</f>
        <v>разговор</v>
      </c>
      <c r="H2706" s="1" t="str">
        <f ca="1">IFERROR(__xludf.DUMMYFUNCTION("GOOGLETRANSLATE(English!H2706, ""en"", ""bg"")"),"образователна_помощ")</f>
        <v>образователна_помощ</v>
      </c>
    </row>
    <row r="2707" spans="1:8" ht="13.2" x14ac:dyDescent="0.25">
      <c r="A2707" s="1" t="str">
        <f ca="1">IFERROR(__xludf.DUMMYFUNCTION("GOOGLETRANSLATE(English!A2707, ""en"", ""bg"")"),"conv_11383")</f>
        <v>conv_11383</v>
      </c>
      <c r="B2707" s="1" t="str">
        <f ca="1">IFERROR(__xludf.DUMMYFUNCTION("GOOGLETRANSLATE(English!B2707, ""en"", ""bg"")"),"физика")</f>
        <v>физика</v>
      </c>
      <c r="C2707" s="1" t="str">
        <f ca="1">IFERROR(__xludf.DUMMYFUNCTION("GOOGLETRANSLATE(English!C2707, ""en"", ""bg"")"),"елементарен")</f>
        <v>елементарен</v>
      </c>
      <c r="D2707" s="1" t="str">
        <f ca="1">IFERROR(__xludf.DUMMYFUNCTION("GOOGLETRANSLATE(English!D2707, ""en"", ""bg"")"),"горещо и студено")</f>
        <v>горещо и студено</v>
      </c>
      <c r="E2707" s="1" t="str">
        <f ca="1">IFERROR(__xludf.DUMMYFUNCTION("GOOGLETRANSLATE(English!E2707, ""en"", ""bg"")"),"Не разбирам тази тема. Защо топлото и студеното са важни?")</f>
        <v>Не разбирам тази тема. Защо топлото и студеното са важни?</v>
      </c>
      <c r="F2707" s="1" t="str">
        <f ca="1">IFERROR(__xludf.DUMMYFUNCTION("GOOGLETRANSLATE(English!F2707,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2707" s="1" t="str">
        <f ca="1">IFERROR(__xludf.DUMMYFUNCTION("GOOGLETRANSLATE(English!G2707, ""en"", ""bg"")"),"разговор")</f>
        <v>разговор</v>
      </c>
      <c r="H2707" s="1" t="str">
        <f ca="1">IFERROR(__xludf.DUMMYFUNCTION("GOOGLETRANSLATE(English!H2707, ""en"", ""bg"")"),"образователна_помощ")</f>
        <v>образователна_помощ</v>
      </c>
    </row>
    <row r="2708" spans="1:8" ht="13.2" x14ac:dyDescent="0.25">
      <c r="A2708" s="1" t="str">
        <f ca="1">IFERROR(__xludf.DUMMYFUNCTION("GOOGLETRANSLATE(English!A2708, ""en"", ""bg"")"),"hw_08467")</f>
        <v>hw_08467</v>
      </c>
      <c r="B2708" s="1" t="str">
        <f ca="1">IFERROR(__xludf.DUMMYFUNCTION("GOOGLETRANSLATE(English!B2708, ""en"", ""bg"")"),"биология")</f>
        <v>биология</v>
      </c>
      <c r="C2708" s="1" t="str">
        <f ca="1">IFERROR(__xludf.DUMMYFUNCTION("GOOGLETRANSLATE(English!C2708, ""en"", ""bg"")"),"средата")</f>
        <v>средата</v>
      </c>
      <c r="D2708" s="1" t="str">
        <f ca="1">IFERROR(__xludf.DUMMYFUNCTION("GOOGLETRANSLATE(English!D2708, ""en"", ""bg"")"),"фотосинтеза")</f>
        <v>фотосинтеза</v>
      </c>
      <c r="E2708" s="1" t="str">
        <f ca="1">IFERROR(__xludf.DUMMYFUNCTION("GOOGLETRANSLATE(English!E2708, ""en"", ""bg"")"),"Можете ли да обясните фотосинтезата за моя научен проект?")</f>
        <v>Можете ли да обясните фотосинтезата за моя научен проект?</v>
      </c>
      <c r="F2708" s="1" t="str">
        <f ca="1">IFERROR(__xludf.DUMMYFUNCTION("GOOGLETRANSLATE(English!F2708,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2708" s="1" t="str">
        <f ca="1">IFERROR(__xludf.DUMMYFUNCTION("GOOGLETRANSLATE(English!G2708, ""en"", ""bg"")"),"помощ_за_домашно_изпълнение")</f>
        <v>помощ_за_домашно_изпълнение</v>
      </c>
      <c r="H2708" s="1" t="str">
        <f ca="1">IFERROR(__xludf.DUMMYFUNCTION("GOOGLETRANSLATE(English!H2708, ""en"", ""bg"")"),"помощ_за_домашно_задаване")</f>
        <v>помощ_за_домашно_задаване</v>
      </c>
    </row>
    <row r="2709" spans="1:8" ht="13.2" x14ac:dyDescent="0.25">
      <c r="A2709" s="1" t="str">
        <f ca="1">IFERROR(__xludf.DUMMYFUNCTION("GOOGLETRANSLATE(English!A2709, ""en"", ""bg"")"),"qa_14186")</f>
        <v>qa_14186</v>
      </c>
      <c r="B2709" s="1" t="str">
        <f ca="1">IFERROR(__xludf.DUMMYFUNCTION("GOOGLETRANSLATE(English!B2709, ""en"", ""bg"")"),"химия")</f>
        <v>химия</v>
      </c>
      <c r="C2709" s="1" t="str">
        <f ca="1">IFERROR(__xludf.DUMMYFUNCTION("GOOGLETRANSLATE(English!C2709, ""en"", ""bg"")"),"средата")</f>
        <v>средата</v>
      </c>
      <c r="D2709" s="1" t="str">
        <f ca="1">IFERROR(__xludf.DUMMYFUNCTION("GOOGLETRANSLATE(English!D2709, ""en"", ""bg"")"),"атоми и молекули")</f>
        <v>атоми и молекули</v>
      </c>
      <c r="E2709" s="1" t="str">
        <f ca="1">IFERROR(__xludf.DUMMYFUNCTION("GOOGLETRANSLATE(English!E2709, ""en"", ""bg"")"),"Кои са частите на един атом?")</f>
        <v>Кои са частите на един атом?</v>
      </c>
      <c r="F2709" s="1" t="str">
        <f ca="1">IFERROR(__xludf.DUMMYFUNCTION("GOOGLETRANSLATE(English!F2709,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2709" s="1" t="str">
        <f ca="1">IFERROR(__xludf.DUMMYFUNCTION("GOOGLETRANSLATE(English!G2709, ""en"", ""bg"")"),"direct_qa")</f>
        <v>direct_qa</v>
      </c>
      <c r="H2709" s="1" t="str">
        <f ca="1">IFERROR(__xludf.DUMMYFUNCTION("GOOGLETRANSLATE(English!H2709, ""en"", ""bg"")"),"заявка_за_знание")</f>
        <v>заявка_за_знание</v>
      </c>
    </row>
    <row r="2710" spans="1:8" ht="13.2" x14ac:dyDescent="0.25">
      <c r="A2710" s="1" t="str">
        <f ca="1">IFERROR(__xludf.DUMMYFUNCTION("GOOGLETRANSLATE(English!A2710, ""en"", ""bg"")"),"qa_13406")</f>
        <v>qa_13406</v>
      </c>
      <c r="B2710" s="1" t="str">
        <f ca="1">IFERROR(__xludf.DUMMYFUNCTION("GOOGLETRANSLATE(English!B2710, ""en"", ""bg"")"),"физика")</f>
        <v>физика</v>
      </c>
      <c r="C2710" s="1" t="str">
        <f ca="1">IFERROR(__xludf.DUMMYFUNCTION("GOOGLETRANSLATE(English!C2710, ""en"", ""bg"")"),"елементарен")</f>
        <v>елементарен</v>
      </c>
      <c r="D2710" s="1" t="str">
        <f ca="1">IFERROR(__xludf.DUMMYFUNCTION("GOOGLETRANSLATE(English!D2710, ""en"", ""bg"")"),"плаващ и потъващ")</f>
        <v>плаващ и потъващ</v>
      </c>
      <c r="E2710" s="1" t="str">
        <f ca="1">IFERROR(__xludf.DUMMYFUNCTION("GOOGLETRANSLATE(English!E2710, ""en"", ""bg"")"),"Как функционират плаването и потъването във физиката?")</f>
        <v>Как функционират плаването и потъването във физиката?</v>
      </c>
      <c r="F2710" s="1" t="str">
        <f ca="1">IFERROR(__xludf.DUMMYFUNCTION("GOOGLETRANSLATE(English!F2710,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2710" s="1" t="str">
        <f ca="1">IFERROR(__xludf.DUMMYFUNCTION("GOOGLETRANSLATE(English!G2710, ""en"", ""bg"")"),"direct_qa")</f>
        <v>direct_qa</v>
      </c>
      <c r="H2710" s="1" t="str">
        <f ca="1">IFERROR(__xludf.DUMMYFUNCTION("GOOGLETRANSLATE(English!H2710, ""en"", ""bg"")"),"заявка_за_знание")</f>
        <v>заявка_за_знание</v>
      </c>
    </row>
    <row r="2711" spans="1:8" ht="13.2" x14ac:dyDescent="0.25">
      <c r="A2711" s="1" t="str">
        <f ca="1">IFERROR(__xludf.DUMMYFUNCTION("GOOGLETRANSLATE(English!A2711, ""en"", ""bg"")"),"qa_13791")</f>
        <v>qa_13791</v>
      </c>
      <c r="B2711" s="1" t="str">
        <f ca="1">IFERROR(__xludf.DUMMYFUNCTION("GOOGLETRANSLATE(English!B2711, ""en"", ""bg"")"),"физика")</f>
        <v>физика</v>
      </c>
      <c r="C2711" s="1" t="str">
        <f ca="1">IFERROR(__xludf.DUMMYFUNCTION("GOOGLETRANSLATE(English!C2711, ""en"", ""bg"")"),"средата")</f>
        <v>средата</v>
      </c>
      <c r="D2711" s="1" t="str">
        <f ca="1">IFERROR(__xludf.DUMMYFUNCTION("GOOGLETRANSLATE(English!D2711, ""en"", ""bg"")"),"плътност")</f>
        <v>плътност</v>
      </c>
      <c r="E2711" s="1" t="str">
        <f ca="1">IFERROR(__xludf.DUMMYFUNCTION("GOOGLETRANSLATE(English!E2711, ""en"", ""bg"")"),"Как работи плътността във физиката?")</f>
        <v>Как работи плътността във физиката?</v>
      </c>
      <c r="F2711" s="1" t="str">
        <f ca="1">IFERROR(__xludf.DUMMYFUNCTION("GOOGLETRANSLATE(English!F2711,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2711" s="1" t="str">
        <f ca="1">IFERROR(__xludf.DUMMYFUNCTION("GOOGLETRANSLATE(English!G2711, ""en"", ""bg"")"),"direct_qa")</f>
        <v>direct_qa</v>
      </c>
      <c r="H2711" s="1" t="str">
        <f ca="1">IFERROR(__xludf.DUMMYFUNCTION("GOOGLETRANSLATE(English!H2711, ""en"", ""bg"")"),"заявка_за_знание")</f>
        <v>заявка_за_знание</v>
      </c>
    </row>
    <row r="2712" spans="1:8" ht="13.2" x14ac:dyDescent="0.25">
      <c r="A2712" s="1" t="str">
        <f ca="1">IFERROR(__xludf.DUMMYFUNCTION("GOOGLETRANSLATE(English!A2712, ""en"", ""bg"")"),"hw_12072")</f>
        <v>hw_12072</v>
      </c>
      <c r="B2712" s="1" t="str">
        <f ca="1">IFERROR(__xludf.DUMMYFUNCTION("GOOGLETRANSLATE(English!B2712, ""en"", ""bg"")"),"химия")</f>
        <v>химия</v>
      </c>
      <c r="C2712" s="1" t="str">
        <f ca="1">IFERROR(__xludf.DUMMYFUNCTION("GOOGLETRANSLATE(English!C2712, ""en"", ""bg"")"),"средата")</f>
        <v>средата</v>
      </c>
      <c r="D2712" s="1" t="str">
        <f ca="1">IFERROR(__xludf.DUMMYFUNCTION("GOOGLETRANSLATE(English!D2712, ""en"", ""bg"")"),"химични промени")</f>
        <v>химични промени</v>
      </c>
      <c r="E2712" s="1" t="str">
        <f ca="1">IFERROR(__xludf.DUMMYFUNCTION("GOOGLETRANSLATE(English!E2712,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2712" s="1" t="str">
        <f ca="1">IFERROR(__xludf.DUMMYFUNCTION("GOOGLETRANSLATE(English!F2712,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2712" s="1" t="str">
        <f ca="1">IFERROR(__xludf.DUMMYFUNCTION("GOOGLETRANSLATE(English!G2712, ""en"", ""bg"")"),"помощ_за_домашно_изпълнение")</f>
        <v>помощ_за_домашно_изпълнение</v>
      </c>
      <c r="H2712" s="1" t="str">
        <f ca="1">IFERROR(__xludf.DUMMYFUNCTION("GOOGLETRANSLATE(English!H2712, ""en"", ""bg"")"),"помощ_за_домашно_задаване")</f>
        <v>помощ_за_домашно_задаване</v>
      </c>
    </row>
    <row r="2713" spans="1:8" ht="13.2" x14ac:dyDescent="0.25">
      <c r="A2713" s="1" t="str">
        <f ca="1">IFERROR(__xludf.DUMMYFUNCTION("GOOGLETRANSLATE(English!A2713, ""en"", ""bg"")"),"qa_01566")</f>
        <v>qa_01566</v>
      </c>
      <c r="B2713" s="1" t="str">
        <f ca="1">IFERROR(__xludf.DUMMYFUNCTION("GOOGLETRANSLATE(English!B2713, ""en"", ""bg"")"),"биология")</f>
        <v>биология</v>
      </c>
      <c r="C2713" s="1" t="str">
        <f ca="1">IFERROR(__xludf.DUMMYFUNCTION("GOOGLETRANSLATE(English!C2713, ""en"", ""bg"")"),"елементарен")</f>
        <v>елементарен</v>
      </c>
      <c r="D2713" s="1" t="str">
        <f ca="1">IFERROR(__xludf.DUMMYFUNCTION("GOOGLETRANSLATE(English!D2713, ""en"", ""bg"")"),"хранителни вериги")</f>
        <v>хранителни вериги</v>
      </c>
      <c r="E2713" s="1" t="str">
        <f ca="1">IFERROR(__xludf.DUMMYFUNCTION("GOOGLETRANSLATE(English!E2713, ""en"", ""bg"")"),"Какво е важно да знаем за хранителните вериги?")</f>
        <v>Какво е важно да знаем за хранителните вериги?</v>
      </c>
      <c r="F2713" s="1" t="str">
        <f ca="1">IFERROR(__xludf.DUMMYFUNCTION("GOOGLETRANSLATE(English!F2713,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2713" s="1" t="str">
        <f ca="1">IFERROR(__xludf.DUMMYFUNCTION("GOOGLETRANSLATE(English!G2713, ""en"", ""bg"")"),"direct_qa")</f>
        <v>direct_qa</v>
      </c>
      <c r="H2713" s="1" t="str">
        <f ca="1">IFERROR(__xludf.DUMMYFUNCTION("GOOGLETRANSLATE(English!H2713, ""en"", ""bg"")"),"заявка_за_знание")</f>
        <v>заявка_за_знание</v>
      </c>
    </row>
    <row r="2714" spans="1:8" ht="13.2" x14ac:dyDescent="0.25">
      <c r="A2714" s="1" t="str">
        <f ca="1">IFERROR(__xludf.DUMMYFUNCTION("GOOGLETRANSLATE(English!A2714, ""en"", ""bg"")"),"qa_12119")</f>
        <v>qa_12119</v>
      </c>
      <c r="B2714" s="1" t="str">
        <f ca="1">IFERROR(__xludf.DUMMYFUNCTION("GOOGLETRANSLATE(English!B2714, ""en"", ""bg"")"),"химия")</f>
        <v>химия</v>
      </c>
      <c r="C2714" s="1" t="str">
        <f ca="1">IFERROR(__xludf.DUMMYFUNCTION("GOOGLETRANSLATE(English!C2714, ""en"", ""bg"")"),"високо")</f>
        <v>високо</v>
      </c>
      <c r="D2714" s="1" t="str">
        <f ca="1">IFERROR(__xludf.DUMMYFUNCTION("GOOGLETRANSLATE(English!D2714, ""en"", ""bg"")"),"електрохимия")</f>
        <v>електрохимия</v>
      </c>
      <c r="E2714" s="1" t="str">
        <f ca="1">IFERROR(__xludf.DUMMYFUNCTION("GOOGLETRANSLATE(English!E2714, ""en"", ""bg"")"),"Какво представлява електрохимията?")</f>
        <v>Какво представлява електрохимията?</v>
      </c>
      <c r="F2714" s="1" t="str">
        <f ca="1">IFERROR(__xludf.DUMMYFUNCTION("GOOGLETRANSLATE(English!F2714,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2714" s="1" t="str">
        <f ca="1">IFERROR(__xludf.DUMMYFUNCTION("GOOGLETRANSLATE(English!G2714, ""en"", ""bg"")"),"direct_qa")</f>
        <v>direct_qa</v>
      </c>
      <c r="H2714" s="1" t="str">
        <f ca="1">IFERROR(__xludf.DUMMYFUNCTION("GOOGLETRANSLATE(English!H2714, ""en"", ""bg"")"),"заявка_за_знание")</f>
        <v>заявка_за_знание</v>
      </c>
    </row>
    <row r="2715" spans="1:8" ht="13.2" x14ac:dyDescent="0.25">
      <c r="A2715" s="1" t="str">
        <f ca="1">IFERROR(__xludf.DUMMYFUNCTION("GOOGLETRANSLATE(English!A2715, ""en"", ""bg"")"),"conv_01377")</f>
        <v>conv_01377</v>
      </c>
      <c r="B2715" s="1" t="str">
        <f ca="1">IFERROR(__xludf.DUMMYFUNCTION("GOOGLETRANSLATE(English!B2715, ""en"", ""bg"")"),"физика")</f>
        <v>физика</v>
      </c>
      <c r="C2715" s="1" t="str">
        <f ca="1">IFERROR(__xludf.DUMMYFUNCTION("GOOGLETRANSLATE(English!C2715, ""en"", ""bg"")"),"средата")</f>
        <v>средата</v>
      </c>
      <c r="D2715" s="1" t="str">
        <f ca="1">IFERROR(__xludf.DUMMYFUNCTION("GOOGLETRANSLATE(English!D2715, ""en"", ""bg"")"),"състояния на материята")</f>
        <v>състояния на материята</v>
      </c>
      <c r="E2715" s="1" t="str">
        <f ca="1">IFERROR(__xludf.DUMMYFUNCTION("GOOGLETRANSLATE(English!E2715, ""en"", ""bg"")"),"Имам нужда от помощ с домашното. Какво трябва да знам за състоянията на материята?")</f>
        <v>Имам нужда от помощ с домашното. Какво трябва да знам за състоянията на материята?</v>
      </c>
      <c r="F2715" s="1" t="str">
        <f ca="1">IFERROR(__xludf.DUMMYFUNCTION("GOOGLETRANSLATE(English!F2715,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2715" s="1" t="str">
        <f ca="1">IFERROR(__xludf.DUMMYFUNCTION("GOOGLETRANSLATE(English!G2715, ""en"", ""bg"")"),"разговор")</f>
        <v>разговор</v>
      </c>
      <c r="H2715" s="1" t="str">
        <f ca="1">IFERROR(__xludf.DUMMYFUNCTION("GOOGLETRANSLATE(English!H2715, ""en"", ""bg"")"),"образователна_помощ")</f>
        <v>образователна_помощ</v>
      </c>
    </row>
    <row r="2716" spans="1:8" ht="13.2" x14ac:dyDescent="0.25">
      <c r="A2716" s="1" t="str">
        <f ca="1">IFERROR(__xludf.DUMMYFUNCTION("GOOGLETRANSLATE(English!A2716, ""en"", ""bg"")"),"conv_16181")</f>
        <v>conv_16181</v>
      </c>
      <c r="B2716" s="1" t="str">
        <f ca="1">IFERROR(__xludf.DUMMYFUNCTION("GOOGLETRANSLATE(English!B2716, ""en"", ""bg"")"),"физика")</f>
        <v>физика</v>
      </c>
      <c r="C2716" s="1" t="str">
        <f ca="1">IFERROR(__xludf.DUMMYFUNCTION("GOOGLETRANSLATE(English!C2716, ""en"", ""bg"")"),"елементарен")</f>
        <v>елементарен</v>
      </c>
      <c r="D2716" s="1" t="str">
        <f ca="1">IFERROR(__xludf.DUMMYFUNCTION("GOOGLETRANSLATE(English!D2716, ""en"", ""bg"")"),"прости машини")</f>
        <v>прости машини</v>
      </c>
      <c r="E2716" s="1" t="str">
        <f ca="1">IFERROR(__xludf.DUMMYFUNCTION("GOOGLETRANSLATE(English!E2716, ""en"", ""bg"")"),"Помогнете ми да уча за теста си. Защо простите машини са важни?")</f>
        <v>Помогнете ми да уча за теста си. Защо простите машини са важни?</v>
      </c>
      <c r="F2716" s="1" t="str">
        <f ca="1">IFERROR(__xludf.DUMMYFUNCTION("GOOGLETRANSLATE(English!F2716,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2716" s="1" t="str">
        <f ca="1">IFERROR(__xludf.DUMMYFUNCTION("GOOGLETRANSLATE(English!G2716, ""en"", ""bg"")"),"разговор")</f>
        <v>разговор</v>
      </c>
      <c r="H2716" s="1" t="str">
        <f ca="1">IFERROR(__xludf.DUMMYFUNCTION("GOOGLETRANSLATE(English!H2716, ""en"", ""bg"")"),"образователна_помощ")</f>
        <v>образователна_помощ</v>
      </c>
    </row>
    <row r="2717" spans="1:8" ht="13.2" x14ac:dyDescent="0.25">
      <c r="A2717" s="1" t="str">
        <f ca="1">IFERROR(__xludf.DUMMYFUNCTION("GOOGLETRANSLATE(English!A2717, ""en"", ""bg"")"),"conv_17404")</f>
        <v>conv_17404</v>
      </c>
      <c r="B2717" s="1" t="str">
        <f ca="1">IFERROR(__xludf.DUMMYFUNCTION("GOOGLETRANSLATE(English!B2717, ""en"", ""bg"")"),"физика")</f>
        <v>физика</v>
      </c>
      <c r="C2717" s="1" t="str">
        <f ca="1">IFERROR(__xludf.DUMMYFUNCTION("GOOGLETRANSLATE(English!C2717, ""en"", ""bg"")"),"средата")</f>
        <v>средата</v>
      </c>
      <c r="D2717" s="1" t="str">
        <f ca="1">IFERROR(__xludf.DUMMYFUNCTION("GOOGLETRANSLATE(English!D2717, ""en"", ""bg"")"),"прости схеми")</f>
        <v>прости схеми</v>
      </c>
      <c r="E2717" s="1" t="str">
        <f ca="1">IFERROR(__xludf.DUMMYFUNCTION("GOOGLETRANSLATE(English!E2717, ""en"", ""bg"")"),"Не разбирам тази тема. Как работят прости електрически вериги във физиката?")</f>
        <v>Не разбирам тази тема. Как работят прости електрически вериги във физиката?</v>
      </c>
      <c r="F2717" s="1" t="str">
        <f ca="1">IFERROR(__xludf.DUMMYFUNCTION("GOOGLETRANSLATE(English!F2717,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2717" s="1" t="str">
        <f ca="1">IFERROR(__xludf.DUMMYFUNCTION("GOOGLETRANSLATE(English!G2717, ""en"", ""bg"")"),"разговор")</f>
        <v>разговор</v>
      </c>
      <c r="H2717" s="1" t="str">
        <f ca="1">IFERROR(__xludf.DUMMYFUNCTION("GOOGLETRANSLATE(English!H2717, ""en"", ""bg"")"),"образователна_помощ")</f>
        <v>образователна_помощ</v>
      </c>
    </row>
    <row r="2718" spans="1:8" ht="13.2" x14ac:dyDescent="0.25">
      <c r="A2718" s="1" t="str">
        <f ca="1">IFERROR(__xludf.DUMMYFUNCTION("GOOGLETRANSLATE(English!A2718, ""en"", ""bg"")"),"conv_13276")</f>
        <v>conv_13276</v>
      </c>
      <c r="B2718" s="1" t="str">
        <f ca="1">IFERROR(__xludf.DUMMYFUNCTION("GOOGLETRANSLATE(English!B2718, ""en"", ""bg"")"),"химия")</f>
        <v>химия</v>
      </c>
      <c r="C2718" s="1" t="str">
        <f ca="1">IFERROR(__xludf.DUMMYFUNCTION("GOOGLETRANSLATE(English!C2718, ""en"", ""bg"")"),"високо")</f>
        <v>високо</v>
      </c>
      <c r="D2718" s="1" t="str">
        <f ca="1">IFERROR(__xludf.DUMMYFUNCTION("GOOGLETRANSLATE(English!D2718, ""en"", ""bg"")"),"стехиометрия")</f>
        <v>стехиометрия</v>
      </c>
      <c r="E2718" s="1" t="str">
        <f ca="1">IFERROR(__xludf.DUMMYFUNCTION("GOOGLETRANSLATE(English!E2718, ""en"", ""bg"")"),"Здравей, преподавателю! Как работи стехиометрията в химията?")</f>
        <v>Здравей, преподавателю! Как работи стехиометрията в химията?</v>
      </c>
      <c r="F2718" s="1" t="str">
        <f ca="1">IFERROR(__xludf.DUMMYFUNCTION("GOOGLETRANSLATE(English!F2718,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2718" s="1" t="str">
        <f ca="1">IFERROR(__xludf.DUMMYFUNCTION("GOOGLETRANSLATE(English!G2718, ""en"", ""bg"")"),"разговор")</f>
        <v>разговор</v>
      </c>
      <c r="H2718" s="1" t="str">
        <f ca="1">IFERROR(__xludf.DUMMYFUNCTION("GOOGLETRANSLATE(English!H2718, ""en"", ""bg"")"),"образователна_помощ")</f>
        <v>образователна_помощ</v>
      </c>
    </row>
    <row r="2719" spans="1:8" ht="13.2" x14ac:dyDescent="0.25">
      <c r="A2719" s="1" t="str">
        <f ca="1">IFERROR(__xludf.DUMMYFUNCTION("GOOGLETRANSLATE(English!A2719, ""en"", ""bg"")"),"conv_10871")</f>
        <v>conv_10871</v>
      </c>
      <c r="B2719" s="1" t="str">
        <f ca="1">IFERROR(__xludf.DUMMYFUNCTION("GOOGLETRANSLATE(English!B2719, ""en"", ""bg"")"),"химия")</f>
        <v>химия</v>
      </c>
      <c r="C2719" s="1" t="str">
        <f ca="1">IFERROR(__xludf.DUMMYFUNCTION("GOOGLETRANSLATE(English!C2719, ""en"", ""bg"")"),"средата")</f>
        <v>средата</v>
      </c>
      <c r="D2719" s="1" t="str">
        <f ca="1">IFERROR(__xludf.DUMMYFUNCTION("GOOGLETRANSLATE(English!D2719, ""en"", ""bg"")"),"съединения срещу елементи")</f>
        <v>съединения срещу елементи</v>
      </c>
      <c r="E2719" s="1" t="str">
        <f ca="1">IFERROR(__xludf.DUMMYFUNCTION("GOOGLETRANSLATE(English!E2719, ""en"", ""bg"")"),"Здравей, преподавателю! Защо е важно да се учи разликата между съединения и елементи?")</f>
        <v>Здравей, преподавателю! Защо е важно да се учи разликата между съединения и елементи?</v>
      </c>
      <c r="F2719" s="1" t="str">
        <f ca="1">IFERROR(__xludf.DUMMYFUNCTION("GOOGLETRANSLATE(English!F2719,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2719" s="1" t="str">
        <f ca="1">IFERROR(__xludf.DUMMYFUNCTION("GOOGLETRANSLATE(English!G2719, ""en"", ""bg"")"),"разговор")</f>
        <v>разговор</v>
      </c>
      <c r="H2719" s="1" t="str">
        <f ca="1">IFERROR(__xludf.DUMMYFUNCTION("GOOGLETRANSLATE(English!H2719, ""en"", ""bg"")"),"образователна_помощ")</f>
        <v>образователна_помощ</v>
      </c>
    </row>
    <row r="2720" spans="1:8" ht="13.2" x14ac:dyDescent="0.25">
      <c r="A2720" s="1" t="str">
        <f ca="1">IFERROR(__xludf.DUMMYFUNCTION("GOOGLETRANSLATE(English!A2720, ""en"", ""bg"")"),"hw_00847")</f>
        <v>hw_00847</v>
      </c>
      <c r="B2720" s="1" t="str">
        <f ca="1">IFERROR(__xludf.DUMMYFUNCTION("GOOGLETRANSLATE(English!B2720, ""en"", ""bg"")"),"биология")</f>
        <v>биология</v>
      </c>
      <c r="C2720" s="1" t="str">
        <f ca="1">IFERROR(__xludf.DUMMYFUNCTION("GOOGLETRANSLATE(English!C2720, ""en"", ""bg"")"),"средата")</f>
        <v>средата</v>
      </c>
      <c r="D2720" s="1" t="str">
        <f ca="1">IFERROR(__xludf.DUMMYFUNCTION("GOOGLETRANSLATE(English!D2720, ""en"", ""bg"")"),"екосистеми")</f>
        <v>екосистеми</v>
      </c>
      <c r="E2720" s="1" t="str">
        <f ca="1">IFERROR(__xludf.DUMMYFUNCTION("GOOGLETRANSLATE(English!E2720, ""en"", ""bg"")"),"Домашното ми пита за екосистемите. Не го разбирам.")</f>
        <v>Домашното ми пита за екосистемите. Не го разбирам.</v>
      </c>
      <c r="F2720" s="1" t="str">
        <f ca="1">IFERROR(__xludf.DUMMYFUNCTION("GOOGLETRANSLATE(English!F2720,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2720" s="1" t="str">
        <f ca="1">IFERROR(__xludf.DUMMYFUNCTION("GOOGLETRANSLATE(English!G2720, ""en"", ""bg"")"),"помощ_за_домашно_изпълнение")</f>
        <v>помощ_за_домашно_изпълнение</v>
      </c>
      <c r="H2720" s="1" t="str">
        <f ca="1">IFERROR(__xludf.DUMMYFUNCTION("GOOGLETRANSLATE(English!H2720, ""en"", ""bg"")"),"помощ_за_домашно_задаване")</f>
        <v>помощ_за_домашно_задаване</v>
      </c>
    </row>
    <row r="2721" spans="1:8" ht="13.2" x14ac:dyDescent="0.25">
      <c r="A2721" s="1" t="str">
        <f ca="1">IFERROR(__xludf.DUMMYFUNCTION("GOOGLETRANSLATE(English!A2721, ""en"", ""bg"")"),"qa_11486")</f>
        <v>qa_11486</v>
      </c>
      <c r="B2721" s="1" t="str">
        <f ca="1">IFERROR(__xludf.DUMMYFUNCTION("GOOGLETRANSLATE(English!B2721, ""en"", ""bg"")"),"химия")</f>
        <v>химия</v>
      </c>
      <c r="C2721" s="1" t="str">
        <f ca="1">IFERROR(__xludf.DUMMYFUNCTION("GOOGLETRANSLATE(English!C2721, ""en"", ""bg"")"),"елементарен")</f>
        <v>елементарен</v>
      </c>
      <c r="D2721" s="1" t="str">
        <f ca="1">IFERROR(__xludf.DUMMYFUNCTION("GOOGLETRANSLATE(English!D2721, ""en"", ""bg"")"),"твърди вещества, течности, газове")</f>
        <v>твърди вещества, течности, газове</v>
      </c>
      <c r="E2721" s="1" t="str">
        <f ca="1">IFERROR(__xludf.DUMMYFUNCTION("GOOGLETRANSLATE(English!E2721, ""en"", ""bg"")"),"Какво се случва, когато нагрявате твърдо вещество?")</f>
        <v>Какво се случва, когато нагрявате твърдо вещество?</v>
      </c>
      <c r="F2721" s="1" t="str">
        <f ca="1">IFERROR(__xludf.DUMMYFUNCTION("GOOGLETRANSLATE(English!F2721,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2721" s="1" t="str">
        <f ca="1">IFERROR(__xludf.DUMMYFUNCTION("GOOGLETRANSLATE(English!G2721, ""en"", ""bg"")"),"direct_qa")</f>
        <v>direct_qa</v>
      </c>
      <c r="H2721" s="1" t="str">
        <f ca="1">IFERROR(__xludf.DUMMYFUNCTION("GOOGLETRANSLATE(English!H2721, ""en"", ""bg"")"),"заявка_за_знание")</f>
        <v>заявка_за_знание</v>
      </c>
    </row>
    <row r="2722" spans="1:8" ht="13.2" x14ac:dyDescent="0.25">
      <c r="A2722" s="1" t="str">
        <f ca="1">IFERROR(__xludf.DUMMYFUNCTION("GOOGLETRANSLATE(English!A2722, ""en"", ""bg"")"),"qa_06687")</f>
        <v>qa_06687</v>
      </c>
      <c r="B2722" s="1" t="str">
        <f ca="1">IFERROR(__xludf.DUMMYFUNCTION("GOOGLETRANSLATE(English!B2722, ""en"", ""bg"")"),"физика")</f>
        <v>физика</v>
      </c>
      <c r="C2722" s="1" t="str">
        <f ca="1">IFERROR(__xludf.DUMMYFUNCTION("GOOGLETRANSLATE(English!C2722, ""en"", ""bg"")"),"високо")</f>
        <v>високо</v>
      </c>
      <c r="D2722" s="1" t="str">
        <f ca="1">IFERROR(__xludf.DUMMYFUNCTION("GOOGLETRANSLATE(English!D2722, ""en"", ""bg"")"),"електромагнетизъм")</f>
        <v>електромагнетизъм</v>
      </c>
      <c r="E2722" s="1" t="str">
        <f ca="1">IFERROR(__xludf.DUMMYFUNCTION("GOOGLETRANSLATE(English!E2722, ""en"", ""bg"")"),"Как работи електромагнетизмът във физиката?")</f>
        <v>Как работи електромагнетизмът във физиката?</v>
      </c>
      <c r="F2722" s="1" t="str">
        <f ca="1">IFERROR(__xludf.DUMMYFUNCTION("GOOGLETRANSLATE(English!F2722,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2722" s="1" t="str">
        <f ca="1">IFERROR(__xludf.DUMMYFUNCTION("GOOGLETRANSLATE(English!G2722, ""en"", ""bg"")"),"direct_qa")</f>
        <v>direct_qa</v>
      </c>
      <c r="H2722" s="1" t="str">
        <f ca="1">IFERROR(__xludf.DUMMYFUNCTION("GOOGLETRANSLATE(English!H2722, ""en"", ""bg"")"),"заявка_за_знание")</f>
        <v>заявка_за_знание</v>
      </c>
    </row>
    <row r="2723" spans="1:8" ht="13.2" x14ac:dyDescent="0.25">
      <c r="A2723" s="1" t="str">
        <f ca="1">IFERROR(__xludf.DUMMYFUNCTION("GOOGLETRANSLATE(English!A2723, ""en"", ""bg"")"),"conv_16549")</f>
        <v>conv_16549</v>
      </c>
      <c r="B2723" s="1" t="str">
        <f ca="1">IFERROR(__xludf.DUMMYFUNCTION("GOOGLETRANSLATE(English!B2723, ""en"", ""bg"")"),"химия")</f>
        <v>химия</v>
      </c>
      <c r="C2723" s="1" t="str">
        <f ca="1">IFERROR(__xludf.DUMMYFUNCTION("GOOGLETRANSLATE(English!C2723, ""en"", ""bg"")"),"средата")</f>
        <v>средата</v>
      </c>
      <c r="D2723" s="1" t="str">
        <f ca="1">IFERROR(__xludf.DUMMYFUNCTION("GOOGLETRANSLATE(English!D2723, ""en"", ""bg"")"),"химични промени")</f>
        <v>химични промени</v>
      </c>
      <c r="E2723" s="1" t="str">
        <f ca="1">IFERROR(__xludf.DUMMYFUNCTION("GOOGLETRANSLATE(English!E2723, ""en"", ""bg"")"),"Имам научен въпрос. Как протичат химичните промени в химията?")</f>
        <v>Имам научен въпрос. Как протичат химичните промени в химията?</v>
      </c>
      <c r="F2723" s="1" t="str">
        <f ca="1">IFERROR(__xludf.DUMMYFUNCTION("GOOGLETRANSLATE(English!F2723,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2723" s="1" t="str">
        <f ca="1">IFERROR(__xludf.DUMMYFUNCTION("GOOGLETRANSLATE(English!G2723, ""en"", ""bg"")"),"разговор")</f>
        <v>разговор</v>
      </c>
      <c r="H2723" s="1" t="str">
        <f ca="1">IFERROR(__xludf.DUMMYFUNCTION("GOOGLETRANSLATE(English!H2723, ""en"", ""bg"")"),"образователна_помощ")</f>
        <v>образователна_помощ</v>
      </c>
    </row>
    <row r="2724" spans="1:8" ht="13.2" x14ac:dyDescent="0.25">
      <c r="A2724" s="1" t="str">
        <f ca="1">IFERROR(__xludf.DUMMYFUNCTION("GOOGLETRANSLATE(English!A2724, ""en"", ""bg"")"),"qa_11607")</f>
        <v>qa_11607</v>
      </c>
      <c r="B2724" s="1" t="str">
        <f ca="1">IFERROR(__xludf.DUMMYFUNCTION("GOOGLETRANSLATE(English!B2724, ""en"", ""bg"")"),"физика")</f>
        <v>физика</v>
      </c>
      <c r="C2724" s="1" t="str">
        <f ca="1">IFERROR(__xludf.DUMMYFUNCTION("GOOGLETRANSLATE(English!C2724, ""en"", ""bg"")"),"средата")</f>
        <v>средата</v>
      </c>
      <c r="D2724" s="1" t="str">
        <f ca="1">IFERROR(__xludf.DUMMYFUNCTION("GOOGLETRANSLATE(English!D2724, ""en"", ""bg"")"),"плътност")</f>
        <v>плътност</v>
      </c>
      <c r="E2724" s="1" t="str">
        <f ca="1">IFERROR(__xludf.DUMMYFUNCTION("GOOGLETRANSLATE(English!E2724, ""en"", ""bg"")"),"Какво трябва да знам за плътността?")</f>
        <v>Какво трябва да знам за плътността?</v>
      </c>
      <c r="F2724" s="1" t="str">
        <f ca="1">IFERROR(__xludf.DUMMYFUNCTION("GOOGLETRANSLATE(English!F2724,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2724" s="1" t="str">
        <f ca="1">IFERROR(__xludf.DUMMYFUNCTION("GOOGLETRANSLATE(English!G2724, ""en"", ""bg"")"),"direct_qa")</f>
        <v>direct_qa</v>
      </c>
      <c r="H2724" s="1" t="str">
        <f ca="1">IFERROR(__xludf.DUMMYFUNCTION("GOOGLETRANSLATE(English!H2724, ""en"", ""bg"")"),"заявка_за_знание")</f>
        <v>заявка_за_знание</v>
      </c>
    </row>
    <row r="2725" spans="1:8" ht="13.2" x14ac:dyDescent="0.25">
      <c r="A2725" s="1" t="str">
        <f ca="1">IFERROR(__xludf.DUMMYFUNCTION("GOOGLETRANSLATE(English!A2725, ""en"", ""bg"")"),"conv_03018")</f>
        <v>conv_03018</v>
      </c>
      <c r="B2725" s="1" t="str">
        <f ca="1">IFERROR(__xludf.DUMMYFUNCTION("GOOGLETRANSLATE(English!B2725, ""en"", ""bg"")"),"физика")</f>
        <v>физика</v>
      </c>
      <c r="C2725" s="1" t="str">
        <f ca="1">IFERROR(__xludf.DUMMYFUNCTION("GOOGLETRANSLATE(English!C2725, ""en"", ""bg"")"),"средата")</f>
        <v>средата</v>
      </c>
      <c r="D2725" s="1" t="str">
        <f ca="1">IFERROR(__xludf.DUMMYFUNCTION("GOOGLETRANSLATE(English!D2725, ""en"", ""bg"")"),"основи на електричеството")</f>
        <v>основи на електричеството</v>
      </c>
      <c r="E2725" s="1" t="str">
        <f ca="1">IFERROR(__xludf.DUMMYFUNCTION("GOOGLETRANSLATE(English!E2725, ""en"", ""bg"")"),"Здравей, преподавателю! Как се прилагат основите на електричеството във физиката?")</f>
        <v>Здравей, преподавателю! Как се прилагат основите на електричеството във физиката?</v>
      </c>
      <c r="F2725" s="1" t="str">
        <f ca="1">IFERROR(__xludf.DUMMYFUNCTION("GOOGLETRANSLATE(English!F2725,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2725" s="1" t="str">
        <f ca="1">IFERROR(__xludf.DUMMYFUNCTION("GOOGLETRANSLATE(English!G2725, ""en"", ""bg"")"),"разговор")</f>
        <v>разговор</v>
      </c>
      <c r="H2725" s="1" t="str">
        <f ca="1">IFERROR(__xludf.DUMMYFUNCTION("GOOGLETRANSLATE(English!H2725, ""en"", ""bg"")"),"образователна_помощ")</f>
        <v>образователна_помощ</v>
      </c>
    </row>
    <row r="2726" spans="1:8" ht="13.2" x14ac:dyDescent="0.25">
      <c r="A2726" s="1" t="str">
        <f ca="1">IFERROR(__xludf.DUMMYFUNCTION("GOOGLETRANSLATE(English!A2726, ""en"", ""bg"")"),"qa_07251")</f>
        <v>qa_07251</v>
      </c>
      <c r="B2726" s="1" t="str">
        <f ca="1">IFERROR(__xludf.DUMMYFUNCTION("GOOGLETRANSLATE(English!B2726, ""en"", ""bg"")"),"физика")</f>
        <v>физика</v>
      </c>
      <c r="C2726" s="1" t="str">
        <f ca="1">IFERROR(__xludf.DUMMYFUNCTION("GOOGLETRANSLATE(English!C2726, ""en"", ""bg"")"),"елементарен")</f>
        <v>елементарен</v>
      </c>
      <c r="D2726" s="1" t="str">
        <f ca="1">IFERROR(__xludf.DUMMYFUNCTION("GOOGLETRANSLATE(English!D2726, ""en"", ""bg"")"),"магнити")</f>
        <v>магнити</v>
      </c>
      <c r="E2726" s="1" t="str">
        <f ca="1">IFERROR(__xludf.DUMMYFUNCTION("GOOGLETRANSLATE(English!E2726, ""en"", ""bg"")"),"Можете ли да направите магнит по-силен?")</f>
        <v>Можете ли да направите магнит по-силен?</v>
      </c>
      <c r="F2726" s="1" t="str">
        <f ca="1">IFERROR(__xludf.DUMMYFUNCTION("GOOGLETRANSLATE(English!F2726,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2726" s="1" t="str">
        <f ca="1">IFERROR(__xludf.DUMMYFUNCTION("GOOGLETRANSLATE(English!G2726, ""en"", ""bg"")"),"direct_qa")</f>
        <v>direct_qa</v>
      </c>
      <c r="H2726" s="1" t="str">
        <f ca="1">IFERROR(__xludf.DUMMYFUNCTION("GOOGLETRANSLATE(English!H2726, ""en"", ""bg"")"),"заявка_за_знание")</f>
        <v>заявка_за_знание</v>
      </c>
    </row>
    <row r="2727" spans="1:8" ht="13.2" x14ac:dyDescent="0.25">
      <c r="A2727" s="1" t="str">
        <f ca="1">IFERROR(__xludf.DUMMYFUNCTION("GOOGLETRANSLATE(English!A2727, ""en"", ""bg"")"),"conv_00043")</f>
        <v>conv_00043</v>
      </c>
      <c r="B2727" s="1" t="str">
        <f ca="1">IFERROR(__xludf.DUMMYFUNCTION("GOOGLETRANSLATE(English!B2727, ""en"", ""bg"")"),"химия")</f>
        <v>химия</v>
      </c>
      <c r="C2727" s="1" t="str">
        <f ca="1">IFERROR(__xludf.DUMMYFUNCTION("GOOGLETRANSLATE(English!C2727, ""en"", ""bg"")"),"елементарен")</f>
        <v>елементарен</v>
      </c>
      <c r="D2727" s="1" t="str">
        <f ca="1">IFERROR(__xludf.DUMMYFUNCTION("GOOGLETRANSLATE(English!D2727, ""en"", ""bg"")"),"твърди вещества, течности, газове")</f>
        <v>твърди вещества, течности, газове</v>
      </c>
      <c r="E2727" s="1" t="str">
        <f ca="1">IFERROR(__xludf.DUMMYFUNCTION("GOOGLETRANSLATE(English!E2727, ""en"", ""bg"")"),"Не разбирам тази тема. Какво се случва, когато нагряваш твърдо вещество?")</f>
        <v>Не разбирам тази тема. Какво се случва, когато нагряваш твърдо вещество?</v>
      </c>
      <c r="F2727" s="1" t="str">
        <f ca="1">IFERROR(__xludf.DUMMYFUNCTION("GOOGLETRANSLATE(English!F2727,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2727" s="1" t="str">
        <f ca="1">IFERROR(__xludf.DUMMYFUNCTION("GOOGLETRANSLATE(English!G2727, ""en"", ""bg"")"),"разговор")</f>
        <v>разговор</v>
      </c>
      <c r="H2727" s="1" t="str">
        <f ca="1">IFERROR(__xludf.DUMMYFUNCTION("GOOGLETRANSLATE(English!H2727, ""en"", ""bg"")"),"образователна_помощ")</f>
        <v>образователна_помощ</v>
      </c>
    </row>
    <row r="2728" spans="1:8" ht="13.2" x14ac:dyDescent="0.25">
      <c r="A2728" s="1" t="str">
        <f ca="1">IFERROR(__xludf.DUMMYFUNCTION("GOOGLETRANSLATE(English!A2728, ""en"", ""bg"")"),"conv_02428")</f>
        <v>conv_02428</v>
      </c>
      <c r="B2728" s="1" t="str">
        <f ca="1">IFERROR(__xludf.DUMMYFUNCTION("GOOGLETRANSLATE(English!B2728, ""en"", ""bg"")"),"физика")</f>
        <v>физика</v>
      </c>
      <c r="C2728" s="1" t="str">
        <f ca="1">IFERROR(__xludf.DUMMYFUNCTION("GOOGLETRANSLATE(English!C2728, ""en"", ""bg"")"),"високо")</f>
        <v>високо</v>
      </c>
      <c r="D2728" s="1" t="str">
        <f ca="1">IFERROR(__xludf.DUMMYFUNCTION("GOOGLETRANSLATE(English!D2728, ""en"", ""bg"")"),"радиоактивност")</f>
        <v>радиоактивност</v>
      </c>
      <c r="E2728" s="1" t="str">
        <f ca="1">IFERROR(__xludf.DUMMYFUNCTION("GOOGLETRANSLATE(English!E2728, ""en"", ""bg"")"),"Имам нужда от помощ с домашното. Какво трябва да знам за радиоактивността?")</f>
        <v>Имам нужда от помощ с домашното. Какво трябва да знам за радиоактивността?</v>
      </c>
      <c r="F2728" s="1" t="str">
        <f ca="1">IFERROR(__xludf.DUMMYFUNCTION("GOOGLETRANSLATE(English!F2728,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2728" s="1" t="str">
        <f ca="1">IFERROR(__xludf.DUMMYFUNCTION("GOOGLETRANSLATE(English!G2728, ""en"", ""bg"")"),"разговор")</f>
        <v>разговор</v>
      </c>
      <c r="H2728" s="1" t="str">
        <f ca="1">IFERROR(__xludf.DUMMYFUNCTION("GOOGLETRANSLATE(English!H2728, ""en"", ""bg"")"),"образователна_помощ")</f>
        <v>образователна_помощ</v>
      </c>
    </row>
    <row r="2729" spans="1:8" ht="13.2" x14ac:dyDescent="0.25">
      <c r="A2729" s="1" t="str">
        <f ca="1">IFERROR(__xludf.DUMMYFUNCTION("GOOGLETRANSLATE(English!A2729, ""en"", ""bg"")"),"conv_09776")</f>
        <v>conv_09776</v>
      </c>
      <c r="B2729" s="1" t="str">
        <f ca="1">IFERROR(__xludf.DUMMYFUNCTION("GOOGLETRANSLATE(English!B2729, ""en"", ""bg"")"),"химия")</f>
        <v>химия</v>
      </c>
      <c r="C2729" s="1" t="str">
        <f ca="1">IFERROR(__xludf.DUMMYFUNCTION("GOOGLETRANSLATE(English!C2729, ""en"", ""bg"")"),"елементарен")</f>
        <v>елементарен</v>
      </c>
      <c r="D2729" s="1" t="str">
        <f ca="1">IFERROR(__xludf.DUMMYFUNCTION("GOOGLETRANSLATE(English!D2729, ""en"", ""bg"")"),"смесване на материали")</f>
        <v>смесване на материали</v>
      </c>
      <c r="E2729" s="1" t="str">
        <f ca="1">IFERROR(__xludf.DUMMYFUNCTION("GOOGLETRANSLATE(English!E2729, ""en"", ""bg"")"),"Не разбирам тази тема. Защо някои неща се разтварят, а други не?")</f>
        <v>Не разбирам тази тема. Защо някои неща се разтварят, а други не?</v>
      </c>
      <c r="F2729" s="1" t="str">
        <f ca="1">IFERROR(__xludf.DUMMYFUNCTION("GOOGLETRANSLATE(English!F2729,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2729" s="1" t="str">
        <f ca="1">IFERROR(__xludf.DUMMYFUNCTION("GOOGLETRANSLATE(English!G2729, ""en"", ""bg"")"),"разговор")</f>
        <v>разговор</v>
      </c>
      <c r="H2729" s="1" t="str">
        <f ca="1">IFERROR(__xludf.DUMMYFUNCTION("GOOGLETRANSLATE(English!H2729, ""en"", ""bg"")"),"образователна_помощ")</f>
        <v>образователна_помощ</v>
      </c>
    </row>
    <row r="2730" spans="1:8" ht="13.2" x14ac:dyDescent="0.25">
      <c r="A2730" s="1" t="str">
        <f ca="1">IFERROR(__xludf.DUMMYFUNCTION("GOOGLETRANSLATE(English!A2730, ""en"", ""bg"")"),"hw_02569")</f>
        <v>hw_02569</v>
      </c>
      <c r="B2730" s="1" t="str">
        <f ca="1">IFERROR(__xludf.DUMMYFUNCTION("GOOGLETRANSLATE(English!B2730, ""en"", ""bg"")"),"биология")</f>
        <v>биология</v>
      </c>
      <c r="C2730" s="1" t="str">
        <f ca="1">IFERROR(__xludf.DUMMYFUNCTION("GOOGLETRANSLATE(English!C2730, ""en"", ""bg"")"),"високо")</f>
        <v>високо</v>
      </c>
      <c r="D2730" s="1" t="str">
        <f ca="1">IFERROR(__xludf.DUMMYFUNCTION("GOOGLETRANSLATE(English!D2730, ""en"", ""bg"")"),"синтез на протеини")</f>
        <v>синтез на протеини</v>
      </c>
      <c r="E2730" s="1" t="str">
        <f ca="1">IFERROR(__xludf.DUMMYFUNCTION("GOOGLETRANSLATE(English!E2730, ""en"", ""bg"")"),"Домашното ми пита за синтеза на протеини. Не го разбирам.")</f>
        <v>Домашното ми пита за синтеза на протеини. Не го разбирам.</v>
      </c>
      <c r="F2730" s="1" t="str">
        <f ca="1">IFERROR(__xludf.DUMMYFUNCTION("GOOGLETRANSLATE(English!F2730,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2730" s="1" t="str">
        <f ca="1">IFERROR(__xludf.DUMMYFUNCTION("GOOGLETRANSLATE(English!G2730, ""en"", ""bg"")"),"помощ_за_домашно_изпълнение")</f>
        <v>помощ_за_домашно_изпълнение</v>
      </c>
      <c r="H2730" s="1" t="str">
        <f ca="1">IFERROR(__xludf.DUMMYFUNCTION("GOOGLETRANSLATE(English!H2730, ""en"", ""bg"")"),"помощ_за_домашно_задаване")</f>
        <v>помощ_за_домашно_задаване</v>
      </c>
    </row>
    <row r="2731" spans="1:8" ht="13.2" x14ac:dyDescent="0.25">
      <c r="A2731" s="1" t="str">
        <f ca="1">IFERROR(__xludf.DUMMYFUNCTION("GOOGLETRANSLATE(English!A2731, ""en"", ""bg"")"),"conv_13634")</f>
        <v>conv_13634</v>
      </c>
      <c r="B2731" s="1" t="str">
        <f ca="1">IFERROR(__xludf.DUMMYFUNCTION("GOOGLETRANSLATE(English!B2731, ""en"", ""bg"")"),"физика")</f>
        <v>физика</v>
      </c>
      <c r="C2731" s="1" t="str">
        <f ca="1">IFERROR(__xludf.DUMMYFUNCTION("GOOGLETRANSLATE(English!C2731, ""en"", ""bg"")"),"елементарен")</f>
        <v>елементарен</v>
      </c>
      <c r="D2731" s="1" t="str">
        <f ca="1">IFERROR(__xludf.DUMMYFUNCTION("GOOGLETRANSLATE(English!D2731, ""en"", ""bg"")"),"бутане и дърпане")</f>
        <v>бутане и дърпане</v>
      </c>
      <c r="E2731" s="1" t="str">
        <f ca="1">IFERROR(__xludf.DUMMYFUNCTION("GOOGLETRANSLATE(English!E2731, ""en"", ""bg"")"),"Имам научен въпрос. Как работят тласкането и дърпането във физиката?")</f>
        <v>Имам научен въпрос. Как работят тласкането и дърпането във физиката?</v>
      </c>
      <c r="F2731" s="1" t="str">
        <f ca="1">IFERROR(__xludf.DUMMYFUNCTION("GOOGLETRANSLATE(English!F2731,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2731" s="1" t="str">
        <f ca="1">IFERROR(__xludf.DUMMYFUNCTION("GOOGLETRANSLATE(English!G2731, ""en"", ""bg"")"),"разговор")</f>
        <v>разговор</v>
      </c>
      <c r="H2731" s="1" t="str">
        <f ca="1">IFERROR(__xludf.DUMMYFUNCTION("GOOGLETRANSLATE(English!H2731, ""en"", ""bg"")"),"образователна_помощ")</f>
        <v>образователна_помощ</v>
      </c>
    </row>
    <row r="2732" spans="1:8" ht="13.2" x14ac:dyDescent="0.25">
      <c r="A2732" s="1" t="str">
        <f ca="1">IFERROR(__xludf.DUMMYFUNCTION("GOOGLETRANSLATE(English!A2732, ""en"", ""bg"")"),"qa_08412")</f>
        <v>qa_08412</v>
      </c>
      <c r="B2732" s="1" t="str">
        <f ca="1">IFERROR(__xludf.DUMMYFUNCTION("GOOGLETRANSLATE(English!B2732, ""en"", ""bg"")"),"биология")</f>
        <v>биология</v>
      </c>
      <c r="C2732" s="1" t="str">
        <f ca="1">IFERROR(__xludf.DUMMYFUNCTION("GOOGLETRANSLATE(English!C2732, ""en"", ""bg"")"),"средата")</f>
        <v>средата</v>
      </c>
      <c r="D2732" s="1" t="str">
        <f ca="1">IFERROR(__xludf.DUMMYFUNCTION("GOOGLETRANSLATE(English!D2732, ""en"", ""bg"")"),"основи на генетиката")</f>
        <v>основи на генетиката</v>
      </c>
      <c r="E2732" s="1" t="str">
        <f ca="1">IFERROR(__xludf.DUMMYFUNCTION("GOOGLETRANSLATE(English!E2732, ""en"", ""bg"")"),"Можете ли да ми разкажете за основите на генетиката?")</f>
        <v>Можете ли да ми разкажете за основите на генетиката?</v>
      </c>
      <c r="F2732" s="1" t="str">
        <f ca="1">IFERROR(__xludf.DUMMYFUNCTION("GOOGLETRANSLATE(English!F2732,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2732" s="1" t="str">
        <f ca="1">IFERROR(__xludf.DUMMYFUNCTION("GOOGLETRANSLATE(English!G2732, ""en"", ""bg"")"),"direct_qa")</f>
        <v>direct_qa</v>
      </c>
      <c r="H2732" s="1" t="str">
        <f ca="1">IFERROR(__xludf.DUMMYFUNCTION("GOOGLETRANSLATE(English!H2732, ""en"", ""bg"")"),"заявка_за_знание")</f>
        <v>заявка_за_знание</v>
      </c>
    </row>
    <row r="2733" spans="1:8" ht="13.2" x14ac:dyDescent="0.25">
      <c r="A2733" s="1" t="str">
        <f ca="1">IFERROR(__xludf.DUMMYFUNCTION("GOOGLETRANSLATE(English!A2733, ""en"", ""bg"")"),"hw_05819")</f>
        <v>hw_05819</v>
      </c>
      <c r="B2733" s="1" t="str">
        <f ca="1">IFERROR(__xludf.DUMMYFUNCTION("GOOGLETRANSLATE(English!B2733, ""en"", ""bg"")"),"биология")</f>
        <v>биология</v>
      </c>
      <c r="C2733" s="1" t="str">
        <f ca="1">IFERROR(__xludf.DUMMYFUNCTION("GOOGLETRANSLATE(English!C2733, ""en"", ""bg"")"),"високо")</f>
        <v>високо</v>
      </c>
      <c r="D2733" s="1" t="str">
        <f ca="1">IFERROR(__xludf.DUMMYFUNCTION("GOOGLETRANSLATE(English!D2733, ""en"", ""bg"")"),"молекулярна биология")</f>
        <v>молекулярна биология</v>
      </c>
      <c r="E2733" s="1" t="str">
        <f ca="1">IFERROR(__xludf.DUMMYFUNCTION("GOOGLETRANSLATE(English!E2733, ""en"", ""bg"")"),"Утре имам тест по молекулярна биология. Помогни ми да уча!")</f>
        <v>Утре имам тест по молекулярна биология. Помогни ми да уча!</v>
      </c>
      <c r="F2733" s="1" t="str">
        <f ca="1">IFERROR(__xludf.DUMMYFUNCTION("GOOGLETRANSLATE(English!F2733,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2733" s="1" t="str">
        <f ca="1">IFERROR(__xludf.DUMMYFUNCTION("GOOGLETRANSLATE(English!G2733, ""en"", ""bg"")"),"помощ_за_домашно_изпълнение")</f>
        <v>помощ_за_домашно_изпълнение</v>
      </c>
      <c r="H2733" s="1" t="str">
        <f ca="1">IFERROR(__xludf.DUMMYFUNCTION("GOOGLETRANSLATE(English!H2733, ""en"", ""bg"")"),"помощ_за_домашно_задаване")</f>
        <v>помощ_за_домашно_задаване</v>
      </c>
    </row>
    <row r="2734" spans="1:8" ht="13.2" x14ac:dyDescent="0.25">
      <c r="A2734" s="1" t="str">
        <f ca="1">IFERROR(__xludf.DUMMYFUNCTION("GOOGLETRANSLATE(English!A2734, ""en"", ""bg"")"),"conv_14152")</f>
        <v>conv_14152</v>
      </c>
      <c r="B2734" s="1" t="str">
        <f ca="1">IFERROR(__xludf.DUMMYFUNCTION("GOOGLETRANSLATE(English!B2734, ""en"", ""bg"")"),"химия")</f>
        <v>химия</v>
      </c>
      <c r="C2734" s="1" t="str">
        <f ca="1">IFERROR(__xludf.DUMMYFUNCTION("GOOGLETRANSLATE(English!C2734, ""en"", ""bg"")"),"елементарен")</f>
        <v>елементарен</v>
      </c>
      <c r="D2734" s="1" t="str">
        <f ca="1">IFERROR(__xludf.DUMMYFUNCTION("GOOGLETRANSLATE(English!D2734, ""en"", ""bg"")"),"смесване на материали")</f>
        <v>смесване на материали</v>
      </c>
      <c r="E2734" s="1" t="str">
        <f ca="1">IFERROR(__xludf.DUMMYFUNCTION("GOOGLETRANSLATE(English!E2734, ""en"", ""bg"")"),"Имам научен въпрос: Защо някои неща се разтварят, а други не?")</f>
        <v>Имам научен въпрос: Защо някои неща се разтварят, а други не?</v>
      </c>
      <c r="F2734" s="1" t="str">
        <f ca="1">IFERROR(__xludf.DUMMYFUNCTION("GOOGLETRANSLATE(English!F2734,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2734" s="1" t="str">
        <f ca="1">IFERROR(__xludf.DUMMYFUNCTION("GOOGLETRANSLATE(English!G2734, ""en"", ""bg"")"),"разговор")</f>
        <v>разговор</v>
      </c>
      <c r="H2734" s="1" t="str">
        <f ca="1">IFERROR(__xludf.DUMMYFUNCTION("GOOGLETRANSLATE(English!H2734, ""en"", ""bg"")"),"образователна_помощ")</f>
        <v>образователна_помощ</v>
      </c>
    </row>
    <row r="2735" spans="1:8" ht="13.2" x14ac:dyDescent="0.25">
      <c r="A2735" s="1" t="str">
        <f ca="1">IFERROR(__xludf.DUMMYFUNCTION("GOOGLETRANSLATE(English!A2735, ""en"", ""bg"")"),"qa_00155")</f>
        <v>qa_00155</v>
      </c>
      <c r="B2735" s="1" t="str">
        <f ca="1">IFERROR(__xludf.DUMMYFUNCTION("GOOGLETRANSLATE(English!B2735, ""en"", ""bg"")"),"биология")</f>
        <v>биология</v>
      </c>
      <c r="C2735" s="1" t="str">
        <f ca="1">IFERROR(__xludf.DUMMYFUNCTION("GOOGLETRANSLATE(English!C2735, ""en"", ""bg"")"),"високо")</f>
        <v>високо</v>
      </c>
      <c r="D2735" s="1" t="str">
        <f ca="1">IFERROR(__xludf.DUMMYFUNCTION("GOOGLETRANSLATE(English!D2735, ""en"", ""bg"")"),"митоза и мейоза")</f>
        <v>митоза и мейоза</v>
      </c>
      <c r="E2735" s="1" t="str">
        <f ca="1">IFERROR(__xludf.DUMMYFUNCTION("GOOGLETRANSLATE(English!E2735, ""en"", ""bg"")"),"Как протичат митозата и мейозата?")</f>
        <v>Как протичат митозата и мейозата?</v>
      </c>
      <c r="F2735" s="1" t="str">
        <f ca="1">IFERROR(__xludf.DUMMYFUNCTION("GOOGLETRANSLATE(English!F2735,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2735" s="1" t="str">
        <f ca="1">IFERROR(__xludf.DUMMYFUNCTION("GOOGLETRANSLATE(English!G2735, ""en"", ""bg"")"),"direct_qa")</f>
        <v>direct_qa</v>
      </c>
      <c r="H2735" s="1" t="str">
        <f ca="1">IFERROR(__xludf.DUMMYFUNCTION("GOOGLETRANSLATE(English!H2735, ""en"", ""bg"")"),"заявка_за_знание")</f>
        <v>заявка_за_знание</v>
      </c>
    </row>
    <row r="2736" spans="1:8" ht="13.2" x14ac:dyDescent="0.25">
      <c r="A2736" s="1" t="str">
        <f ca="1">IFERROR(__xludf.DUMMYFUNCTION("GOOGLETRANSLATE(English!A2736, ""en"", ""bg"")"),"conv_19332")</f>
        <v>conv_19332</v>
      </c>
      <c r="B2736" s="1" t="str">
        <f ca="1">IFERROR(__xludf.DUMMYFUNCTION("GOOGLETRANSLATE(English!B2736, ""en"", ""bg"")"),"химия")</f>
        <v>химия</v>
      </c>
      <c r="C2736" s="1" t="str">
        <f ca="1">IFERROR(__xludf.DUMMYFUNCTION("GOOGLETRANSLATE(English!C2736, ""en"", ""bg"")"),"елементарен")</f>
        <v>елементарен</v>
      </c>
      <c r="D2736" s="1" t="str">
        <f ca="1">IFERROR(__xludf.DUMMYFUNCTION("GOOGLETRANSLATE(English!D2736, ""en"", ""bg"")"),"твърди вещества, течности, газове")</f>
        <v>твърди вещества, течности, газове</v>
      </c>
      <c r="E2736" s="1" t="str">
        <f ca="1">IFERROR(__xludf.DUMMYFUNCTION("GOOGLETRANSLATE(English!E2736, ""en"", ""bg"")"),"Имам научен въпрос: Защо ледът плава по водата?")</f>
        <v>Имам научен въпрос: Защо ледът плава по водата?</v>
      </c>
      <c r="F2736" s="1" t="str">
        <f ca="1">IFERROR(__xludf.DUMMYFUNCTION("GOOGLETRANSLATE(English!F2736,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2736" s="1" t="str">
        <f ca="1">IFERROR(__xludf.DUMMYFUNCTION("GOOGLETRANSLATE(English!G2736, ""en"", ""bg"")"),"разговор")</f>
        <v>разговор</v>
      </c>
      <c r="H2736" s="1" t="str">
        <f ca="1">IFERROR(__xludf.DUMMYFUNCTION("GOOGLETRANSLATE(English!H2736, ""en"", ""bg"")"),"образователна_помощ")</f>
        <v>образователна_помощ</v>
      </c>
    </row>
    <row r="2737" spans="1:8" ht="13.2" x14ac:dyDescent="0.25">
      <c r="A2737" s="1" t="str">
        <f ca="1">IFERROR(__xludf.DUMMYFUNCTION("GOOGLETRANSLATE(English!A2737, ""en"", ""bg"")"),"hw_14400")</f>
        <v>hw_14400</v>
      </c>
      <c r="B2737" s="1" t="str">
        <f ca="1">IFERROR(__xludf.DUMMYFUNCTION("GOOGLETRANSLATE(English!B2737, ""en"", ""bg"")"),"химия")</f>
        <v>химия</v>
      </c>
      <c r="C2737" s="1" t="str">
        <f ca="1">IFERROR(__xludf.DUMMYFUNCTION("GOOGLETRANSLATE(English!C2737, ""en"", ""bg"")"),"високо")</f>
        <v>високо</v>
      </c>
      <c r="D2737" s="1" t="str">
        <f ca="1">IFERROR(__xludf.DUMMYFUNCTION("GOOGLETRANSLATE(English!D2737, ""en"", ""bg"")"),"органична химия")</f>
        <v>органична химия</v>
      </c>
      <c r="E2737" s="1" t="str">
        <f ca="1">IFERROR(__xludf.DUMMYFUNCTION("GOOGLETRANSLATE(English!E2737, ""en"", ""bg"")"),"Имам затруднения с органичната химия в домашното си.")</f>
        <v>Имам затруднения с органичната химия в домашното си.</v>
      </c>
      <c r="F2737" s="1" t="str">
        <f ca="1">IFERROR(__xludf.DUMMYFUNCTION("GOOGLETRANSLATE(English!F2737,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2737" s="1" t="str">
        <f ca="1">IFERROR(__xludf.DUMMYFUNCTION("GOOGLETRANSLATE(English!G2737, ""en"", ""bg"")"),"помощ_за_домашно_изпълнение")</f>
        <v>помощ_за_домашно_изпълнение</v>
      </c>
      <c r="H2737" s="1" t="str">
        <f ca="1">IFERROR(__xludf.DUMMYFUNCTION("GOOGLETRANSLATE(English!H2737, ""en"", ""bg"")"),"помощ_за_домашно_задаване")</f>
        <v>помощ_за_домашно_задаване</v>
      </c>
    </row>
    <row r="2738" spans="1:8" ht="13.2" x14ac:dyDescent="0.25">
      <c r="A2738" s="1" t="str">
        <f ca="1">IFERROR(__xludf.DUMMYFUNCTION("GOOGLETRANSLATE(English!A2738, ""en"", ""bg"")"),"hw_03211")</f>
        <v>hw_03211</v>
      </c>
      <c r="B2738" s="1" t="str">
        <f ca="1">IFERROR(__xludf.DUMMYFUNCTION("GOOGLETRANSLATE(English!B2738, ""en"", ""bg"")"),"химия")</f>
        <v>химия</v>
      </c>
      <c r="C2738" s="1" t="str">
        <f ca="1">IFERROR(__xludf.DUMMYFUNCTION("GOOGLETRANSLATE(English!C2738, ""en"", ""bg"")"),"елементарен")</f>
        <v>елементарен</v>
      </c>
      <c r="D2738" s="1" t="str">
        <f ca="1">IFERROR(__xludf.DUMMYFUNCTION("GOOGLETRANSLATE(English!D2738, ""en"", ""bg"")"),"промени в материалите")</f>
        <v>промени в материалите</v>
      </c>
      <c r="E2738" s="1" t="str">
        <f ca="1">IFERROR(__xludf.DUMMYFUNCTION("GOOGLETRANSLATE(English!E2738,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2738" s="1" t="str">
        <f ca="1">IFERROR(__xludf.DUMMYFUNCTION("GOOGLETRANSLATE(English!F2738,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738" s="1" t="str">
        <f ca="1">IFERROR(__xludf.DUMMYFUNCTION("GOOGLETRANSLATE(English!G2738, ""en"", ""bg"")"),"помощ_за_домашно_изпълнение")</f>
        <v>помощ_за_домашно_изпълнение</v>
      </c>
      <c r="H2738" s="1" t="str">
        <f ca="1">IFERROR(__xludf.DUMMYFUNCTION("GOOGLETRANSLATE(English!H2738, ""en"", ""bg"")"),"помощ_за_домашно_задаване")</f>
        <v>помощ_за_домашно_задаване</v>
      </c>
    </row>
    <row r="2739" spans="1:8" ht="13.2" x14ac:dyDescent="0.25">
      <c r="A2739" s="1" t="str">
        <f ca="1">IFERROR(__xludf.DUMMYFUNCTION("GOOGLETRANSLATE(English!A2739, ""en"", ""bg"")"),"qa_02104")</f>
        <v>qa_02104</v>
      </c>
      <c r="B2739" s="1" t="str">
        <f ca="1">IFERROR(__xludf.DUMMYFUNCTION("GOOGLETRANSLATE(English!B2739, ""en"", ""bg"")"),"физика")</f>
        <v>физика</v>
      </c>
      <c r="C2739" s="1" t="str">
        <f ca="1">IFERROR(__xludf.DUMMYFUNCTION("GOOGLETRANSLATE(English!C2739, ""en"", ""bg"")"),"елементарен")</f>
        <v>елементарен</v>
      </c>
      <c r="D2739" s="1" t="str">
        <f ca="1">IFERROR(__xludf.DUMMYFUNCTION("GOOGLETRANSLATE(English!D2739, ""en"", ""bg"")"),"горещо и студено")</f>
        <v>горещо и студено</v>
      </c>
      <c r="E2739" s="1" t="str">
        <f ca="1">IFERROR(__xludf.DUMMYFUNCTION("GOOGLETRANSLATE(English!E2739, ""en"", ""bg"")"),"Защо е важно топлото и студеното?")</f>
        <v>Защо е важно топлото и студеното?</v>
      </c>
      <c r="F2739" s="1" t="str">
        <f ca="1">IFERROR(__xludf.DUMMYFUNCTION("GOOGLETRANSLATE(English!F2739,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2739" s="1" t="str">
        <f ca="1">IFERROR(__xludf.DUMMYFUNCTION("GOOGLETRANSLATE(English!G2739, ""en"", ""bg"")"),"direct_qa")</f>
        <v>direct_qa</v>
      </c>
      <c r="H2739" s="1" t="str">
        <f ca="1">IFERROR(__xludf.DUMMYFUNCTION("GOOGLETRANSLATE(English!H2739, ""en"", ""bg"")"),"заявка_за_знание")</f>
        <v>заявка_за_знание</v>
      </c>
    </row>
    <row r="2740" spans="1:8" ht="13.2" x14ac:dyDescent="0.25">
      <c r="A2740" s="1" t="str">
        <f ca="1">IFERROR(__xludf.DUMMYFUNCTION("GOOGLETRANSLATE(English!A2740, ""en"", ""bg"")"),"conv_15284")</f>
        <v>conv_15284</v>
      </c>
      <c r="B2740" s="1" t="str">
        <f ca="1">IFERROR(__xludf.DUMMYFUNCTION("GOOGLETRANSLATE(English!B2740, ""en"", ""bg"")"),"биология")</f>
        <v>биология</v>
      </c>
      <c r="C2740" s="1" t="str">
        <f ca="1">IFERROR(__xludf.DUMMYFUNCTION("GOOGLETRANSLATE(English!C2740, ""en"", ""bg"")"),"средата")</f>
        <v>средата</v>
      </c>
      <c r="D2740" s="1" t="str">
        <f ca="1">IFERROR(__xludf.DUMMYFUNCTION("GOOGLETRANSLATE(English!D2740, ""en"", ""bg"")"),"размножаване")</f>
        <v>размножаване</v>
      </c>
      <c r="E2740" s="1" t="str">
        <f ca="1">IFERROR(__xludf.DUMMYFUNCTION("GOOGLETRANSLATE(English!E2740, ""en"", ""bg"")"),"Можете ли да ми обясните това? Как работи размножаването?")</f>
        <v>Можете ли да ми обясните това? Как работи размножаването?</v>
      </c>
      <c r="F2740" s="1" t="str">
        <f ca="1">IFERROR(__xludf.DUMMYFUNCTION("GOOGLETRANSLATE(English!F2740,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2740" s="1" t="str">
        <f ca="1">IFERROR(__xludf.DUMMYFUNCTION("GOOGLETRANSLATE(English!G2740, ""en"", ""bg"")"),"разговор")</f>
        <v>разговор</v>
      </c>
      <c r="H2740" s="1" t="str">
        <f ca="1">IFERROR(__xludf.DUMMYFUNCTION("GOOGLETRANSLATE(English!H2740, ""en"", ""bg"")"),"образователна_помощ")</f>
        <v>образователна_помощ</v>
      </c>
    </row>
    <row r="2741" spans="1:8" ht="13.2" x14ac:dyDescent="0.25">
      <c r="A2741" s="1" t="str">
        <f ca="1">IFERROR(__xludf.DUMMYFUNCTION("GOOGLETRANSLATE(English!A2741, ""en"", ""bg"")"),"hw_07769")</f>
        <v>hw_07769</v>
      </c>
      <c r="B2741" s="1" t="str">
        <f ca="1">IFERROR(__xludf.DUMMYFUNCTION("GOOGLETRANSLATE(English!B2741, ""en"", ""bg"")"),"химия")</f>
        <v>химия</v>
      </c>
      <c r="C2741" s="1" t="str">
        <f ca="1">IFERROR(__xludf.DUMMYFUNCTION("GOOGLETRANSLATE(English!C2741, ""en"", ""bg"")"),"средата")</f>
        <v>средата</v>
      </c>
      <c r="D2741" s="1" t="str">
        <f ca="1">IFERROR(__xludf.DUMMYFUNCTION("GOOGLETRANSLATE(English!D2741, ""en"", ""bg"")"),"основи на периодичната таблица")</f>
        <v>основи на периодичната таблица</v>
      </c>
      <c r="E2741" s="1" t="str">
        <f ca="1">IFERROR(__xludf.DUMMYFUNCTION("GOOGLETRANSLATE(English!E2741, ""en"", ""bg"")"),"Моят доклад по химия е за основите на периодичната таблица. Помогнете ми да разбера.")</f>
        <v>Моят доклад по химия е за основите на периодичната таблица. Помогнете ми да разбера.</v>
      </c>
      <c r="F2741" s="1" t="str">
        <f ca="1">IFERROR(__xludf.DUMMYFUNCTION("GOOGLETRANSLATE(English!F2741,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2741" s="1" t="str">
        <f ca="1">IFERROR(__xludf.DUMMYFUNCTION("GOOGLETRANSLATE(English!G2741, ""en"", ""bg"")"),"помощ_за_домашно_изпълнение")</f>
        <v>помощ_за_домашно_изпълнение</v>
      </c>
      <c r="H2741" s="1" t="str">
        <f ca="1">IFERROR(__xludf.DUMMYFUNCTION("GOOGLETRANSLATE(English!H2741, ""en"", ""bg"")"),"помощ_за_домашно_задаване")</f>
        <v>помощ_за_домашно_задаване</v>
      </c>
    </row>
    <row r="2742" spans="1:8" ht="13.2" x14ac:dyDescent="0.25">
      <c r="A2742" s="1" t="str">
        <f ca="1">IFERROR(__xludf.DUMMYFUNCTION("GOOGLETRANSLATE(English!A2742, ""en"", ""bg"")"),"qa_00119")</f>
        <v>qa_00119</v>
      </c>
      <c r="B2742" s="1" t="str">
        <f ca="1">IFERROR(__xludf.DUMMYFUNCTION("GOOGLETRANSLATE(English!B2742, ""en"", ""bg"")"),"физика")</f>
        <v>физика</v>
      </c>
      <c r="C2742" s="1" t="str">
        <f ca="1">IFERROR(__xludf.DUMMYFUNCTION("GOOGLETRANSLATE(English!C2742, ""en"", ""bg"")"),"високо")</f>
        <v>високо</v>
      </c>
      <c r="D2742" s="1" t="str">
        <f ca="1">IFERROR(__xludf.DUMMYFUNCTION("GOOGLETRANSLATE(English!D2742, ""en"", ""bg"")"),"термодинамика")</f>
        <v>термодинамика</v>
      </c>
      <c r="E2742" s="1" t="str">
        <f ca="1">IFERROR(__xludf.DUMMYFUNCTION("GOOGLETRANSLATE(English!E2742, ""en"", ""bg"")"),"Какво трябва да знам за термодинамиката?")</f>
        <v>Какво трябва да знам за термодинамиката?</v>
      </c>
      <c r="F2742" s="1" t="str">
        <f ca="1">IFERROR(__xludf.DUMMYFUNCTION("GOOGLETRANSLATE(English!F2742,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2742" s="1" t="str">
        <f ca="1">IFERROR(__xludf.DUMMYFUNCTION("GOOGLETRANSLATE(English!G2742, ""en"", ""bg"")"),"direct_qa")</f>
        <v>direct_qa</v>
      </c>
      <c r="H2742" s="1" t="str">
        <f ca="1">IFERROR(__xludf.DUMMYFUNCTION("GOOGLETRANSLATE(English!H2742, ""en"", ""bg"")"),"заявка_за_знание")</f>
        <v>заявка_за_знание</v>
      </c>
    </row>
    <row r="2743" spans="1:8" ht="13.2" x14ac:dyDescent="0.25">
      <c r="A2743" s="1" t="str">
        <f ca="1">IFERROR(__xludf.DUMMYFUNCTION("GOOGLETRANSLATE(English!A2743, ""en"", ""bg"")"),"conv_04076")</f>
        <v>conv_04076</v>
      </c>
      <c r="B2743" s="1" t="str">
        <f ca="1">IFERROR(__xludf.DUMMYFUNCTION("GOOGLETRANSLATE(English!B2743, ""en"", ""bg"")"),"физика")</f>
        <v>физика</v>
      </c>
      <c r="C2743" s="1" t="str">
        <f ca="1">IFERROR(__xludf.DUMMYFUNCTION("GOOGLETRANSLATE(English!C2743, ""en"", ""bg"")"),"елементарен")</f>
        <v>елементарен</v>
      </c>
      <c r="D2743" s="1" t="str">
        <f ca="1">IFERROR(__xludf.DUMMYFUNCTION("GOOGLETRANSLATE(English!D2743, ""en"", ""bg"")"),"плаващ и потъващ")</f>
        <v>плаващ и потъващ</v>
      </c>
      <c r="E2743" s="1" t="str">
        <f ca="1">IFERROR(__xludf.DUMMYFUNCTION("GOOGLETRANSLATE(English!E2743, ""en"", ""bg"")"),"Не разбирам тази тема. Защо е важно да се носиш и да потъваш?")</f>
        <v>Не разбирам тази тема. Защо е важно да се носиш и да потъваш?</v>
      </c>
      <c r="F2743" s="1" t="str">
        <f ca="1">IFERROR(__xludf.DUMMYFUNCTION("GOOGLETRANSLATE(English!F2743,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2743" s="1" t="str">
        <f ca="1">IFERROR(__xludf.DUMMYFUNCTION("GOOGLETRANSLATE(English!G2743, ""en"", ""bg"")"),"разговор")</f>
        <v>разговор</v>
      </c>
      <c r="H2743" s="1" t="str">
        <f ca="1">IFERROR(__xludf.DUMMYFUNCTION("GOOGLETRANSLATE(English!H2743, ""en"", ""bg"")"),"образователна_помощ")</f>
        <v>образователна_помощ</v>
      </c>
    </row>
    <row r="2744" spans="1:8" ht="13.2" x14ac:dyDescent="0.25">
      <c r="A2744" s="1" t="str">
        <f ca="1">IFERROR(__xludf.DUMMYFUNCTION("GOOGLETRANSLATE(English!A2744, ""en"", ""bg"")"),"conv_17846")</f>
        <v>conv_17846</v>
      </c>
      <c r="B2744" s="1" t="str">
        <f ca="1">IFERROR(__xludf.DUMMYFUNCTION("GOOGLETRANSLATE(English!B2744, ""en"", ""bg"")"),"химия")</f>
        <v>химия</v>
      </c>
      <c r="C2744" s="1" t="str">
        <f ca="1">IFERROR(__xludf.DUMMYFUNCTION("GOOGLETRANSLATE(English!C2744, ""en"", ""bg"")"),"високо")</f>
        <v>високо</v>
      </c>
      <c r="D2744" s="1" t="str">
        <f ca="1">IFERROR(__xludf.DUMMYFUNCTION("GOOGLETRANSLATE(English!D2744, ""en"", ""bg"")"),"химическо свързване")</f>
        <v>химическо свързване</v>
      </c>
      <c r="E2744" s="1" t="str">
        <f ca="1">IFERROR(__xludf.DUMMYFUNCTION("GOOGLETRANSLATE(English!E2744, ""en"", ""bg"")"),"Можете ли да ми обясните това? Как работи химическата връзка в химията?")</f>
        <v>Можете ли да ми обясните това? Как работи химическата връзка в химията?</v>
      </c>
      <c r="F2744" s="1" t="str">
        <f ca="1">IFERROR(__xludf.DUMMYFUNCTION("GOOGLETRANSLATE(English!F2744,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2744" s="1" t="str">
        <f ca="1">IFERROR(__xludf.DUMMYFUNCTION("GOOGLETRANSLATE(English!G2744, ""en"", ""bg"")"),"разговор")</f>
        <v>разговор</v>
      </c>
      <c r="H2744" s="1" t="str">
        <f ca="1">IFERROR(__xludf.DUMMYFUNCTION("GOOGLETRANSLATE(English!H2744, ""en"", ""bg"")"),"образователна_помощ")</f>
        <v>образователна_помощ</v>
      </c>
    </row>
    <row r="2745" spans="1:8" ht="13.2" x14ac:dyDescent="0.25">
      <c r="A2745" s="1" t="str">
        <f ca="1">IFERROR(__xludf.DUMMYFUNCTION("GOOGLETRANSLATE(English!A2745, ""en"", ""bg"")"),"conv_15116")</f>
        <v>conv_15116</v>
      </c>
      <c r="B2745" s="1" t="str">
        <f ca="1">IFERROR(__xludf.DUMMYFUNCTION("GOOGLETRANSLATE(English!B2745, ""en"", ""bg"")"),"физика")</f>
        <v>физика</v>
      </c>
      <c r="C2745" s="1" t="str">
        <f ca="1">IFERROR(__xludf.DUMMYFUNCTION("GOOGLETRANSLATE(English!C2745, ""en"", ""bg"")"),"елементарен")</f>
        <v>елементарен</v>
      </c>
      <c r="D2745" s="1" t="str">
        <f ca="1">IFERROR(__xludf.DUMMYFUNCTION("GOOGLETRANSLATE(English!D2745, ""en"", ""bg"")"),"прости машини")</f>
        <v>прости машини</v>
      </c>
      <c r="E2745" s="1" t="str">
        <f ca="1">IFERROR(__xludf.DUMMYFUNCTION("GOOGLETRANSLATE(English!E2745, ""en"", ""bg"")"),"Можете ли да ми помогнете? Как работят прости машини във физиката?")</f>
        <v>Можете ли да ми помогнете? Как работят прости машини във физиката?</v>
      </c>
      <c r="F2745" s="1" t="str">
        <f ca="1">IFERROR(__xludf.DUMMYFUNCTION("GOOGLETRANSLATE(English!F2745,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2745" s="1" t="str">
        <f ca="1">IFERROR(__xludf.DUMMYFUNCTION("GOOGLETRANSLATE(English!G2745, ""en"", ""bg"")"),"разговор")</f>
        <v>разговор</v>
      </c>
      <c r="H2745" s="1" t="str">
        <f ca="1">IFERROR(__xludf.DUMMYFUNCTION("GOOGLETRANSLATE(English!H2745, ""en"", ""bg"")"),"образователна_помощ")</f>
        <v>образователна_помощ</v>
      </c>
    </row>
    <row r="2746" spans="1:8" ht="13.2" x14ac:dyDescent="0.25">
      <c r="A2746" s="1" t="str">
        <f ca="1">IFERROR(__xludf.DUMMYFUNCTION("GOOGLETRANSLATE(English!A2746, ""en"", ""bg"")"),"conv_09172")</f>
        <v>conv_09172</v>
      </c>
      <c r="B2746" s="1" t="str">
        <f ca="1">IFERROR(__xludf.DUMMYFUNCTION("GOOGLETRANSLATE(English!B2746, ""en"", ""bg"")"),"химия")</f>
        <v>химия</v>
      </c>
      <c r="C2746" s="1" t="str">
        <f ca="1">IFERROR(__xludf.DUMMYFUNCTION("GOOGLETRANSLATE(English!C2746, ""en"", ""bg"")"),"елементарен")</f>
        <v>елементарен</v>
      </c>
      <c r="D2746" s="1" t="str">
        <f ca="1">IFERROR(__xludf.DUMMYFUNCTION("GOOGLETRANSLATE(English!D2746, ""en"", ""bg"")"),"промени в материалите")</f>
        <v>промени в материалите</v>
      </c>
      <c r="E2746" s="1" t="str">
        <f ca="1">IFERROR(__xludf.DUMMYFUNCTION("GOOGLETRANSLATE(English!E2746, ""en"", ""bg"")"),"Можете ли да ми помогнете? Можете ли да ми помогнете да разбера промените в материалите?")</f>
        <v>Можете ли да ми помогнете? Можете ли да ми помогнете да разбера промените в материалите?</v>
      </c>
      <c r="F2746" s="1" t="str">
        <f ca="1">IFERROR(__xludf.DUMMYFUNCTION("GOOGLETRANSLATE(English!F2746,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2746" s="1" t="str">
        <f ca="1">IFERROR(__xludf.DUMMYFUNCTION("GOOGLETRANSLATE(English!G2746, ""en"", ""bg"")"),"разговор")</f>
        <v>разговор</v>
      </c>
      <c r="H2746" s="1" t="str">
        <f ca="1">IFERROR(__xludf.DUMMYFUNCTION("GOOGLETRANSLATE(English!H2746, ""en"", ""bg"")"),"образователна_помощ")</f>
        <v>образователна_помощ</v>
      </c>
    </row>
    <row r="2747" spans="1:8" ht="13.2" x14ac:dyDescent="0.25">
      <c r="A2747" s="1" t="str">
        <f ca="1">IFERROR(__xludf.DUMMYFUNCTION("GOOGLETRANSLATE(English!A2747, ""en"", ""bg"")"),"hw_06482")</f>
        <v>hw_06482</v>
      </c>
      <c r="B2747" s="1" t="str">
        <f ca="1">IFERROR(__xludf.DUMMYFUNCTION("GOOGLETRANSLATE(English!B2747, ""en"", ""bg"")"),"физика")</f>
        <v>физика</v>
      </c>
      <c r="C2747" s="1" t="str">
        <f ca="1">IFERROR(__xludf.DUMMYFUNCTION("GOOGLETRANSLATE(English!C2747, ""en"", ""bg"")"),"средата")</f>
        <v>средата</v>
      </c>
      <c r="D2747" s="1" t="str">
        <f ca="1">IFERROR(__xludf.DUMMYFUNCTION("GOOGLETRANSLATE(English!D2747, ""en"", ""bg"")"),"прости схеми")</f>
        <v>прости схеми</v>
      </c>
      <c r="E2747" s="1" t="str">
        <f ca="1">IFERROR(__xludf.DUMMYFUNCTION("GOOGLETRANSLATE(English!E2747,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2747" s="1" t="str">
        <f ca="1">IFERROR(__xludf.DUMMYFUNCTION("GOOGLETRANSLATE(English!F2747,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2747" s="1" t="str">
        <f ca="1">IFERROR(__xludf.DUMMYFUNCTION("GOOGLETRANSLATE(English!G2747, ""en"", ""bg"")"),"помощ_за_домашно_изпълнение")</f>
        <v>помощ_за_домашно_изпълнение</v>
      </c>
      <c r="H2747" s="1" t="str">
        <f ca="1">IFERROR(__xludf.DUMMYFUNCTION("GOOGLETRANSLATE(English!H2747, ""en"", ""bg"")"),"помощ_за_домашно_задаване")</f>
        <v>помощ_за_домашно_задаване</v>
      </c>
    </row>
    <row r="2748" spans="1:8" ht="13.2" x14ac:dyDescent="0.25">
      <c r="A2748" s="1" t="str">
        <f ca="1">IFERROR(__xludf.DUMMYFUNCTION("GOOGLETRANSLATE(English!A2748, ""en"", ""bg"")"),"conv_00048")</f>
        <v>conv_00048</v>
      </c>
      <c r="B2748" s="1" t="str">
        <f ca="1">IFERROR(__xludf.DUMMYFUNCTION("GOOGLETRANSLATE(English!B2748, ""en"", ""bg"")"),"биология")</f>
        <v>биология</v>
      </c>
      <c r="C2748" s="1" t="str">
        <f ca="1">IFERROR(__xludf.DUMMYFUNCTION("GOOGLETRANSLATE(English!C2748, ""en"", ""bg"")"),"високо")</f>
        <v>високо</v>
      </c>
      <c r="D2748" s="1" t="str">
        <f ca="1">IFERROR(__xludf.DUMMYFUNCTION("GOOGLETRANSLATE(English!D2748, ""en"", ""bg"")"),"молекулярна биология")</f>
        <v>молекулярна биология</v>
      </c>
      <c r="E2748" s="1" t="str">
        <f ca="1">IFERROR(__xludf.DUMMYFUNCTION("GOOGLETRANSLATE(English!E2748, ""en"", ""bg"")"),"Помогнете ми да уча за теста. Можете ли да ми разкажете за молекулярната биология?")</f>
        <v>Помогнете ми да уча за теста. Можете ли да ми разкажете за молекулярната биология?</v>
      </c>
      <c r="F2748" s="1" t="str">
        <f ca="1">IFERROR(__xludf.DUMMYFUNCTION("GOOGLETRANSLATE(English!F2748,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2748" s="1" t="str">
        <f ca="1">IFERROR(__xludf.DUMMYFUNCTION("GOOGLETRANSLATE(English!G2748, ""en"", ""bg"")"),"разговор")</f>
        <v>разговор</v>
      </c>
      <c r="H2748" s="1" t="str">
        <f ca="1">IFERROR(__xludf.DUMMYFUNCTION("GOOGLETRANSLATE(English!H2748, ""en"", ""bg"")"),"образователна_помощ")</f>
        <v>образователна_помощ</v>
      </c>
    </row>
    <row r="2749" spans="1:8" ht="13.2" x14ac:dyDescent="0.25">
      <c r="A2749" s="1" t="str">
        <f ca="1">IFERROR(__xludf.DUMMYFUNCTION("GOOGLETRANSLATE(English!A2749, ""en"", ""bg"")"),"hw_05032")</f>
        <v>hw_05032</v>
      </c>
      <c r="B2749" s="1" t="str">
        <f ca="1">IFERROR(__xludf.DUMMYFUNCTION("GOOGLETRANSLATE(English!B2749, ""en"", ""bg"")"),"химия")</f>
        <v>химия</v>
      </c>
      <c r="C2749" s="1" t="str">
        <f ca="1">IFERROR(__xludf.DUMMYFUNCTION("GOOGLETRANSLATE(English!C2749, ""en"", ""bg"")"),"средата")</f>
        <v>средата</v>
      </c>
      <c r="D2749" s="1" t="str">
        <f ca="1">IFERROR(__xludf.DUMMYFUNCTION("GOOGLETRANSLATE(English!D2749, ""en"", ""bg"")"),"съединения срещу елементи")</f>
        <v>съединения срещу елементи</v>
      </c>
      <c r="E2749" s="1" t="str">
        <f ca="1">IFERROR(__xludf.DUMMYFUNCTION("GOOGLETRANSLATE(English!E2749,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2749" s="1" t="str">
        <f ca="1">IFERROR(__xludf.DUMMYFUNCTION("GOOGLETRANSLATE(English!F2749,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2749" s="1" t="str">
        <f ca="1">IFERROR(__xludf.DUMMYFUNCTION("GOOGLETRANSLATE(English!G2749, ""en"", ""bg"")"),"помощ_за_домашно_изпълнение")</f>
        <v>помощ_за_домашно_изпълнение</v>
      </c>
      <c r="H2749" s="1" t="str">
        <f ca="1">IFERROR(__xludf.DUMMYFUNCTION("GOOGLETRANSLATE(English!H2749, ""en"", ""bg"")"),"помощ_за_домашно_задаване")</f>
        <v>помощ_за_домашно_задаване</v>
      </c>
    </row>
    <row r="2750" spans="1:8" ht="13.2" x14ac:dyDescent="0.25">
      <c r="A2750" s="1" t="str">
        <f ca="1">IFERROR(__xludf.DUMMYFUNCTION("GOOGLETRANSLATE(English!A2750, ""en"", ""bg"")"),"hw_09738")</f>
        <v>hw_09738</v>
      </c>
      <c r="B2750" s="1" t="str">
        <f ca="1">IFERROR(__xludf.DUMMYFUNCTION("GOOGLETRANSLATE(English!B2750, ""en"", ""bg"")"),"физика")</f>
        <v>физика</v>
      </c>
      <c r="C2750" s="1" t="str">
        <f ca="1">IFERROR(__xludf.DUMMYFUNCTION("GOOGLETRANSLATE(English!C2750, ""en"", ""bg"")"),"средата")</f>
        <v>средата</v>
      </c>
      <c r="D2750" s="1" t="str">
        <f ca="1">IFERROR(__xludf.DUMMYFUNCTION("GOOGLETRANSLATE(English!D2750, ""en"", ""bg"")"),"плътност")</f>
        <v>плътност</v>
      </c>
      <c r="E2750" s="1" t="str">
        <f ca="1">IFERROR(__xludf.DUMMYFUNCTION("GOOGLETRANSLATE(English!E2750,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2750" s="1" t="str">
        <f ca="1">IFERROR(__xludf.DUMMYFUNCTION("GOOGLETRANSLATE(English!F2750,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750" s="1" t="str">
        <f ca="1">IFERROR(__xludf.DUMMYFUNCTION("GOOGLETRANSLATE(English!G2750, ""en"", ""bg"")"),"помощ_за_домашно_изпълнение")</f>
        <v>помощ_за_домашно_изпълнение</v>
      </c>
      <c r="H2750" s="1" t="str">
        <f ca="1">IFERROR(__xludf.DUMMYFUNCTION("GOOGLETRANSLATE(English!H2750, ""en"", ""bg"")"),"помощ_за_домашно_задаване")</f>
        <v>помощ_за_домашно_задаване</v>
      </c>
    </row>
    <row r="2751" spans="1:8" ht="13.2" x14ac:dyDescent="0.25">
      <c r="A2751" s="1" t="str">
        <f ca="1">IFERROR(__xludf.DUMMYFUNCTION("GOOGLETRANSLATE(English!A2751, ""en"", ""bg"")"),"hw_00025")</f>
        <v>hw_00025</v>
      </c>
      <c r="B2751" s="1" t="str">
        <f ca="1">IFERROR(__xludf.DUMMYFUNCTION("GOOGLETRANSLATE(English!B2751, ""en"", ""bg"")"),"биология")</f>
        <v>биология</v>
      </c>
      <c r="C2751" s="1" t="str">
        <f ca="1">IFERROR(__xludf.DUMMYFUNCTION("GOOGLETRANSLATE(English!C2751, ""en"", ""bg"")"),"високо")</f>
        <v>високо</v>
      </c>
      <c r="D2751" s="1" t="str">
        <f ca="1">IFERROR(__xludf.DUMMYFUNCTION("GOOGLETRANSLATE(English!D2751, ""en"", ""bg"")"),"модели на наследяване")</f>
        <v>модели на наследяване</v>
      </c>
      <c r="E2751" s="1" t="str">
        <f ca="1">IFERROR(__xludf.DUMMYFUNCTION("GOOGLETRANSLATE(English!E2751,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2751" s="1" t="str">
        <f ca="1">IFERROR(__xludf.DUMMYFUNCTION("GOOGLETRANSLATE(English!F2751,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2751" s="1" t="str">
        <f ca="1">IFERROR(__xludf.DUMMYFUNCTION("GOOGLETRANSLATE(English!G2751, ""en"", ""bg"")"),"помощ_за_домашно_изпълнение")</f>
        <v>помощ_за_домашно_изпълнение</v>
      </c>
      <c r="H2751" s="1" t="str">
        <f ca="1">IFERROR(__xludf.DUMMYFUNCTION("GOOGLETRANSLATE(English!H2751, ""en"", ""bg"")"),"помощ_за_домашно_задаване")</f>
        <v>помощ_за_домашно_задаване</v>
      </c>
    </row>
    <row r="2752" spans="1:8" ht="13.2" x14ac:dyDescent="0.25">
      <c r="A2752" s="1" t="str">
        <f ca="1">IFERROR(__xludf.DUMMYFUNCTION("GOOGLETRANSLATE(English!A2752, ""en"", ""bg"")"),"conv_10223")</f>
        <v>conv_10223</v>
      </c>
      <c r="B2752" s="1" t="str">
        <f ca="1">IFERROR(__xludf.DUMMYFUNCTION("GOOGLETRANSLATE(English!B2752, ""en"", ""bg"")"),"физика")</f>
        <v>физика</v>
      </c>
      <c r="C2752" s="1" t="str">
        <f ca="1">IFERROR(__xludf.DUMMYFUNCTION("GOOGLETRANSLATE(English!C2752, ""en"", ""bg"")"),"средата")</f>
        <v>средата</v>
      </c>
      <c r="D2752" s="1" t="str">
        <f ca="1">IFERROR(__xludf.DUMMYFUNCTION("GOOGLETRANSLATE(English!D2752, ""en"", ""bg"")"),"сили и движение")</f>
        <v>сили и движение</v>
      </c>
      <c r="E2752" s="1" t="str">
        <f ca="1">IFERROR(__xludf.DUMMYFUNCTION("GOOGLETRANSLATE(English!E2752, ""en"", ""bg"")"),"Помогнете ми да уча за теста. Как триенето влияе на движението?")</f>
        <v>Помогнете ми да уча за теста. Как триенето влияе на движението?</v>
      </c>
      <c r="F2752" s="1" t="str">
        <f ca="1">IFERROR(__xludf.DUMMYFUNCTION("GOOGLETRANSLATE(English!F2752,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2752" s="1" t="str">
        <f ca="1">IFERROR(__xludf.DUMMYFUNCTION("GOOGLETRANSLATE(English!G2752, ""en"", ""bg"")"),"разговор")</f>
        <v>разговор</v>
      </c>
      <c r="H2752" s="1" t="str">
        <f ca="1">IFERROR(__xludf.DUMMYFUNCTION("GOOGLETRANSLATE(English!H2752, ""en"", ""bg"")"),"образователна_помощ")</f>
        <v>образователна_помощ</v>
      </c>
    </row>
    <row r="2753" spans="1:8" ht="13.2" x14ac:dyDescent="0.25">
      <c r="A2753" s="1" t="str">
        <f ca="1">IFERROR(__xludf.DUMMYFUNCTION("GOOGLETRANSLATE(English!A2753, ""en"", ""bg"")"),"qa_10320")</f>
        <v>qa_10320</v>
      </c>
      <c r="B2753" s="1" t="str">
        <f ca="1">IFERROR(__xludf.DUMMYFUNCTION("GOOGLETRANSLATE(English!B2753, ""en"", ""bg"")"),"химия")</f>
        <v>химия</v>
      </c>
      <c r="C2753" s="1" t="str">
        <f ca="1">IFERROR(__xludf.DUMMYFUNCTION("GOOGLETRANSLATE(English!C2753, ""en"", ""bg"")"),"високо")</f>
        <v>високо</v>
      </c>
      <c r="D2753" s="1" t="str">
        <f ca="1">IFERROR(__xludf.DUMMYFUNCTION("GOOGLETRANSLATE(English!D2753, ""en"", ""bg"")"),"органична химия")</f>
        <v>органична химия</v>
      </c>
      <c r="E2753" s="1" t="str">
        <f ca="1">IFERROR(__xludf.DUMMYFUNCTION("GOOGLETRANSLATE(English!E2753, ""en"", ""bg"")"),"Защо е важно да се учи органична химия?")</f>
        <v>Защо е важно да се учи органична химия?</v>
      </c>
      <c r="F2753" s="1" t="str">
        <f ca="1">IFERROR(__xludf.DUMMYFUNCTION("GOOGLETRANSLATE(English!F2753,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2753" s="1" t="str">
        <f ca="1">IFERROR(__xludf.DUMMYFUNCTION("GOOGLETRANSLATE(English!G2753, ""en"", ""bg"")"),"direct_qa")</f>
        <v>direct_qa</v>
      </c>
      <c r="H2753" s="1" t="str">
        <f ca="1">IFERROR(__xludf.DUMMYFUNCTION("GOOGLETRANSLATE(English!H2753, ""en"", ""bg"")"),"заявка_за_знание")</f>
        <v>заявка_за_знание</v>
      </c>
    </row>
    <row r="2754" spans="1:8" ht="13.2" x14ac:dyDescent="0.25">
      <c r="A2754" s="1" t="str">
        <f ca="1">IFERROR(__xludf.DUMMYFUNCTION("GOOGLETRANSLATE(English!A2754, ""en"", ""bg"")"),"hw_06876")</f>
        <v>hw_06876</v>
      </c>
      <c r="B2754" s="1" t="str">
        <f ca="1">IFERROR(__xludf.DUMMYFUNCTION("GOOGLETRANSLATE(English!B2754, ""en"", ""bg"")"),"биология")</f>
        <v>биология</v>
      </c>
      <c r="C2754" s="1" t="str">
        <f ca="1">IFERROR(__xludf.DUMMYFUNCTION("GOOGLETRANSLATE(English!C2754, ""en"", ""bg"")"),"високо")</f>
        <v>високо</v>
      </c>
      <c r="D2754" s="1" t="str">
        <f ca="1">IFERROR(__xludf.DUMMYFUNCTION("GOOGLETRANSLATE(English!D2754, ""en"", ""bg"")"),"клетъчно дишане")</f>
        <v>клетъчно дишане</v>
      </c>
      <c r="E2754" s="1" t="str">
        <f ca="1">IFERROR(__xludf.DUMMYFUNCTION("GOOGLETRANSLATE(English!E2754,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2754" s="1" t="str">
        <f ca="1">IFERROR(__xludf.DUMMYFUNCTION("GOOGLETRANSLATE(English!F2754,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754" s="1" t="str">
        <f ca="1">IFERROR(__xludf.DUMMYFUNCTION("GOOGLETRANSLATE(English!G2754, ""en"", ""bg"")"),"помощ_за_домашно_изпълнение")</f>
        <v>помощ_за_домашно_изпълнение</v>
      </c>
      <c r="H2754" s="1" t="str">
        <f ca="1">IFERROR(__xludf.DUMMYFUNCTION("GOOGLETRANSLATE(English!H2754, ""en"", ""bg"")"),"помощ_за_домашно_задаване")</f>
        <v>помощ_за_домашно_задаване</v>
      </c>
    </row>
    <row r="2755" spans="1:8" ht="13.2" x14ac:dyDescent="0.25">
      <c r="A2755" s="1" t="str">
        <f ca="1">IFERROR(__xludf.DUMMYFUNCTION("GOOGLETRANSLATE(English!A2755, ""en"", ""bg"")"),"conv_09086")</f>
        <v>conv_09086</v>
      </c>
      <c r="B2755" s="1" t="str">
        <f ca="1">IFERROR(__xludf.DUMMYFUNCTION("GOOGLETRANSLATE(English!B2755, ""en"", ""bg"")"),"физика")</f>
        <v>физика</v>
      </c>
      <c r="C2755" s="1" t="str">
        <f ca="1">IFERROR(__xludf.DUMMYFUNCTION("GOOGLETRANSLATE(English!C2755, ""en"", ""bg"")"),"елементарен")</f>
        <v>елементарен</v>
      </c>
      <c r="D2755" s="1" t="str">
        <f ca="1">IFERROR(__xludf.DUMMYFUNCTION("GOOGLETRANSLATE(English!D2755, ""en"", ""bg"")"),"бутане и дърпане")</f>
        <v>бутане и дърпане</v>
      </c>
      <c r="E2755" s="1" t="str">
        <f ca="1">IFERROR(__xludf.DUMMYFUNCTION("GOOGLETRANSLATE(English!E2755, ""en"", ""bg"")"),"Можете ли да ми помогнете? Можете ли да ми обясните как се прави бутане и дърпане?")</f>
        <v>Можете ли да ми помогнете? Можете ли да ми обясните как се прави бутане и дърпане?</v>
      </c>
      <c r="F2755" s="1" t="str">
        <f ca="1">IFERROR(__xludf.DUMMYFUNCTION("GOOGLETRANSLATE(English!F2755,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2755" s="1" t="str">
        <f ca="1">IFERROR(__xludf.DUMMYFUNCTION("GOOGLETRANSLATE(English!G2755, ""en"", ""bg"")"),"разговор")</f>
        <v>разговор</v>
      </c>
      <c r="H2755" s="1" t="str">
        <f ca="1">IFERROR(__xludf.DUMMYFUNCTION("GOOGLETRANSLATE(English!H2755, ""en"", ""bg"")"),"образователна_помощ")</f>
        <v>образователна_помощ</v>
      </c>
    </row>
    <row r="2756" spans="1:8" ht="13.2" x14ac:dyDescent="0.25">
      <c r="A2756" s="1" t="str">
        <f ca="1">IFERROR(__xludf.DUMMYFUNCTION("GOOGLETRANSLATE(English!A2756, ""en"", ""bg"")"),"qa_03073")</f>
        <v>qa_03073</v>
      </c>
      <c r="B2756" s="1" t="str">
        <f ca="1">IFERROR(__xludf.DUMMYFUNCTION("GOOGLETRANSLATE(English!B2756, ""en"", ""bg"")"),"химия")</f>
        <v>химия</v>
      </c>
      <c r="C2756" s="1" t="str">
        <f ca="1">IFERROR(__xludf.DUMMYFUNCTION("GOOGLETRANSLATE(English!C2756, ""en"", ""bg"")"),"елементарен")</f>
        <v>елементарен</v>
      </c>
      <c r="D2756" s="1" t="str">
        <f ca="1">IFERROR(__xludf.DUMMYFUNCTION("GOOGLETRANSLATE(English!D2756, ""en"", ""bg"")"),"промени в материалите")</f>
        <v>промени в материалите</v>
      </c>
      <c r="E2756" s="1" t="str">
        <f ca="1">IFERROR(__xludf.DUMMYFUNCTION("GOOGLETRANSLATE(English!E2756, ""en"", ""bg"")"),"Какво представляват промените в материалите?")</f>
        <v>Какво представляват промените в материалите?</v>
      </c>
      <c r="F2756" s="1" t="str">
        <f ca="1">IFERROR(__xludf.DUMMYFUNCTION("GOOGLETRANSLATE(English!F2756,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2756" s="1" t="str">
        <f ca="1">IFERROR(__xludf.DUMMYFUNCTION("GOOGLETRANSLATE(English!G2756, ""en"", ""bg"")"),"direct_qa")</f>
        <v>direct_qa</v>
      </c>
      <c r="H2756" s="1" t="str">
        <f ca="1">IFERROR(__xludf.DUMMYFUNCTION("GOOGLETRANSLATE(English!H2756, ""en"", ""bg"")"),"заявка_за_знание")</f>
        <v>заявка_за_знание</v>
      </c>
    </row>
    <row r="2757" spans="1:8" ht="13.2" x14ac:dyDescent="0.25">
      <c r="A2757" s="1" t="str">
        <f ca="1">IFERROR(__xludf.DUMMYFUNCTION("GOOGLETRANSLATE(English!A2757, ""en"", ""bg"")"),"qa_09194")</f>
        <v>qa_09194</v>
      </c>
      <c r="B2757" s="1" t="str">
        <f ca="1">IFERROR(__xludf.DUMMYFUNCTION("GOOGLETRANSLATE(English!B2757, ""en"", ""bg"")"),"физика")</f>
        <v>физика</v>
      </c>
      <c r="C2757" s="1" t="str">
        <f ca="1">IFERROR(__xludf.DUMMYFUNCTION("GOOGLETRANSLATE(English!C2757, ""en"", ""bg"")"),"високо")</f>
        <v>високо</v>
      </c>
      <c r="D2757" s="1" t="str">
        <f ca="1">IFERROR(__xludf.DUMMYFUNCTION("GOOGLETRANSLATE(English!D2757, ""en"", ""bg"")"),"атомна структура")</f>
        <v>атомна структура</v>
      </c>
      <c r="E2757" s="1" t="str">
        <f ca="1">IFERROR(__xludf.DUMMYFUNCTION("GOOGLETRANSLATE(English!E2757, ""en"", ""bg"")"),"Как работи атомната структура във физиката?")</f>
        <v>Как работи атомната структура във физиката?</v>
      </c>
      <c r="F2757" s="1" t="str">
        <f ca="1">IFERROR(__xludf.DUMMYFUNCTION("GOOGLETRANSLATE(English!F2757,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2757" s="1" t="str">
        <f ca="1">IFERROR(__xludf.DUMMYFUNCTION("GOOGLETRANSLATE(English!G2757, ""en"", ""bg"")"),"direct_qa")</f>
        <v>direct_qa</v>
      </c>
      <c r="H2757" s="1" t="str">
        <f ca="1">IFERROR(__xludf.DUMMYFUNCTION("GOOGLETRANSLATE(English!H2757, ""en"", ""bg"")"),"заявка_за_знание")</f>
        <v>заявка_за_знание</v>
      </c>
    </row>
    <row r="2758" spans="1:8" ht="13.2" x14ac:dyDescent="0.25">
      <c r="A2758" s="1" t="str">
        <f ca="1">IFERROR(__xludf.DUMMYFUNCTION("GOOGLETRANSLATE(English!A2758, ""en"", ""bg"")"),"hw_12286")</f>
        <v>hw_12286</v>
      </c>
      <c r="B2758" s="1" t="str">
        <f ca="1">IFERROR(__xludf.DUMMYFUNCTION("GOOGLETRANSLATE(English!B2758, ""en"", ""bg"")"),"физика")</f>
        <v>физика</v>
      </c>
      <c r="C2758" s="1" t="str">
        <f ca="1">IFERROR(__xludf.DUMMYFUNCTION("GOOGLETRANSLATE(English!C2758, ""en"", ""bg"")"),"елементарен")</f>
        <v>елементарен</v>
      </c>
      <c r="D2758" s="1" t="str">
        <f ca="1">IFERROR(__xludf.DUMMYFUNCTION("GOOGLETRANSLATE(English!D2758, ""en"", ""bg"")"),"звук")</f>
        <v>звук</v>
      </c>
      <c r="E2758" s="1" t="str">
        <f ca="1">IFERROR(__xludf.DUMMYFUNCTION("GOOGLETRANSLATE(English!E2758,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2758" s="1" t="str">
        <f ca="1">IFERROR(__xludf.DUMMYFUNCTION("GOOGLETRANSLATE(English!F2758,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2758" s="1" t="str">
        <f ca="1">IFERROR(__xludf.DUMMYFUNCTION("GOOGLETRANSLATE(English!G2758, ""en"", ""bg"")"),"помощ_за_домашно_изпълнение")</f>
        <v>помощ_за_домашно_изпълнение</v>
      </c>
      <c r="H2758" s="1" t="str">
        <f ca="1">IFERROR(__xludf.DUMMYFUNCTION("GOOGLETRANSLATE(English!H2758, ""en"", ""bg"")"),"помощ_за_домашно_задаване")</f>
        <v>помощ_за_домашно_задаване</v>
      </c>
    </row>
    <row r="2759" spans="1:8" ht="13.2" x14ac:dyDescent="0.25">
      <c r="A2759" s="1" t="str">
        <f ca="1">IFERROR(__xludf.DUMMYFUNCTION("GOOGLETRANSLATE(English!A2759, ""en"", ""bg"")"),"conv_06512")</f>
        <v>conv_06512</v>
      </c>
      <c r="B2759" s="1" t="str">
        <f ca="1">IFERROR(__xludf.DUMMYFUNCTION("GOOGLETRANSLATE(English!B2759, ""en"", ""bg"")"),"биология")</f>
        <v>биология</v>
      </c>
      <c r="C2759" s="1" t="str">
        <f ca="1">IFERROR(__xludf.DUMMYFUNCTION("GOOGLETRANSLATE(English!C2759, ""en"", ""bg"")"),"високо")</f>
        <v>високо</v>
      </c>
      <c r="D2759" s="1" t="str">
        <f ca="1">IFERROR(__xludf.DUMMYFUNCTION("GOOGLETRANSLATE(English!D2759, ""en"", ""bg"")"),"Структура на ДНК")</f>
        <v>Структура на ДНК</v>
      </c>
      <c r="E2759" s="1" t="str">
        <f ca="1">IFERROR(__xludf.DUMMYFUNCTION("GOOGLETRANSLATE(English!E2759, ""en"", ""bg"")"),"Можете ли да ми обясните това? Как работи структурата на ДНК?")</f>
        <v>Можете ли да ми обясните това? Как работи структурата на ДНК?</v>
      </c>
      <c r="F2759" s="1" t="str">
        <f ca="1">IFERROR(__xludf.DUMMYFUNCTION("GOOGLETRANSLATE(English!F2759,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2759" s="1" t="str">
        <f ca="1">IFERROR(__xludf.DUMMYFUNCTION("GOOGLETRANSLATE(English!G2759, ""en"", ""bg"")"),"разговор")</f>
        <v>разговор</v>
      </c>
      <c r="H2759" s="1" t="str">
        <f ca="1">IFERROR(__xludf.DUMMYFUNCTION("GOOGLETRANSLATE(English!H2759, ""en"", ""bg"")"),"образователна_помощ")</f>
        <v>образователна_помощ</v>
      </c>
    </row>
    <row r="2760" spans="1:8" ht="13.2" x14ac:dyDescent="0.25">
      <c r="A2760" s="1" t="str">
        <f ca="1">IFERROR(__xludf.DUMMYFUNCTION("GOOGLETRANSLATE(English!A2760, ""en"", ""bg"")"),"hw_10730")</f>
        <v>hw_10730</v>
      </c>
      <c r="B2760" s="1" t="str">
        <f ca="1">IFERROR(__xludf.DUMMYFUNCTION("GOOGLETRANSLATE(English!B2760, ""en"", ""bg"")"),"физика")</f>
        <v>физика</v>
      </c>
      <c r="C2760" s="1" t="str">
        <f ca="1">IFERROR(__xludf.DUMMYFUNCTION("GOOGLETRANSLATE(English!C2760, ""en"", ""bg"")"),"елементарен")</f>
        <v>елементарен</v>
      </c>
      <c r="D2760" s="1" t="str">
        <f ca="1">IFERROR(__xludf.DUMMYFUNCTION("GOOGLETRANSLATE(English!D2760, ""en"", ""bg"")"),"прости машини")</f>
        <v>прости машини</v>
      </c>
      <c r="E2760" s="1" t="str">
        <f ca="1">IFERROR(__xludf.DUMMYFUNCTION("GOOGLETRANSLATE(English!E2760, ""en"", ""bg"")"),"Трябва да разбирам прости машини за изпита си.")</f>
        <v>Трябва да разбирам прости машини за изпита си.</v>
      </c>
      <c r="F2760" s="1" t="str">
        <f ca="1">IFERROR(__xludf.DUMMYFUNCTION("GOOGLETRANSLATE(English!F2760,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2760" s="1" t="str">
        <f ca="1">IFERROR(__xludf.DUMMYFUNCTION("GOOGLETRANSLATE(English!G2760, ""en"", ""bg"")"),"помощ_за_домашно_изпълнение")</f>
        <v>помощ_за_домашно_изпълнение</v>
      </c>
      <c r="H2760" s="1" t="str">
        <f ca="1">IFERROR(__xludf.DUMMYFUNCTION("GOOGLETRANSLATE(English!H2760, ""en"", ""bg"")"),"помощ_за_домашно_задаване")</f>
        <v>помощ_за_домашно_задаване</v>
      </c>
    </row>
    <row r="2761" spans="1:8" ht="13.2" x14ac:dyDescent="0.25">
      <c r="A2761" s="1" t="str">
        <f ca="1">IFERROR(__xludf.DUMMYFUNCTION("GOOGLETRANSLATE(English!A2761, ""en"", ""bg"")"),"conv_08816")</f>
        <v>conv_08816</v>
      </c>
      <c r="B2761" s="1" t="str">
        <f ca="1">IFERROR(__xludf.DUMMYFUNCTION("GOOGLETRANSLATE(English!B2761, ""en"", ""bg"")"),"химия")</f>
        <v>химия</v>
      </c>
      <c r="C2761" s="1" t="str">
        <f ca="1">IFERROR(__xludf.DUMMYFUNCTION("GOOGLETRANSLATE(English!C2761, ""en"", ""bg"")"),"високо")</f>
        <v>високо</v>
      </c>
      <c r="D2761" s="1" t="str">
        <f ca="1">IFERROR(__xludf.DUMMYFUNCTION("GOOGLETRANSLATE(English!D2761, ""en"", ""bg"")"),"равновесие")</f>
        <v>равновесие</v>
      </c>
      <c r="E2761" s="1" t="str">
        <f ca="1">IFERROR(__xludf.DUMMYFUNCTION("GOOGLETRANSLATE(English!E2761, ""en"", ""bg"")"),"Здравей, преподавателю! Защо равновесието е важно за учене?")</f>
        <v>Здравей, преподавателю! Защо равновесието е важно за учене?</v>
      </c>
      <c r="F2761" s="1" t="str">
        <f ca="1">IFERROR(__xludf.DUMMYFUNCTION("GOOGLETRANSLATE(English!F2761,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2761" s="1" t="str">
        <f ca="1">IFERROR(__xludf.DUMMYFUNCTION("GOOGLETRANSLATE(English!G2761, ""en"", ""bg"")"),"разговор")</f>
        <v>разговор</v>
      </c>
      <c r="H2761" s="1" t="str">
        <f ca="1">IFERROR(__xludf.DUMMYFUNCTION("GOOGLETRANSLATE(English!H2761, ""en"", ""bg"")"),"образователна_помощ")</f>
        <v>образователна_помощ</v>
      </c>
    </row>
    <row r="2762" spans="1:8" ht="13.2" x14ac:dyDescent="0.25">
      <c r="A2762" s="1" t="str">
        <f ca="1">IFERROR(__xludf.DUMMYFUNCTION("GOOGLETRANSLATE(English!A2762, ""en"", ""bg"")"),"conv_08288")</f>
        <v>conv_08288</v>
      </c>
      <c r="B2762" s="1" t="str">
        <f ca="1">IFERROR(__xludf.DUMMYFUNCTION("GOOGLETRANSLATE(English!B2762, ""en"", ""bg"")"),"химия")</f>
        <v>химия</v>
      </c>
      <c r="C2762" s="1" t="str">
        <f ca="1">IFERROR(__xludf.DUMMYFUNCTION("GOOGLETRANSLATE(English!C2762, ""en"", ""bg"")"),"елементарен")</f>
        <v>елементарен</v>
      </c>
      <c r="D2762" s="1" t="str">
        <f ca="1">IFERROR(__xludf.DUMMYFUNCTION("GOOGLETRANSLATE(English!D2762, ""en"", ""bg"")"),"смесване на материали")</f>
        <v>смесване на материали</v>
      </c>
      <c r="E2762" s="1" t="str">
        <f ca="1">IFERROR(__xludf.DUMMYFUNCTION("GOOGLETRANSLATE(English!E2762, ""en"", ""bg"")"),"Помогнете ми да уча за теста си. Как можете да отделите солта от водата?")</f>
        <v>Помогнете ми да уча за теста си. Как можете да отделите солта от водата?</v>
      </c>
      <c r="F2762" s="1" t="str">
        <f ca="1">IFERROR(__xludf.DUMMYFUNCTION("GOOGLETRANSLATE(English!F2762,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2762" s="1" t="str">
        <f ca="1">IFERROR(__xludf.DUMMYFUNCTION("GOOGLETRANSLATE(English!G2762, ""en"", ""bg"")"),"разговор")</f>
        <v>разговор</v>
      </c>
      <c r="H2762" s="1" t="str">
        <f ca="1">IFERROR(__xludf.DUMMYFUNCTION("GOOGLETRANSLATE(English!H2762, ""en"", ""bg"")"),"образователна_помощ")</f>
        <v>образователна_помощ</v>
      </c>
    </row>
    <row r="2763" spans="1:8" ht="13.2" x14ac:dyDescent="0.25">
      <c r="A2763" s="1" t="str">
        <f ca="1">IFERROR(__xludf.DUMMYFUNCTION("GOOGLETRANSLATE(English!A2763, ""en"", ""bg"")"),"conv_04897")</f>
        <v>conv_04897</v>
      </c>
      <c r="B2763" s="1" t="str">
        <f ca="1">IFERROR(__xludf.DUMMYFUNCTION("GOOGLETRANSLATE(English!B2763, ""en"", ""bg"")"),"биология")</f>
        <v>биология</v>
      </c>
      <c r="C2763" s="1" t="str">
        <f ca="1">IFERROR(__xludf.DUMMYFUNCTION("GOOGLETRANSLATE(English!C2763, ""en"", ""bg"")"),"елементарен")</f>
        <v>елементарен</v>
      </c>
      <c r="D2763" s="1" t="str">
        <f ca="1">IFERROR(__xludf.DUMMYFUNCTION("GOOGLETRANSLATE(English!D2763, ""en"", ""bg"")"),"местообитания")</f>
        <v>местообитания</v>
      </c>
      <c r="E2763" s="1" t="str">
        <f ca="1">IFERROR(__xludf.DUMMYFUNCTION("GOOGLETRANSLATE(English!E2763, ""en"", ""bg"")"),"Помогнете ми да уча за теста си. Защо местообитанията са важни в биологията?")</f>
        <v>Помогнете ми да уча за теста си. Защо местообитанията са важни в биологията?</v>
      </c>
      <c r="F2763" s="1" t="str">
        <f ca="1">IFERROR(__xludf.DUMMYFUNCTION("GOOGLETRANSLATE(English!F2763,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2763" s="1" t="str">
        <f ca="1">IFERROR(__xludf.DUMMYFUNCTION("GOOGLETRANSLATE(English!G2763, ""en"", ""bg"")"),"разговор")</f>
        <v>разговор</v>
      </c>
      <c r="H2763" s="1" t="str">
        <f ca="1">IFERROR(__xludf.DUMMYFUNCTION("GOOGLETRANSLATE(English!H2763, ""en"", ""bg"")"),"образователна_помощ")</f>
        <v>образователна_помощ</v>
      </c>
    </row>
    <row r="2764" spans="1:8" ht="13.2" x14ac:dyDescent="0.25">
      <c r="A2764" s="1" t="str">
        <f ca="1">IFERROR(__xludf.DUMMYFUNCTION("GOOGLETRANSLATE(English!A2764, ""en"", ""bg"")"),"conv_08599")</f>
        <v>conv_08599</v>
      </c>
      <c r="B2764" s="1" t="str">
        <f ca="1">IFERROR(__xludf.DUMMYFUNCTION("GOOGLETRANSLATE(English!B2764, ""en"", ""bg"")"),"химия")</f>
        <v>химия</v>
      </c>
      <c r="C2764" s="1" t="str">
        <f ca="1">IFERROR(__xludf.DUMMYFUNCTION("GOOGLETRANSLATE(English!C2764, ""en"", ""bg"")"),"високо")</f>
        <v>високо</v>
      </c>
      <c r="D2764" s="1" t="str">
        <f ca="1">IFERROR(__xludf.DUMMYFUNCTION("GOOGLETRANSLATE(English!D2764, ""en"", ""bg"")"),"химическо свързване")</f>
        <v>химическо свързване</v>
      </c>
      <c r="E2764" s="1" t="str">
        <f ca="1">IFERROR(__xludf.DUMMYFUNCTION("GOOGLETRANSLATE(English!E2764, ""en"", ""bg"")"),"Можете ли да ми обясните това? Можете ли да ми помогнете да разбера химическото свързване?")</f>
        <v>Можете ли да ми обясните това? Можете ли да ми помогнете да разбера химическото свързване?</v>
      </c>
      <c r="F2764" s="1" t="str">
        <f ca="1">IFERROR(__xludf.DUMMYFUNCTION("GOOGLETRANSLATE(English!F2764,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2764" s="1" t="str">
        <f ca="1">IFERROR(__xludf.DUMMYFUNCTION("GOOGLETRANSLATE(English!G2764, ""en"", ""bg"")"),"разговор")</f>
        <v>разговор</v>
      </c>
      <c r="H2764" s="1" t="str">
        <f ca="1">IFERROR(__xludf.DUMMYFUNCTION("GOOGLETRANSLATE(English!H2764, ""en"", ""bg"")"),"образователна_помощ")</f>
        <v>образователна_помощ</v>
      </c>
    </row>
    <row r="2765" spans="1:8" ht="13.2" x14ac:dyDescent="0.25">
      <c r="A2765" s="1" t="str">
        <f ca="1">IFERROR(__xludf.DUMMYFUNCTION("GOOGLETRANSLATE(English!A2765, ""en"", ""bg"")"),"conv_01828")</f>
        <v>conv_01828</v>
      </c>
      <c r="B2765" s="1" t="str">
        <f ca="1">IFERROR(__xludf.DUMMYFUNCTION("GOOGLETRANSLATE(English!B2765, ""en"", ""bg"")"),"химия")</f>
        <v>химия</v>
      </c>
      <c r="C2765" s="1" t="str">
        <f ca="1">IFERROR(__xludf.DUMMYFUNCTION("GOOGLETRANSLATE(English!C2765, ""en"", ""bg"")"),"високо")</f>
        <v>високо</v>
      </c>
      <c r="D2765" s="1" t="str">
        <f ca="1">IFERROR(__xludf.DUMMYFUNCTION("GOOGLETRANSLATE(English!D2765, ""en"", ""bg"")"),"скорости на реакция")</f>
        <v>скорости на реакция</v>
      </c>
      <c r="E2765" s="1" t="str">
        <f ca="1">IFERROR(__xludf.DUMMYFUNCTION("GOOGLETRANSLATE(English!E2765, ""en"", ""bg"")"),"Можете ли да ми обясните това? Какво представляват скоростите на реакция?")</f>
        <v>Можете ли да ми обясните това? Какво представляват скоростите на реакция?</v>
      </c>
      <c r="F2765" s="1" t="str">
        <f ca="1">IFERROR(__xludf.DUMMYFUNCTION("GOOGLETRANSLATE(English!F2765,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2765" s="1" t="str">
        <f ca="1">IFERROR(__xludf.DUMMYFUNCTION("GOOGLETRANSLATE(English!G2765, ""en"", ""bg"")"),"разговор")</f>
        <v>разговор</v>
      </c>
      <c r="H2765" s="1" t="str">
        <f ca="1">IFERROR(__xludf.DUMMYFUNCTION("GOOGLETRANSLATE(English!H2765, ""en"", ""bg"")"),"образователна_помощ")</f>
        <v>образователна_помощ</v>
      </c>
    </row>
    <row r="2766" spans="1:8" ht="13.2" x14ac:dyDescent="0.25">
      <c r="A2766" s="1" t="str">
        <f ca="1">IFERROR(__xludf.DUMMYFUNCTION("GOOGLETRANSLATE(English!A2766, ""en"", ""bg"")"),"qa_04771")</f>
        <v>qa_04771</v>
      </c>
      <c r="B2766" s="1" t="str">
        <f ca="1">IFERROR(__xludf.DUMMYFUNCTION("GOOGLETRANSLATE(English!B2766, ""en"", ""bg"")"),"физика")</f>
        <v>физика</v>
      </c>
      <c r="C2766" s="1" t="str">
        <f ca="1">IFERROR(__xludf.DUMMYFUNCTION("GOOGLETRANSLATE(English!C2766, ""en"", ""bg"")"),"средата")</f>
        <v>средата</v>
      </c>
      <c r="D2766" s="1" t="str">
        <f ca="1">IFERROR(__xludf.DUMMYFUNCTION("GOOGLETRANSLATE(English!D2766, ""en"", ""bg"")"),"сили и движение")</f>
        <v>сили и движение</v>
      </c>
      <c r="E2766" s="1" t="str">
        <f ca="1">IFERROR(__xludf.DUMMYFUNCTION("GOOGLETRANSLATE(English!E2766, ""en"", ""bg"")"),"Какво е ускорение?")</f>
        <v>Какво е ускорение?</v>
      </c>
      <c r="F2766" s="1" t="str">
        <f ca="1">IFERROR(__xludf.DUMMYFUNCTION("GOOGLETRANSLATE(English!F2766,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2766" s="1" t="str">
        <f ca="1">IFERROR(__xludf.DUMMYFUNCTION("GOOGLETRANSLATE(English!G2766, ""en"", ""bg"")"),"direct_qa")</f>
        <v>direct_qa</v>
      </c>
      <c r="H2766" s="1" t="str">
        <f ca="1">IFERROR(__xludf.DUMMYFUNCTION("GOOGLETRANSLATE(English!H2766, ""en"", ""bg"")"),"заявка_за_знание")</f>
        <v>заявка_за_знание</v>
      </c>
    </row>
    <row r="2767" spans="1:8" ht="13.2" x14ac:dyDescent="0.25">
      <c r="A2767" s="1" t="str">
        <f ca="1">IFERROR(__xludf.DUMMYFUNCTION("GOOGLETRANSLATE(English!A2767, ""en"", ""bg"")"),"hw_11155")</f>
        <v>hw_11155</v>
      </c>
      <c r="B2767" s="1" t="str">
        <f ca="1">IFERROR(__xludf.DUMMYFUNCTION("GOOGLETRANSLATE(English!B2767, ""en"", ""bg"")"),"физика")</f>
        <v>физика</v>
      </c>
      <c r="C2767" s="1" t="str">
        <f ca="1">IFERROR(__xludf.DUMMYFUNCTION("GOOGLETRANSLATE(English!C2767, ""en"", ""bg"")"),"високо")</f>
        <v>високо</v>
      </c>
      <c r="D2767" s="1" t="str">
        <f ca="1">IFERROR(__xludf.DUMMYFUNCTION("GOOGLETRANSLATE(English!D2767, ""en"", ""bg"")"),"атомна структура")</f>
        <v>атомна структура</v>
      </c>
      <c r="E2767" s="1" t="str">
        <f ca="1">IFERROR(__xludf.DUMMYFUNCTION("GOOGLETRANSLATE(English!E2767, ""en"", ""bg"")"),"Можете ли да решите този въпрос за атомната структура с мен?")</f>
        <v>Можете ли да решите този въпрос за атомната структура с мен?</v>
      </c>
      <c r="F2767" s="1" t="str">
        <f ca="1">IFERROR(__xludf.DUMMYFUNCTION("GOOGLETRANSLATE(English!F2767,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767" s="1" t="str">
        <f ca="1">IFERROR(__xludf.DUMMYFUNCTION("GOOGLETRANSLATE(English!G2767, ""en"", ""bg"")"),"помощ_за_домашно_изпълнение")</f>
        <v>помощ_за_домашно_изпълнение</v>
      </c>
      <c r="H2767" s="1" t="str">
        <f ca="1">IFERROR(__xludf.DUMMYFUNCTION("GOOGLETRANSLATE(English!H2767, ""en"", ""bg"")"),"помощ_за_домашно_задаване")</f>
        <v>помощ_за_домашно_задаване</v>
      </c>
    </row>
    <row r="2768" spans="1:8" ht="13.2" x14ac:dyDescent="0.25">
      <c r="A2768" s="1" t="str">
        <f ca="1">IFERROR(__xludf.DUMMYFUNCTION("GOOGLETRANSLATE(English!A2768, ""en"", ""bg"")"),"qa_04073")</f>
        <v>qa_04073</v>
      </c>
      <c r="B2768" s="1" t="str">
        <f ca="1">IFERROR(__xludf.DUMMYFUNCTION("GOOGLETRANSLATE(English!B2768, ""en"", ""bg"")"),"биология")</f>
        <v>биология</v>
      </c>
      <c r="C2768" s="1" t="str">
        <f ca="1">IFERROR(__xludf.DUMMYFUNCTION("GOOGLETRANSLATE(English!C2768, ""en"", ""bg"")"),"елементарен")</f>
        <v>елементарен</v>
      </c>
      <c r="D2768" s="1" t="str">
        <f ca="1">IFERROR(__xludf.DUMMYFUNCTION("GOOGLETRANSLATE(English!D2768, ""en"", ""bg"")"),"жизнени цикли")</f>
        <v>жизнени цикли</v>
      </c>
      <c r="E2768" s="1" t="str">
        <f ca="1">IFERROR(__xludf.DUMMYFUNCTION("GOOGLETRANSLATE(English!E2768, ""en"", ""bg"")"),"Какво е важно да знаем за жизнените цикли?")</f>
        <v>Какво е важно да знаем за жизнените цикли?</v>
      </c>
      <c r="F2768" s="1" t="str">
        <f ca="1">IFERROR(__xludf.DUMMYFUNCTION("GOOGLETRANSLATE(English!F2768,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2768" s="1" t="str">
        <f ca="1">IFERROR(__xludf.DUMMYFUNCTION("GOOGLETRANSLATE(English!G2768, ""en"", ""bg"")"),"direct_qa")</f>
        <v>direct_qa</v>
      </c>
      <c r="H2768" s="1" t="str">
        <f ca="1">IFERROR(__xludf.DUMMYFUNCTION("GOOGLETRANSLATE(English!H2768, ""en"", ""bg"")"),"заявка_за_знание")</f>
        <v>заявка_за_знание</v>
      </c>
    </row>
    <row r="2769" spans="1:8" ht="13.2" x14ac:dyDescent="0.25">
      <c r="A2769" s="1" t="str">
        <f ca="1">IFERROR(__xludf.DUMMYFUNCTION("GOOGLETRANSLATE(English!A2769, ""en"", ""bg"")"),"conv_02676")</f>
        <v>conv_02676</v>
      </c>
      <c r="B2769" s="1" t="str">
        <f ca="1">IFERROR(__xludf.DUMMYFUNCTION("GOOGLETRANSLATE(English!B2769, ""en"", ""bg"")"),"физика")</f>
        <v>физика</v>
      </c>
      <c r="C2769" s="1" t="str">
        <f ca="1">IFERROR(__xludf.DUMMYFUNCTION("GOOGLETRANSLATE(English!C2769, ""en"", ""bg"")"),"високо")</f>
        <v>високо</v>
      </c>
      <c r="D2769" s="1" t="str">
        <f ca="1">IFERROR(__xludf.DUMMYFUNCTION("GOOGLETRANSLATE(English!D2769, ""en"", ""bg"")"),"термодинамика")</f>
        <v>термодинамика</v>
      </c>
      <c r="E2769" s="1" t="str">
        <f ca="1">IFERROR(__xludf.DUMMYFUNCTION("GOOGLETRANSLATE(English!E2769, ""en"", ""bg"")"),"Имам нужда от помощ с домашното си. Защо термодинамиката е важна?")</f>
        <v>Имам нужда от помощ с домашното си. Защо термодинамиката е важна?</v>
      </c>
      <c r="F2769" s="1" t="str">
        <f ca="1">IFERROR(__xludf.DUMMYFUNCTION("GOOGLETRANSLATE(English!F2769,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2769" s="1" t="str">
        <f ca="1">IFERROR(__xludf.DUMMYFUNCTION("GOOGLETRANSLATE(English!G2769, ""en"", ""bg"")"),"разговор")</f>
        <v>разговор</v>
      </c>
      <c r="H2769" s="1" t="str">
        <f ca="1">IFERROR(__xludf.DUMMYFUNCTION("GOOGLETRANSLATE(English!H2769, ""en"", ""bg"")"),"образователна_помощ")</f>
        <v>образователна_помощ</v>
      </c>
    </row>
    <row r="2770" spans="1:8" ht="13.2" x14ac:dyDescent="0.25">
      <c r="A2770" s="1" t="str">
        <f ca="1">IFERROR(__xludf.DUMMYFUNCTION("GOOGLETRANSLATE(English!A2770, ""en"", ""bg"")"),"hw_06148")</f>
        <v>hw_06148</v>
      </c>
      <c r="B2770" s="1" t="str">
        <f ca="1">IFERROR(__xludf.DUMMYFUNCTION("GOOGLETRANSLATE(English!B2770, ""en"", ""bg"")"),"физика")</f>
        <v>физика</v>
      </c>
      <c r="C2770" s="1" t="str">
        <f ca="1">IFERROR(__xludf.DUMMYFUNCTION("GOOGLETRANSLATE(English!C2770, ""en"", ""bg"")"),"елементарен")</f>
        <v>елементарен</v>
      </c>
      <c r="D2770" s="1" t="str">
        <f ca="1">IFERROR(__xludf.DUMMYFUNCTION("GOOGLETRANSLATE(English!D2770, ""en"", ""bg"")"),"плаващ и потъващ")</f>
        <v>плаващ и потъващ</v>
      </c>
      <c r="E2770" s="1" t="str">
        <f ca="1">IFERROR(__xludf.DUMMYFUNCTION("GOOGLETRANSLATE(English!E2770,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2770" s="1" t="str">
        <f ca="1">IFERROR(__xludf.DUMMYFUNCTION("GOOGLETRANSLATE(English!F2770,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770" s="1" t="str">
        <f ca="1">IFERROR(__xludf.DUMMYFUNCTION("GOOGLETRANSLATE(English!G2770, ""en"", ""bg"")"),"помощ_за_домашно_изпълнение")</f>
        <v>помощ_за_домашно_изпълнение</v>
      </c>
      <c r="H2770" s="1" t="str">
        <f ca="1">IFERROR(__xludf.DUMMYFUNCTION("GOOGLETRANSLATE(English!H2770, ""en"", ""bg"")"),"помощ_за_домашно_задаване")</f>
        <v>помощ_за_домашно_задаване</v>
      </c>
    </row>
    <row r="2771" spans="1:8" ht="13.2" x14ac:dyDescent="0.25">
      <c r="A2771" s="1" t="str">
        <f ca="1">IFERROR(__xludf.DUMMYFUNCTION("GOOGLETRANSLATE(English!A2771, ""en"", ""bg"")"),"conv_01070")</f>
        <v>conv_01070</v>
      </c>
      <c r="B2771" s="1" t="str">
        <f ca="1">IFERROR(__xludf.DUMMYFUNCTION("GOOGLETRANSLATE(English!B2771, ""en"", ""bg"")"),"физика")</f>
        <v>физика</v>
      </c>
      <c r="C2771" s="1" t="str">
        <f ca="1">IFERROR(__xludf.DUMMYFUNCTION("GOOGLETRANSLATE(English!C2771, ""en"", ""bg"")"),"средата")</f>
        <v>средата</v>
      </c>
      <c r="D2771" s="1" t="str">
        <f ca="1">IFERROR(__xludf.DUMMYFUNCTION("GOOGLETRANSLATE(English!D2771, ""en"", ""bg"")"),"плътност")</f>
        <v>плътност</v>
      </c>
      <c r="E2771" s="1" t="str">
        <f ca="1">IFERROR(__xludf.DUMMYFUNCTION("GOOGLETRANSLATE(English!E2771, ""en"", ""bg"")"),"Здравей, преподавателю! Можеш ли да ми обясниш плътността?")</f>
        <v>Здравей, преподавателю! Можеш ли да ми обясниш плътността?</v>
      </c>
      <c r="F2771" s="1" t="str">
        <f ca="1">IFERROR(__xludf.DUMMYFUNCTION("GOOGLETRANSLATE(English!F2771,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2771" s="1" t="str">
        <f ca="1">IFERROR(__xludf.DUMMYFUNCTION("GOOGLETRANSLATE(English!G2771, ""en"", ""bg"")"),"разговор")</f>
        <v>разговор</v>
      </c>
      <c r="H2771" s="1" t="str">
        <f ca="1">IFERROR(__xludf.DUMMYFUNCTION("GOOGLETRANSLATE(English!H2771, ""en"", ""bg"")"),"образователна_помощ")</f>
        <v>образователна_помощ</v>
      </c>
    </row>
    <row r="2772" spans="1:8" ht="13.2" x14ac:dyDescent="0.25">
      <c r="A2772" s="1" t="str">
        <f ca="1">IFERROR(__xludf.DUMMYFUNCTION("GOOGLETRANSLATE(English!A2772, ""en"", ""bg"")"),"hw_12933")</f>
        <v>hw_12933</v>
      </c>
      <c r="B2772" s="1" t="str">
        <f ca="1">IFERROR(__xludf.DUMMYFUNCTION("GOOGLETRANSLATE(English!B2772, ""en"", ""bg"")"),"физика")</f>
        <v>физика</v>
      </c>
      <c r="C2772" s="1" t="str">
        <f ca="1">IFERROR(__xludf.DUMMYFUNCTION("GOOGLETRANSLATE(English!C2772, ""en"", ""bg"")"),"високо")</f>
        <v>високо</v>
      </c>
      <c r="D2772" s="1" t="str">
        <f ca="1">IFERROR(__xludf.DUMMYFUNCTION("GOOGLETRANSLATE(English!D2772, ""en"", ""bg"")"),"термодинамика")</f>
        <v>термодинамика</v>
      </c>
      <c r="E2772" s="1" t="str">
        <f ca="1">IFERROR(__xludf.DUMMYFUNCTION("GOOGLETRANSLATE(English!E2772, ""en"", ""bg"")"),"Трябва да разбирам термодинамиката за изпита си.")</f>
        <v>Трябва да разбирам термодинамиката за изпита си.</v>
      </c>
      <c r="F2772" s="1" t="str">
        <f ca="1">IFERROR(__xludf.DUMMYFUNCTION("GOOGLETRANSLATE(English!F2772,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772" s="1" t="str">
        <f ca="1">IFERROR(__xludf.DUMMYFUNCTION("GOOGLETRANSLATE(English!G2772, ""en"", ""bg"")"),"помощ_за_домашно_изпълнение")</f>
        <v>помощ_за_домашно_изпълнение</v>
      </c>
      <c r="H2772" s="1" t="str">
        <f ca="1">IFERROR(__xludf.DUMMYFUNCTION("GOOGLETRANSLATE(English!H2772, ""en"", ""bg"")"),"помощ_за_домашно_задаване")</f>
        <v>помощ_за_домашно_задаване</v>
      </c>
    </row>
    <row r="2773" spans="1:8" ht="13.2" x14ac:dyDescent="0.25">
      <c r="A2773" s="1" t="str">
        <f ca="1">IFERROR(__xludf.DUMMYFUNCTION("GOOGLETRANSLATE(English!A2773, ""en"", ""bg"")"),"qa_10415")</f>
        <v>qa_10415</v>
      </c>
      <c r="B2773" s="1" t="str">
        <f ca="1">IFERROR(__xludf.DUMMYFUNCTION("GOOGLETRANSLATE(English!B2773, ""en"", ""bg"")"),"физика")</f>
        <v>физика</v>
      </c>
      <c r="C2773" s="1" t="str">
        <f ca="1">IFERROR(__xludf.DUMMYFUNCTION("GOOGLETRANSLATE(English!C2773, ""en"", ""bg"")"),"високо")</f>
        <v>високо</v>
      </c>
      <c r="D2773" s="1" t="str">
        <f ca="1">IFERROR(__xludf.DUMMYFUNCTION("GOOGLETRANSLATE(English!D2773, ""en"", ""bg"")"),"термодинамика")</f>
        <v>термодинамика</v>
      </c>
      <c r="E2773" s="1" t="str">
        <f ca="1">IFERROR(__xludf.DUMMYFUNCTION("GOOGLETRANSLATE(English!E2773, ""en"", ""bg"")"),"Можете ли да ми обясните термодинамиката?")</f>
        <v>Можете ли да ми обясните термодинамиката?</v>
      </c>
      <c r="F2773" s="1" t="str">
        <f ca="1">IFERROR(__xludf.DUMMYFUNCTION("GOOGLETRANSLATE(English!F2773,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2773" s="1" t="str">
        <f ca="1">IFERROR(__xludf.DUMMYFUNCTION("GOOGLETRANSLATE(English!G2773, ""en"", ""bg"")"),"direct_qa")</f>
        <v>direct_qa</v>
      </c>
      <c r="H2773" s="1" t="str">
        <f ca="1">IFERROR(__xludf.DUMMYFUNCTION("GOOGLETRANSLATE(English!H2773, ""en"", ""bg"")"),"заявка_за_знание")</f>
        <v>заявка_за_знание</v>
      </c>
    </row>
    <row r="2774" spans="1:8" ht="13.2" x14ac:dyDescent="0.25">
      <c r="A2774" s="1" t="str">
        <f ca="1">IFERROR(__xludf.DUMMYFUNCTION("GOOGLETRANSLATE(English!A2774, ""en"", ""bg"")"),"hw_13588")</f>
        <v>hw_13588</v>
      </c>
      <c r="B2774" s="1" t="str">
        <f ca="1">IFERROR(__xludf.DUMMYFUNCTION("GOOGLETRANSLATE(English!B2774, ""en"", ""bg"")"),"биология")</f>
        <v>биология</v>
      </c>
      <c r="C2774" s="1" t="str">
        <f ca="1">IFERROR(__xludf.DUMMYFUNCTION("GOOGLETRANSLATE(English!C2774, ""en"", ""bg"")"),"високо")</f>
        <v>високо</v>
      </c>
      <c r="D2774" s="1" t="str">
        <f ca="1">IFERROR(__xludf.DUMMYFUNCTION("GOOGLETRANSLATE(English!D2774, ""en"", ""bg"")"),"синтез на протеини")</f>
        <v>синтез на протеини</v>
      </c>
      <c r="E2774" s="1" t="str">
        <f ca="1">IFERROR(__xludf.DUMMYFUNCTION("GOOGLETRANSLATE(English!E2774,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2774" s="1" t="str">
        <f ca="1">IFERROR(__xludf.DUMMYFUNCTION("GOOGLETRANSLATE(English!F2774,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2774" s="1" t="str">
        <f ca="1">IFERROR(__xludf.DUMMYFUNCTION("GOOGLETRANSLATE(English!G2774, ""en"", ""bg"")"),"помощ_за_домашно_изпълнение")</f>
        <v>помощ_за_домашно_изпълнение</v>
      </c>
      <c r="H2774" s="1" t="str">
        <f ca="1">IFERROR(__xludf.DUMMYFUNCTION("GOOGLETRANSLATE(English!H2774, ""en"", ""bg"")"),"помощ_за_домашно_задаване")</f>
        <v>помощ_за_домашно_задаване</v>
      </c>
    </row>
    <row r="2775" spans="1:8" ht="13.2" x14ac:dyDescent="0.25">
      <c r="A2775" s="1" t="str">
        <f ca="1">IFERROR(__xludf.DUMMYFUNCTION("GOOGLETRANSLATE(English!A2775, ""en"", ""bg"")"),"conv_06515")</f>
        <v>conv_06515</v>
      </c>
      <c r="B2775" s="1" t="str">
        <f ca="1">IFERROR(__xludf.DUMMYFUNCTION("GOOGLETRANSLATE(English!B2775, ""en"", ""bg"")"),"химия")</f>
        <v>химия</v>
      </c>
      <c r="C2775" s="1" t="str">
        <f ca="1">IFERROR(__xludf.DUMMYFUNCTION("GOOGLETRANSLATE(English!C2775, ""en"", ""bg"")"),"елементарен")</f>
        <v>елементарен</v>
      </c>
      <c r="D2775" s="1" t="str">
        <f ca="1">IFERROR(__xludf.DUMMYFUNCTION("GOOGLETRANSLATE(English!D2775, ""en"", ""bg"")"),"промени в материалите")</f>
        <v>промени в материалите</v>
      </c>
      <c r="E2775" s="1" t="str">
        <f ca="1">IFERROR(__xludf.DUMMYFUNCTION("GOOGLETRANSLATE(English!E2775, ""en"", ""bg"")"),"Можете ли да ми обясните това? Как протичат промените в материалите в химията?")</f>
        <v>Можете ли да ми обясните това? Как протичат промените в материалите в химията?</v>
      </c>
      <c r="F2775" s="1" t="str">
        <f ca="1">IFERROR(__xludf.DUMMYFUNCTION("GOOGLETRANSLATE(English!F2775,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2775" s="1" t="str">
        <f ca="1">IFERROR(__xludf.DUMMYFUNCTION("GOOGLETRANSLATE(English!G2775, ""en"", ""bg"")"),"разговор")</f>
        <v>разговор</v>
      </c>
      <c r="H2775" s="1" t="str">
        <f ca="1">IFERROR(__xludf.DUMMYFUNCTION("GOOGLETRANSLATE(English!H2775, ""en"", ""bg"")"),"образователна_помощ")</f>
        <v>образователна_помощ</v>
      </c>
    </row>
    <row r="2776" spans="1:8" ht="13.2" x14ac:dyDescent="0.25">
      <c r="A2776" s="1" t="str">
        <f ca="1">IFERROR(__xludf.DUMMYFUNCTION("GOOGLETRANSLATE(English!A2776, ""en"", ""bg"")"),"qa_14618")</f>
        <v>qa_14618</v>
      </c>
      <c r="B2776" s="1" t="str">
        <f ca="1">IFERROR(__xludf.DUMMYFUNCTION("GOOGLETRANSLATE(English!B2776, ""en"", ""bg"")"),"биология")</f>
        <v>биология</v>
      </c>
      <c r="C2776" s="1" t="str">
        <f ca="1">IFERROR(__xludf.DUMMYFUNCTION("GOOGLETRANSLATE(English!C2776, ""en"", ""bg"")"),"високо")</f>
        <v>високо</v>
      </c>
      <c r="D2776" s="1" t="str">
        <f ca="1">IFERROR(__xludf.DUMMYFUNCTION("GOOGLETRANSLATE(English!D2776, ""en"", ""bg"")"),"модели на наследяване")</f>
        <v>модели на наследяване</v>
      </c>
      <c r="E2776" s="1" t="str">
        <f ca="1">IFERROR(__xludf.DUMMYFUNCTION("GOOGLETRANSLATE(English!E2776, ""en"", ""bg"")"),"Как работят моделите на наследяване?")</f>
        <v>Как работят моделите на наследяване?</v>
      </c>
      <c r="F2776" s="1" t="str">
        <f ca="1">IFERROR(__xludf.DUMMYFUNCTION("GOOGLETRANSLATE(English!F2776,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2776" s="1" t="str">
        <f ca="1">IFERROR(__xludf.DUMMYFUNCTION("GOOGLETRANSLATE(English!G2776, ""en"", ""bg"")"),"direct_qa")</f>
        <v>direct_qa</v>
      </c>
      <c r="H2776" s="1" t="str">
        <f ca="1">IFERROR(__xludf.DUMMYFUNCTION("GOOGLETRANSLATE(English!H2776, ""en"", ""bg"")"),"заявка_за_знание")</f>
        <v>заявка_за_знание</v>
      </c>
    </row>
    <row r="2777" spans="1:8" ht="13.2" x14ac:dyDescent="0.25">
      <c r="A2777" s="1" t="str">
        <f ca="1">IFERROR(__xludf.DUMMYFUNCTION("GOOGLETRANSLATE(English!A2777, ""en"", ""bg"")"),"conv_00544")</f>
        <v>conv_00544</v>
      </c>
      <c r="B2777" s="1" t="str">
        <f ca="1">IFERROR(__xludf.DUMMYFUNCTION("GOOGLETRANSLATE(English!B2777, ""en"", ""bg"")"),"биология")</f>
        <v>биология</v>
      </c>
      <c r="C2777" s="1" t="str">
        <f ca="1">IFERROR(__xludf.DUMMYFUNCTION("GOOGLETRANSLATE(English!C2777, ""en"", ""bg"")"),"елементарен")</f>
        <v>елементарен</v>
      </c>
      <c r="D2777" s="1" t="str">
        <f ca="1">IFERROR(__xludf.DUMMYFUNCTION("GOOGLETRANSLATE(English!D2777, ""en"", ""bg"")"),"човешкото тяло")</f>
        <v>човешкото тяло</v>
      </c>
      <c r="E2777" s="1" t="str">
        <f ca="1">IFERROR(__xludf.DUMMYFUNCTION("GOOGLETRANSLATE(English!E2777, ""en"", ""bg"")"),"Здравей, преподавателю! Какво е важно да знаеш за човешкото тяло?")</f>
        <v>Здравей, преподавателю! Какво е важно да знаеш за човешкото тяло?</v>
      </c>
      <c r="F2777" s="1" t="str">
        <f ca="1">IFERROR(__xludf.DUMMYFUNCTION("GOOGLETRANSLATE(English!F2777,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2777" s="1" t="str">
        <f ca="1">IFERROR(__xludf.DUMMYFUNCTION("GOOGLETRANSLATE(English!G2777, ""en"", ""bg"")"),"разговор")</f>
        <v>разговор</v>
      </c>
      <c r="H2777" s="1" t="str">
        <f ca="1">IFERROR(__xludf.DUMMYFUNCTION("GOOGLETRANSLATE(English!H2777, ""en"", ""bg"")"),"образователна_помощ")</f>
        <v>образователна_помощ</v>
      </c>
    </row>
    <row r="2778" spans="1:8" ht="13.2" x14ac:dyDescent="0.25">
      <c r="A2778" s="1" t="str">
        <f ca="1">IFERROR(__xludf.DUMMYFUNCTION("GOOGLETRANSLATE(English!A2778, ""en"", ""bg"")"),"conv_08860")</f>
        <v>conv_08860</v>
      </c>
      <c r="B2778" s="1" t="str">
        <f ca="1">IFERROR(__xludf.DUMMYFUNCTION("GOOGLETRANSLATE(English!B2778, ""en"", ""bg"")"),"химия")</f>
        <v>химия</v>
      </c>
      <c r="C2778" s="1" t="str">
        <f ca="1">IFERROR(__xludf.DUMMYFUNCTION("GOOGLETRANSLATE(English!C2778, ""en"", ""bg"")"),"високо")</f>
        <v>високо</v>
      </c>
      <c r="D2778" s="1" t="str">
        <f ca="1">IFERROR(__xludf.DUMMYFUNCTION("GOOGLETRANSLATE(English!D2778, ""en"", ""bg"")"),"химическо свързване")</f>
        <v>химическо свързване</v>
      </c>
      <c r="E2778" s="1" t="str">
        <f ca="1">IFERROR(__xludf.DUMMYFUNCTION("GOOGLETRANSLATE(English!E2778, ""en"", ""bg"")"),"Можете ли да ми помогнете? Как работи химическата връзка в химията?")</f>
        <v>Можете ли да ми помогнете? Как работи химическата връзка в химията?</v>
      </c>
      <c r="F2778" s="1" t="str">
        <f ca="1">IFERROR(__xludf.DUMMYFUNCTION("GOOGLETRANSLATE(English!F2778,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2778" s="1" t="str">
        <f ca="1">IFERROR(__xludf.DUMMYFUNCTION("GOOGLETRANSLATE(English!G2778, ""en"", ""bg"")"),"разговор")</f>
        <v>разговор</v>
      </c>
      <c r="H2778" s="1" t="str">
        <f ca="1">IFERROR(__xludf.DUMMYFUNCTION("GOOGLETRANSLATE(English!H2778, ""en"", ""bg"")"),"образователна_помощ")</f>
        <v>образователна_помощ</v>
      </c>
    </row>
    <row r="2779" spans="1:8" ht="13.2" x14ac:dyDescent="0.25">
      <c r="A2779" s="1" t="str">
        <f ca="1">IFERROR(__xludf.DUMMYFUNCTION("GOOGLETRANSLATE(English!A2779, ""en"", ""bg"")"),"qa_04505")</f>
        <v>qa_04505</v>
      </c>
      <c r="B2779" s="1" t="str">
        <f ca="1">IFERROR(__xludf.DUMMYFUNCTION("GOOGLETRANSLATE(English!B2779, ""en"", ""bg"")"),"биология")</f>
        <v>биология</v>
      </c>
      <c r="C2779" s="1" t="str">
        <f ca="1">IFERROR(__xludf.DUMMYFUNCTION("GOOGLETRANSLATE(English!C2779, ""en"", ""bg"")"),"елементарен")</f>
        <v>елементарен</v>
      </c>
      <c r="D2779" s="1" t="str">
        <f ca="1">IFERROR(__xludf.DUMMYFUNCTION("GOOGLETRANSLATE(English!D2779, ""en"", ""bg"")"),"човешкото тяло")</f>
        <v>човешкото тяло</v>
      </c>
      <c r="E2779" s="1" t="str">
        <f ca="1">IFERROR(__xludf.DUMMYFUNCTION("GOOGLETRANSLATE(English!E2779, ""en"", ""bg"")"),"Как работи човешкото тяло?")</f>
        <v>Как работи човешкото тяло?</v>
      </c>
      <c r="F2779" s="1" t="str">
        <f ca="1">IFERROR(__xludf.DUMMYFUNCTION("GOOGLETRANSLATE(English!F2779,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2779" s="1" t="str">
        <f ca="1">IFERROR(__xludf.DUMMYFUNCTION("GOOGLETRANSLATE(English!G2779, ""en"", ""bg"")"),"direct_qa")</f>
        <v>direct_qa</v>
      </c>
      <c r="H2779" s="1" t="str">
        <f ca="1">IFERROR(__xludf.DUMMYFUNCTION("GOOGLETRANSLATE(English!H2779, ""en"", ""bg"")"),"заявка_за_знание")</f>
        <v>заявка_за_знание</v>
      </c>
    </row>
    <row r="2780" spans="1:8" ht="13.2" x14ac:dyDescent="0.25">
      <c r="A2780" s="1" t="str">
        <f ca="1">IFERROR(__xludf.DUMMYFUNCTION("GOOGLETRANSLATE(English!A2780, ""en"", ""bg"")"),"qa_09948")</f>
        <v>qa_09948</v>
      </c>
      <c r="B2780" s="1" t="str">
        <f ca="1">IFERROR(__xludf.DUMMYFUNCTION("GOOGLETRANSLATE(English!B2780, ""en"", ""bg"")"),"химия")</f>
        <v>химия</v>
      </c>
      <c r="C2780" s="1" t="str">
        <f ca="1">IFERROR(__xludf.DUMMYFUNCTION("GOOGLETRANSLATE(English!C2780, ""en"", ""bg"")"),"елементарен")</f>
        <v>елементарен</v>
      </c>
      <c r="D2780" s="1" t="str">
        <f ca="1">IFERROR(__xludf.DUMMYFUNCTION("GOOGLETRANSLATE(English!D2780, ""en"", ""bg"")"),"твърди вещества, течности, газове")</f>
        <v>твърди вещества, течности, газове</v>
      </c>
      <c r="E2780" s="1" t="str">
        <f ca="1">IFERROR(__xludf.DUMMYFUNCTION("GOOGLETRANSLATE(English!E2780, ""en"", ""bg"")"),"Кои са трите състояния на материята?")</f>
        <v>Кои са трите състояния на материята?</v>
      </c>
      <c r="F2780" s="1" t="str">
        <f ca="1">IFERROR(__xludf.DUMMYFUNCTION("GOOGLETRANSLATE(English!F2780,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2780" s="1" t="str">
        <f ca="1">IFERROR(__xludf.DUMMYFUNCTION("GOOGLETRANSLATE(English!G2780, ""en"", ""bg"")"),"direct_qa")</f>
        <v>direct_qa</v>
      </c>
      <c r="H2780" s="1" t="str">
        <f ca="1">IFERROR(__xludf.DUMMYFUNCTION("GOOGLETRANSLATE(English!H2780, ""en"", ""bg"")"),"заявка_за_знание")</f>
        <v>заявка_за_знание</v>
      </c>
    </row>
    <row r="2781" spans="1:8" ht="13.2" x14ac:dyDescent="0.25">
      <c r="A2781" s="1" t="str">
        <f ca="1">IFERROR(__xludf.DUMMYFUNCTION("GOOGLETRANSLATE(English!A2781, ""en"", ""bg"")"),"conv_00982")</f>
        <v>conv_00982</v>
      </c>
      <c r="B2781" s="1" t="str">
        <f ca="1">IFERROR(__xludf.DUMMYFUNCTION("GOOGLETRANSLATE(English!B2781, ""en"", ""bg"")"),"физика")</f>
        <v>физика</v>
      </c>
      <c r="C2781" s="1" t="str">
        <f ca="1">IFERROR(__xludf.DUMMYFUNCTION("GOOGLETRANSLATE(English!C2781, ""en"", ""bg"")"),"високо")</f>
        <v>високо</v>
      </c>
      <c r="D2781" s="1" t="str">
        <f ca="1">IFERROR(__xludf.DUMMYFUNCTION("GOOGLETRANSLATE(English!D2781, ""en"", ""bg"")"),"оптика")</f>
        <v>оптика</v>
      </c>
      <c r="E2781" s="1" t="str">
        <f ca="1">IFERROR(__xludf.DUMMYFUNCTION("GOOGLETRANSLATE(English!E2781, ""en"", ""bg"")"),"Можете ли да ми помогнете? Защо оптиката е важна?")</f>
        <v>Можете ли да ми помогнете? Защо оптиката е важна?</v>
      </c>
      <c r="F2781" s="1" t="str">
        <f ca="1">IFERROR(__xludf.DUMMYFUNCTION("GOOGLETRANSLATE(English!F2781,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2781" s="1" t="str">
        <f ca="1">IFERROR(__xludf.DUMMYFUNCTION("GOOGLETRANSLATE(English!G2781, ""en"", ""bg"")"),"разговор")</f>
        <v>разговор</v>
      </c>
      <c r="H2781" s="1" t="str">
        <f ca="1">IFERROR(__xludf.DUMMYFUNCTION("GOOGLETRANSLATE(English!H2781, ""en"", ""bg"")"),"образователна_помощ")</f>
        <v>образователна_помощ</v>
      </c>
    </row>
    <row r="2782" spans="1:8" ht="13.2" x14ac:dyDescent="0.25">
      <c r="A2782" s="1" t="str">
        <f ca="1">IFERROR(__xludf.DUMMYFUNCTION("GOOGLETRANSLATE(English!A2782, ""en"", ""bg"")"),"qa_11773")</f>
        <v>qa_11773</v>
      </c>
      <c r="B2782" s="1" t="str">
        <f ca="1">IFERROR(__xludf.DUMMYFUNCTION("GOOGLETRANSLATE(English!B2782, ""en"", ""bg"")"),"химия")</f>
        <v>химия</v>
      </c>
      <c r="C2782" s="1" t="str">
        <f ca="1">IFERROR(__xludf.DUMMYFUNCTION("GOOGLETRANSLATE(English!C2782, ""en"", ""bg"")"),"елементарен")</f>
        <v>елементарен</v>
      </c>
      <c r="D2782" s="1" t="str">
        <f ca="1">IFERROR(__xludf.DUMMYFUNCTION("GOOGLETRANSLATE(English!D2782, ""en"", ""bg"")"),"твърди вещества, течности, газове")</f>
        <v>твърди вещества, течности, газове</v>
      </c>
      <c r="E2782" s="1" t="str">
        <f ca="1">IFERROR(__xludf.DUMMYFUNCTION("GOOGLETRANSLATE(English!E2782, ""en"", ""bg"")"),"Кои са трите състояния на материята?")</f>
        <v>Кои са трите състояния на материята?</v>
      </c>
      <c r="F2782" s="1" t="str">
        <f ca="1">IFERROR(__xludf.DUMMYFUNCTION("GOOGLETRANSLATE(English!F2782,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2782" s="1" t="str">
        <f ca="1">IFERROR(__xludf.DUMMYFUNCTION("GOOGLETRANSLATE(English!G2782, ""en"", ""bg"")"),"direct_qa")</f>
        <v>direct_qa</v>
      </c>
      <c r="H2782" s="1" t="str">
        <f ca="1">IFERROR(__xludf.DUMMYFUNCTION("GOOGLETRANSLATE(English!H2782, ""en"", ""bg"")"),"заявка_за_знание")</f>
        <v>заявка_за_знание</v>
      </c>
    </row>
    <row r="2783" spans="1:8" ht="13.2" x14ac:dyDescent="0.25">
      <c r="A2783" s="1" t="str">
        <f ca="1">IFERROR(__xludf.DUMMYFUNCTION("GOOGLETRANSLATE(English!A2783, ""en"", ""bg"")"),"qa_08449")</f>
        <v>qa_08449</v>
      </c>
      <c r="B2783" s="1" t="str">
        <f ca="1">IFERROR(__xludf.DUMMYFUNCTION("GOOGLETRANSLATE(English!B2783, ""en"", ""bg"")"),"химия")</f>
        <v>химия</v>
      </c>
      <c r="C2783" s="1" t="str">
        <f ca="1">IFERROR(__xludf.DUMMYFUNCTION("GOOGLETRANSLATE(English!C2783, ""en"", ""bg"")"),"високо")</f>
        <v>високо</v>
      </c>
      <c r="D2783" s="1" t="str">
        <f ca="1">IFERROR(__xludf.DUMMYFUNCTION("GOOGLETRANSLATE(English!D2783, ""en"", ""bg"")"),"равновесие")</f>
        <v>равновесие</v>
      </c>
      <c r="E2783" s="1" t="str">
        <f ca="1">IFERROR(__xludf.DUMMYFUNCTION("GOOGLETRANSLATE(English!E2783, ""en"", ""bg"")"),"Какво е равновесието изобщо?")</f>
        <v>Какво е равновесието изобщо?</v>
      </c>
      <c r="F2783" s="1" t="str">
        <f ca="1">IFERROR(__xludf.DUMMYFUNCTION("GOOGLETRANSLATE(English!F2783,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2783" s="1" t="str">
        <f ca="1">IFERROR(__xludf.DUMMYFUNCTION("GOOGLETRANSLATE(English!G2783, ""en"", ""bg"")"),"direct_qa")</f>
        <v>direct_qa</v>
      </c>
      <c r="H2783" s="1" t="str">
        <f ca="1">IFERROR(__xludf.DUMMYFUNCTION("GOOGLETRANSLATE(English!H2783, ""en"", ""bg"")"),"заявка_за_знание")</f>
        <v>заявка_за_знание</v>
      </c>
    </row>
    <row r="2784" spans="1:8" ht="13.2" x14ac:dyDescent="0.25">
      <c r="A2784" s="1" t="str">
        <f ca="1">IFERROR(__xludf.DUMMYFUNCTION("GOOGLETRANSLATE(English!A2784, ""en"", ""bg"")"),"hw_14795")</f>
        <v>hw_14795</v>
      </c>
      <c r="B2784" s="1" t="str">
        <f ca="1">IFERROR(__xludf.DUMMYFUNCTION("GOOGLETRANSLATE(English!B2784, ""en"", ""bg"")"),"биология")</f>
        <v>биология</v>
      </c>
      <c r="C2784" s="1" t="str">
        <f ca="1">IFERROR(__xludf.DUMMYFUNCTION("GOOGLETRANSLATE(English!C2784, ""en"", ""bg"")"),"високо")</f>
        <v>високо</v>
      </c>
      <c r="D2784" s="1" t="str">
        <f ca="1">IFERROR(__xludf.DUMMYFUNCTION("GOOGLETRANSLATE(English!D2784, ""en"", ""bg"")"),"молекулярна биология")</f>
        <v>молекулярна биология</v>
      </c>
      <c r="E2784" s="1" t="str">
        <f ca="1">IFERROR(__xludf.DUMMYFUNCTION("GOOGLETRANSLATE(English!E2784,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2784" s="1" t="str">
        <f ca="1">IFERROR(__xludf.DUMMYFUNCTION("GOOGLETRANSLATE(English!F2784,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2784" s="1" t="str">
        <f ca="1">IFERROR(__xludf.DUMMYFUNCTION("GOOGLETRANSLATE(English!G2784, ""en"", ""bg"")"),"помощ_за_домашно_изпълнение")</f>
        <v>помощ_за_домашно_изпълнение</v>
      </c>
      <c r="H2784" s="1" t="str">
        <f ca="1">IFERROR(__xludf.DUMMYFUNCTION("GOOGLETRANSLATE(English!H2784, ""en"", ""bg"")"),"помощ_за_домашно_задаване")</f>
        <v>помощ_за_домашно_задаване</v>
      </c>
    </row>
    <row r="2785" spans="1:8" ht="13.2" x14ac:dyDescent="0.25">
      <c r="A2785" s="1" t="str">
        <f ca="1">IFERROR(__xludf.DUMMYFUNCTION("GOOGLETRANSLATE(English!A2785, ""en"", ""bg"")"),"hw_09772")</f>
        <v>hw_09772</v>
      </c>
      <c r="B2785" s="1" t="str">
        <f ca="1">IFERROR(__xludf.DUMMYFUNCTION("GOOGLETRANSLATE(English!B2785, ""en"", ""bg"")"),"биология")</f>
        <v>биология</v>
      </c>
      <c r="C2785" s="1" t="str">
        <f ca="1">IFERROR(__xludf.DUMMYFUNCTION("GOOGLETRANSLATE(English!C2785, ""en"", ""bg"")"),"високо")</f>
        <v>високо</v>
      </c>
      <c r="D2785" s="1" t="str">
        <f ca="1">IFERROR(__xludf.DUMMYFUNCTION("GOOGLETRANSLATE(English!D2785, ""en"", ""bg"")"),"митоза и мейоза")</f>
        <v>митоза и мейоза</v>
      </c>
      <c r="E2785" s="1" t="str">
        <f ca="1">IFERROR(__xludf.DUMMYFUNCTION("GOOGLETRANSLATE(English!E2785, ""en"", ""bg"")"),"Утре имам тест по митоза и мейоза. Помогни ми да уча!")</f>
        <v>Утре имам тест по митоза и мейоза. Помогни ми да уча!</v>
      </c>
      <c r="F2785" s="1" t="str">
        <f ca="1">IFERROR(__xludf.DUMMYFUNCTION("GOOGLETRANSLATE(English!F2785,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2785" s="1" t="str">
        <f ca="1">IFERROR(__xludf.DUMMYFUNCTION("GOOGLETRANSLATE(English!G2785, ""en"", ""bg"")"),"помощ_за_домашно_изпълнение")</f>
        <v>помощ_за_домашно_изпълнение</v>
      </c>
      <c r="H2785" s="1" t="str">
        <f ca="1">IFERROR(__xludf.DUMMYFUNCTION("GOOGLETRANSLATE(English!H2785, ""en"", ""bg"")"),"помощ_за_домашно_задаване")</f>
        <v>помощ_за_домашно_задаване</v>
      </c>
    </row>
    <row r="2786" spans="1:8" ht="13.2" x14ac:dyDescent="0.25">
      <c r="A2786" s="1" t="str">
        <f ca="1">IFERROR(__xludf.DUMMYFUNCTION("GOOGLETRANSLATE(English!A2786, ""en"", ""bg"")"),"hw_00444")</f>
        <v>hw_00444</v>
      </c>
      <c r="B2786" s="1" t="str">
        <f ca="1">IFERROR(__xludf.DUMMYFUNCTION("GOOGLETRANSLATE(English!B2786, ""en"", ""bg"")"),"физика")</f>
        <v>физика</v>
      </c>
      <c r="C2786" s="1" t="str">
        <f ca="1">IFERROR(__xludf.DUMMYFUNCTION("GOOGLETRANSLATE(English!C2786, ""en"", ""bg"")"),"елементарен")</f>
        <v>елементарен</v>
      </c>
      <c r="D2786" s="1" t="str">
        <f ca="1">IFERROR(__xludf.DUMMYFUNCTION("GOOGLETRANSLATE(English!D2786, ""en"", ""bg"")"),"прости машини")</f>
        <v>прости машини</v>
      </c>
      <c r="E2786" s="1" t="str">
        <f ca="1">IFERROR(__xludf.DUMMYFUNCTION("GOOGLETRANSLATE(English!E2786, ""en"", ""bg"")"),"Заседнал съм с този прост проблем с машината. Можете ли да помогнете?")</f>
        <v>Заседнал съм с този прост проблем с машината. Можете ли да помогнете?</v>
      </c>
      <c r="F2786" s="1" t="str">
        <f ca="1">IFERROR(__xludf.DUMMYFUNCTION("GOOGLETRANSLATE(English!F2786,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2786" s="1" t="str">
        <f ca="1">IFERROR(__xludf.DUMMYFUNCTION("GOOGLETRANSLATE(English!G2786, ""en"", ""bg"")"),"помощ_за_домашно_изпълнение")</f>
        <v>помощ_за_домашно_изпълнение</v>
      </c>
      <c r="H2786" s="1" t="str">
        <f ca="1">IFERROR(__xludf.DUMMYFUNCTION("GOOGLETRANSLATE(English!H2786, ""en"", ""bg"")"),"помощ_за_домашно_задаване")</f>
        <v>помощ_за_домашно_задаване</v>
      </c>
    </row>
    <row r="2787" spans="1:8" ht="13.2" x14ac:dyDescent="0.25">
      <c r="A2787" s="1" t="str">
        <f ca="1">IFERROR(__xludf.DUMMYFUNCTION("GOOGLETRANSLATE(English!A2787, ""en"", ""bg"")"),"hw_14187")</f>
        <v>hw_14187</v>
      </c>
      <c r="B2787" s="1" t="str">
        <f ca="1">IFERROR(__xludf.DUMMYFUNCTION("GOOGLETRANSLATE(English!B2787, ""en"", ""bg"")"),"биология")</f>
        <v>биология</v>
      </c>
      <c r="C2787" s="1" t="str">
        <f ca="1">IFERROR(__xludf.DUMMYFUNCTION("GOOGLETRANSLATE(English!C2787, ""en"", ""bg"")"),"елементарен")</f>
        <v>елементарен</v>
      </c>
      <c r="D2787" s="1" t="str">
        <f ca="1">IFERROR(__xludf.DUMMYFUNCTION("GOOGLETRANSLATE(English!D2787, ""en"", ""bg"")"),"жизнени цикли")</f>
        <v>жизнени цикли</v>
      </c>
      <c r="E2787" s="1" t="str">
        <f ca="1">IFERROR(__xludf.DUMMYFUNCTION("GOOGLETRANSLATE(English!E2787, ""en"", ""bg"")"),"Трябва да напиша доклад за жизнените цикли. Можете ли да ми помогнете да започна?")</f>
        <v>Трябва да напиша доклад за жизнените цикли. Можете ли да ми помогнете да започна?</v>
      </c>
      <c r="F2787" s="1" t="str">
        <f ca="1">IFERROR(__xludf.DUMMYFUNCTION("GOOGLETRANSLATE(English!F2787,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2787" s="1" t="str">
        <f ca="1">IFERROR(__xludf.DUMMYFUNCTION("GOOGLETRANSLATE(English!G2787, ""en"", ""bg"")"),"помощ_за_домашно_изпълнение")</f>
        <v>помощ_за_домашно_изпълнение</v>
      </c>
      <c r="H2787" s="1" t="str">
        <f ca="1">IFERROR(__xludf.DUMMYFUNCTION("GOOGLETRANSLATE(English!H2787, ""en"", ""bg"")"),"помощ_за_домашно_задаване")</f>
        <v>помощ_за_домашно_задаване</v>
      </c>
    </row>
    <row r="2788" spans="1:8" ht="13.2" x14ac:dyDescent="0.25">
      <c r="A2788" s="1" t="str">
        <f ca="1">IFERROR(__xludf.DUMMYFUNCTION("GOOGLETRANSLATE(English!A2788, ""en"", ""bg"")"),"hw_07264")</f>
        <v>hw_07264</v>
      </c>
      <c r="B2788" s="1" t="str">
        <f ca="1">IFERROR(__xludf.DUMMYFUNCTION("GOOGLETRANSLATE(English!B2788, ""en"", ""bg"")"),"биология")</f>
        <v>биология</v>
      </c>
      <c r="C2788" s="1" t="str">
        <f ca="1">IFERROR(__xludf.DUMMYFUNCTION("GOOGLETRANSLATE(English!C2788, ""en"", ""bg"")"),"високо")</f>
        <v>високо</v>
      </c>
      <c r="D2788" s="1" t="str">
        <f ca="1">IFERROR(__xludf.DUMMYFUNCTION("GOOGLETRANSLATE(English!D2788, ""en"", ""bg"")"),"синтез на протеини")</f>
        <v>синтез на протеини</v>
      </c>
      <c r="E2788" s="1" t="str">
        <f ca="1">IFERROR(__xludf.DUMMYFUNCTION("GOOGLETRANSLATE(English!E2788, ""en"", ""bg"")"),"Утре имам тест по протеинов синтез. Помогни ми да уча!")</f>
        <v>Утре имам тест по протеинов синтез. Помогни ми да уча!</v>
      </c>
      <c r="F2788" s="1" t="str">
        <f ca="1">IFERROR(__xludf.DUMMYFUNCTION("GOOGLETRANSLATE(English!F2788,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2788" s="1" t="str">
        <f ca="1">IFERROR(__xludf.DUMMYFUNCTION("GOOGLETRANSLATE(English!G2788, ""en"", ""bg"")"),"помощ_за_домашно_изпълнение")</f>
        <v>помощ_за_домашно_изпълнение</v>
      </c>
      <c r="H2788" s="1" t="str">
        <f ca="1">IFERROR(__xludf.DUMMYFUNCTION("GOOGLETRANSLATE(English!H2788, ""en"", ""bg"")"),"помощ_за_домашно_задаване")</f>
        <v>помощ_за_домашно_задаване</v>
      </c>
    </row>
    <row r="2789" spans="1:8" ht="13.2" x14ac:dyDescent="0.25">
      <c r="A2789" s="1" t="str">
        <f ca="1">IFERROR(__xludf.DUMMYFUNCTION("GOOGLETRANSLATE(English!A2789, ""en"", ""bg"")"),"hw_01733")</f>
        <v>hw_01733</v>
      </c>
      <c r="B2789" s="1" t="str">
        <f ca="1">IFERROR(__xludf.DUMMYFUNCTION("GOOGLETRANSLATE(English!B2789, ""en"", ""bg"")"),"физика")</f>
        <v>физика</v>
      </c>
      <c r="C2789" s="1" t="str">
        <f ca="1">IFERROR(__xludf.DUMMYFUNCTION("GOOGLETRANSLATE(English!C2789, ""en"", ""bg"")"),"елементарен")</f>
        <v>елементарен</v>
      </c>
      <c r="D2789" s="1" t="str">
        <f ca="1">IFERROR(__xludf.DUMMYFUNCTION("GOOGLETRANSLATE(English!D2789, ""en"", ""bg"")"),"горещо и студено")</f>
        <v>горещо и студено</v>
      </c>
      <c r="E2789" s="1" t="str">
        <f ca="1">IFERROR(__xludf.DUMMYFUNCTION("GOOGLETRANSLATE(English!E2789, ""en"", ""bg"")"),"Заседнал съм с този проблем с горещината и студените. Можете ли да помогнете?")</f>
        <v>Заседнал съм с този проблем с горещината и студените. Можете ли да помогнете?</v>
      </c>
      <c r="F2789" s="1" t="str">
        <f ca="1">IFERROR(__xludf.DUMMYFUNCTION("GOOGLETRANSLATE(English!F2789,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2789" s="1" t="str">
        <f ca="1">IFERROR(__xludf.DUMMYFUNCTION("GOOGLETRANSLATE(English!G2789, ""en"", ""bg"")"),"помощ_за_домашно_изпълнение")</f>
        <v>помощ_за_домашно_изпълнение</v>
      </c>
      <c r="H2789" s="1" t="str">
        <f ca="1">IFERROR(__xludf.DUMMYFUNCTION("GOOGLETRANSLATE(English!H2789, ""en"", ""bg"")"),"помощ_за_домашно_задаване")</f>
        <v>помощ_за_домашно_задаване</v>
      </c>
    </row>
    <row r="2790" spans="1:8" ht="13.2" x14ac:dyDescent="0.25">
      <c r="A2790" s="1" t="str">
        <f ca="1">IFERROR(__xludf.DUMMYFUNCTION("GOOGLETRANSLATE(English!A2790, ""en"", ""bg"")"),"conv_11444")</f>
        <v>conv_11444</v>
      </c>
      <c r="B2790" s="1" t="str">
        <f ca="1">IFERROR(__xludf.DUMMYFUNCTION("GOOGLETRANSLATE(English!B2790, ""en"", ""bg"")"),"биология")</f>
        <v>биология</v>
      </c>
      <c r="C2790" s="1" t="str">
        <f ca="1">IFERROR(__xludf.DUMMYFUNCTION("GOOGLETRANSLATE(English!C2790, ""en"", ""bg"")"),"високо")</f>
        <v>високо</v>
      </c>
      <c r="D2790" s="1" t="str">
        <f ca="1">IFERROR(__xludf.DUMMYFUNCTION("GOOGLETRANSLATE(English!D2790, ""en"", ""bg"")"),"модели на наследяване")</f>
        <v>модели на наследяване</v>
      </c>
      <c r="E2790" s="1" t="str">
        <f ca="1">IFERROR(__xludf.DUMMYFUNCTION("GOOGLETRANSLATE(English!E2790, ""en"", ""bg"")"),"Здравей, преподавателю! Можеш ли да ми кажеш за моделите на наследяване?")</f>
        <v>Здравей, преподавателю! Можеш ли да ми кажеш за моделите на наследяване?</v>
      </c>
      <c r="F2790" s="1" t="str">
        <f ca="1">IFERROR(__xludf.DUMMYFUNCTION("GOOGLETRANSLATE(English!F2790,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2790" s="1" t="str">
        <f ca="1">IFERROR(__xludf.DUMMYFUNCTION("GOOGLETRANSLATE(English!G2790, ""en"", ""bg"")"),"разговор")</f>
        <v>разговор</v>
      </c>
      <c r="H2790" s="1" t="str">
        <f ca="1">IFERROR(__xludf.DUMMYFUNCTION("GOOGLETRANSLATE(English!H2790, ""en"", ""bg"")"),"образователна_помощ")</f>
        <v>образователна_помощ</v>
      </c>
    </row>
    <row r="2791" spans="1:8" ht="13.2" x14ac:dyDescent="0.25">
      <c r="A2791" s="1" t="str">
        <f ca="1">IFERROR(__xludf.DUMMYFUNCTION("GOOGLETRANSLATE(English!A2791, ""en"", ""bg"")"),"hw_02085")</f>
        <v>hw_02085</v>
      </c>
      <c r="B2791" s="1" t="str">
        <f ca="1">IFERROR(__xludf.DUMMYFUNCTION("GOOGLETRANSLATE(English!B2791, ""en"", ""bg"")"),"биология")</f>
        <v>биология</v>
      </c>
      <c r="C2791" s="1" t="str">
        <f ca="1">IFERROR(__xludf.DUMMYFUNCTION("GOOGLETRANSLATE(English!C2791, ""en"", ""bg"")"),"средата")</f>
        <v>средата</v>
      </c>
      <c r="D2791" s="1" t="str">
        <f ca="1">IFERROR(__xludf.DUMMYFUNCTION("GOOGLETRANSLATE(English!D2791, ""en"", ""bg"")"),"основи на еволюцията")</f>
        <v>основи на еволюцията</v>
      </c>
      <c r="E2791" s="1" t="str">
        <f ca="1">IFERROR(__xludf.DUMMYFUNCTION("GOOGLETRANSLATE(English!E2791, ""en"", ""bg"")"),"Можете ли да обясните основите на еволюцията за моя научен проект?")</f>
        <v>Можете ли да обясните основите на еволюцията за моя научен проект?</v>
      </c>
      <c r="F2791" s="1" t="str">
        <f ca="1">IFERROR(__xludf.DUMMYFUNCTION("GOOGLETRANSLATE(English!F2791,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791" s="1" t="str">
        <f ca="1">IFERROR(__xludf.DUMMYFUNCTION("GOOGLETRANSLATE(English!G2791, ""en"", ""bg"")"),"помощ_за_домашно_изпълнение")</f>
        <v>помощ_за_домашно_изпълнение</v>
      </c>
      <c r="H2791" s="1" t="str">
        <f ca="1">IFERROR(__xludf.DUMMYFUNCTION("GOOGLETRANSLATE(English!H2791, ""en"", ""bg"")"),"помощ_за_домашно_задаване")</f>
        <v>помощ_за_домашно_задаване</v>
      </c>
    </row>
    <row r="2792" spans="1:8" ht="13.2" x14ac:dyDescent="0.25">
      <c r="A2792" s="1" t="str">
        <f ca="1">IFERROR(__xludf.DUMMYFUNCTION("GOOGLETRANSLATE(English!A2792, ""en"", ""bg"")"),"hw_13349")</f>
        <v>hw_13349</v>
      </c>
      <c r="B2792" s="1" t="str">
        <f ca="1">IFERROR(__xludf.DUMMYFUNCTION("GOOGLETRANSLATE(English!B2792, ""en"", ""bg"")"),"химия")</f>
        <v>химия</v>
      </c>
      <c r="C2792" s="1" t="str">
        <f ca="1">IFERROR(__xludf.DUMMYFUNCTION("GOOGLETRANSLATE(English!C2792, ""en"", ""bg"")"),"елементарен")</f>
        <v>елементарен</v>
      </c>
      <c r="D2792" s="1" t="str">
        <f ca="1">IFERROR(__xludf.DUMMYFUNCTION("GOOGLETRANSLATE(English!D2792, ""en"", ""bg"")"),"твърди вещества, течности, газове")</f>
        <v>твърди вещества, течности, газове</v>
      </c>
      <c r="E2792" s="1" t="str">
        <f ca="1">IFERROR(__xludf.DUMMYFUNCTION("GOOGLETRANSLATE(English!E2792,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2792" s="1" t="str">
        <f ca="1">IFERROR(__xludf.DUMMYFUNCTION("GOOGLETRANSLATE(English!F2792,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792" s="1" t="str">
        <f ca="1">IFERROR(__xludf.DUMMYFUNCTION("GOOGLETRANSLATE(English!G2792, ""en"", ""bg"")"),"помощ_за_домашно_изпълнение")</f>
        <v>помощ_за_домашно_изпълнение</v>
      </c>
      <c r="H2792" s="1" t="str">
        <f ca="1">IFERROR(__xludf.DUMMYFUNCTION("GOOGLETRANSLATE(English!H2792, ""en"", ""bg"")"),"помощ_за_домашно_задаване")</f>
        <v>помощ_за_домашно_задаване</v>
      </c>
    </row>
    <row r="2793" spans="1:8" ht="13.2" x14ac:dyDescent="0.25">
      <c r="A2793" s="1" t="str">
        <f ca="1">IFERROR(__xludf.DUMMYFUNCTION("GOOGLETRANSLATE(English!A2793, ""en"", ""bg"")"),"conv_11507")</f>
        <v>conv_11507</v>
      </c>
      <c r="B2793" s="1" t="str">
        <f ca="1">IFERROR(__xludf.DUMMYFUNCTION("GOOGLETRANSLATE(English!B2793, ""en"", ""bg"")"),"химия")</f>
        <v>химия</v>
      </c>
      <c r="C2793" s="1" t="str">
        <f ca="1">IFERROR(__xludf.DUMMYFUNCTION("GOOGLETRANSLATE(English!C2793, ""en"", ""bg"")"),"високо")</f>
        <v>високо</v>
      </c>
      <c r="D2793" s="1" t="str">
        <f ca="1">IFERROR(__xludf.DUMMYFUNCTION("GOOGLETRANSLATE(English!D2793, ""en"", ""bg"")"),"скорости на реакция")</f>
        <v>скорости на реакция</v>
      </c>
      <c r="E2793" s="1" t="str">
        <f ca="1">IFERROR(__xludf.DUMMYFUNCTION("GOOGLETRANSLATE(English!E2793, ""en"", ""bg"")"),"Имам научен въпрос. Какво представляват скоростите на реакциите?")</f>
        <v>Имам научен въпрос. Какво представляват скоростите на реакциите?</v>
      </c>
      <c r="F2793" s="1" t="str">
        <f ca="1">IFERROR(__xludf.DUMMYFUNCTION("GOOGLETRANSLATE(English!F2793,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2793" s="1" t="str">
        <f ca="1">IFERROR(__xludf.DUMMYFUNCTION("GOOGLETRANSLATE(English!G2793, ""en"", ""bg"")"),"разговор")</f>
        <v>разговор</v>
      </c>
      <c r="H2793" s="1" t="str">
        <f ca="1">IFERROR(__xludf.DUMMYFUNCTION("GOOGLETRANSLATE(English!H2793, ""en"", ""bg"")"),"образователна_помощ")</f>
        <v>образователна_помощ</v>
      </c>
    </row>
    <row r="2794" spans="1:8" ht="13.2" x14ac:dyDescent="0.25">
      <c r="A2794" s="1" t="str">
        <f ca="1">IFERROR(__xludf.DUMMYFUNCTION("GOOGLETRANSLATE(English!A2794, ""en"", ""bg"")"),"hw_02432")</f>
        <v>hw_02432</v>
      </c>
      <c r="B2794" s="1" t="str">
        <f ca="1">IFERROR(__xludf.DUMMYFUNCTION("GOOGLETRANSLATE(English!B2794, ""en"", ""bg"")"),"физика")</f>
        <v>физика</v>
      </c>
      <c r="C2794" s="1" t="str">
        <f ca="1">IFERROR(__xludf.DUMMYFUNCTION("GOOGLETRANSLATE(English!C2794, ""en"", ""bg"")"),"средата")</f>
        <v>средата</v>
      </c>
      <c r="D2794" s="1" t="str">
        <f ca="1">IFERROR(__xludf.DUMMYFUNCTION("GOOGLETRANSLATE(English!D2794, ""en"", ""bg"")"),"вълни")</f>
        <v>вълни</v>
      </c>
      <c r="E2794" s="1" t="str">
        <f ca="1">IFERROR(__xludf.DUMMYFUNCTION("GOOGLETRANSLATE(English!E2794, ""en"", ""bg"")"),"Домашното ми по физика е за вълни. Объркващо е!")</f>
        <v>Домашното ми по физика е за вълни. Объркващо е!</v>
      </c>
      <c r="F2794" s="1" t="str">
        <f ca="1">IFERROR(__xludf.DUMMYFUNCTION("GOOGLETRANSLATE(English!F2794,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2794" s="1" t="str">
        <f ca="1">IFERROR(__xludf.DUMMYFUNCTION("GOOGLETRANSLATE(English!G2794, ""en"", ""bg"")"),"помощ_за_домашно_изпълнение")</f>
        <v>помощ_за_домашно_изпълнение</v>
      </c>
      <c r="H2794" s="1" t="str">
        <f ca="1">IFERROR(__xludf.DUMMYFUNCTION("GOOGLETRANSLATE(English!H2794, ""en"", ""bg"")"),"помощ_за_домашно_задаване")</f>
        <v>помощ_за_домашно_задаване</v>
      </c>
    </row>
    <row r="2795" spans="1:8" ht="13.2" x14ac:dyDescent="0.25">
      <c r="A2795" s="1" t="str">
        <f ca="1">IFERROR(__xludf.DUMMYFUNCTION("GOOGLETRANSLATE(English!A2795, ""en"", ""bg"")"),"conv_09865")</f>
        <v>conv_09865</v>
      </c>
      <c r="B2795" s="1" t="str">
        <f ca="1">IFERROR(__xludf.DUMMYFUNCTION("GOOGLETRANSLATE(English!B2795, ""en"", ""bg"")"),"биология")</f>
        <v>биология</v>
      </c>
      <c r="C2795" s="1" t="str">
        <f ca="1">IFERROR(__xludf.DUMMYFUNCTION("GOOGLETRANSLATE(English!C2795, ""en"", ""bg"")"),"средата")</f>
        <v>средата</v>
      </c>
      <c r="D2795" s="1" t="str">
        <f ca="1">IFERROR(__xludf.DUMMYFUNCTION("GOOGLETRANSLATE(English!D2795, ""en"", ""bg"")"),"екосистеми")</f>
        <v>екосистеми</v>
      </c>
      <c r="E2795" s="1" t="str">
        <f ca="1">IFERROR(__xludf.DUMMYFUNCTION("GOOGLETRANSLATE(English!E2795, ""en"", ""bg"")"),"Можете ли да ми помогнете? Защо екосистемите са важни в биологията?")</f>
        <v>Можете ли да ми помогнете? Защо екосистемите са важни в биологията?</v>
      </c>
      <c r="F2795" s="1" t="str">
        <f ca="1">IFERROR(__xludf.DUMMYFUNCTION("GOOGLETRANSLATE(English!F2795,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2795" s="1" t="str">
        <f ca="1">IFERROR(__xludf.DUMMYFUNCTION("GOOGLETRANSLATE(English!G2795, ""en"", ""bg"")"),"разговор")</f>
        <v>разговор</v>
      </c>
      <c r="H2795" s="1" t="str">
        <f ca="1">IFERROR(__xludf.DUMMYFUNCTION("GOOGLETRANSLATE(English!H2795, ""en"", ""bg"")"),"образователна_помощ")</f>
        <v>образователна_помощ</v>
      </c>
    </row>
    <row r="2796" spans="1:8" ht="13.2" x14ac:dyDescent="0.25">
      <c r="A2796" s="1" t="str">
        <f ca="1">IFERROR(__xludf.DUMMYFUNCTION("GOOGLETRANSLATE(English!A2796, ""en"", ""bg"")"),"hw_12969")</f>
        <v>hw_12969</v>
      </c>
      <c r="B2796" s="1" t="str">
        <f ca="1">IFERROR(__xludf.DUMMYFUNCTION("GOOGLETRANSLATE(English!B2796, ""en"", ""bg"")"),"физика")</f>
        <v>физика</v>
      </c>
      <c r="C2796" s="1" t="str">
        <f ca="1">IFERROR(__xludf.DUMMYFUNCTION("GOOGLETRANSLATE(English!C2796, ""en"", ""bg"")"),"високо")</f>
        <v>високо</v>
      </c>
      <c r="D2796" s="1" t="str">
        <f ca="1">IFERROR(__xludf.DUMMYFUNCTION("GOOGLETRANSLATE(English!D2796, ""en"", ""bg"")"),"термодинамика")</f>
        <v>термодинамика</v>
      </c>
      <c r="E2796" s="1" t="str">
        <f ca="1">IFERROR(__xludf.DUMMYFUNCTION("GOOGLETRANSLATE(English!E2796, ""en"", ""bg"")"),"Домашното ми по физика е за термодинамика. Объркващо е!")</f>
        <v>Домашното ми по физика е за термодинамика. Объркващо е!</v>
      </c>
      <c r="F2796" s="1" t="str">
        <f ca="1">IFERROR(__xludf.DUMMYFUNCTION("GOOGLETRANSLATE(English!F2796,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796" s="1" t="str">
        <f ca="1">IFERROR(__xludf.DUMMYFUNCTION("GOOGLETRANSLATE(English!G2796, ""en"", ""bg"")"),"помощ_за_домашно_изпълнение")</f>
        <v>помощ_за_домашно_изпълнение</v>
      </c>
      <c r="H2796" s="1" t="str">
        <f ca="1">IFERROR(__xludf.DUMMYFUNCTION("GOOGLETRANSLATE(English!H2796, ""en"", ""bg"")"),"помощ_за_домашно_задаване")</f>
        <v>помощ_за_домашно_задаване</v>
      </c>
    </row>
    <row r="2797" spans="1:8" ht="13.2" x14ac:dyDescent="0.25">
      <c r="A2797" s="1" t="str">
        <f ca="1">IFERROR(__xludf.DUMMYFUNCTION("GOOGLETRANSLATE(English!A2797, ""en"", ""bg"")"),"hw_11674")</f>
        <v>hw_11674</v>
      </c>
      <c r="B2797" s="1" t="str">
        <f ca="1">IFERROR(__xludf.DUMMYFUNCTION("GOOGLETRANSLATE(English!B2797, ""en"", ""bg"")"),"физика")</f>
        <v>физика</v>
      </c>
      <c r="C2797" s="1" t="str">
        <f ca="1">IFERROR(__xludf.DUMMYFUNCTION("GOOGLETRANSLATE(English!C2797, ""en"", ""bg"")"),"високо")</f>
        <v>високо</v>
      </c>
      <c r="D2797" s="1" t="str">
        <f ca="1">IFERROR(__xludf.DUMMYFUNCTION("GOOGLETRANSLATE(English!D2797, ""en"", ""bg"")"),"атомна структура")</f>
        <v>атомна структура</v>
      </c>
      <c r="E2797" s="1" t="str">
        <f ca="1">IFERROR(__xludf.DUMMYFUNCTION("GOOGLETRANSLATE(English!E2797,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2797" s="1" t="str">
        <f ca="1">IFERROR(__xludf.DUMMYFUNCTION("GOOGLETRANSLATE(English!F2797,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797" s="1" t="str">
        <f ca="1">IFERROR(__xludf.DUMMYFUNCTION("GOOGLETRANSLATE(English!G2797, ""en"", ""bg"")"),"помощ_за_домашно_изпълнение")</f>
        <v>помощ_за_домашно_изпълнение</v>
      </c>
      <c r="H2797" s="1" t="str">
        <f ca="1">IFERROR(__xludf.DUMMYFUNCTION("GOOGLETRANSLATE(English!H2797, ""en"", ""bg"")"),"помощ_за_домашно_задаване")</f>
        <v>помощ_за_домашно_задаване</v>
      </c>
    </row>
    <row r="2798" spans="1:8" ht="13.2" x14ac:dyDescent="0.25">
      <c r="A2798" s="1" t="str">
        <f ca="1">IFERROR(__xludf.DUMMYFUNCTION("GOOGLETRANSLATE(English!A2798, ""en"", ""bg"")"),"hw_06390")</f>
        <v>hw_06390</v>
      </c>
      <c r="B2798" s="1" t="str">
        <f ca="1">IFERROR(__xludf.DUMMYFUNCTION("GOOGLETRANSLATE(English!B2798, ""en"", ""bg"")"),"физика")</f>
        <v>физика</v>
      </c>
      <c r="C2798" s="1" t="str">
        <f ca="1">IFERROR(__xludf.DUMMYFUNCTION("GOOGLETRANSLATE(English!C2798, ""en"", ""bg"")"),"средата")</f>
        <v>средата</v>
      </c>
      <c r="D2798" s="1" t="str">
        <f ca="1">IFERROR(__xludf.DUMMYFUNCTION("GOOGLETRANSLATE(English!D2798, ""en"", ""bg"")"),"плътност")</f>
        <v>плътност</v>
      </c>
      <c r="E2798" s="1" t="str">
        <f ca="1">IFERROR(__xludf.DUMMYFUNCTION("GOOGLETRANSLATE(English!E2798,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2798" s="1" t="str">
        <f ca="1">IFERROR(__xludf.DUMMYFUNCTION("GOOGLETRANSLATE(English!F2798,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798" s="1" t="str">
        <f ca="1">IFERROR(__xludf.DUMMYFUNCTION("GOOGLETRANSLATE(English!G2798, ""en"", ""bg"")"),"помощ_за_домашно_изпълнение")</f>
        <v>помощ_за_домашно_изпълнение</v>
      </c>
      <c r="H2798" s="1" t="str">
        <f ca="1">IFERROR(__xludf.DUMMYFUNCTION("GOOGLETRANSLATE(English!H2798, ""en"", ""bg"")"),"помощ_за_домашно_задаване")</f>
        <v>помощ_за_домашно_задаване</v>
      </c>
    </row>
    <row r="2799" spans="1:8" ht="13.2" x14ac:dyDescent="0.25">
      <c r="A2799" s="1" t="str">
        <f ca="1">IFERROR(__xludf.DUMMYFUNCTION("GOOGLETRANSLATE(English!A2799, ""en"", ""bg"")"),"qa_09170")</f>
        <v>qa_09170</v>
      </c>
      <c r="B2799" s="1" t="str">
        <f ca="1">IFERROR(__xludf.DUMMYFUNCTION("GOOGLETRANSLATE(English!B2799, ""en"", ""bg"")"),"биология")</f>
        <v>биология</v>
      </c>
      <c r="C2799" s="1" t="str">
        <f ca="1">IFERROR(__xludf.DUMMYFUNCTION("GOOGLETRANSLATE(English!C2799, ""en"", ""bg"")"),"високо")</f>
        <v>високо</v>
      </c>
      <c r="D2799" s="1" t="str">
        <f ca="1">IFERROR(__xludf.DUMMYFUNCTION("GOOGLETRANSLATE(English!D2799, ""en"", ""bg"")"),"синтез на протеини")</f>
        <v>синтез на протеини</v>
      </c>
      <c r="E2799" s="1" t="str">
        <f ca="1">IFERROR(__xludf.DUMMYFUNCTION("GOOGLETRANSLATE(English!E2799, ""en"", ""bg"")"),"Какво е важно да знаем за синтеза на протеини?")</f>
        <v>Какво е важно да знаем за синтеза на протеини?</v>
      </c>
      <c r="F2799" s="1" t="str">
        <f ca="1">IFERROR(__xludf.DUMMYFUNCTION("GOOGLETRANSLATE(English!F2799,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2799" s="1" t="str">
        <f ca="1">IFERROR(__xludf.DUMMYFUNCTION("GOOGLETRANSLATE(English!G2799, ""en"", ""bg"")"),"direct_qa")</f>
        <v>direct_qa</v>
      </c>
      <c r="H2799" s="1" t="str">
        <f ca="1">IFERROR(__xludf.DUMMYFUNCTION("GOOGLETRANSLATE(English!H2799, ""en"", ""bg"")"),"заявка_за_знание")</f>
        <v>заявка_за_знание</v>
      </c>
    </row>
    <row r="2800" spans="1:8" ht="13.2" x14ac:dyDescent="0.25">
      <c r="A2800" s="1" t="str">
        <f ca="1">IFERROR(__xludf.DUMMYFUNCTION("GOOGLETRANSLATE(English!A2800, ""en"", ""bg"")"),"conv_10043")</f>
        <v>conv_10043</v>
      </c>
      <c r="B2800" s="1" t="str">
        <f ca="1">IFERROR(__xludf.DUMMYFUNCTION("GOOGLETRANSLATE(English!B2800, ""en"", ""bg"")"),"биология")</f>
        <v>биология</v>
      </c>
      <c r="C2800" s="1" t="str">
        <f ca="1">IFERROR(__xludf.DUMMYFUNCTION("GOOGLETRANSLATE(English!C2800, ""en"", ""bg"")"),"високо")</f>
        <v>високо</v>
      </c>
      <c r="D2800" s="1" t="str">
        <f ca="1">IFERROR(__xludf.DUMMYFUNCTION("GOOGLETRANSLATE(English!D2800, ""en"", ""bg"")"),"молекулярна биология")</f>
        <v>молекулярна биология</v>
      </c>
      <c r="E2800" s="1" t="str">
        <f ca="1">IFERROR(__xludf.DUMMYFUNCTION("GOOGLETRANSLATE(English!E2800, ""en"", ""bg"")"),"Помогнете ми да уча за теста си. Какво е важно да знаем за молекулярната биология?")</f>
        <v>Помогнете ми да уча за теста си. Какво е важно да знаем за молекулярната биология?</v>
      </c>
      <c r="F2800" s="1" t="str">
        <f ca="1">IFERROR(__xludf.DUMMYFUNCTION("GOOGLETRANSLATE(English!F2800,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2800" s="1" t="str">
        <f ca="1">IFERROR(__xludf.DUMMYFUNCTION("GOOGLETRANSLATE(English!G2800, ""en"", ""bg"")"),"разговор")</f>
        <v>разговор</v>
      </c>
      <c r="H2800" s="1" t="str">
        <f ca="1">IFERROR(__xludf.DUMMYFUNCTION("GOOGLETRANSLATE(English!H2800, ""en"", ""bg"")"),"образователна_помощ")</f>
        <v>образователна_помощ</v>
      </c>
    </row>
    <row r="2801" spans="1:8" ht="13.2" x14ac:dyDescent="0.25">
      <c r="A2801" s="1" t="str">
        <f ca="1">IFERROR(__xludf.DUMMYFUNCTION("GOOGLETRANSLATE(English!A2801, ""en"", ""bg"")"),"conv_04354")</f>
        <v>conv_04354</v>
      </c>
      <c r="B2801" s="1" t="str">
        <f ca="1">IFERROR(__xludf.DUMMYFUNCTION("GOOGLETRANSLATE(English!B2801, ""en"", ""bg"")"),"биология")</f>
        <v>биология</v>
      </c>
      <c r="C2801" s="1" t="str">
        <f ca="1">IFERROR(__xludf.DUMMYFUNCTION("GOOGLETRANSLATE(English!C2801, ""en"", ""bg"")"),"средата")</f>
        <v>средата</v>
      </c>
      <c r="D2801" s="1" t="str">
        <f ca="1">IFERROR(__xludf.DUMMYFUNCTION("GOOGLETRANSLATE(English!D2801, ""en"", ""bg"")"),"основи на еволюцията")</f>
        <v>основи на еволюцията</v>
      </c>
      <c r="E2801" s="1" t="str">
        <f ca="1">IFERROR(__xludf.DUMMYFUNCTION("GOOGLETRANSLATE(English!E2801, ""en"", ""bg"")"),"Можете ли да ми помогнете? Защо основите на еволюцията са важни в биологията?")</f>
        <v>Можете ли да ми помогнете? Защо основите на еволюцията са важни в биологията?</v>
      </c>
      <c r="F2801" s="1" t="str">
        <f ca="1">IFERROR(__xludf.DUMMYFUNCTION("GOOGLETRANSLATE(English!F2801,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2801" s="1" t="str">
        <f ca="1">IFERROR(__xludf.DUMMYFUNCTION("GOOGLETRANSLATE(English!G2801, ""en"", ""bg"")"),"разговор")</f>
        <v>разговор</v>
      </c>
      <c r="H2801" s="1" t="str">
        <f ca="1">IFERROR(__xludf.DUMMYFUNCTION("GOOGLETRANSLATE(English!H2801, ""en"", ""bg"")"),"образователна_помощ")</f>
        <v>образователна_помощ</v>
      </c>
    </row>
    <row r="2802" spans="1:8" ht="13.2" x14ac:dyDescent="0.25">
      <c r="A2802" s="1" t="str">
        <f ca="1">IFERROR(__xludf.DUMMYFUNCTION("GOOGLETRANSLATE(English!A2802, ""en"", ""bg"")"),"conv_15349")</f>
        <v>conv_15349</v>
      </c>
      <c r="B2802" s="1" t="str">
        <f ca="1">IFERROR(__xludf.DUMMYFUNCTION("GOOGLETRANSLATE(English!B2802, ""en"", ""bg"")"),"биология")</f>
        <v>биология</v>
      </c>
      <c r="C2802" s="1" t="str">
        <f ca="1">IFERROR(__xludf.DUMMYFUNCTION("GOOGLETRANSLATE(English!C2802, ""en"", ""bg"")"),"високо")</f>
        <v>високо</v>
      </c>
      <c r="D2802" s="1" t="str">
        <f ca="1">IFERROR(__xludf.DUMMYFUNCTION("GOOGLETRANSLATE(English!D2802, ""en"", ""bg"")"),"синтез на протеини")</f>
        <v>синтез на протеини</v>
      </c>
      <c r="E2802" s="1" t="str">
        <f ca="1">IFERROR(__xludf.DUMMYFUNCTION("GOOGLETRANSLATE(English!E2802, ""en"", ""bg"")"),"Здравей, преподавателю! Можеш ли да ми кажеш нещо за синтеза на протеини?")</f>
        <v>Здравей, преподавателю! Можеш ли да ми кажеш нещо за синтеза на протеини?</v>
      </c>
      <c r="F2802" s="1" t="str">
        <f ca="1">IFERROR(__xludf.DUMMYFUNCTION("GOOGLETRANSLATE(English!F2802,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2802" s="1" t="str">
        <f ca="1">IFERROR(__xludf.DUMMYFUNCTION("GOOGLETRANSLATE(English!G2802, ""en"", ""bg"")"),"разговор")</f>
        <v>разговор</v>
      </c>
      <c r="H2802" s="1" t="str">
        <f ca="1">IFERROR(__xludf.DUMMYFUNCTION("GOOGLETRANSLATE(English!H2802, ""en"", ""bg"")"),"образователна_помощ")</f>
        <v>образователна_помощ</v>
      </c>
    </row>
    <row r="2803" spans="1:8" ht="13.2" x14ac:dyDescent="0.25">
      <c r="A2803" s="1" t="str">
        <f ca="1">IFERROR(__xludf.DUMMYFUNCTION("GOOGLETRANSLATE(English!A2803, ""en"", ""bg"")"),"hw_11597")</f>
        <v>hw_11597</v>
      </c>
      <c r="B2803" s="1" t="str">
        <f ca="1">IFERROR(__xludf.DUMMYFUNCTION("GOOGLETRANSLATE(English!B2803, ""en"", ""bg"")"),"химия")</f>
        <v>химия</v>
      </c>
      <c r="C2803" s="1" t="str">
        <f ca="1">IFERROR(__xludf.DUMMYFUNCTION("GOOGLETRANSLATE(English!C2803, ""en"", ""bg"")"),"средата")</f>
        <v>средата</v>
      </c>
      <c r="D2803" s="1" t="str">
        <f ca="1">IFERROR(__xludf.DUMMYFUNCTION("GOOGLETRANSLATE(English!D2803, ""en"", ""bg"")"),"съединения срещу елементи")</f>
        <v>съединения срещу елементи</v>
      </c>
      <c r="E2803" s="1" t="str">
        <f ca="1">IFERROR(__xludf.DUMMYFUNCTION("GOOGLETRANSLATE(English!E2803,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2803" s="1" t="str">
        <f ca="1">IFERROR(__xludf.DUMMYFUNCTION("GOOGLETRANSLATE(English!F2803,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2803" s="1" t="str">
        <f ca="1">IFERROR(__xludf.DUMMYFUNCTION("GOOGLETRANSLATE(English!G2803, ""en"", ""bg"")"),"помощ_за_домашно_изпълнение")</f>
        <v>помощ_за_домашно_изпълнение</v>
      </c>
      <c r="H2803" s="1" t="str">
        <f ca="1">IFERROR(__xludf.DUMMYFUNCTION("GOOGLETRANSLATE(English!H2803, ""en"", ""bg"")"),"помощ_за_домашно_задаване")</f>
        <v>помощ_за_домашно_задаване</v>
      </c>
    </row>
    <row r="2804" spans="1:8" ht="13.2" x14ac:dyDescent="0.25">
      <c r="A2804" s="1" t="str">
        <f ca="1">IFERROR(__xludf.DUMMYFUNCTION("GOOGLETRANSLATE(English!A2804, ""en"", ""bg"")"),"qa_04666")</f>
        <v>qa_04666</v>
      </c>
      <c r="B2804" s="1" t="str">
        <f ca="1">IFERROR(__xludf.DUMMYFUNCTION("GOOGLETRANSLATE(English!B2804, ""en"", ""bg"")"),"биология")</f>
        <v>биология</v>
      </c>
      <c r="C2804" s="1" t="str">
        <f ca="1">IFERROR(__xludf.DUMMYFUNCTION("GOOGLETRANSLATE(English!C2804, ""en"", ""bg"")"),"високо")</f>
        <v>високо</v>
      </c>
      <c r="D2804" s="1" t="str">
        <f ca="1">IFERROR(__xludf.DUMMYFUNCTION("GOOGLETRANSLATE(English!D2804, ""en"", ""bg"")"),"молекулярна биология")</f>
        <v>молекулярна биология</v>
      </c>
      <c r="E2804" s="1" t="str">
        <f ca="1">IFERROR(__xludf.DUMMYFUNCTION("GOOGLETRANSLATE(English!E2804, ""en"", ""bg"")"),"Можете ли да ми разкажете за молекулярната биология?")</f>
        <v>Можете ли да ми разкажете за молекулярната биология?</v>
      </c>
      <c r="F2804" s="1" t="str">
        <f ca="1">IFERROR(__xludf.DUMMYFUNCTION("GOOGLETRANSLATE(English!F2804,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2804" s="1" t="str">
        <f ca="1">IFERROR(__xludf.DUMMYFUNCTION("GOOGLETRANSLATE(English!G2804, ""en"", ""bg"")"),"direct_qa")</f>
        <v>direct_qa</v>
      </c>
      <c r="H2804" s="1" t="str">
        <f ca="1">IFERROR(__xludf.DUMMYFUNCTION("GOOGLETRANSLATE(English!H2804, ""en"", ""bg"")"),"заявка_за_знание")</f>
        <v>заявка_за_знание</v>
      </c>
    </row>
    <row r="2805" spans="1:8" ht="13.2" x14ac:dyDescent="0.25">
      <c r="A2805" s="1" t="str">
        <f ca="1">IFERROR(__xludf.DUMMYFUNCTION("GOOGLETRANSLATE(English!A2805, ""en"", ""bg"")"),"qa_14418")</f>
        <v>qa_14418</v>
      </c>
      <c r="B2805" s="1" t="str">
        <f ca="1">IFERROR(__xludf.DUMMYFUNCTION("GOOGLETRANSLATE(English!B2805, ""en"", ""bg"")"),"химия")</f>
        <v>химия</v>
      </c>
      <c r="C2805" s="1" t="str">
        <f ca="1">IFERROR(__xludf.DUMMYFUNCTION("GOOGLETRANSLATE(English!C2805, ""en"", ""bg"")"),"средата")</f>
        <v>средата</v>
      </c>
      <c r="D2805" s="1" t="str">
        <f ca="1">IFERROR(__xludf.DUMMYFUNCTION("GOOGLETRANSLATE(English!D2805, ""en"", ""bg"")"),"киселини и основи")</f>
        <v>киселини и основи</v>
      </c>
      <c r="E2805" s="1" t="str">
        <f ca="1">IFERROR(__xludf.DUMMYFUNCTION("GOOGLETRANSLATE(English!E2805, ""en"", ""bg"")"),"Можете ли да ми помогнете да разбера понятията киселини и основи?")</f>
        <v>Можете ли да ми помогнете да разбера понятията киселини и основи?</v>
      </c>
      <c r="F2805" s="1" t="str">
        <f ca="1">IFERROR(__xludf.DUMMYFUNCTION("GOOGLETRANSLATE(English!F2805,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2805" s="1" t="str">
        <f ca="1">IFERROR(__xludf.DUMMYFUNCTION("GOOGLETRANSLATE(English!G2805, ""en"", ""bg"")"),"direct_qa")</f>
        <v>direct_qa</v>
      </c>
      <c r="H2805" s="1" t="str">
        <f ca="1">IFERROR(__xludf.DUMMYFUNCTION("GOOGLETRANSLATE(English!H2805, ""en"", ""bg"")"),"заявка_за_знание")</f>
        <v>заявка_за_знание</v>
      </c>
    </row>
    <row r="2806" spans="1:8" ht="13.2" x14ac:dyDescent="0.25">
      <c r="A2806" s="1" t="str">
        <f ca="1">IFERROR(__xludf.DUMMYFUNCTION("GOOGLETRANSLATE(English!A2806, ""en"", ""bg"")"),"conv_15014")</f>
        <v>conv_15014</v>
      </c>
      <c r="B2806" s="1" t="str">
        <f ca="1">IFERROR(__xludf.DUMMYFUNCTION("GOOGLETRANSLATE(English!B2806, ""en"", ""bg"")"),"биология")</f>
        <v>биология</v>
      </c>
      <c r="C2806" s="1" t="str">
        <f ca="1">IFERROR(__xludf.DUMMYFUNCTION("GOOGLETRANSLATE(English!C2806, ""en"", ""bg"")"),"средата")</f>
        <v>средата</v>
      </c>
      <c r="D2806" s="1" t="str">
        <f ca="1">IFERROR(__xludf.DUMMYFUNCTION("GOOGLETRANSLATE(English!D2806, ""en"", ""bg"")"),"екосистеми")</f>
        <v>екосистеми</v>
      </c>
      <c r="E2806" s="1" t="str">
        <f ca="1">IFERROR(__xludf.DUMMYFUNCTION("GOOGLETRANSLATE(English!E2806, ""en"", ""bg"")"),"Имам научен въпрос. Можете ли да ми разкажете за екосистемите?")</f>
        <v>Имам научен въпрос. Можете ли да ми разкажете за екосистемите?</v>
      </c>
      <c r="F2806" s="1" t="str">
        <f ca="1">IFERROR(__xludf.DUMMYFUNCTION("GOOGLETRANSLATE(English!F2806,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2806" s="1" t="str">
        <f ca="1">IFERROR(__xludf.DUMMYFUNCTION("GOOGLETRANSLATE(English!G2806, ""en"", ""bg"")"),"разговор")</f>
        <v>разговор</v>
      </c>
      <c r="H2806" s="1" t="str">
        <f ca="1">IFERROR(__xludf.DUMMYFUNCTION("GOOGLETRANSLATE(English!H2806, ""en"", ""bg"")"),"образователна_помощ")</f>
        <v>образователна_помощ</v>
      </c>
    </row>
    <row r="2807" spans="1:8" ht="13.2" x14ac:dyDescent="0.25">
      <c r="A2807" s="1" t="str">
        <f ca="1">IFERROR(__xludf.DUMMYFUNCTION("GOOGLETRANSLATE(English!A2807, ""en"", ""bg"")"),"hw_05570")</f>
        <v>hw_05570</v>
      </c>
      <c r="B2807" s="1" t="str">
        <f ca="1">IFERROR(__xludf.DUMMYFUNCTION("GOOGLETRANSLATE(English!B2807, ""en"", ""bg"")"),"физика")</f>
        <v>физика</v>
      </c>
      <c r="C2807" s="1" t="str">
        <f ca="1">IFERROR(__xludf.DUMMYFUNCTION("GOOGLETRANSLATE(English!C2807, ""en"", ""bg"")"),"елементарен")</f>
        <v>елементарен</v>
      </c>
      <c r="D2807" s="1" t="str">
        <f ca="1">IFERROR(__xludf.DUMMYFUNCTION("GOOGLETRANSLATE(English!D2807, ""en"", ""bg"")"),"горещо и студено")</f>
        <v>горещо и студено</v>
      </c>
      <c r="E2807" s="1" t="str">
        <f ca="1">IFERROR(__xludf.DUMMYFUNCTION("GOOGLETRANSLATE(English!E2807, ""en"", ""bg"")"),"Можеш ли да решиш този горещ и студен въпрос с мен?")</f>
        <v>Можеш ли да решиш този горещ и студен въпрос с мен?</v>
      </c>
      <c r="F2807" s="1" t="str">
        <f ca="1">IFERROR(__xludf.DUMMYFUNCTION("GOOGLETRANSLATE(English!F2807,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2807" s="1" t="str">
        <f ca="1">IFERROR(__xludf.DUMMYFUNCTION("GOOGLETRANSLATE(English!G2807, ""en"", ""bg"")"),"помощ_за_домашно_изпълнение")</f>
        <v>помощ_за_домашно_изпълнение</v>
      </c>
      <c r="H2807" s="1" t="str">
        <f ca="1">IFERROR(__xludf.DUMMYFUNCTION("GOOGLETRANSLATE(English!H2807, ""en"", ""bg"")"),"помощ_за_домашно_задаване")</f>
        <v>помощ_за_домашно_задаване</v>
      </c>
    </row>
    <row r="2808" spans="1:8" ht="13.2" x14ac:dyDescent="0.25">
      <c r="A2808" s="1" t="str">
        <f ca="1">IFERROR(__xludf.DUMMYFUNCTION("GOOGLETRANSLATE(English!A2808, ""en"", ""bg"")"),"hw_10979")</f>
        <v>hw_10979</v>
      </c>
      <c r="B2808" s="1" t="str">
        <f ca="1">IFERROR(__xludf.DUMMYFUNCTION("GOOGLETRANSLATE(English!B2808, ""en"", ""bg"")"),"физика")</f>
        <v>физика</v>
      </c>
      <c r="C2808" s="1" t="str">
        <f ca="1">IFERROR(__xludf.DUMMYFUNCTION("GOOGLETRANSLATE(English!C2808, ""en"", ""bg"")"),"високо")</f>
        <v>високо</v>
      </c>
      <c r="D2808" s="1" t="str">
        <f ca="1">IFERROR(__xludf.DUMMYFUNCTION("GOOGLETRANSLATE(English!D2808, ""en"", ""bg"")"),"атомна структура")</f>
        <v>атомна структура</v>
      </c>
      <c r="E2808" s="1" t="str">
        <f ca="1">IFERROR(__xludf.DUMMYFUNCTION("GOOGLETRANSLATE(English!E2808,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2808" s="1" t="str">
        <f ca="1">IFERROR(__xludf.DUMMYFUNCTION("GOOGLETRANSLATE(English!F2808,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2808" s="1" t="str">
        <f ca="1">IFERROR(__xludf.DUMMYFUNCTION("GOOGLETRANSLATE(English!G2808, ""en"", ""bg"")"),"помощ_за_домашно_изпълнение")</f>
        <v>помощ_за_домашно_изпълнение</v>
      </c>
      <c r="H2808" s="1" t="str">
        <f ca="1">IFERROR(__xludf.DUMMYFUNCTION("GOOGLETRANSLATE(English!H2808, ""en"", ""bg"")"),"помощ_за_домашно_задаване")</f>
        <v>помощ_за_домашно_задаване</v>
      </c>
    </row>
    <row r="2809" spans="1:8" ht="13.2" x14ac:dyDescent="0.25">
      <c r="A2809" s="1" t="str">
        <f ca="1">IFERROR(__xludf.DUMMYFUNCTION("GOOGLETRANSLATE(English!A2809, ""en"", ""bg"")"),"hw_07053")</f>
        <v>hw_07053</v>
      </c>
      <c r="B2809" s="1" t="str">
        <f ca="1">IFERROR(__xludf.DUMMYFUNCTION("GOOGLETRANSLATE(English!B2809, ""en"", ""bg"")"),"химия")</f>
        <v>химия</v>
      </c>
      <c r="C2809" s="1" t="str">
        <f ca="1">IFERROR(__xludf.DUMMYFUNCTION("GOOGLETRANSLATE(English!C2809, ""en"", ""bg"")"),"средата")</f>
        <v>средата</v>
      </c>
      <c r="D2809" s="1" t="str">
        <f ca="1">IFERROR(__xludf.DUMMYFUNCTION("GOOGLETRANSLATE(English!D2809, ""en"", ""bg"")"),"химични реакции")</f>
        <v>химични реакции</v>
      </c>
      <c r="E2809" s="1" t="str">
        <f ca="1">IFERROR(__xludf.DUMMYFUNCTION("GOOGLETRANSLATE(English!E2809,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2809" s="1" t="str">
        <f ca="1">IFERROR(__xludf.DUMMYFUNCTION("GOOGLETRANSLATE(English!F2809,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2809" s="1" t="str">
        <f ca="1">IFERROR(__xludf.DUMMYFUNCTION("GOOGLETRANSLATE(English!G2809, ""en"", ""bg"")"),"помощ_за_домашно_изпълнение")</f>
        <v>помощ_за_домашно_изпълнение</v>
      </c>
      <c r="H2809" s="1" t="str">
        <f ca="1">IFERROR(__xludf.DUMMYFUNCTION("GOOGLETRANSLATE(English!H2809, ""en"", ""bg"")"),"помощ_за_домашно_задаване")</f>
        <v>помощ_за_домашно_задаване</v>
      </c>
    </row>
    <row r="2810" spans="1:8" ht="13.2" x14ac:dyDescent="0.25">
      <c r="A2810" s="1" t="str">
        <f ca="1">IFERROR(__xludf.DUMMYFUNCTION("GOOGLETRANSLATE(English!A2810, ""en"", ""bg"")"),"hw_12921")</f>
        <v>hw_12921</v>
      </c>
      <c r="B2810" s="1" t="str">
        <f ca="1">IFERROR(__xludf.DUMMYFUNCTION("GOOGLETRANSLATE(English!B2810, ""en"", ""bg"")"),"биология")</f>
        <v>биология</v>
      </c>
      <c r="C2810" s="1" t="str">
        <f ca="1">IFERROR(__xludf.DUMMYFUNCTION("GOOGLETRANSLATE(English!C2810, ""en"", ""bg"")"),"елементарен")</f>
        <v>елементарен</v>
      </c>
      <c r="D2810" s="1" t="str">
        <f ca="1">IFERROR(__xludf.DUMMYFUNCTION("GOOGLETRANSLATE(English!D2810, ""en"", ""bg"")"),"домашни любимци срещу диви животни")</f>
        <v>домашни любимци срещу диви животни</v>
      </c>
      <c r="E2810" s="1" t="str">
        <f ca="1">IFERROR(__xludf.DUMMYFUNCTION("GOOGLETRANSLATE(English!E2810, ""en"", ""bg"")"),"Утре имам тест за домашни любимци срещу диви животни. Помогни ми да уча!")</f>
        <v>Утре имам тест за домашни любимци срещу диви животни. Помогни ми да уча!</v>
      </c>
      <c r="F2810" s="1" t="str">
        <f ca="1">IFERROR(__xludf.DUMMYFUNCTION("GOOGLETRANSLATE(English!F2810,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2810" s="1" t="str">
        <f ca="1">IFERROR(__xludf.DUMMYFUNCTION("GOOGLETRANSLATE(English!G2810, ""en"", ""bg"")"),"помощ_за_домашно_изпълнение")</f>
        <v>помощ_за_домашно_изпълнение</v>
      </c>
      <c r="H2810" s="1" t="str">
        <f ca="1">IFERROR(__xludf.DUMMYFUNCTION("GOOGLETRANSLATE(English!H2810, ""en"", ""bg"")"),"помощ_за_домашно_задаване")</f>
        <v>помощ_за_домашно_задаване</v>
      </c>
    </row>
    <row r="2811" spans="1:8" ht="13.2" x14ac:dyDescent="0.25">
      <c r="A2811" s="1" t="str">
        <f ca="1">IFERROR(__xludf.DUMMYFUNCTION("GOOGLETRANSLATE(English!A2811, ""en"", ""bg"")"),"qa_05342")</f>
        <v>qa_05342</v>
      </c>
      <c r="B2811" s="1" t="str">
        <f ca="1">IFERROR(__xludf.DUMMYFUNCTION("GOOGLETRANSLATE(English!B2811, ""en"", ""bg"")"),"химия")</f>
        <v>химия</v>
      </c>
      <c r="C2811" s="1" t="str">
        <f ca="1">IFERROR(__xludf.DUMMYFUNCTION("GOOGLETRANSLATE(English!C2811, ""en"", ""bg"")"),"елементарен")</f>
        <v>елементарен</v>
      </c>
      <c r="D2811" s="1" t="str">
        <f ca="1">IFERROR(__xludf.DUMMYFUNCTION("GOOGLETRANSLATE(English!D2811, ""en"", ""bg"")"),"смесване на материали")</f>
        <v>смесване на материали</v>
      </c>
      <c r="E2811" s="1" t="str">
        <f ca="1">IFERROR(__xludf.DUMMYFUNCTION("GOOGLETRANSLATE(English!E2811, ""en"", ""bg"")"),"Защо някои неща се разтварят, а други не?")</f>
        <v>Защо някои неща се разтварят, а други не?</v>
      </c>
      <c r="F2811" s="1" t="str">
        <f ca="1">IFERROR(__xludf.DUMMYFUNCTION("GOOGLETRANSLATE(English!F2811,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2811" s="1" t="str">
        <f ca="1">IFERROR(__xludf.DUMMYFUNCTION("GOOGLETRANSLATE(English!G2811, ""en"", ""bg"")"),"direct_qa")</f>
        <v>direct_qa</v>
      </c>
      <c r="H2811" s="1" t="str">
        <f ca="1">IFERROR(__xludf.DUMMYFUNCTION("GOOGLETRANSLATE(English!H2811, ""en"", ""bg"")"),"заявка_за_знание")</f>
        <v>заявка_за_знание</v>
      </c>
    </row>
    <row r="2812" spans="1:8" ht="13.2" x14ac:dyDescent="0.25">
      <c r="A2812" s="1" t="str">
        <f ca="1">IFERROR(__xludf.DUMMYFUNCTION("GOOGLETRANSLATE(English!A2812, ""en"", ""bg"")"),"hw_09751")</f>
        <v>hw_09751</v>
      </c>
      <c r="B2812" s="1" t="str">
        <f ca="1">IFERROR(__xludf.DUMMYFUNCTION("GOOGLETRANSLATE(English!B2812, ""en"", ""bg"")"),"биология")</f>
        <v>биология</v>
      </c>
      <c r="C2812" s="1" t="str">
        <f ca="1">IFERROR(__xludf.DUMMYFUNCTION("GOOGLETRANSLATE(English!C2812, ""en"", ""bg"")"),"средата")</f>
        <v>средата</v>
      </c>
      <c r="D2812" s="1" t="str">
        <f ca="1">IFERROR(__xludf.DUMMYFUNCTION("GOOGLETRANSLATE(English!D2812, ""en"", ""bg"")"),"клетки")</f>
        <v>клетки</v>
      </c>
      <c r="E2812" s="1" t="str">
        <f ca="1">IFERROR(__xludf.DUMMYFUNCTION("GOOGLETRANSLATE(English!E2812, ""en"", ""bg"")"),"Домашното ми пита за клетки. Не го разбирам.")</f>
        <v>Домашното ми пита за клетки. Не го разбирам.</v>
      </c>
      <c r="F2812" s="1" t="str">
        <f ca="1">IFERROR(__xludf.DUMMYFUNCTION("GOOGLETRANSLATE(English!F2812,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2812" s="1" t="str">
        <f ca="1">IFERROR(__xludf.DUMMYFUNCTION("GOOGLETRANSLATE(English!G2812, ""en"", ""bg"")"),"помощ_за_домашно_изпълнение")</f>
        <v>помощ_за_домашно_изпълнение</v>
      </c>
      <c r="H2812" s="1" t="str">
        <f ca="1">IFERROR(__xludf.DUMMYFUNCTION("GOOGLETRANSLATE(English!H2812, ""en"", ""bg"")"),"помощ_за_домашно_задаване")</f>
        <v>помощ_за_домашно_задаване</v>
      </c>
    </row>
    <row r="2813" spans="1:8" ht="13.2" x14ac:dyDescent="0.25">
      <c r="A2813" s="1" t="str">
        <f ca="1">IFERROR(__xludf.DUMMYFUNCTION("GOOGLETRANSLATE(English!A2813, ""en"", ""bg"")"),"hw_07291")</f>
        <v>hw_07291</v>
      </c>
      <c r="B2813" s="1" t="str">
        <f ca="1">IFERROR(__xludf.DUMMYFUNCTION("GOOGLETRANSLATE(English!B2813, ""en"", ""bg"")"),"биология")</f>
        <v>биология</v>
      </c>
      <c r="C2813" s="1" t="str">
        <f ca="1">IFERROR(__xludf.DUMMYFUNCTION("GOOGLETRANSLATE(English!C2813, ""en"", ""bg"")"),"високо")</f>
        <v>високо</v>
      </c>
      <c r="D2813" s="1" t="str">
        <f ca="1">IFERROR(__xludf.DUMMYFUNCTION("GOOGLETRANSLATE(English!D2813, ""en"", ""bg"")"),"митоза и мейоза")</f>
        <v>митоза и мейоза</v>
      </c>
      <c r="E2813" s="1" t="str">
        <f ca="1">IFERROR(__xludf.DUMMYFUNCTION("GOOGLETRANSLATE(English!E2813, ""en"", ""bg"")"),"Домашното ми пита за митоза и мейоза. Не го разбирам.")</f>
        <v>Домашното ми пита за митоза и мейоза. Не го разбирам.</v>
      </c>
      <c r="F2813" s="1" t="str">
        <f ca="1">IFERROR(__xludf.DUMMYFUNCTION("GOOGLETRANSLATE(English!F2813,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2813" s="1" t="str">
        <f ca="1">IFERROR(__xludf.DUMMYFUNCTION("GOOGLETRANSLATE(English!G2813, ""en"", ""bg"")"),"помощ_за_домашно_изпълнение")</f>
        <v>помощ_за_домашно_изпълнение</v>
      </c>
      <c r="H2813" s="1" t="str">
        <f ca="1">IFERROR(__xludf.DUMMYFUNCTION("GOOGLETRANSLATE(English!H2813, ""en"", ""bg"")"),"помощ_за_домашно_задаване")</f>
        <v>помощ_за_домашно_задаване</v>
      </c>
    </row>
    <row r="2814" spans="1:8" ht="13.2" x14ac:dyDescent="0.25">
      <c r="A2814" s="1" t="str">
        <f ca="1">IFERROR(__xludf.DUMMYFUNCTION("GOOGLETRANSLATE(English!A2814, ""en"", ""bg"")"),"qa_07659")</f>
        <v>qa_07659</v>
      </c>
      <c r="B2814" s="1" t="str">
        <f ca="1">IFERROR(__xludf.DUMMYFUNCTION("GOOGLETRANSLATE(English!B2814, ""en"", ""bg"")"),"химия")</f>
        <v>химия</v>
      </c>
      <c r="C2814" s="1" t="str">
        <f ca="1">IFERROR(__xludf.DUMMYFUNCTION("GOOGLETRANSLATE(English!C2814, ""en"", ""bg"")"),"елементарен")</f>
        <v>елементарен</v>
      </c>
      <c r="D2814" s="1" t="str">
        <f ca="1">IFERROR(__xludf.DUMMYFUNCTION("GOOGLETRANSLATE(English!D2814, ""en"", ""bg"")"),"промени в материалите")</f>
        <v>промени в материалите</v>
      </c>
      <c r="E2814" s="1" t="str">
        <f ca="1">IFERROR(__xludf.DUMMYFUNCTION("GOOGLETRANSLATE(English!E2814, ""en"", ""bg"")"),"Как протичат промените в материалите в химията?")</f>
        <v>Как протичат промените в материалите в химията?</v>
      </c>
      <c r="F2814" s="1" t="str">
        <f ca="1">IFERROR(__xludf.DUMMYFUNCTION("GOOGLETRANSLATE(English!F2814,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2814" s="1" t="str">
        <f ca="1">IFERROR(__xludf.DUMMYFUNCTION("GOOGLETRANSLATE(English!G2814, ""en"", ""bg"")"),"direct_qa")</f>
        <v>direct_qa</v>
      </c>
      <c r="H2814" s="1" t="str">
        <f ca="1">IFERROR(__xludf.DUMMYFUNCTION("GOOGLETRANSLATE(English!H2814, ""en"", ""bg"")"),"заявка_за_знание")</f>
        <v>заявка_за_знание</v>
      </c>
    </row>
    <row r="2815" spans="1:8" ht="13.2" x14ac:dyDescent="0.25">
      <c r="A2815" s="1" t="str">
        <f ca="1">IFERROR(__xludf.DUMMYFUNCTION("GOOGLETRANSLATE(English!A2815, ""en"", ""bg"")"),"conv_02718")</f>
        <v>conv_02718</v>
      </c>
      <c r="B2815" s="1" t="str">
        <f ca="1">IFERROR(__xludf.DUMMYFUNCTION("GOOGLETRANSLATE(English!B2815, ""en"", ""bg"")"),"физика")</f>
        <v>физика</v>
      </c>
      <c r="C2815" s="1" t="str">
        <f ca="1">IFERROR(__xludf.DUMMYFUNCTION("GOOGLETRANSLATE(English!C2815, ""en"", ""bg"")"),"средата")</f>
        <v>средата</v>
      </c>
      <c r="D2815" s="1" t="str">
        <f ca="1">IFERROR(__xludf.DUMMYFUNCTION("GOOGLETRANSLATE(English!D2815, ""en"", ""bg"")"),"основи на електричеството")</f>
        <v>основи на електричеството</v>
      </c>
      <c r="E2815" s="1" t="str">
        <f ca="1">IFERROR(__xludf.DUMMYFUNCTION("GOOGLETRANSLATE(English!E2815, ""en"", ""bg"")"),"Имам научен въпрос. Как работят основите на електричеството във физиката?")</f>
        <v>Имам научен въпрос. Как работят основите на електричеството във физиката?</v>
      </c>
      <c r="F2815" s="1" t="str">
        <f ca="1">IFERROR(__xludf.DUMMYFUNCTION("GOOGLETRANSLATE(English!F2815,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2815" s="1" t="str">
        <f ca="1">IFERROR(__xludf.DUMMYFUNCTION("GOOGLETRANSLATE(English!G2815, ""en"", ""bg"")"),"разговор")</f>
        <v>разговор</v>
      </c>
      <c r="H2815" s="1" t="str">
        <f ca="1">IFERROR(__xludf.DUMMYFUNCTION("GOOGLETRANSLATE(English!H2815, ""en"", ""bg"")"),"образователна_помощ")</f>
        <v>образователна_помощ</v>
      </c>
    </row>
    <row r="2816" spans="1:8" ht="13.2" x14ac:dyDescent="0.25">
      <c r="A2816" s="1" t="str">
        <f ca="1">IFERROR(__xludf.DUMMYFUNCTION("GOOGLETRANSLATE(English!A2816, ""en"", ""bg"")"),"conv_08585")</f>
        <v>conv_08585</v>
      </c>
      <c r="B2816" s="1" t="str">
        <f ca="1">IFERROR(__xludf.DUMMYFUNCTION("GOOGLETRANSLATE(English!B2816, ""en"", ""bg"")"),"физика")</f>
        <v>физика</v>
      </c>
      <c r="C2816" s="1" t="str">
        <f ca="1">IFERROR(__xludf.DUMMYFUNCTION("GOOGLETRANSLATE(English!C2816, ""en"", ""bg"")"),"елементарен")</f>
        <v>елементарен</v>
      </c>
      <c r="D2816" s="1" t="str">
        <f ca="1">IFERROR(__xludf.DUMMYFUNCTION("GOOGLETRANSLATE(English!D2816, ""en"", ""bg"")"),"прости машини")</f>
        <v>прости машини</v>
      </c>
      <c r="E2816" s="1" t="str">
        <f ca="1">IFERROR(__xludf.DUMMYFUNCTION("GOOGLETRANSLATE(English!E2816, ""en"", ""bg"")"),"Имам нужда от помощ с домашното. Можете ли да ми обясните прости машини?")</f>
        <v>Имам нужда от помощ с домашното. Можете ли да ми обясните прости машини?</v>
      </c>
      <c r="F2816" s="1" t="str">
        <f ca="1">IFERROR(__xludf.DUMMYFUNCTION("GOOGLETRANSLATE(English!F2816,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2816" s="1" t="str">
        <f ca="1">IFERROR(__xludf.DUMMYFUNCTION("GOOGLETRANSLATE(English!G2816, ""en"", ""bg"")"),"разговор")</f>
        <v>разговор</v>
      </c>
      <c r="H2816" s="1" t="str">
        <f ca="1">IFERROR(__xludf.DUMMYFUNCTION("GOOGLETRANSLATE(English!H2816, ""en"", ""bg"")"),"образователна_помощ")</f>
        <v>образователна_помощ</v>
      </c>
    </row>
    <row r="2817" spans="1:8" ht="13.2" x14ac:dyDescent="0.25">
      <c r="A2817" s="1" t="str">
        <f ca="1">IFERROR(__xludf.DUMMYFUNCTION("GOOGLETRANSLATE(English!A2817, ""en"", ""bg"")"),"conv_08213")</f>
        <v>conv_08213</v>
      </c>
      <c r="B2817" s="1" t="str">
        <f ca="1">IFERROR(__xludf.DUMMYFUNCTION("GOOGLETRANSLATE(English!B2817, ""en"", ""bg"")"),"биология")</f>
        <v>биология</v>
      </c>
      <c r="C2817" s="1" t="str">
        <f ca="1">IFERROR(__xludf.DUMMYFUNCTION("GOOGLETRANSLATE(English!C2817, ""en"", ""bg"")"),"елементарен")</f>
        <v>елементарен</v>
      </c>
      <c r="D2817" s="1" t="str">
        <f ca="1">IFERROR(__xludf.DUMMYFUNCTION("GOOGLETRANSLATE(English!D2817, ""en"", ""bg"")"),"сетива")</f>
        <v>сетива</v>
      </c>
      <c r="E2817" s="1" t="str">
        <f ca="1">IFERROR(__xludf.DUMMYFUNCTION("GOOGLETRANSLATE(English!E2817, ""en"", ""bg"")"),"Имам нужда от помощ с домашното. Можете ли да ми разкажете за сетивата?")</f>
        <v>Имам нужда от помощ с домашното. Можете ли да ми разкажете за сетивата?</v>
      </c>
      <c r="F2817" s="1" t="str">
        <f ca="1">IFERROR(__xludf.DUMMYFUNCTION("GOOGLETRANSLATE(English!F2817,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2817" s="1" t="str">
        <f ca="1">IFERROR(__xludf.DUMMYFUNCTION("GOOGLETRANSLATE(English!G2817, ""en"", ""bg"")"),"разговор")</f>
        <v>разговор</v>
      </c>
      <c r="H2817" s="1" t="str">
        <f ca="1">IFERROR(__xludf.DUMMYFUNCTION("GOOGLETRANSLATE(English!H2817, ""en"", ""bg"")"),"образователна_помощ")</f>
        <v>образователна_помощ</v>
      </c>
    </row>
    <row r="2818" spans="1:8" ht="13.2" x14ac:dyDescent="0.25">
      <c r="A2818" s="1" t="str">
        <f ca="1">IFERROR(__xludf.DUMMYFUNCTION("GOOGLETRANSLATE(English!A2818, ""en"", ""bg"")"),"hw_08041")</f>
        <v>hw_08041</v>
      </c>
      <c r="B2818" s="1" t="str">
        <f ca="1">IFERROR(__xludf.DUMMYFUNCTION("GOOGLETRANSLATE(English!B2818, ""en"", ""bg"")"),"биология")</f>
        <v>биология</v>
      </c>
      <c r="C2818" s="1" t="str">
        <f ca="1">IFERROR(__xludf.DUMMYFUNCTION("GOOGLETRANSLATE(English!C2818, ""en"", ""bg"")"),"средата")</f>
        <v>средата</v>
      </c>
      <c r="D2818" s="1" t="str">
        <f ca="1">IFERROR(__xludf.DUMMYFUNCTION("GOOGLETRANSLATE(English!D2818, ""en"", ""bg"")"),"основи на еволюцията")</f>
        <v>основи на еволюцията</v>
      </c>
      <c r="E2818" s="1" t="str">
        <f ca="1">IFERROR(__xludf.DUMMYFUNCTION("GOOGLETRANSLATE(English!E2818, ""en"", ""bg"")"),"Утре имам тест по основи на еволюцията. Помогни ми да уча!")</f>
        <v>Утре имам тест по основи на еволюцията. Помогни ми да уча!</v>
      </c>
      <c r="F2818" s="1" t="str">
        <f ca="1">IFERROR(__xludf.DUMMYFUNCTION("GOOGLETRANSLATE(English!F2818,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818" s="1" t="str">
        <f ca="1">IFERROR(__xludf.DUMMYFUNCTION("GOOGLETRANSLATE(English!G2818, ""en"", ""bg"")"),"помощ_за_домашно_изпълнение")</f>
        <v>помощ_за_домашно_изпълнение</v>
      </c>
      <c r="H2818" s="1" t="str">
        <f ca="1">IFERROR(__xludf.DUMMYFUNCTION("GOOGLETRANSLATE(English!H2818, ""en"", ""bg"")"),"помощ_за_домашно_задаване")</f>
        <v>помощ_за_домашно_задаване</v>
      </c>
    </row>
    <row r="2819" spans="1:8" ht="13.2" x14ac:dyDescent="0.25">
      <c r="A2819" s="1" t="str">
        <f ca="1">IFERROR(__xludf.DUMMYFUNCTION("GOOGLETRANSLATE(English!A2819, ""en"", ""bg"")"),"hw_00599")</f>
        <v>hw_00599</v>
      </c>
      <c r="B2819" s="1" t="str">
        <f ca="1">IFERROR(__xludf.DUMMYFUNCTION("GOOGLETRANSLATE(English!B2819, ""en"", ""bg"")"),"физика")</f>
        <v>физика</v>
      </c>
      <c r="C2819" s="1" t="str">
        <f ca="1">IFERROR(__xludf.DUMMYFUNCTION("GOOGLETRANSLATE(English!C2819, ""en"", ""bg"")"),"елементарен")</f>
        <v>елементарен</v>
      </c>
      <c r="D2819" s="1" t="str">
        <f ca="1">IFERROR(__xludf.DUMMYFUNCTION("GOOGLETRANSLATE(English!D2819, ""en"", ""bg"")"),"светлина и сянка")</f>
        <v>светлина и сянка</v>
      </c>
      <c r="E2819" s="1" t="str">
        <f ca="1">IFERROR(__xludf.DUMMYFUNCTION("GOOGLETRANSLATE(English!E2819,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2819" s="1" t="str">
        <f ca="1">IFERROR(__xludf.DUMMYFUNCTION("GOOGLETRANSLATE(English!F2819,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2819" s="1" t="str">
        <f ca="1">IFERROR(__xludf.DUMMYFUNCTION("GOOGLETRANSLATE(English!G2819, ""en"", ""bg"")"),"помощ_за_домашно_изпълнение")</f>
        <v>помощ_за_домашно_изпълнение</v>
      </c>
      <c r="H2819" s="1" t="str">
        <f ca="1">IFERROR(__xludf.DUMMYFUNCTION("GOOGLETRANSLATE(English!H2819, ""en"", ""bg"")"),"помощ_за_домашно_задаване")</f>
        <v>помощ_за_домашно_задаване</v>
      </c>
    </row>
    <row r="2820" spans="1:8" ht="13.2" x14ac:dyDescent="0.25">
      <c r="A2820" s="1" t="str">
        <f ca="1">IFERROR(__xludf.DUMMYFUNCTION("GOOGLETRANSLATE(English!A2820, ""en"", ""bg"")"),"conv_16929")</f>
        <v>conv_16929</v>
      </c>
      <c r="B2820" s="1" t="str">
        <f ca="1">IFERROR(__xludf.DUMMYFUNCTION("GOOGLETRANSLATE(English!B2820, ""en"", ""bg"")"),"биология")</f>
        <v>биология</v>
      </c>
      <c r="C2820" s="1" t="str">
        <f ca="1">IFERROR(__xludf.DUMMYFUNCTION("GOOGLETRANSLATE(English!C2820, ""en"", ""bg"")"),"елементарен")</f>
        <v>елементарен</v>
      </c>
      <c r="D2820" s="1" t="str">
        <f ca="1">IFERROR(__xludf.DUMMYFUNCTION("GOOGLETRANSLATE(English!D2820, ""en"", ""bg"")"),"домашни любимци срещу диви животни")</f>
        <v>домашни любимци срещу диви животни</v>
      </c>
      <c r="E2820" s="1" t="str">
        <f ca="1">IFERROR(__xludf.DUMMYFUNCTION("GOOGLETRANSLATE(English!E2820, ""en"", ""bg"")"),"Здравей, преподавателю! Как се различават домашните любимци от дивите животни?")</f>
        <v>Здравей, преподавателю! Как се различават домашните любимци от дивите животни?</v>
      </c>
      <c r="F2820" s="1" t="str">
        <f ca="1">IFERROR(__xludf.DUMMYFUNCTION("GOOGLETRANSLATE(English!F2820,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2820" s="1" t="str">
        <f ca="1">IFERROR(__xludf.DUMMYFUNCTION("GOOGLETRANSLATE(English!G2820, ""en"", ""bg"")"),"разговор")</f>
        <v>разговор</v>
      </c>
      <c r="H2820" s="1" t="str">
        <f ca="1">IFERROR(__xludf.DUMMYFUNCTION("GOOGLETRANSLATE(English!H2820, ""en"", ""bg"")"),"образователна_помощ")</f>
        <v>образователна_помощ</v>
      </c>
    </row>
    <row r="2821" spans="1:8" ht="13.2" x14ac:dyDescent="0.25">
      <c r="A2821" s="1" t="str">
        <f ca="1">IFERROR(__xludf.DUMMYFUNCTION("GOOGLETRANSLATE(English!A2821, ""en"", ""bg"")"),"qa_11550")</f>
        <v>qa_11550</v>
      </c>
      <c r="B2821" s="1" t="str">
        <f ca="1">IFERROR(__xludf.DUMMYFUNCTION("GOOGLETRANSLATE(English!B2821, ""en"", ""bg"")"),"биология")</f>
        <v>биология</v>
      </c>
      <c r="C2821" s="1" t="str">
        <f ca="1">IFERROR(__xludf.DUMMYFUNCTION("GOOGLETRANSLATE(English!C2821, ""en"", ""bg"")"),"елементарен")</f>
        <v>елементарен</v>
      </c>
      <c r="D2821" s="1" t="str">
        <f ca="1">IFERROR(__xludf.DUMMYFUNCTION("GOOGLETRANSLATE(English!D2821, ""en"", ""bg"")"),"домашни любимци срещу диви животни")</f>
        <v>домашни любимци срещу диви животни</v>
      </c>
      <c r="E2821" s="1" t="str">
        <f ca="1">IFERROR(__xludf.DUMMYFUNCTION("GOOGLETRANSLATE(English!E2821, ""en"", ""bg"")"),"Можете ли да ми разкажете за домашните любимци спрямо дивите животни?")</f>
        <v>Можете ли да ми разкажете за домашните любимци спрямо дивите животни?</v>
      </c>
      <c r="F2821" s="1" t="str">
        <f ca="1">IFERROR(__xludf.DUMMYFUNCTION("GOOGLETRANSLATE(English!F2821, ""en"", ""bg"")"),"Домашни любимци срещу диви животни е завладяваща част от биологията! Тя ни помага да разберем как функционират живите същества.")</f>
        <v>Домашни любимци срещу диви животни е завладяваща част от биологията! Тя ни помага да разберем как функционират живите същества.</v>
      </c>
      <c r="G2821" s="1" t="str">
        <f ca="1">IFERROR(__xludf.DUMMYFUNCTION("GOOGLETRANSLATE(English!G2821, ""en"", ""bg"")"),"direct_qa")</f>
        <v>direct_qa</v>
      </c>
      <c r="H2821" s="1" t="str">
        <f ca="1">IFERROR(__xludf.DUMMYFUNCTION("GOOGLETRANSLATE(English!H2821, ""en"", ""bg"")"),"заявка_за_знание")</f>
        <v>заявка_за_знание</v>
      </c>
    </row>
    <row r="2822" spans="1:8" ht="13.2" x14ac:dyDescent="0.25">
      <c r="A2822" s="1" t="str">
        <f ca="1">IFERROR(__xludf.DUMMYFUNCTION("GOOGLETRANSLATE(English!A2822, ""en"", ""bg"")"),"qa_02443")</f>
        <v>qa_02443</v>
      </c>
      <c r="B2822" s="1" t="str">
        <f ca="1">IFERROR(__xludf.DUMMYFUNCTION("GOOGLETRANSLATE(English!B2822, ""en"", ""bg"")"),"физика")</f>
        <v>физика</v>
      </c>
      <c r="C2822" s="1" t="str">
        <f ca="1">IFERROR(__xludf.DUMMYFUNCTION("GOOGLETRANSLATE(English!C2822, ""en"", ""bg"")"),"средата")</f>
        <v>средата</v>
      </c>
      <c r="D2822" s="1" t="str">
        <f ca="1">IFERROR(__xludf.DUMMYFUNCTION("GOOGLETRANSLATE(English!D2822, ""en"", ""bg"")"),"основи на електричеството")</f>
        <v>основи на електричеството</v>
      </c>
      <c r="E2822" s="1" t="str">
        <f ca="1">IFERROR(__xludf.DUMMYFUNCTION("GOOGLETRANSLATE(English!E2822, ""en"", ""bg"")"),"Какво трябва да знам за основите на електричеството?")</f>
        <v>Какво трябва да знам за основите на електричеството?</v>
      </c>
      <c r="F2822" s="1" t="str">
        <f ca="1">IFERROR(__xludf.DUMMYFUNCTION("GOOGLETRANSLATE(English!F2822, ""en"", ""bg"")"),"Ключовото нещо за основите на електричеството е как то следва законите на физиката, които управляват нашата вселена.")</f>
        <v>Ключовото нещо за основите на електричеството е как то следва законите на физиката, които управляват нашата вселена.</v>
      </c>
      <c r="G2822" s="1" t="str">
        <f ca="1">IFERROR(__xludf.DUMMYFUNCTION("GOOGLETRANSLATE(English!G2822, ""en"", ""bg"")"),"direct_qa")</f>
        <v>direct_qa</v>
      </c>
      <c r="H2822" s="1" t="str">
        <f ca="1">IFERROR(__xludf.DUMMYFUNCTION("GOOGLETRANSLATE(English!H2822, ""en"", ""bg"")"),"заявка_за_знание")</f>
        <v>заявка_за_знание</v>
      </c>
    </row>
    <row r="2823" spans="1:8" ht="13.2" x14ac:dyDescent="0.25">
      <c r="A2823" s="1" t="str">
        <f ca="1">IFERROR(__xludf.DUMMYFUNCTION("GOOGLETRANSLATE(English!A2823, ""en"", ""bg"")"),"qa_01848")</f>
        <v>qa_01848</v>
      </c>
      <c r="B2823" s="1" t="str">
        <f ca="1">IFERROR(__xludf.DUMMYFUNCTION("GOOGLETRANSLATE(English!B2823, ""en"", ""bg"")"),"химия")</f>
        <v>химия</v>
      </c>
      <c r="C2823" s="1" t="str">
        <f ca="1">IFERROR(__xludf.DUMMYFUNCTION("GOOGLETRANSLATE(English!C2823, ""en"", ""bg"")"),"елементарен")</f>
        <v>елементарен</v>
      </c>
      <c r="D2823" s="1" t="str">
        <f ca="1">IFERROR(__xludf.DUMMYFUNCTION("GOOGLETRANSLATE(English!D2823, ""en"", ""bg"")"),"твърди вещества, течности, газове")</f>
        <v>твърди вещества, течности, газове</v>
      </c>
      <c r="E2823" s="1" t="str">
        <f ca="1">IFERROR(__xludf.DUMMYFUNCTION("GOOGLETRANSLATE(English!E2823, ""en"", ""bg"")"),"Можете ли да превърнете газ обратно в течност?")</f>
        <v>Можете ли да превърнете газ обратно в течност?</v>
      </c>
      <c r="F2823" s="1" t="str">
        <f ca="1">IFERROR(__xludf.DUMMYFUNCTION("GOOGLETRANSLATE(English!F2823, ""en"", ""bg"")"),"Да! Можете да превърнете газ обратно в течност, като го охладите. Този процес се нарича кондензация.")</f>
        <v>Да! Можете да превърнете газ обратно в течност, като го охладите. Този процес се нарича кондензация.</v>
      </c>
      <c r="G2823" s="1" t="str">
        <f ca="1">IFERROR(__xludf.DUMMYFUNCTION("GOOGLETRANSLATE(English!G2823, ""en"", ""bg"")"),"direct_qa")</f>
        <v>direct_qa</v>
      </c>
      <c r="H2823" s="1" t="str">
        <f ca="1">IFERROR(__xludf.DUMMYFUNCTION("GOOGLETRANSLATE(English!H2823, ""en"", ""bg"")"),"заявка_за_знание")</f>
        <v>заявка_за_знание</v>
      </c>
    </row>
    <row r="2824" spans="1:8" ht="13.2" x14ac:dyDescent="0.25">
      <c r="A2824" s="1" t="str">
        <f ca="1">IFERROR(__xludf.DUMMYFUNCTION("GOOGLETRANSLATE(English!A2824, ""en"", ""bg"")"),"conv_16294")</f>
        <v>conv_16294</v>
      </c>
      <c r="B2824" s="1" t="str">
        <f ca="1">IFERROR(__xludf.DUMMYFUNCTION("GOOGLETRANSLATE(English!B2824, ""en"", ""bg"")"),"химия")</f>
        <v>химия</v>
      </c>
      <c r="C2824" s="1" t="str">
        <f ca="1">IFERROR(__xludf.DUMMYFUNCTION("GOOGLETRANSLATE(English!C2824, ""en"", ""bg"")"),"елементарен")</f>
        <v>елементарен</v>
      </c>
      <c r="D2824" s="1" t="str">
        <f ca="1">IFERROR(__xludf.DUMMYFUNCTION("GOOGLETRANSLATE(English!D2824, ""en"", ""bg"")"),"ежедневни химикали")</f>
        <v>ежедневни химикали</v>
      </c>
      <c r="E2824" s="1" t="str">
        <f ca="1">IFERROR(__xludf.DUMMYFUNCTION("GOOGLETRANSLATE(English!E2824, ""en"", ""bg"")"),"Не разбирам тази тема. Какво представляват ежедневните химикали?")</f>
        <v>Не разбирам тази тема. Какво представляват ежедневните химикали?</v>
      </c>
      <c r="F2824" s="1" t="str">
        <f ca="1">IFERROR(__xludf.DUMMYFUNCTION("GOOGLETRANSLATE(English!F2824,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2824" s="1" t="str">
        <f ca="1">IFERROR(__xludf.DUMMYFUNCTION("GOOGLETRANSLATE(English!G2824, ""en"", ""bg"")"),"разговор")</f>
        <v>разговор</v>
      </c>
      <c r="H2824" s="1" t="str">
        <f ca="1">IFERROR(__xludf.DUMMYFUNCTION("GOOGLETRANSLATE(English!H2824, ""en"", ""bg"")"),"образователна_помощ")</f>
        <v>образователна_помощ</v>
      </c>
    </row>
    <row r="2825" spans="1:8" ht="13.2" x14ac:dyDescent="0.25">
      <c r="A2825" s="1" t="str">
        <f ca="1">IFERROR(__xludf.DUMMYFUNCTION("GOOGLETRANSLATE(English!A2825, ""en"", ""bg"")"),"hw_04081")</f>
        <v>hw_04081</v>
      </c>
      <c r="B2825" s="1" t="str">
        <f ca="1">IFERROR(__xludf.DUMMYFUNCTION("GOOGLETRANSLATE(English!B2825, ""en"", ""bg"")"),"физика")</f>
        <v>физика</v>
      </c>
      <c r="C2825" s="1" t="str">
        <f ca="1">IFERROR(__xludf.DUMMYFUNCTION("GOOGLETRANSLATE(English!C2825, ""en"", ""bg"")"),"елементарен")</f>
        <v>елементарен</v>
      </c>
      <c r="D2825" s="1" t="str">
        <f ca="1">IFERROR(__xludf.DUMMYFUNCTION("GOOGLETRANSLATE(English!D2825, ""en"", ""bg"")"),"плаващ и потъващ")</f>
        <v>плаващ и потъващ</v>
      </c>
      <c r="E2825" s="1" t="str">
        <f ca="1">IFERROR(__xludf.DUMMYFUNCTION("GOOGLETRANSLATE(English!E2825,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2825" s="1" t="str">
        <f ca="1">IFERROR(__xludf.DUMMYFUNCTION("GOOGLETRANSLATE(English!F2825,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825" s="1" t="str">
        <f ca="1">IFERROR(__xludf.DUMMYFUNCTION("GOOGLETRANSLATE(English!G2825, ""en"", ""bg"")"),"помощ_за_домашно_изпълнение")</f>
        <v>помощ_за_домашно_изпълнение</v>
      </c>
      <c r="H2825" s="1" t="str">
        <f ca="1">IFERROR(__xludf.DUMMYFUNCTION("GOOGLETRANSLATE(English!H2825, ""en"", ""bg"")"),"помощ_за_домашно_задаване")</f>
        <v>помощ_за_домашно_задаване</v>
      </c>
    </row>
    <row r="2826" spans="1:8" ht="13.2" x14ac:dyDescent="0.25">
      <c r="A2826" s="1" t="str">
        <f ca="1">IFERROR(__xludf.DUMMYFUNCTION("GOOGLETRANSLATE(English!A2826, ""en"", ""bg"")"),"qa_05047")</f>
        <v>qa_05047</v>
      </c>
      <c r="B2826" s="1" t="str">
        <f ca="1">IFERROR(__xludf.DUMMYFUNCTION("GOOGLETRANSLATE(English!B2826, ""en"", ""bg"")"),"биология")</f>
        <v>биология</v>
      </c>
      <c r="C2826" s="1" t="str">
        <f ca="1">IFERROR(__xludf.DUMMYFUNCTION("GOOGLETRANSLATE(English!C2826, ""en"", ""bg"")"),"високо")</f>
        <v>високо</v>
      </c>
      <c r="D2826" s="1" t="str">
        <f ca="1">IFERROR(__xludf.DUMMYFUNCTION("GOOGLETRANSLATE(English!D2826, ""en"", ""bg"")"),"синтез на протеини")</f>
        <v>синтез на протеини</v>
      </c>
      <c r="E2826" s="1" t="str">
        <f ca="1">IFERROR(__xludf.DUMMYFUNCTION("GOOGLETRANSLATE(English!E2826, ""en"", ""bg"")"),"Как работи синтезът на протеини?")</f>
        <v>Как работи синтезът на протеини?</v>
      </c>
      <c r="F2826" s="1" t="str">
        <f ca="1">IFERROR(__xludf.DUMMYFUNCTION("GOOGLETRANSLATE(English!F2826,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2826" s="1" t="str">
        <f ca="1">IFERROR(__xludf.DUMMYFUNCTION("GOOGLETRANSLATE(English!G2826, ""en"", ""bg"")"),"direct_qa")</f>
        <v>direct_qa</v>
      </c>
      <c r="H2826" s="1" t="str">
        <f ca="1">IFERROR(__xludf.DUMMYFUNCTION("GOOGLETRANSLATE(English!H2826, ""en"", ""bg"")"),"заявка_за_знание")</f>
        <v>заявка_за_знание</v>
      </c>
    </row>
    <row r="2827" spans="1:8" ht="13.2" x14ac:dyDescent="0.25">
      <c r="A2827" s="1" t="str">
        <f ca="1">IFERROR(__xludf.DUMMYFUNCTION("GOOGLETRANSLATE(English!A2827, ""en"", ""bg"")"),"conv_05323")</f>
        <v>conv_05323</v>
      </c>
      <c r="B2827" s="1" t="str">
        <f ca="1">IFERROR(__xludf.DUMMYFUNCTION("GOOGLETRANSLATE(English!B2827, ""en"", ""bg"")"),"химия")</f>
        <v>химия</v>
      </c>
      <c r="C2827" s="1" t="str">
        <f ca="1">IFERROR(__xludf.DUMMYFUNCTION("GOOGLETRANSLATE(English!C2827, ""en"", ""bg"")"),"елементарен")</f>
        <v>елементарен</v>
      </c>
      <c r="D2827" s="1" t="str">
        <f ca="1">IFERROR(__xludf.DUMMYFUNCTION("GOOGLETRANSLATE(English!D2827, ""en"", ""bg"")"),"разтваряне")</f>
        <v>разтваряне</v>
      </c>
      <c r="E2827" s="1" t="str">
        <f ca="1">IFERROR(__xludf.DUMMYFUNCTION("GOOGLETRANSLATE(English!E2827, ""en"", ""bg"")"),"Можете ли да ми помогнете? Как протича разтварянето в химията?")</f>
        <v>Можете ли да ми помогнете? Как протича разтварянето в химията?</v>
      </c>
      <c r="F2827" s="1" t="str">
        <f ca="1">IFERROR(__xludf.DUMMYFUNCTION("GOOGLETRANSLATE(English!F2827,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2827" s="1" t="str">
        <f ca="1">IFERROR(__xludf.DUMMYFUNCTION("GOOGLETRANSLATE(English!G2827, ""en"", ""bg"")"),"разговор")</f>
        <v>разговор</v>
      </c>
      <c r="H2827" s="1" t="str">
        <f ca="1">IFERROR(__xludf.DUMMYFUNCTION("GOOGLETRANSLATE(English!H2827, ""en"", ""bg"")"),"образователна_помощ")</f>
        <v>образователна_помощ</v>
      </c>
    </row>
    <row r="2828" spans="1:8" ht="13.2" x14ac:dyDescent="0.25">
      <c r="A2828" s="1" t="str">
        <f ca="1">IFERROR(__xludf.DUMMYFUNCTION("GOOGLETRANSLATE(English!A2828, ""en"", ""bg"")"),"qa_14217")</f>
        <v>qa_14217</v>
      </c>
      <c r="B2828" s="1" t="str">
        <f ca="1">IFERROR(__xludf.DUMMYFUNCTION("GOOGLETRANSLATE(English!B2828, ""en"", ""bg"")"),"биология")</f>
        <v>биология</v>
      </c>
      <c r="C2828" s="1" t="str">
        <f ca="1">IFERROR(__xludf.DUMMYFUNCTION("GOOGLETRANSLATE(English!C2828, ""en"", ""bg"")"),"средата")</f>
        <v>средата</v>
      </c>
      <c r="D2828" s="1" t="str">
        <f ca="1">IFERROR(__xludf.DUMMYFUNCTION("GOOGLETRANSLATE(English!D2828, ""en"", ""bg"")"),"екосистеми")</f>
        <v>екосистеми</v>
      </c>
      <c r="E2828" s="1" t="str">
        <f ca="1">IFERROR(__xludf.DUMMYFUNCTION("GOOGLETRANSLATE(English!E2828, ""en"", ""bg"")"),"Как функционират екосистемите?")</f>
        <v>Как функционират екосистемите?</v>
      </c>
      <c r="F2828" s="1" t="str">
        <f ca="1">IFERROR(__xludf.DUMMYFUNCTION("GOOGLETRANSLATE(English!F2828,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2828" s="1" t="str">
        <f ca="1">IFERROR(__xludf.DUMMYFUNCTION("GOOGLETRANSLATE(English!G2828, ""en"", ""bg"")"),"direct_qa")</f>
        <v>direct_qa</v>
      </c>
      <c r="H2828" s="1" t="str">
        <f ca="1">IFERROR(__xludf.DUMMYFUNCTION("GOOGLETRANSLATE(English!H2828, ""en"", ""bg"")"),"заявка_за_знание")</f>
        <v>заявка_за_знание</v>
      </c>
    </row>
    <row r="2829" spans="1:8" ht="13.2" x14ac:dyDescent="0.25">
      <c r="A2829" s="1" t="str">
        <f ca="1">IFERROR(__xludf.DUMMYFUNCTION("GOOGLETRANSLATE(English!A2829, ""en"", ""bg"")"),"hw_00616")</f>
        <v>hw_00616</v>
      </c>
      <c r="B2829" s="1" t="str">
        <f ca="1">IFERROR(__xludf.DUMMYFUNCTION("GOOGLETRANSLATE(English!B2829, ""en"", ""bg"")"),"химия")</f>
        <v>химия</v>
      </c>
      <c r="C2829" s="1" t="str">
        <f ca="1">IFERROR(__xludf.DUMMYFUNCTION("GOOGLETRANSLATE(English!C2829, ""en"", ""bg"")"),"високо")</f>
        <v>високо</v>
      </c>
      <c r="D2829" s="1" t="str">
        <f ca="1">IFERROR(__xludf.DUMMYFUNCTION("GOOGLETRANSLATE(English!D2829, ""en"", ""bg"")"),"равновесие")</f>
        <v>равновесие</v>
      </c>
      <c r="E2829" s="1" t="str">
        <f ca="1">IFERROR(__xludf.DUMMYFUNCTION("GOOGLETRANSLATE(English!E2829, ""en"", ""bg"")"),"Трудно ми е да пазя равновесието си в домашните.")</f>
        <v>Трудно ми е да пазя равновесието си в домашните.</v>
      </c>
      <c r="F2829" s="1" t="str">
        <f ca="1">IFERROR(__xludf.DUMMYFUNCTION("GOOGLETRANSLATE(English!F2829,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2829" s="1" t="str">
        <f ca="1">IFERROR(__xludf.DUMMYFUNCTION("GOOGLETRANSLATE(English!G2829, ""en"", ""bg"")"),"помощ_за_домашно_изпълнение")</f>
        <v>помощ_за_домашно_изпълнение</v>
      </c>
      <c r="H2829" s="1" t="str">
        <f ca="1">IFERROR(__xludf.DUMMYFUNCTION("GOOGLETRANSLATE(English!H2829, ""en"", ""bg"")"),"помощ_за_домашно_задаване")</f>
        <v>помощ_за_домашно_задаване</v>
      </c>
    </row>
    <row r="2830" spans="1:8" ht="13.2" x14ac:dyDescent="0.25">
      <c r="A2830" s="1" t="str">
        <f ca="1">IFERROR(__xludf.DUMMYFUNCTION("GOOGLETRANSLATE(English!A2830, ""en"", ""bg"")"),"hw_13712")</f>
        <v>hw_13712</v>
      </c>
      <c r="B2830" s="1" t="str">
        <f ca="1">IFERROR(__xludf.DUMMYFUNCTION("GOOGLETRANSLATE(English!B2830, ""en"", ""bg"")"),"биология")</f>
        <v>биология</v>
      </c>
      <c r="C2830" s="1" t="str">
        <f ca="1">IFERROR(__xludf.DUMMYFUNCTION("GOOGLETRANSLATE(English!C2830, ""en"", ""bg"")"),"елементарен")</f>
        <v>елементарен</v>
      </c>
      <c r="D2830" s="1" t="str">
        <f ca="1">IFERROR(__xludf.DUMMYFUNCTION("GOOGLETRANSLATE(English!D2830, ""en"", ""bg"")"),"основни нужди")</f>
        <v>основни нужди</v>
      </c>
      <c r="E2830" s="1" t="str">
        <f ca="1">IFERROR(__xludf.DUMMYFUNCTION("GOOGLETRANSLATE(English!E2830, ""en"", ""bg"")"),"Утре имам тест по основни потребности. Помогни ми да уча!")</f>
        <v>Утре имам тест по основни потребности. Помогни ми да уча!</v>
      </c>
      <c r="F2830" s="1" t="str">
        <f ca="1">IFERROR(__xludf.DUMMYFUNCTION("GOOGLETRANSLATE(English!F2830,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2830" s="1" t="str">
        <f ca="1">IFERROR(__xludf.DUMMYFUNCTION("GOOGLETRANSLATE(English!G2830, ""en"", ""bg"")"),"помощ_за_домашно_изпълнение")</f>
        <v>помощ_за_домашно_изпълнение</v>
      </c>
      <c r="H2830" s="1" t="str">
        <f ca="1">IFERROR(__xludf.DUMMYFUNCTION("GOOGLETRANSLATE(English!H2830, ""en"", ""bg"")"),"помощ_за_домашно_задаване")</f>
        <v>помощ_за_домашно_задаване</v>
      </c>
    </row>
    <row r="2831" spans="1:8" ht="13.2" x14ac:dyDescent="0.25">
      <c r="A2831" s="1" t="str">
        <f ca="1">IFERROR(__xludf.DUMMYFUNCTION("GOOGLETRANSLATE(English!A2831, ""en"", ""bg"")"),"qa_14466")</f>
        <v>qa_14466</v>
      </c>
      <c r="B2831" s="1" t="str">
        <f ca="1">IFERROR(__xludf.DUMMYFUNCTION("GOOGLETRANSLATE(English!B2831, ""en"", ""bg"")"),"физика")</f>
        <v>физика</v>
      </c>
      <c r="C2831" s="1" t="str">
        <f ca="1">IFERROR(__xludf.DUMMYFUNCTION("GOOGLETRANSLATE(English!C2831, ""en"", ""bg"")"),"елементарен")</f>
        <v>елементарен</v>
      </c>
      <c r="D2831" s="1" t="str">
        <f ca="1">IFERROR(__xludf.DUMMYFUNCTION("GOOGLETRANSLATE(English!D2831, ""en"", ""bg"")"),"горещо и студено")</f>
        <v>горещо и студено</v>
      </c>
      <c r="E2831" s="1" t="str">
        <f ca="1">IFERROR(__xludf.DUMMYFUNCTION("GOOGLETRANSLATE(English!E2831, ""en"", ""bg"")"),"Защо е важно топлото и студеното?")</f>
        <v>Защо е важно топлото и студеното?</v>
      </c>
      <c r="F2831" s="1" t="str">
        <f ca="1">IFERROR(__xludf.DUMMYFUNCTION("GOOGLETRANSLATE(English!F2831,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2831" s="1" t="str">
        <f ca="1">IFERROR(__xludf.DUMMYFUNCTION("GOOGLETRANSLATE(English!G2831, ""en"", ""bg"")"),"direct_qa")</f>
        <v>direct_qa</v>
      </c>
      <c r="H2831" s="1" t="str">
        <f ca="1">IFERROR(__xludf.DUMMYFUNCTION("GOOGLETRANSLATE(English!H2831, ""en"", ""bg"")"),"заявка_за_знание")</f>
        <v>заявка_за_знание</v>
      </c>
    </row>
    <row r="2832" spans="1:8" ht="13.2" x14ac:dyDescent="0.25">
      <c r="A2832" s="1" t="str">
        <f ca="1">IFERROR(__xludf.DUMMYFUNCTION("GOOGLETRANSLATE(English!A2832, ""en"", ""bg"")"),"qa_00278")</f>
        <v>qa_00278</v>
      </c>
      <c r="B2832" s="1" t="str">
        <f ca="1">IFERROR(__xludf.DUMMYFUNCTION("GOOGLETRANSLATE(English!B2832, ""en"", ""bg"")"),"химия")</f>
        <v>химия</v>
      </c>
      <c r="C2832" s="1" t="str">
        <f ca="1">IFERROR(__xludf.DUMMYFUNCTION("GOOGLETRANSLATE(English!C2832, ""en"", ""bg"")"),"средата")</f>
        <v>средата</v>
      </c>
      <c r="D2832" s="1" t="str">
        <f ca="1">IFERROR(__xludf.DUMMYFUNCTION("GOOGLETRANSLATE(English!D2832, ""en"", ""bg"")"),"киселини и основи")</f>
        <v>киселини и основи</v>
      </c>
      <c r="E2832" s="1" t="str">
        <f ca="1">IFERROR(__xludf.DUMMYFUNCTION("GOOGLETRANSLATE(English!E2832, ""en"", ""bg"")"),"Можете ли да ми помогнете да разбера понятията киселини и основи?")</f>
        <v>Можете ли да ми помогнете да разбера понятията киселини и основи?</v>
      </c>
      <c r="F2832" s="1" t="str">
        <f ca="1">IFERROR(__xludf.DUMMYFUNCTION("GOOGLETRANSLATE(English!F2832,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2832" s="1" t="str">
        <f ca="1">IFERROR(__xludf.DUMMYFUNCTION("GOOGLETRANSLATE(English!G2832, ""en"", ""bg"")"),"direct_qa")</f>
        <v>direct_qa</v>
      </c>
      <c r="H2832" s="1" t="str">
        <f ca="1">IFERROR(__xludf.DUMMYFUNCTION("GOOGLETRANSLATE(English!H2832, ""en"", ""bg"")"),"заявка_за_знание")</f>
        <v>заявка_за_знание</v>
      </c>
    </row>
    <row r="2833" spans="1:8" ht="13.2" x14ac:dyDescent="0.25">
      <c r="A2833" s="1" t="str">
        <f ca="1">IFERROR(__xludf.DUMMYFUNCTION("GOOGLETRANSLATE(English!A2833, ""en"", ""bg"")"),"hw_11513")</f>
        <v>hw_11513</v>
      </c>
      <c r="B2833" s="1" t="str">
        <f ca="1">IFERROR(__xludf.DUMMYFUNCTION("GOOGLETRANSLATE(English!B2833, ""en"", ""bg"")"),"физика")</f>
        <v>физика</v>
      </c>
      <c r="C2833" s="1" t="str">
        <f ca="1">IFERROR(__xludf.DUMMYFUNCTION("GOOGLETRANSLATE(English!C2833, ""en"", ""bg"")"),"елементарен")</f>
        <v>елементарен</v>
      </c>
      <c r="D2833" s="1" t="str">
        <f ca="1">IFERROR(__xludf.DUMMYFUNCTION("GOOGLETRANSLATE(English!D2833, ""en"", ""bg"")"),"плаващ и потъващ")</f>
        <v>плаващ и потъващ</v>
      </c>
      <c r="E2833" s="1" t="str">
        <f ca="1">IFERROR(__xludf.DUMMYFUNCTION("GOOGLETRANSLATE(English!E2833,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2833" s="1" t="str">
        <f ca="1">IFERROR(__xludf.DUMMYFUNCTION("GOOGLETRANSLATE(English!F2833,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2833" s="1" t="str">
        <f ca="1">IFERROR(__xludf.DUMMYFUNCTION("GOOGLETRANSLATE(English!G2833, ""en"", ""bg"")"),"помощ_за_домашно_изпълнение")</f>
        <v>помощ_за_домашно_изпълнение</v>
      </c>
      <c r="H2833" s="1" t="str">
        <f ca="1">IFERROR(__xludf.DUMMYFUNCTION("GOOGLETRANSLATE(English!H2833, ""en"", ""bg"")"),"помощ_за_домашно_задаване")</f>
        <v>помощ_за_домашно_задаване</v>
      </c>
    </row>
    <row r="2834" spans="1:8" ht="13.2" x14ac:dyDescent="0.25">
      <c r="A2834" s="1" t="str">
        <f ca="1">IFERROR(__xludf.DUMMYFUNCTION("GOOGLETRANSLATE(English!A2834, ""en"", ""bg"")"),"hw_10906")</f>
        <v>hw_10906</v>
      </c>
      <c r="B2834" s="1" t="str">
        <f ca="1">IFERROR(__xludf.DUMMYFUNCTION("GOOGLETRANSLATE(English!B2834, ""en"", ""bg"")"),"биология")</f>
        <v>биология</v>
      </c>
      <c r="C2834" s="1" t="str">
        <f ca="1">IFERROR(__xludf.DUMMYFUNCTION("GOOGLETRANSLATE(English!C2834, ""en"", ""bg"")"),"елементарен")</f>
        <v>елементарен</v>
      </c>
      <c r="D2834" s="1" t="str">
        <f ca="1">IFERROR(__xludf.DUMMYFUNCTION("GOOGLETRANSLATE(English!D2834, ""en"", ""bg"")"),"местообитания")</f>
        <v>местообитания</v>
      </c>
      <c r="E2834" s="1" t="str">
        <f ca="1">IFERROR(__xludf.DUMMYFUNCTION("GOOGLETRANSLATE(English!E2834, ""en"", ""bg"")"),"Домашното ми пита за местообитанията. Не го разбирам.")</f>
        <v>Домашното ми пита за местообитанията. Не го разбирам.</v>
      </c>
      <c r="F2834" s="1" t="str">
        <f ca="1">IFERROR(__xludf.DUMMYFUNCTION("GOOGLETRANSLATE(English!F2834,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2834" s="1" t="str">
        <f ca="1">IFERROR(__xludf.DUMMYFUNCTION("GOOGLETRANSLATE(English!G2834, ""en"", ""bg"")"),"помощ_за_домашно_изпълнение")</f>
        <v>помощ_за_домашно_изпълнение</v>
      </c>
      <c r="H2834" s="1" t="str">
        <f ca="1">IFERROR(__xludf.DUMMYFUNCTION("GOOGLETRANSLATE(English!H2834, ""en"", ""bg"")"),"помощ_за_домашно_задаване")</f>
        <v>помощ_за_домашно_задаване</v>
      </c>
    </row>
    <row r="2835" spans="1:8" ht="13.2" x14ac:dyDescent="0.25">
      <c r="A2835" s="1" t="str">
        <f ca="1">IFERROR(__xludf.DUMMYFUNCTION("GOOGLETRANSLATE(English!A2835, ""en"", ""bg"")"),"hw_11972")</f>
        <v>hw_11972</v>
      </c>
      <c r="B2835" s="1" t="str">
        <f ca="1">IFERROR(__xludf.DUMMYFUNCTION("GOOGLETRANSLATE(English!B2835, ""en"", ""bg"")"),"биология")</f>
        <v>биология</v>
      </c>
      <c r="C2835" s="1" t="str">
        <f ca="1">IFERROR(__xludf.DUMMYFUNCTION("GOOGLETRANSLATE(English!C2835, ""en"", ""bg"")"),"високо")</f>
        <v>високо</v>
      </c>
      <c r="D2835" s="1" t="str">
        <f ca="1">IFERROR(__xludf.DUMMYFUNCTION("GOOGLETRANSLATE(English!D2835, ""en"", ""bg"")"),"митоза и мейоза")</f>
        <v>митоза и мейоза</v>
      </c>
      <c r="E2835" s="1" t="str">
        <f ca="1">IFERROR(__xludf.DUMMYFUNCTION("GOOGLETRANSLATE(English!E2835, ""en"", ""bg"")"),"Утре имам тест по митоза и мейоза. Помогни ми да уча!")</f>
        <v>Утре имам тест по митоза и мейоза. Помогни ми да уча!</v>
      </c>
      <c r="F2835" s="1" t="str">
        <f ca="1">IFERROR(__xludf.DUMMYFUNCTION("GOOGLETRANSLATE(English!F2835,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2835" s="1" t="str">
        <f ca="1">IFERROR(__xludf.DUMMYFUNCTION("GOOGLETRANSLATE(English!G2835, ""en"", ""bg"")"),"помощ_за_домашно_изпълнение")</f>
        <v>помощ_за_домашно_изпълнение</v>
      </c>
      <c r="H2835" s="1" t="str">
        <f ca="1">IFERROR(__xludf.DUMMYFUNCTION("GOOGLETRANSLATE(English!H2835, ""en"", ""bg"")"),"помощ_за_домашно_задаване")</f>
        <v>помощ_за_домашно_задаване</v>
      </c>
    </row>
    <row r="2836" spans="1:8" ht="13.2" x14ac:dyDescent="0.25">
      <c r="A2836" s="1" t="str">
        <f ca="1">IFERROR(__xludf.DUMMYFUNCTION("GOOGLETRANSLATE(English!A2836, ""en"", ""bg"")"),"qa_06087")</f>
        <v>qa_06087</v>
      </c>
      <c r="B2836" s="1" t="str">
        <f ca="1">IFERROR(__xludf.DUMMYFUNCTION("GOOGLETRANSLATE(English!B2836, ""en"", ""bg"")"),"химия")</f>
        <v>химия</v>
      </c>
      <c r="C2836" s="1" t="str">
        <f ca="1">IFERROR(__xludf.DUMMYFUNCTION("GOOGLETRANSLATE(English!C2836, ""en"", ""bg"")"),"средата")</f>
        <v>средата</v>
      </c>
      <c r="D2836" s="1" t="str">
        <f ca="1">IFERROR(__xludf.DUMMYFUNCTION("GOOGLETRANSLATE(English!D2836, ""en"", ""bg"")"),"основи на периодичната таблица")</f>
        <v>основи на периодичната таблица</v>
      </c>
      <c r="E2836" s="1" t="str">
        <f ca="1">IFERROR(__xludf.DUMMYFUNCTION("GOOGLETRANSLATE(English!E2836,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2836" s="1" t="str">
        <f ca="1">IFERROR(__xludf.DUMMYFUNCTION("GOOGLETRANSLATE(English!F2836,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2836" s="1" t="str">
        <f ca="1">IFERROR(__xludf.DUMMYFUNCTION("GOOGLETRANSLATE(English!G2836, ""en"", ""bg"")"),"direct_qa")</f>
        <v>direct_qa</v>
      </c>
      <c r="H2836" s="1" t="str">
        <f ca="1">IFERROR(__xludf.DUMMYFUNCTION("GOOGLETRANSLATE(English!H2836, ""en"", ""bg"")"),"заявка_за_знание")</f>
        <v>заявка_за_знание</v>
      </c>
    </row>
    <row r="2837" spans="1:8" ht="13.2" x14ac:dyDescent="0.25">
      <c r="A2837" s="1" t="str">
        <f ca="1">IFERROR(__xludf.DUMMYFUNCTION("GOOGLETRANSLATE(English!A2837, ""en"", ""bg"")"),"conv_19690")</f>
        <v>conv_19690</v>
      </c>
      <c r="B2837" s="1" t="str">
        <f ca="1">IFERROR(__xludf.DUMMYFUNCTION("GOOGLETRANSLATE(English!B2837, ""en"", ""bg"")"),"биология")</f>
        <v>биология</v>
      </c>
      <c r="C2837" s="1" t="str">
        <f ca="1">IFERROR(__xludf.DUMMYFUNCTION("GOOGLETRANSLATE(English!C2837, ""en"", ""bg"")"),"средата")</f>
        <v>средата</v>
      </c>
      <c r="D2837" s="1" t="str">
        <f ca="1">IFERROR(__xludf.DUMMYFUNCTION("GOOGLETRANSLATE(English!D2837, ""en"", ""bg"")"),"дишане")</f>
        <v>дишане</v>
      </c>
      <c r="E2837" s="1" t="str">
        <f ca="1">IFERROR(__xludf.DUMMYFUNCTION("GOOGLETRANSLATE(English!E2837, ""en"", ""bg"")"),"Здравей, преподавателю! Какво е важно да знаеш за дишането?")</f>
        <v>Здравей, преподавателю! Какво е важно да знаеш за дишането?</v>
      </c>
      <c r="F2837" s="1" t="str">
        <f ca="1">IFERROR(__xludf.DUMMYFUNCTION("GOOGLETRANSLATE(English!F2837,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2837" s="1" t="str">
        <f ca="1">IFERROR(__xludf.DUMMYFUNCTION("GOOGLETRANSLATE(English!G2837, ""en"", ""bg"")"),"разговор")</f>
        <v>разговор</v>
      </c>
      <c r="H2837" s="1" t="str">
        <f ca="1">IFERROR(__xludf.DUMMYFUNCTION("GOOGLETRANSLATE(English!H2837, ""en"", ""bg"")"),"образователна_помощ")</f>
        <v>образователна_помощ</v>
      </c>
    </row>
    <row r="2838" spans="1:8" ht="13.2" x14ac:dyDescent="0.25">
      <c r="A2838" s="1" t="str">
        <f ca="1">IFERROR(__xludf.DUMMYFUNCTION("GOOGLETRANSLATE(English!A2838, ""en"", ""bg"")"),"hw_09371")</f>
        <v>hw_09371</v>
      </c>
      <c r="B2838" s="1" t="str">
        <f ca="1">IFERROR(__xludf.DUMMYFUNCTION("GOOGLETRANSLATE(English!B2838, ""en"", ""bg"")"),"химия")</f>
        <v>химия</v>
      </c>
      <c r="C2838" s="1" t="str">
        <f ca="1">IFERROR(__xludf.DUMMYFUNCTION("GOOGLETRANSLATE(English!C2838, ""en"", ""bg"")"),"елементарен")</f>
        <v>елементарен</v>
      </c>
      <c r="D2838" s="1" t="str">
        <f ca="1">IFERROR(__xludf.DUMMYFUNCTION("GOOGLETRANSLATE(English!D2838, ""en"", ""bg"")"),"твърди вещества, течности, газове")</f>
        <v>твърди вещества, течности, газове</v>
      </c>
      <c r="E2838" s="1" t="str">
        <f ca="1">IFERROR(__xludf.DUMMYFUNCTION("GOOGLETRANSLATE(English!E2838, ""en"", ""bg"")"),"Можете ли да ми помогнете с изчисленията за твърди вещества, течности и газове?")</f>
        <v>Можете ли да ми помогнете с изчисленията за твърди вещества, течности и газове?</v>
      </c>
      <c r="F2838" s="1" t="str">
        <f ca="1">IFERROR(__xludf.DUMMYFUNCTION("GOOGLETRANSLATE(English!F2838,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2838" s="1" t="str">
        <f ca="1">IFERROR(__xludf.DUMMYFUNCTION("GOOGLETRANSLATE(English!G2838, ""en"", ""bg"")"),"помощ_за_домашно_изпълнение")</f>
        <v>помощ_за_домашно_изпълнение</v>
      </c>
      <c r="H2838" s="1" t="str">
        <f ca="1">IFERROR(__xludf.DUMMYFUNCTION("GOOGLETRANSLATE(English!H2838, ""en"", ""bg"")"),"помощ_за_домашно_задаване")</f>
        <v>помощ_за_домашно_задаване</v>
      </c>
    </row>
    <row r="2839" spans="1:8" ht="13.2" x14ac:dyDescent="0.25">
      <c r="A2839" s="1" t="str">
        <f ca="1">IFERROR(__xludf.DUMMYFUNCTION("GOOGLETRANSLATE(English!A2839, ""en"", ""bg"")"),"qa_03914")</f>
        <v>qa_03914</v>
      </c>
      <c r="B2839" s="1" t="str">
        <f ca="1">IFERROR(__xludf.DUMMYFUNCTION("GOOGLETRANSLATE(English!B2839, ""en"", ""bg"")"),"физика")</f>
        <v>физика</v>
      </c>
      <c r="C2839" s="1" t="str">
        <f ca="1">IFERROR(__xludf.DUMMYFUNCTION("GOOGLETRANSLATE(English!C2839, ""en"", ""bg"")"),"високо")</f>
        <v>високо</v>
      </c>
      <c r="D2839" s="1" t="str">
        <f ca="1">IFERROR(__xludf.DUMMYFUNCTION("GOOGLETRANSLATE(English!D2839, ""en"", ""bg"")"),"радиоактивност")</f>
        <v>радиоактивност</v>
      </c>
      <c r="E2839" s="1" t="str">
        <f ca="1">IFERROR(__xludf.DUMMYFUNCTION("GOOGLETRANSLATE(English!E2839, ""en"", ""bg"")"),"Защо радиоактивността е важна?")</f>
        <v>Защо радиоактивността е важна?</v>
      </c>
      <c r="F2839" s="1" t="str">
        <f ca="1">IFERROR(__xludf.DUMMYFUNCTION("GOOGLETRANSLATE(English!F2839,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2839" s="1" t="str">
        <f ca="1">IFERROR(__xludf.DUMMYFUNCTION("GOOGLETRANSLATE(English!G2839, ""en"", ""bg"")"),"direct_qa")</f>
        <v>direct_qa</v>
      </c>
      <c r="H2839" s="1" t="str">
        <f ca="1">IFERROR(__xludf.DUMMYFUNCTION("GOOGLETRANSLATE(English!H2839, ""en"", ""bg"")"),"заявка_за_знание")</f>
        <v>заявка_за_знание</v>
      </c>
    </row>
    <row r="2840" spans="1:8" ht="13.2" x14ac:dyDescent="0.25">
      <c r="A2840" s="1" t="str">
        <f ca="1">IFERROR(__xludf.DUMMYFUNCTION("GOOGLETRANSLATE(English!A2840, ""en"", ""bg"")"),"qa_08964")</f>
        <v>qa_08964</v>
      </c>
      <c r="B2840" s="1" t="str">
        <f ca="1">IFERROR(__xludf.DUMMYFUNCTION("GOOGLETRANSLATE(English!B2840, ""en"", ""bg"")"),"биология")</f>
        <v>биология</v>
      </c>
      <c r="C2840" s="1" t="str">
        <f ca="1">IFERROR(__xludf.DUMMYFUNCTION("GOOGLETRANSLATE(English!C2840, ""en"", ""bg"")"),"елементарен")</f>
        <v>елементарен</v>
      </c>
      <c r="D2840" s="1" t="str">
        <f ca="1">IFERROR(__xludf.DUMMYFUNCTION("GOOGLETRANSLATE(English!D2840, ""en"", ""bg"")"),"основни нужди")</f>
        <v>основни нужди</v>
      </c>
      <c r="E2840" s="1" t="str">
        <f ca="1">IFERROR(__xludf.DUMMYFUNCTION("GOOGLETRANSLATE(English!E2840, ""en"", ""bg"")"),"Защо основните потребности са важни в биологията?")</f>
        <v>Защо основните потребности са важни в биологията?</v>
      </c>
      <c r="F2840" s="1" t="str">
        <f ca="1">IFERROR(__xludf.DUMMYFUNCTION("GOOGLETRANSLATE(English!F2840, ""en"", ""bg"")"),"Основните потребности са важни, защото ни помагат да разберем живота и как живите същества оцеляват.")</f>
        <v>Основните потребности са важни, защото ни помагат да разберем живота и как живите същества оцеляват.</v>
      </c>
      <c r="G2840" s="1" t="str">
        <f ca="1">IFERROR(__xludf.DUMMYFUNCTION("GOOGLETRANSLATE(English!G2840, ""en"", ""bg"")"),"direct_qa")</f>
        <v>direct_qa</v>
      </c>
      <c r="H2840" s="1" t="str">
        <f ca="1">IFERROR(__xludf.DUMMYFUNCTION("GOOGLETRANSLATE(English!H2840, ""en"", ""bg"")"),"заявка_за_знание")</f>
        <v>заявка_за_знание</v>
      </c>
    </row>
    <row r="2841" spans="1:8" ht="13.2" x14ac:dyDescent="0.25">
      <c r="A2841" s="1" t="str">
        <f ca="1">IFERROR(__xludf.DUMMYFUNCTION("GOOGLETRANSLATE(English!A2841, ""en"", ""bg"")"),"conv_14742")</f>
        <v>conv_14742</v>
      </c>
      <c r="B2841" s="1" t="str">
        <f ca="1">IFERROR(__xludf.DUMMYFUNCTION("GOOGLETRANSLATE(English!B2841, ""en"", ""bg"")"),"химия")</f>
        <v>химия</v>
      </c>
      <c r="C2841" s="1" t="str">
        <f ca="1">IFERROR(__xludf.DUMMYFUNCTION("GOOGLETRANSLATE(English!C2841, ""en"", ""bg"")"),"елементарен")</f>
        <v>елементарен</v>
      </c>
      <c r="D2841" s="1" t="str">
        <f ca="1">IFERROR(__xludf.DUMMYFUNCTION("GOOGLETRANSLATE(English!D2841, ""en"", ""bg"")"),"смесване на материали")</f>
        <v>смесване на материали</v>
      </c>
      <c r="E2841" s="1" t="str">
        <f ca="1">IFERROR(__xludf.DUMMYFUNCTION("GOOGLETRANSLATE(English!E2841, ""en"", ""bg"")"),"Имам научен въпрос. Какво се случва, когато смесите масло и вода?")</f>
        <v>Имам научен въпрос. Какво се случва, когато смесите масло и вода?</v>
      </c>
      <c r="F2841" s="1" t="str">
        <f ca="1">IFERROR(__xludf.DUMMYFUNCTION("GOOGLETRANSLATE(English!F2841,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2841" s="1" t="str">
        <f ca="1">IFERROR(__xludf.DUMMYFUNCTION("GOOGLETRANSLATE(English!G2841, ""en"", ""bg"")"),"разговор")</f>
        <v>разговор</v>
      </c>
      <c r="H2841" s="1" t="str">
        <f ca="1">IFERROR(__xludf.DUMMYFUNCTION("GOOGLETRANSLATE(English!H2841, ""en"", ""bg"")"),"образователна_помощ")</f>
        <v>образователна_помощ</v>
      </c>
    </row>
    <row r="2842" spans="1:8" ht="13.2" x14ac:dyDescent="0.25">
      <c r="A2842" s="1" t="str">
        <f ca="1">IFERROR(__xludf.DUMMYFUNCTION("GOOGLETRANSLATE(English!A2842, ""en"", ""bg"")"),"qa_06551")</f>
        <v>qa_06551</v>
      </c>
      <c r="B2842" s="1" t="str">
        <f ca="1">IFERROR(__xludf.DUMMYFUNCTION("GOOGLETRANSLATE(English!B2842, ""en"", ""bg"")"),"биология")</f>
        <v>биология</v>
      </c>
      <c r="C2842" s="1" t="str">
        <f ca="1">IFERROR(__xludf.DUMMYFUNCTION("GOOGLETRANSLATE(English!C2842, ""en"", ""bg"")"),"средата")</f>
        <v>средата</v>
      </c>
      <c r="D2842" s="1" t="str">
        <f ca="1">IFERROR(__xludf.DUMMYFUNCTION("GOOGLETRANSLATE(English!D2842, ""en"", ""bg"")"),"класификация")</f>
        <v>класификация</v>
      </c>
      <c r="E2842" s="1" t="str">
        <f ca="1">IFERROR(__xludf.DUMMYFUNCTION("GOOGLETRANSLATE(English!E2842, ""en"", ""bg"")"),"Защо класификацията е важна в биологията?")</f>
        <v>Защо класификацията е важна в биологията?</v>
      </c>
      <c r="F2842" s="1" t="str">
        <f ca="1">IFERROR(__xludf.DUMMYFUNCTION("GOOGLETRANSLATE(English!F2842,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2842" s="1" t="str">
        <f ca="1">IFERROR(__xludf.DUMMYFUNCTION("GOOGLETRANSLATE(English!G2842, ""en"", ""bg"")"),"direct_qa")</f>
        <v>direct_qa</v>
      </c>
      <c r="H2842" s="1" t="str">
        <f ca="1">IFERROR(__xludf.DUMMYFUNCTION("GOOGLETRANSLATE(English!H2842, ""en"", ""bg"")"),"заявка_за_знание")</f>
        <v>заявка_за_знание</v>
      </c>
    </row>
    <row r="2843" spans="1:8" ht="13.2" x14ac:dyDescent="0.25">
      <c r="A2843" s="1" t="str">
        <f ca="1">IFERROR(__xludf.DUMMYFUNCTION("GOOGLETRANSLATE(English!A2843, ""en"", ""bg"")"),"qa_07750")</f>
        <v>qa_07750</v>
      </c>
      <c r="B2843" s="1" t="str">
        <f ca="1">IFERROR(__xludf.DUMMYFUNCTION("GOOGLETRANSLATE(English!B2843, ""en"", ""bg"")"),"физика")</f>
        <v>физика</v>
      </c>
      <c r="C2843" s="1" t="str">
        <f ca="1">IFERROR(__xludf.DUMMYFUNCTION("GOOGLETRANSLATE(English!C2843, ""en"", ""bg"")"),"високо")</f>
        <v>високо</v>
      </c>
      <c r="D2843" s="1" t="str">
        <f ca="1">IFERROR(__xludf.DUMMYFUNCTION("GOOGLETRANSLATE(English!D2843, ""en"", ""bg"")"),"електромагнетизъм")</f>
        <v>електромагнетизъм</v>
      </c>
      <c r="E2843" s="1" t="str">
        <f ca="1">IFERROR(__xludf.DUMMYFUNCTION("GOOGLETRANSLATE(English!E2843, ""en"", ""bg"")"),"Какво трябва да знам за електромагнетизма?")</f>
        <v>Какво трябва да знам за електромагнетизма?</v>
      </c>
      <c r="F2843" s="1" t="str">
        <f ca="1">IFERROR(__xludf.DUMMYFUNCTION("GOOGLETRANSLATE(English!F2843,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2843" s="1" t="str">
        <f ca="1">IFERROR(__xludf.DUMMYFUNCTION("GOOGLETRANSLATE(English!G2843, ""en"", ""bg"")"),"direct_qa")</f>
        <v>direct_qa</v>
      </c>
      <c r="H2843" s="1" t="str">
        <f ca="1">IFERROR(__xludf.DUMMYFUNCTION("GOOGLETRANSLATE(English!H2843, ""en"", ""bg"")"),"заявка_за_знание")</f>
        <v>заявка_за_знание</v>
      </c>
    </row>
    <row r="2844" spans="1:8" ht="13.2" x14ac:dyDescent="0.25">
      <c r="A2844" s="1" t="str">
        <f ca="1">IFERROR(__xludf.DUMMYFUNCTION("GOOGLETRANSLATE(English!A2844, ""en"", ""bg"")"),"conv_11814")</f>
        <v>conv_11814</v>
      </c>
      <c r="B2844" s="1" t="str">
        <f ca="1">IFERROR(__xludf.DUMMYFUNCTION("GOOGLETRANSLATE(English!B2844, ""en"", ""bg"")"),"химия")</f>
        <v>химия</v>
      </c>
      <c r="C2844" s="1" t="str">
        <f ca="1">IFERROR(__xludf.DUMMYFUNCTION("GOOGLETRANSLATE(English!C2844, ""en"", ""bg"")"),"средата")</f>
        <v>средата</v>
      </c>
      <c r="D2844" s="1" t="str">
        <f ca="1">IFERROR(__xludf.DUMMYFUNCTION("GOOGLETRANSLATE(English!D2844, ""en"", ""bg"")"),"основи на периодичната таблица")</f>
        <v>основи на периодичната таблица</v>
      </c>
      <c r="E2844" s="1" t="str">
        <f ca="1">IFERROR(__xludf.DUMMYFUNCTION("GOOGLETRANSLATE(English!E2844, ""en"", ""bg"")"),"Можете ли да ми обясните това? Можете ли да ми помогнете да разбера основите на периодичната таблица?")</f>
        <v>Можете ли да ми обясните това? Можете ли да ми помогнете да разбера основите на периодичната таблица?</v>
      </c>
      <c r="F2844" s="1" t="str">
        <f ca="1">IFERROR(__xludf.DUMMYFUNCTION("GOOGLETRANSLATE(English!F2844,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2844" s="1" t="str">
        <f ca="1">IFERROR(__xludf.DUMMYFUNCTION("GOOGLETRANSLATE(English!G2844, ""en"", ""bg"")"),"разговор")</f>
        <v>разговор</v>
      </c>
      <c r="H2844" s="1" t="str">
        <f ca="1">IFERROR(__xludf.DUMMYFUNCTION("GOOGLETRANSLATE(English!H2844, ""en"", ""bg"")"),"образователна_помощ")</f>
        <v>образователна_помощ</v>
      </c>
    </row>
    <row r="2845" spans="1:8" ht="13.2" x14ac:dyDescent="0.25">
      <c r="A2845" s="1" t="str">
        <f ca="1">IFERROR(__xludf.DUMMYFUNCTION("GOOGLETRANSLATE(English!A2845, ""en"", ""bg"")"),"hw_03346")</f>
        <v>hw_03346</v>
      </c>
      <c r="B2845" s="1" t="str">
        <f ca="1">IFERROR(__xludf.DUMMYFUNCTION("GOOGLETRANSLATE(English!B2845, ""en"", ""bg"")"),"биология")</f>
        <v>биология</v>
      </c>
      <c r="C2845" s="1" t="str">
        <f ca="1">IFERROR(__xludf.DUMMYFUNCTION("GOOGLETRANSLATE(English!C2845, ""en"", ""bg"")"),"средата")</f>
        <v>средата</v>
      </c>
      <c r="D2845" s="1" t="str">
        <f ca="1">IFERROR(__xludf.DUMMYFUNCTION("GOOGLETRANSLATE(English!D2845, ""en"", ""bg"")"),"основи на еволюцията")</f>
        <v>основи на еволюцията</v>
      </c>
      <c r="E2845" s="1" t="str">
        <f ca="1">IFERROR(__xludf.DUMMYFUNCTION("GOOGLETRANSLATE(English!E2845, ""en"", ""bg"")"),"Можете ли да обясните основите на еволюцията за моя научен проект?")</f>
        <v>Можете ли да обясните основите на еволюцията за моя научен проект?</v>
      </c>
      <c r="F2845" s="1" t="str">
        <f ca="1">IFERROR(__xludf.DUMMYFUNCTION("GOOGLETRANSLATE(English!F2845,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2845" s="1" t="str">
        <f ca="1">IFERROR(__xludf.DUMMYFUNCTION("GOOGLETRANSLATE(English!G2845, ""en"", ""bg"")"),"помощ_за_домашно_изпълнение")</f>
        <v>помощ_за_домашно_изпълнение</v>
      </c>
      <c r="H2845" s="1" t="str">
        <f ca="1">IFERROR(__xludf.DUMMYFUNCTION("GOOGLETRANSLATE(English!H2845, ""en"", ""bg"")"),"помощ_за_домашно_задаване")</f>
        <v>помощ_за_домашно_задаване</v>
      </c>
    </row>
    <row r="2846" spans="1:8" ht="13.2" x14ac:dyDescent="0.25">
      <c r="A2846" s="1" t="str">
        <f ca="1">IFERROR(__xludf.DUMMYFUNCTION("GOOGLETRANSLATE(English!A2846, ""en"", ""bg"")"),"qa_03512")</f>
        <v>qa_03512</v>
      </c>
      <c r="B2846" s="1" t="str">
        <f ca="1">IFERROR(__xludf.DUMMYFUNCTION("GOOGLETRANSLATE(English!B2846, ""en"", ""bg"")"),"биология")</f>
        <v>биология</v>
      </c>
      <c r="C2846" s="1" t="str">
        <f ca="1">IFERROR(__xludf.DUMMYFUNCTION("GOOGLETRANSLATE(English!C2846, ""en"", ""bg"")"),"високо")</f>
        <v>високо</v>
      </c>
      <c r="D2846" s="1" t="str">
        <f ca="1">IFERROR(__xludf.DUMMYFUNCTION("GOOGLETRANSLATE(English!D2846, ""en"", ""bg"")"),"модели на наследяване")</f>
        <v>модели на наследяване</v>
      </c>
      <c r="E2846" s="1" t="str">
        <f ca="1">IFERROR(__xludf.DUMMYFUNCTION("GOOGLETRANSLATE(English!E2846, ""en"", ""bg"")"),"Защо моделите на наследяване са важни в биологията?")</f>
        <v>Защо моделите на наследяване са важни в биологията?</v>
      </c>
      <c r="F2846" s="1" t="str">
        <f ca="1">IFERROR(__xludf.DUMMYFUNCTION("GOOGLETRANSLATE(English!F2846,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2846" s="1" t="str">
        <f ca="1">IFERROR(__xludf.DUMMYFUNCTION("GOOGLETRANSLATE(English!G2846, ""en"", ""bg"")"),"direct_qa")</f>
        <v>direct_qa</v>
      </c>
      <c r="H2846" s="1" t="str">
        <f ca="1">IFERROR(__xludf.DUMMYFUNCTION("GOOGLETRANSLATE(English!H2846, ""en"", ""bg"")"),"заявка_за_знание")</f>
        <v>заявка_за_знание</v>
      </c>
    </row>
    <row r="2847" spans="1:8" ht="13.2" x14ac:dyDescent="0.25">
      <c r="A2847" s="1" t="str">
        <f ca="1">IFERROR(__xludf.DUMMYFUNCTION("GOOGLETRANSLATE(English!A2847, ""en"", ""bg"")"),"qa_11268")</f>
        <v>qa_11268</v>
      </c>
      <c r="B2847" s="1" t="str">
        <f ca="1">IFERROR(__xludf.DUMMYFUNCTION("GOOGLETRANSLATE(English!B2847, ""en"", ""bg"")"),"физика")</f>
        <v>физика</v>
      </c>
      <c r="C2847" s="1" t="str">
        <f ca="1">IFERROR(__xludf.DUMMYFUNCTION("GOOGLETRANSLATE(English!C2847, ""en"", ""bg"")"),"високо")</f>
        <v>високо</v>
      </c>
      <c r="D2847" s="1" t="str">
        <f ca="1">IFERROR(__xludf.DUMMYFUNCTION("GOOGLETRANSLATE(English!D2847, ""en"", ""bg"")"),"механика")</f>
        <v>механика</v>
      </c>
      <c r="E2847" s="1" t="str">
        <f ca="1">IFERROR(__xludf.DUMMYFUNCTION("GOOGLETRANSLATE(English!E2847, ""en"", ""bg"")"),"Можете ли да ми обясните механиката?")</f>
        <v>Можете ли да ми обясните механиката?</v>
      </c>
      <c r="F2847" s="1" t="str">
        <f ca="1">IFERROR(__xludf.DUMMYFUNCTION("GOOGLETRANSLATE(English!F2847,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2847" s="1" t="str">
        <f ca="1">IFERROR(__xludf.DUMMYFUNCTION("GOOGLETRANSLATE(English!G2847, ""en"", ""bg"")"),"direct_qa")</f>
        <v>direct_qa</v>
      </c>
      <c r="H2847" s="1" t="str">
        <f ca="1">IFERROR(__xludf.DUMMYFUNCTION("GOOGLETRANSLATE(English!H2847, ""en"", ""bg"")"),"заявка_за_знание")</f>
        <v>заявка_за_знание</v>
      </c>
    </row>
    <row r="2848" spans="1:8" ht="13.2" x14ac:dyDescent="0.25">
      <c r="A2848" s="1" t="str">
        <f ca="1">IFERROR(__xludf.DUMMYFUNCTION("GOOGLETRANSLATE(English!A2848, ""en"", ""bg"")"),"conv_18951")</f>
        <v>conv_18951</v>
      </c>
      <c r="B2848" s="1" t="str">
        <f ca="1">IFERROR(__xludf.DUMMYFUNCTION("GOOGLETRANSLATE(English!B2848, ""en"", ""bg"")"),"биология")</f>
        <v>биология</v>
      </c>
      <c r="C2848" s="1" t="str">
        <f ca="1">IFERROR(__xludf.DUMMYFUNCTION("GOOGLETRANSLATE(English!C2848, ""en"", ""bg"")"),"средата")</f>
        <v>средата</v>
      </c>
      <c r="D2848" s="1" t="str">
        <f ca="1">IFERROR(__xludf.DUMMYFUNCTION("GOOGLETRANSLATE(English!D2848, ""en"", ""bg"")"),"дишане")</f>
        <v>дишане</v>
      </c>
      <c r="E2848" s="1" t="str">
        <f ca="1">IFERROR(__xludf.DUMMYFUNCTION("GOOGLETRANSLATE(English!E2848, ""en"", ""bg"")"),"Имам научен въпрос. Защо дишането е важно в биологията?")</f>
        <v>Имам научен въпрос. Защо дишането е важно в биологията?</v>
      </c>
      <c r="F2848" s="1" t="str">
        <f ca="1">IFERROR(__xludf.DUMMYFUNCTION("GOOGLETRANSLATE(English!F2848, ""en"", ""bg"")"),"Дишането е важно, защото ни помага да разберем живота и как живите същества оцеляват.")</f>
        <v>Дишането е важно, защото ни помага да разберем живота и как живите същества оцеляват.</v>
      </c>
      <c r="G2848" s="1" t="str">
        <f ca="1">IFERROR(__xludf.DUMMYFUNCTION("GOOGLETRANSLATE(English!G2848, ""en"", ""bg"")"),"разговор")</f>
        <v>разговор</v>
      </c>
      <c r="H2848" s="1" t="str">
        <f ca="1">IFERROR(__xludf.DUMMYFUNCTION("GOOGLETRANSLATE(English!H2848, ""en"", ""bg"")"),"образователна_помощ")</f>
        <v>образователна_помощ</v>
      </c>
    </row>
    <row r="2849" spans="1:8" ht="13.2" x14ac:dyDescent="0.25">
      <c r="A2849" s="1" t="str">
        <f ca="1">IFERROR(__xludf.DUMMYFUNCTION("GOOGLETRANSLATE(English!A2849, ""en"", ""bg"")"),"hw_06743")</f>
        <v>hw_06743</v>
      </c>
      <c r="B2849" s="1" t="str">
        <f ca="1">IFERROR(__xludf.DUMMYFUNCTION("GOOGLETRANSLATE(English!B2849, ""en"", ""bg"")"),"биология")</f>
        <v>биология</v>
      </c>
      <c r="C2849" s="1" t="str">
        <f ca="1">IFERROR(__xludf.DUMMYFUNCTION("GOOGLETRANSLATE(English!C2849, ""en"", ""bg"")"),"средата")</f>
        <v>средата</v>
      </c>
      <c r="D2849" s="1" t="str">
        <f ca="1">IFERROR(__xludf.DUMMYFUNCTION("GOOGLETRANSLATE(English!D2849, ""en"", ""bg"")"),"дишане")</f>
        <v>дишане</v>
      </c>
      <c r="E2849" s="1" t="str">
        <f ca="1">IFERROR(__xludf.DUMMYFUNCTION("GOOGLETRANSLATE(English!E2849, ""en"", ""bg"")"),"Можете ли да обясните дишането за моя научен проект?")</f>
        <v>Можете ли да обясните дишането за моя научен проект?</v>
      </c>
      <c r="F2849" s="1" t="str">
        <f ca="1">IFERROR(__xludf.DUMMYFUNCTION("GOOGLETRANSLATE(English!F2849,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2849" s="1" t="str">
        <f ca="1">IFERROR(__xludf.DUMMYFUNCTION("GOOGLETRANSLATE(English!G2849, ""en"", ""bg"")"),"помощ_за_домашно_изпълнение")</f>
        <v>помощ_за_домашно_изпълнение</v>
      </c>
      <c r="H2849" s="1" t="str">
        <f ca="1">IFERROR(__xludf.DUMMYFUNCTION("GOOGLETRANSLATE(English!H2849, ""en"", ""bg"")"),"помощ_за_домашно_задаване")</f>
        <v>помощ_за_домашно_задаване</v>
      </c>
    </row>
    <row r="2850" spans="1:8" ht="13.2" x14ac:dyDescent="0.25">
      <c r="A2850" s="1" t="str">
        <f ca="1">IFERROR(__xludf.DUMMYFUNCTION("GOOGLETRANSLATE(English!A2850, ""en"", ""bg"")"),"conv_04404")</f>
        <v>conv_04404</v>
      </c>
      <c r="B2850" s="1" t="str">
        <f ca="1">IFERROR(__xludf.DUMMYFUNCTION("GOOGLETRANSLATE(English!B2850, ""en"", ""bg"")"),"физика")</f>
        <v>физика</v>
      </c>
      <c r="C2850" s="1" t="str">
        <f ca="1">IFERROR(__xludf.DUMMYFUNCTION("GOOGLETRANSLATE(English!C2850, ""en"", ""bg"")"),"средата")</f>
        <v>средата</v>
      </c>
      <c r="D2850" s="1" t="str">
        <f ca="1">IFERROR(__xludf.DUMMYFUNCTION("GOOGLETRANSLATE(English!D2850, ""en"", ""bg"")"),"основи на електричеството")</f>
        <v>основи на електричеството</v>
      </c>
      <c r="E2850" s="1" t="str">
        <f ca="1">IFERROR(__xludf.DUMMYFUNCTION("GOOGLETRANSLATE(English!E2850, ""en"", ""bg"")"),"Имам нужда от помощ с домашното. Какво трябва да знам за основите на електричеството?")</f>
        <v>Имам нужда от помощ с домашното. Какво трябва да знам за основите на електричеството?</v>
      </c>
      <c r="F2850" s="1" t="str">
        <f ca="1">IFERROR(__xludf.DUMMYFUNCTION("GOOGLETRANSLATE(English!F2850, ""en"", ""bg"")"),"Ключовото нещо за основите на електричеството е как то следва законите на физиката, които управляват нашата вселена.")</f>
        <v>Ключовото нещо за основите на електричеството е как то следва законите на физиката, които управляват нашата вселена.</v>
      </c>
      <c r="G2850" s="1" t="str">
        <f ca="1">IFERROR(__xludf.DUMMYFUNCTION("GOOGLETRANSLATE(English!G2850, ""en"", ""bg"")"),"разговор")</f>
        <v>разговор</v>
      </c>
      <c r="H2850" s="1" t="str">
        <f ca="1">IFERROR(__xludf.DUMMYFUNCTION("GOOGLETRANSLATE(English!H2850, ""en"", ""bg"")"),"образователна_помощ")</f>
        <v>образователна_помощ</v>
      </c>
    </row>
    <row r="2851" spans="1:8" ht="13.2" x14ac:dyDescent="0.25">
      <c r="A2851" s="1" t="str">
        <f ca="1">IFERROR(__xludf.DUMMYFUNCTION("GOOGLETRANSLATE(English!A2851, ""en"", ""bg"")"),"qa_06051")</f>
        <v>qa_06051</v>
      </c>
      <c r="B2851" s="1" t="str">
        <f ca="1">IFERROR(__xludf.DUMMYFUNCTION("GOOGLETRANSLATE(English!B2851, ""en"", ""bg"")"),"химия")</f>
        <v>химия</v>
      </c>
      <c r="C2851" s="1" t="str">
        <f ca="1">IFERROR(__xludf.DUMMYFUNCTION("GOOGLETRANSLATE(English!C2851, ""en"", ""bg"")"),"елементарен")</f>
        <v>елементарен</v>
      </c>
      <c r="D2851" s="1" t="str">
        <f ca="1">IFERROR(__xludf.DUMMYFUNCTION("GOOGLETRANSLATE(English!D2851, ""en"", ""bg"")"),"промени в материалите")</f>
        <v>промени в материалите</v>
      </c>
      <c r="E2851" s="1" t="str">
        <f ca="1">IFERROR(__xludf.DUMMYFUNCTION("GOOGLETRANSLATE(English!E2851, ""en"", ""bg"")"),"Как протичат промените в материалите в химията?")</f>
        <v>Как протичат промените в материалите в химията?</v>
      </c>
      <c r="F2851" s="1" t="str">
        <f ca="1">IFERROR(__xludf.DUMMYFUNCTION("GOOGLETRANSLATE(English!F2851,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2851" s="1" t="str">
        <f ca="1">IFERROR(__xludf.DUMMYFUNCTION("GOOGLETRANSLATE(English!G2851, ""en"", ""bg"")"),"direct_qa")</f>
        <v>direct_qa</v>
      </c>
      <c r="H2851" s="1" t="str">
        <f ca="1">IFERROR(__xludf.DUMMYFUNCTION("GOOGLETRANSLATE(English!H2851, ""en"", ""bg"")"),"заявка_за_знание")</f>
        <v>заявка_за_знание</v>
      </c>
    </row>
    <row r="2852" spans="1:8" ht="13.2" x14ac:dyDescent="0.25">
      <c r="A2852" s="1" t="str">
        <f ca="1">IFERROR(__xludf.DUMMYFUNCTION("GOOGLETRANSLATE(English!A2852, ""en"", ""bg"")"),"hw_06821")</f>
        <v>hw_06821</v>
      </c>
      <c r="B2852" s="1" t="str">
        <f ca="1">IFERROR(__xludf.DUMMYFUNCTION("GOOGLETRANSLATE(English!B2852, ""en"", ""bg"")"),"химия")</f>
        <v>химия</v>
      </c>
      <c r="C2852" s="1" t="str">
        <f ca="1">IFERROR(__xludf.DUMMYFUNCTION("GOOGLETRANSLATE(English!C2852, ""en"", ""bg"")"),"високо")</f>
        <v>високо</v>
      </c>
      <c r="D2852" s="1" t="str">
        <f ca="1">IFERROR(__xludf.DUMMYFUNCTION("GOOGLETRANSLATE(English!D2852, ""en"", ""bg"")"),"химическо свързване")</f>
        <v>химическо свързване</v>
      </c>
      <c r="E2852" s="1" t="str">
        <f ca="1">IFERROR(__xludf.DUMMYFUNCTION("GOOGLETRANSLATE(English!E2852, ""en"", ""bg"")"),"Имам проблеми с химичните връзки в домашното си.")</f>
        <v>Имам проблеми с химичните връзки в домашното си.</v>
      </c>
      <c r="F2852" s="1" t="str">
        <f ca="1">IFERROR(__xludf.DUMMYFUNCTION("GOOGLETRANSLATE(English!F2852,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2852" s="1" t="str">
        <f ca="1">IFERROR(__xludf.DUMMYFUNCTION("GOOGLETRANSLATE(English!G2852, ""en"", ""bg"")"),"помощ_за_домашно_изпълнение")</f>
        <v>помощ_за_домашно_изпълнение</v>
      </c>
      <c r="H2852" s="1" t="str">
        <f ca="1">IFERROR(__xludf.DUMMYFUNCTION("GOOGLETRANSLATE(English!H2852, ""en"", ""bg"")"),"помощ_за_домашно_задаване")</f>
        <v>помощ_за_домашно_задаване</v>
      </c>
    </row>
    <row r="2853" spans="1:8" ht="13.2" x14ac:dyDescent="0.25">
      <c r="A2853" s="1" t="str">
        <f ca="1">IFERROR(__xludf.DUMMYFUNCTION("GOOGLETRANSLATE(English!A2853, ""en"", ""bg"")"),"hw_00921")</f>
        <v>hw_00921</v>
      </c>
      <c r="B2853" s="1" t="str">
        <f ca="1">IFERROR(__xludf.DUMMYFUNCTION("GOOGLETRANSLATE(English!B2853, ""en"", ""bg"")"),"физика")</f>
        <v>физика</v>
      </c>
      <c r="C2853" s="1" t="str">
        <f ca="1">IFERROR(__xludf.DUMMYFUNCTION("GOOGLETRANSLATE(English!C2853, ""en"", ""bg"")"),"елементарен")</f>
        <v>елементарен</v>
      </c>
      <c r="D2853" s="1" t="str">
        <f ca="1">IFERROR(__xludf.DUMMYFUNCTION("GOOGLETRANSLATE(English!D2853, ""en"", ""bg"")"),"светлина и сянка")</f>
        <v>светлина и сянка</v>
      </c>
      <c r="E2853" s="1" t="str">
        <f ca="1">IFERROR(__xludf.DUMMYFUNCTION("GOOGLETRANSLATE(English!E2853,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2853" s="1" t="str">
        <f ca="1">IFERROR(__xludf.DUMMYFUNCTION("GOOGLETRANSLATE(English!F2853,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2853" s="1" t="str">
        <f ca="1">IFERROR(__xludf.DUMMYFUNCTION("GOOGLETRANSLATE(English!G2853, ""en"", ""bg"")"),"помощ_за_домашно_изпълнение")</f>
        <v>помощ_за_домашно_изпълнение</v>
      </c>
      <c r="H2853" s="1" t="str">
        <f ca="1">IFERROR(__xludf.DUMMYFUNCTION("GOOGLETRANSLATE(English!H2853, ""en"", ""bg"")"),"помощ_за_домашно_задаване")</f>
        <v>помощ_за_домашно_задаване</v>
      </c>
    </row>
    <row r="2854" spans="1:8" ht="13.2" x14ac:dyDescent="0.25">
      <c r="A2854" s="1" t="str">
        <f ca="1">IFERROR(__xludf.DUMMYFUNCTION("GOOGLETRANSLATE(English!A2854, ""en"", ""bg"")"),"qa_00931")</f>
        <v>qa_00931</v>
      </c>
      <c r="B2854" s="1" t="str">
        <f ca="1">IFERROR(__xludf.DUMMYFUNCTION("GOOGLETRANSLATE(English!B2854, ""en"", ""bg"")"),"химия")</f>
        <v>химия</v>
      </c>
      <c r="C2854" s="1" t="str">
        <f ca="1">IFERROR(__xludf.DUMMYFUNCTION("GOOGLETRANSLATE(English!C2854, ""en"", ""bg"")"),"средата")</f>
        <v>средата</v>
      </c>
      <c r="D2854" s="1" t="str">
        <f ca="1">IFERROR(__xludf.DUMMYFUNCTION("GOOGLETRANSLATE(English!D2854, ""en"", ""bg"")"),"основи на периодичната таблица")</f>
        <v>основи на периодичната таблица</v>
      </c>
      <c r="E2854" s="1" t="str">
        <f ca="1">IFERROR(__xludf.DUMMYFUNCTION("GOOGLETRANSLATE(English!E2854,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2854" s="1" t="str">
        <f ca="1">IFERROR(__xludf.DUMMYFUNCTION("GOOGLETRANSLATE(English!F2854,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2854" s="1" t="str">
        <f ca="1">IFERROR(__xludf.DUMMYFUNCTION("GOOGLETRANSLATE(English!G2854, ""en"", ""bg"")"),"direct_qa")</f>
        <v>direct_qa</v>
      </c>
      <c r="H2854" s="1" t="str">
        <f ca="1">IFERROR(__xludf.DUMMYFUNCTION("GOOGLETRANSLATE(English!H2854, ""en"", ""bg"")"),"заявка_за_знание")</f>
        <v>заявка_за_знание</v>
      </c>
    </row>
    <row r="2855" spans="1:8" ht="13.2" x14ac:dyDescent="0.25">
      <c r="A2855" s="1" t="str">
        <f ca="1">IFERROR(__xludf.DUMMYFUNCTION("GOOGLETRANSLATE(English!A2855, ""en"", ""bg"")"),"hw_14947")</f>
        <v>hw_14947</v>
      </c>
      <c r="B2855" s="1" t="str">
        <f ca="1">IFERROR(__xludf.DUMMYFUNCTION("GOOGLETRANSLATE(English!B2855, ""en"", ""bg"")"),"биология")</f>
        <v>биология</v>
      </c>
      <c r="C2855" s="1" t="str">
        <f ca="1">IFERROR(__xludf.DUMMYFUNCTION("GOOGLETRANSLATE(English!C2855, ""en"", ""bg"")"),"високо")</f>
        <v>високо</v>
      </c>
      <c r="D2855" s="1" t="str">
        <f ca="1">IFERROR(__xludf.DUMMYFUNCTION("GOOGLETRANSLATE(English!D2855, ""en"", ""bg"")"),"Структура на ДНК")</f>
        <v>Структура на ДНК</v>
      </c>
      <c r="E2855" s="1" t="str">
        <f ca="1">IFERROR(__xludf.DUMMYFUNCTION("GOOGLETRANSLATE(English!E2855, ""en"", ""bg"")"),"Можете ли да обясните структурата на ДНК за моя научен проект?")</f>
        <v>Можете ли да обясните структурата на ДНК за моя научен проект?</v>
      </c>
      <c r="F2855" s="1" t="str">
        <f ca="1">IFERROR(__xludf.DUMMYFUNCTION("GOOGLETRANSLATE(English!F2855,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2855" s="1" t="str">
        <f ca="1">IFERROR(__xludf.DUMMYFUNCTION("GOOGLETRANSLATE(English!G2855, ""en"", ""bg"")"),"помощ_за_домашно_изпълнение")</f>
        <v>помощ_за_домашно_изпълнение</v>
      </c>
      <c r="H2855" s="1" t="str">
        <f ca="1">IFERROR(__xludf.DUMMYFUNCTION("GOOGLETRANSLATE(English!H2855, ""en"", ""bg"")"),"помощ_за_домашно_задаване")</f>
        <v>помощ_за_домашно_задаване</v>
      </c>
    </row>
    <row r="2856" spans="1:8" ht="13.2" x14ac:dyDescent="0.25">
      <c r="A2856" s="1" t="str">
        <f ca="1">IFERROR(__xludf.DUMMYFUNCTION("GOOGLETRANSLATE(English!A2856, ""en"", ""bg"")"),"conv_02259")</f>
        <v>conv_02259</v>
      </c>
      <c r="B2856" s="1" t="str">
        <f ca="1">IFERROR(__xludf.DUMMYFUNCTION("GOOGLETRANSLATE(English!B2856, ""en"", ""bg"")"),"химия")</f>
        <v>химия</v>
      </c>
      <c r="C2856" s="1" t="str">
        <f ca="1">IFERROR(__xludf.DUMMYFUNCTION("GOOGLETRANSLATE(English!C2856, ""en"", ""bg"")"),"средата")</f>
        <v>средата</v>
      </c>
      <c r="D2856" s="1" t="str">
        <f ca="1">IFERROR(__xludf.DUMMYFUNCTION("GOOGLETRANSLATE(English!D2856, ""en"", ""bg"")"),"основи на периодичната таблица")</f>
        <v>основи на периодичната таблица</v>
      </c>
      <c r="E2856" s="1" t="str">
        <f ca="1">IFERROR(__xludf.DUMMYFUNCTION("GOOGLETRANSLATE(English!E2856, ""en"", ""bg"")"),"Имам нужда от помощ с домашното. Защо е важно да се научат основите на периодичната таблица?")</f>
        <v>Имам нужда от помощ с домашното. Защо е важно да се научат основите на периодичната таблица?</v>
      </c>
      <c r="F2856" s="1" t="str">
        <f ca="1">IFERROR(__xludf.DUMMYFUNCTION("GOOGLETRANSLATE(English!F2856,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2856" s="1" t="str">
        <f ca="1">IFERROR(__xludf.DUMMYFUNCTION("GOOGLETRANSLATE(English!G2856, ""en"", ""bg"")"),"разговор")</f>
        <v>разговор</v>
      </c>
      <c r="H2856" s="1" t="str">
        <f ca="1">IFERROR(__xludf.DUMMYFUNCTION("GOOGLETRANSLATE(English!H2856, ""en"", ""bg"")"),"образователна_помощ")</f>
        <v>образователна_помощ</v>
      </c>
    </row>
    <row r="2857" spans="1:8" ht="13.2" x14ac:dyDescent="0.25">
      <c r="A2857" s="1" t="str">
        <f ca="1">IFERROR(__xludf.DUMMYFUNCTION("GOOGLETRANSLATE(English!A2857, ""en"", ""bg"")"),"hw_12674")</f>
        <v>hw_12674</v>
      </c>
      <c r="B2857" s="1" t="str">
        <f ca="1">IFERROR(__xludf.DUMMYFUNCTION("GOOGLETRANSLATE(English!B2857, ""en"", ""bg"")"),"химия")</f>
        <v>химия</v>
      </c>
      <c r="C2857" s="1" t="str">
        <f ca="1">IFERROR(__xludf.DUMMYFUNCTION("GOOGLETRANSLATE(English!C2857, ""en"", ""bg"")"),"средата")</f>
        <v>средата</v>
      </c>
      <c r="D2857" s="1" t="str">
        <f ca="1">IFERROR(__xludf.DUMMYFUNCTION("GOOGLETRANSLATE(English!D2857, ""en"", ""bg"")"),"основи на периодичната таблица")</f>
        <v>основи на периодичната таблица</v>
      </c>
      <c r="E2857" s="1" t="str">
        <f ca="1">IFERROR(__xludf.DUMMYFUNCTION("GOOGLETRANSLATE(English!E2857,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2857" s="1" t="str">
        <f ca="1">IFERROR(__xludf.DUMMYFUNCTION("GOOGLETRANSLATE(English!F2857,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2857" s="1" t="str">
        <f ca="1">IFERROR(__xludf.DUMMYFUNCTION("GOOGLETRANSLATE(English!G2857, ""en"", ""bg"")"),"помощ_за_домашно_изпълнение")</f>
        <v>помощ_за_домашно_изпълнение</v>
      </c>
      <c r="H2857" s="1" t="str">
        <f ca="1">IFERROR(__xludf.DUMMYFUNCTION("GOOGLETRANSLATE(English!H2857, ""en"", ""bg"")"),"помощ_за_домашно_задаване")</f>
        <v>помощ_за_домашно_задаване</v>
      </c>
    </row>
    <row r="2858" spans="1:8" ht="13.2" x14ac:dyDescent="0.25">
      <c r="A2858" s="1" t="str">
        <f ca="1">IFERROR(__xludf.DUMMYFUNCTION("GOOGLETRANSLATE(English!A2858, ""en"", ""bg"")"),"qa_08155")</f>
        <v>qa_08155</v>
      </c>
      <c r="B2858" s="1" t="str">
        <f ca="1">IFERROR(__xludf.DUMMYFUNCTION("GOOGLETRANSLATE(English!B2858, ""en"", ""bg"")"),"химия")</f>
        <v>химия</v>
      </c>
      <c r="C2858" s="1" t="str">
        <f ca="1">IFERROR(__xludf.DUMMYFUNCTION("GOOGLETRANSLATE(English!C2858, ""en"", ""bg"")"),"елементарен")</f>
        <v>елементарен</v>
      </c>
      <c r="D2858" s="1" t="str">
        <f ca="1">IFERROR(__xludf.DUMMYFUNCTION("GOOGLETRANSLATE(English!D2858, ""en"", ""bg"")"),"смесване на материали")</f>
        <v>смесване на материали</v>
      </c>
      <c r="E2858" s="1" t="str">
        <f ca="1">IFERROR(__xludf.DUMMYFUNCTION("GOOGLETRANSLATE(English!E2858, ""en"", ""bg"")"),"Как можете да отделите солта от водата?")</f>
        <v>Как можете да отделите солта от водата?</v>
      </c>
      <c r="F2858" s="1" t="str">
        <f ca="1">IFERROR(__xludf.DUMMYFUNCTION("GOOGLETRANSLATE(English!F2858,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2858" s="1" t="str">
        <f ca="1">IFERROR(__xludf.DUMMYFUNCTION("GOOGLETRANSLATE(English!G2858, ""en"", ""bg"")"),"direct_qa")</f>
        <v>direct_qa</v>
      </c>
      <c r="H2858" s="1" t="str">
        <f ca="1">IFERROR(__xludf.DUMMYFUNCTION("GOOGLETRANSLATE(English!H2858, ""en"", ""bg"")"),"заявка_за_знание")</f>
        <v>заявка_за_знание</v>
      </c>
    </row>
    <row r="2859" spans="1:8" ht="13.2" x14ac:dyDescent="0.25">
      <c r="A2859" s="1" t="str">
        <f ca="1">IFERROR(__xludf.DUMMYFUNCTION("GOOGLETRANSLATE(English!A2859, ""en"", ""bg"")"),"hw_04111")</f>
        <v>hw_04111</v>
      </c>
      <c r="B2859" s="1" t="str">
        <f ca="1">IFERROR(__xludf.DUMMYFUNCTION("GOOGLETRANSLATE(English!B2859, ""en"", ""bg"")"),"физика")</f>
        <v>физика</v>
      </c>
      <c r="C2859" s="1" t="str">
        <f ca="1">IFERROR(__xludf.DUMMYFUNCTION("GOOGLETRANSLATE(English!C2859, ""en"", ""bg"")"),"елементарен")</f>
        <v>елементарен</v>
      </c>
      <c r="D2859" s="1" t="str">
        <f ca="1">IFERROR(__xludf.DUMMYFUNCTION("GOOGLETRANSLATE(English!D2859, ""en"", ""bg"")"),"горещо и студено")</f>
        <v>горещо и студено</v>
      </c>
      <c r="E2859" s="1" t="str">
        <f ca="1">IFERROR(__xludf.DUMMYFUNCTION("GOOGLETRANSLATE(English!E2859, ""en"", ""bg"")"),"Трябва да разбера какво е топло и студено за изпита си.")</f>
        <v>Трябва да разбера какво е топло и студено за изпита си.</v>
      </c>
      <c r="F2859" s="1" t="str">
        <f ca="1">IFERROR(__xludf.DUMMYFUNCTION("GOOGLETRANSLATE(English!F2859,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2859" s="1" t="str">
        <f ca="1">IFERROR(__xludf.DUMMYFUNCTION("GOOGLETRANSLATE(English!G2859, ""en"", ""bg"")"),"помощ_за_домашно_изпълнение")</f>
        <v>помощ_за_домашно_изпълнение</v>
      </c>
      <c r="H2859" s="1" t="str">
        <f ca="1">IFERROR(__xludf.DUMMYFUNCTION("GOOGLETRANSLATE(English!H2859, ""en"", ""bg"")"),"помощ_за_домашно_задаване")</f>
        <v>помощ_за_домашно_задаване</v>
      </c>
    </row>
    <row r="2860" spans="1:8" ht="13.2" x14ac:dyDescent="0.25">
      <c r="A2860" s="1" t="str">
        <f ca="1">IFERROR(__xludf.DUMMYFUNCTION("GOOGLETRANSLATE(English!A2860, ""en"", ""bg"")"),"qa_04519")</f>
        <v>qa_04519</v>
      </c>
      <c r="B2860" s="1" t="str">
        <f ca="1">IFERROR(__xludf.DUMMYFUNCTION("GOOGLETRANSLATE(English!B2860, ""en"", ""bg"")"),"химия")</f>
        <v>химия</v>
      </c>
      <c r="C2860" s="1" t="str">
        <f ca="1">IFERROR(__xludf.DUMMYFUNCTION("GOOGLETRANSLATE(English!C2860, ""en"", ""bg"")"),"високо")</f>
        <v>високо</v>
      </c>
      <c r="D2860" s="1" t="str">
        <f ca="1">IFERROR(__xludf.DUMMYFUNCTION("GOOGLETRANSLATE(English!D2860, ""en"", ""bg"")"),"равновесие")</f>
        <v>равновесие</v>
      </c>
      <c r="E2860" s="1" t="str">
        <f ca="1">IFERROR(__xludf.DUMMYFUNCTION("GOOGLETRANSLATE(English!E2860, ""en"", ""bg"")"),"Как работи равновесието в химията?")</f>
        <v>Как работи равновесието в химията?</v>
      </c>
      <c r="F2860" s="1" t="str">
        <f ca="1">IFERROR(__xludf.DUMMYFUNCTION("GOOGLETRANSLATE(English!F2860,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2860" s="1" t="str">
        <f ca="1">IFERROR(__xludf.DUMMYFUNCTION("GOOGLETRANSLATE(English!G2860, ""en"", ""bg"")"),"direct_qa")</f>
        <v>direct_qa</v>
      </c>
      <c r="H2860" s="1" t="str">
        <f ca="1">IFERROR(__xludf.DUMMYFUNCTION("GOOGLETRANSLATE(English!H2860, ""en"", ""bg"")"),"заявка_за_знание")</f>
        <v>заявка_за_знание</v>
      </c>
    </row>
    <row r="2861" spans="1:8" ht="13.2" x14ac:dyDescent="0.25">
      <c r="A2861" s="1" t="str">
        <f ca="1">IFERROR(__xludf.DUMMYFUNCTION("GOOGLETRANSLATE(English!A2861, ""en"", ""bg"")"),"conv_07714")</f>
        <v>conv_07714</v>
      </c>
      <c r="B2861" s="1" t="str">
        <f ca="1">IFERROR(__xludf.DUMMYFUNCTION("GOOGLETRANSLATE(English!B2861, ""en"", ""bg"")"),"биология")</f>
        <v>биология</v>
      </c>
      <c r="C2861" s="1" t="str">
        <f ca="1">IFERROR(__xludf.DUMMYFUNCTION("GOOGLETRANSLATE(English!C2861, ""en"", ""bg"")"),"средата")</f>
        <v>средата</v>
      </c>
      <c r="D2861" s="1" t="str">
        <f ca="1">IFERROR(__xludf.DUMMYFUNCTION("GOOGLETRANSLATE(English!D2861, ""en"", ""bg"")"),"дишане")</f>
        <v>дишане</v>
      </c>
      <c r="E2861" s="1" t="str">
        <f ca="1">IFERROR(__xludf.DUMMYFUNCTION("GOOGLETRANSLATE(English!E2861, ""en"", ""bg"")"),"Имам научен въпрос. Можете ли да ми разкажете за дишането?")</f>
        <v>Имам научен въпрос. Можете ли да ми разкажете за дишането?</v>
      </c>
      <c r="F2861" s="1" t="str">
        <f ca="1">IFERROR(__xludf.DUMMYFUNCTION("GOOGLETRANSLATE(English!F2861,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2861" s="1" t="str">
        <f ca="1">IFERROR(__xludf.DUMMYFUNCTION("GOOGLETRANSLATE(English!G2861, ""en"", ""bg"")"),"разговор")</f>
        <v>разговор</v>
      </c>
      <c r="H2861" s="1" t="str">
        <f ca="1">IFERROR(__xludf.DUMMYFUNCTION("GOOGLETRANSLATE(English!H2861, ""en"", ""bg"")"),"образователна_помощ")</f>
        <v>образователна_помощ</v>
      </c>
    </row>
    <row r="2862" spans="1:8" ht="13.2" x14ac:dyDescent="0.25">
      <c r="A2862" s="1" t="str">
        <f ca="1">IFERROR(__xludf.DUMMYFUNCTION("GOOGLETRANSLATE(English!A2862, ""en"", ""bg"")"),"conv_11949")</f>
        <v>conv_11949</v>
      </c>
      <c r="B2862" s="1" t="str">
        <f ca="1">IFERROR(__xludf.DUMMYFUNCTION("GOOGLETRANSLATE(English!B2862, ""en"", ""bg"")"),"химия")</f>
        <v>химия</v>
      </c>
      <c r="C2862" s="1" t="str">
        <f ca="1">IFERROR(__xludf.DUMMYFUNCTION("GOOGLETRANSLATE(English!C2862, ""en"", ""bg"")"),"средата")</f>
        <v>средата</v>
      </c>
      <c r="D2862" s="1" t="str">
        <f ca="1">IFERROR(__xludf.DUMMYFUNCTION("GOOGLETRANSLATE(English!D2862, ""en"", ""bg"")"),"химични промени")</f>
        <v>химични промени</v>
      </c>
      <c r="E2862" s="1" t="str">
        <f ca="1">IFERROR(__xludf.DUMMYFUNCTION("GOOGLETRANSLATE(English!E2862, ""en"", ""bg"")"),"Имам нужда от помощ с домашното. Можете ли да ми помогнете да разбера химичните промени?")</f>
        <v>Имам нужда от помощ с домашното. Можете ли да ми помогнете да разбера химичните промени?</v>
      </c>
      <c r="F2862" s="1" t="str">
        <f ca="1">IFERROR(__xludf.DUMMYFUNCTION("GOOGLETRANSLATE(English!F2862,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2862" s="1" t="str">
        <f ca="1">IFERROR(__xludf.DUMMYFUNCTION("GOOGLETRANSLATE(English!G2862, ""en"", ""bg"")"),"разговор")</f>
        <v>разговор</v>
      </c>
      <c r="H2862" s="1" t="str">
        <f ca="1">IFERROR(__xludf.DUMMYFUNCTION("GOOGLETRANSLATE(English!H2862, ""en"", ""bg"")"),"образователна_помощ")</f>
        <v>образователна_помощ</v>
      </c>
    </row>
    <row r="2863" spans="1:8" ht="13.2" x14ac:dyDescent="0.25">
      <c r="A2863" s="1" t="str">
        <f ca="1">IFERROR(__xludf.DUMMYFUNCTION("GOOGLETRANSLATE(English!A2863, ""en"", ""bg"")"),"qa_10325")</f>
        <v>qa_10325</v>
      </c>
      <c r="B2863" s="1" t="str">
        <f ca="1">IFERROR(__xludf.DUMMYFUNCTION("GOOGLETRANSLATE(English!B2863, ""en"", ""bg"")"),"биология")</f>
        <v>биология</v>
      </c>
      <c r="C2863" s="1" t="str">
        <f ca="1">IFERROR(__xludf.DUMMYFUNCTION("GOOGLETRANSLATE(English!C2863, ""en"", ""bg"")"),"елементарен")</f>
        <v>елементарен</v>
      </c>
      <c r="D2863" s="1" t="str">
        <f ca="1">IFERROR(__xludf.DUMMYFUNCTION("GOOGLETRANSLATE(English!D2863, ""en"", ""bg"")"),"основни нужди")</f>
        <v>основни нужди</v>
      </c>
      <c r="E2863" s="1" t="str">
        <f ca="1">IFERROR(__xludf.DUMMYFUNCTION("GOOGLETRANSLATE(English!E2863, ""en"", ""bg"")"),"Какво е важно да знаем за основните потребности?")</f>
        <v>Какво е важно да знаем за основните потребности?</v>
      </c>
      <c r="F2863" s="1" t="str">
        <f ca="1">IFERROR(__xludf.DUMMYFUNCTION("GOOGLETRANSLATE(English!F2863, ""en"", ""bg"")"),"Най-важното нещо за основните потребности е как те се свързват с други части от живота и природата.")</f>
        <v>Най-важното нещо за основните потребности е как те се свързват с други части от живота и природата.</v>
      </c>
      <c r="G2863" s="1" t="str">
        <f ca="1">IFERROR(__xludf.DUMMYFUNCTION("GOOGLETRANSLATE(English!G2863, ""en"", ""bg"")"),"direct_qa")</f>
        <v>direct_qa</v>
      </c>
      <c r="H2863" s="1" t="str">
        <f ca="1">IFERROR(__xludf.DUMMYFUNCTION("GOOGLETRANSLATE(English!H2863, ""en"", ""bg"")"),"заявка_за_знание")</f>
        <v>заявка_за_знание</v>
      </c>
    </row>
    <row r="2864" spans="1:8" ht="13.2" x14ac:dyDescent="0.25">
      <c r="A2864" s="1" t="str">
        <f ca="1">IFERROR(__xludf.DUMMYFUNCTION("GOOGLETRANSLATE(English!A2864, ""en"", ""bg"")"),"conv_18157")</f>
        <v>conv_18157</v>
      </c>
      <c r="B2864" s="1" t="str">
        <f ca="1">IFERROR(__xludf.DUMMYFUNCTION("GOOGLETRANSLATE(English!B2864, ""en"", ""bg"")"),"физика")</f>
        <v>физика</v>
      </c>
      <c r="C2864" s="1" t="str">
        <f ca="1">IFERROR(__xludf.DUMMYFUNCTION("GOOGLETRANSLATE(English!C2864, ""en"", ""bg"")"),"средата")</f>
        <v>средата</v>
      </c>
      <c r="D2864" s="1" t="str">
        <f ca="1">IFERROR(__xludf.DUMMYFUNCTION("GOOGLETRANSLATE(English!D2864, ""en"", ""bg"")"),"вълни")</f>
        <v>вълни</v>
      </c>
      <c r="E2864" s="1" t="str">
        <f ca="1">IFERROR(__xludf.DUMMYFUNCTION("GOOGLETRANSLATE(English!E2864, ""en"", ""bg"")"),"Имам нужда от помощ с домашното. Можете ли да ми обясните вълните?")</f>
        <v>Имам нужда от помощ с домашното. Можете ли да ми обясните вълните?</v>
      </c>
      <c r="F2864" s="1" t="str">
        <f ca="1">IFERROR(__xludf.DUMMYFUNCTION("GOOGLETRANSLATE(English!F2864,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2864" s="1" t="str">
        <f ca="1">IFERROR(__xludf.DUMMYFUNCTION("GOOGLETRANSLATE(English!G2864, ""en"", ""bg"")"),"разговор")</f>
        <v>разговор</v>
      </c>
      <c r="H2864" s="1" t="str">
        <f ca="1">IFERROR(__xludf.DUMMYFUNCTION("GOOGLETRANSLATE(English!H2864, ""en"", ""bg"")"),"образователна_помощ")</f>
        <v>образователна_помощ</v>
      </c>
    </row>
    <row r="2865" spans="1:8" ht="13.2" x14ac:dyDescent="0.25">
      <c r="A2865" s="1" t="str">
        <f ca="1">IFERROR(__xludf.DUMMYFUNCTION("GOOGLETRANSLATE(English!A2865, ""en"", ""bg"")"),"qa_08459")</f>
        <v>qa_08459</v>
      </c>
      <c r="B2865" s="1" t="str">
        <f ca="1">IFERROR(__xludf.DUMMYFUNCTION("GOOGLETRANSLATE(English!B2865, ""en"", ""bg"")"),"химия")</f>
        <v>химия</v>
      </c>
      <c r="C2865" s="1" t="str">
        <f ca="1">IFERROR(__xludf.DUMMYFUNCTION("GOOGLETRANSLATE(English!C2865, ""en"", ""bg"")"),"средата")</f>
        <v>средата</v>
      </c>
      <c r="D2865" s="1" t="str">
        <f ca="1">IFERROR(__xludf.DUMMYFUNCTION("GOOGLETRANSLATE(English!D2865, ""en"", ""bg"")"),"основи на периодичната таблица")</f>
        <v>основи на периодичната таблица</v>
      </c>
      <c r="E2865" s="1" t="str">
        <f ca="1">IFERROR(__xludf.DUMMYFUNCTION("GOOGLETRANSLATE(English!E2865,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2865" s="1" t="str">
        <f ca="1">IFERROR(__xludf.DUMMYFUNCTION("GOOGLETRANSLATE(English!F2865,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2865" s="1" t="str">
        <f ca="1">IFERROR(__xludf.DUMMYFUNCTION("GOOGLETRANSLATE(English!G2865, ""en"", ""bg"")"),"direct_qa")</f>
        <v>direct_qa</v>
      </c>
      <c r="H2865" s="1" t="str">
        <f ca="1">IFERROR(__xludf.DUMMYFUNCTION("GOOGLETRANSLATE(English!H2865, ""en"", ""bg"")"),"заявка_за_знание")</f>
        <v>заявка_за_знание</v>
      </c>
    </row>
    <row r="2866" spans="1:8" ht="13.2" x14ac:dyDescent="0.25">
      <c r="A2866" s="1" t="str">
        <f ca="1">IFERROR(__xludf.DUMMYFUNCTION("GOOGLETRANSLATE(English!A2866, ""en"", ""bg"")"),"conv_11159")</f>
        <v>conv_11159</v>
      </c>
      <c r="B2866" s="1" t="str">
        <f ca="1">IFERROR(__xludf.DUMMYFUNCTION("GOOGLETRANSLATE(English!B2866, ""en"", ""bg"")"),"химия")</f>
        <v>химия</v>
      </c>
      <c r="C2866" s="1" t="str">
        <f ca="1">IFERROR(__xludf.DUMMYFUNCTION("GOOGLETRANSLATE(English!C2866, ""en"", ""bg"")"),"високо")</f>
        <v>високо</v>
      </c>
      <c r="D2866" s="1" t="str">
        <f ca="1">IFERROR(__xludf.DUMMYFUNCTION("GOOGLETRANSLATE(English!D2866, ""en"", ""bg"")"),"равновесие")</f>
        <v>равновесие</v>
      </c>
      <c r="E2866" s="1" t="str">
        <f ca="1">IFERROR(__xludf.DUMMYFUNCTION("GOOGLETRANSLATE(English!E2866, ""en"", ""bg"")"),"Здравей, преподавателю! Какво е равновесие?")</f>
        <v>Здравей, преподавателю! Какво е равновесие?</v>
      </c>
      <c r="F2866" s="1" t="str">
        <f ca="1">IFERROR(__xludf.DUMMYFUNCTION("GOOGLETRANSLATE(English!F2866,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2866" s="1" t="str">
        <f ca="1">IFERROR(__xludf.DUMMYFUNCTION("GOOGLETRANSLATE(English!G2866, ""en"", ""bg"")"),"разговор")</f>
        <v>разговор</v>
      </c>
      <c r="H2866" s="1" t="str">
        <f ca="1">IFERROR(__xludf.DUMMYFUNCTION("GOOGLETRANSLATE(English!H2866, ""en"", ""bg"")"),"образователна_помощ")</f>
        <v>образователна_помощ</v>
      </c>
    </row>
    <row r="2867" spans="1:8" ht="13.2" x14ac:dyDescent="0.25">
      <c r="A2867" s="1" t="str">
        <f ca="1">IFERROR(__xludf.DUMMYFUNCTION("GOOGLETRANSLATE(English!A2867, ""en"", ""bg"")"),"conv_11293")</f>
        <v>conv_11293</v>
      </c>
      <c r="B2867" s="1" t="str">
        <f ca="1">IFERROR(__xludf.DUMMYFUNCTION("GOOGLETRANSLATE(English!B2867, ""en"", ""bg"")"),"химия")</f>
        <v>химия</v>
      </c>
      <c r="C2867" s="1" t="str">
        <f ca="1">IFERROR(__xludf.DUMMYFUNCTION("GOOGLETRANSLATE(English!C2867, ""en"", ""bg"")"),"средата")</f>
        <v>средата</v>
      </c>
      <c r="D2867" s="1" t="str">
        <f ca="1">IFERROR(__xludf.DUMMYFUNCTION("GOOGLETRANSLATE(English!D2867, ""en"", ""bg"")"),"химични реакции")</f>
        <v>химични реакции</v>
      </c>
      <c r="E2867" s="1" t="str">
        <f ca="1">IFERROR(__xludf.DUMMYFUNCTION("GOOGLETRANSLATE(English!E2867, ""en"", ""bg"")"),"Имам нужда от помощ с домашното си. Какво е химична реакция?")</f>
        <v>Имам нужда от помощ с домашното си. Какво е химична реакция?</v>
      </c>
      <c r="F2867" s="1" t="str">
        <f ca="1">IFERROR(__xludf.DUMMYFUNCTION("GOOGLETRANSLATE(English!F2867,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2867" s="1" t="str">
        <f ca="1">IFERROR(__xludf.DUMMYFUNCTION("GOOGLETRANSLATE(English!G2867, ""en"", ""bg"")"),"разговор")</f>
        <v>разговор</v>
      </c>
      <c r="H2867" s="1" t="str">
        <f ca="1">IFERROR(__xludf.DUMMYFUNCTION("GOOGLETRANSLATE(English!H2867, ""en"", ""bg"")"),"образователна_помощ")</f>
        <v>образователна_помощ</v>
      </c>
    </row>
    <row r="2868" spans="1:8" ht="13.2" x14ac:dyDescent="0.25">
      <c r="A2868" s="1" t="str">
        <f ca="1">IFERROR(__xludf.DUMMYFUNCTION("GOOGLETRANSLATE(English!A2868, ""en"", ""bg"")"),"conv_19701")</f>
        <v>conv_19701</v>
      </c>
      <c r="B2868" s="1" t="str">
        <f ca="1">IFERROR(__xludf.DUMMYFUNCTION("GOOGLETRANSLATE(English!B2868, ""en"", ""bg"")"),"химия")</f>
        <v>химия</v>
      </c>
      <c r="C2868" s="1" t="str">
        <f ca="1">IFERROR(__xludf.DUMMYFUNCTION("GOOGLETRANSLATE(English!C2868, ""en"", ""bg"")"),"високо")</f>
        <v>високо</v>
      </c>
      <c r="D2868" s="1" t="str">
        <f ca="1">IFERROR(__xludf.DUMMYFUNCTION("GOOGLETRANSLATE(English!D2868, ""en"", ""bg"")"),"стехиометрия")</f>
        <v>стехиометрия</v>
      </c>
      <c r="E2868" s="1" t="str">
        <f ca="1">IFERROR(__xludf.DUMMYFUNCTION("GOOGLETRANSLATE(English!E2868, ""en"", ""bg"")"),"Не разбирам тази тема. Какво е стехиометрия?")</f>
        <v>Не разбирам тази тема. Какво е стехиометрия?</v>
      </c>
      <c r="F2868" s="1" t="str">
        <f ca="1">IFERROR(__xludf.DUMMYFUNCTION("GOOGLETRANSLATE(English!F2868,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2868" s="1" t="str">
        <f ca="1">IFERROR(__xludf.DUMMYFUNCTION("GOOGLETRANSLATE(English!G2868, ""en"", ""bg"")"),"разговор")</f>
        <v>разговор</v>
      </c>
      <c r="H2868" s="1" t="str">
        <f ca="1">IFERROR(__xludf.DUMMYFUNCTION("GOOGLETRANSLATE(English!H2868, ""en"", ""bg"")"),"образователна_помощ")</f>
        <v>образователна_помощ</v>
      </c>
    </row>
    <row r="2869" spans="1:8" ht="13.2" x14ac:dyDescent="0.25">
      <c r="A2869" s="1" t="str">
        <f ca="1">IFERROR(__xludf.DUMMYFUNCTION("GOOGLETRANSLATE(English!A2869, ""en"", ""bg"")"),"qa_09486")</f>
        <v>qa_09486</v>
      </c>
      <c r="B2869" s="1" t="str">
        <f ca="1">IFERROR(__xludf.DUMMYFUNCTION("GOOGLETRANSLATE(English!B2869, ""en"", ""bg"")"),"физика")</f>
        <v>физика</v>
      </c>
      <c r="C2869" s="1" t="str">
        <f ca="1">IFERROR(__xludf.DUMMYFUNCTION("GOOGLETRANSLATE(English!C2869, ""en"", ""bg"")"),"елементарен")</f>
        <v>елементарен</v>
      </c>
      <c r="D2869" s="1" t="str">
        <f ca="1">IFERROR(__xludf.DUMMYFUNCTION("GOOGLETRANSLATE(English!D2869, ""en"", ""bg"")"),"магнити")</f>
        <v>магнити</v>
      </c>
      <c r="E2869" s="1" t="str">
        <f ca="1">IFERROR(__xludf.DUMMYFUNCTION("GOOGLETRANSLATE(English!E2869, ""en"", ""bg"")"),"Защо някои неща се залепват за магнити?")</f>
        <v>Защо някои неща се залепват за магнити?</v>
      </c>
      <c r="F2869" s="1" t="str">
        <f ca="1">IFERROR(__xludf.DUMMYFUNCTION("GOOGLETRANSLATE(English!F2869,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2869" s="1" t="str">
        <f ca="1">IFERROR(__xludf.DUMMYFUNCTION("GOOGLETRANSLATE(English!G2869, ""en"", ""bg"")"),"direct_qa")</f>
        <v>direct_qa</v>
      </c>
      <c r="H2869" s="1" t="str">
        <f ca="1">IFERROR(__xludf.DUMMYFUNCTION("GOOGLETRANSLATE(English!H2869, ""en"", ""bg"")"),"заявка_за_знание")</f>
        <v>заявка_за_знание</v>
      </c>
    </row>
    <row r="2870" spans="1:8" ht="13.2" x14ac:dyDescent="0.25">
      <c r="A2870" s="1" t="str">
        <f ca="1">IFERROR(__xludf.DUMMYFUNCTION("GOOGLETRANSLATE(English!A2870, ""en"", ""bg"")"),"conv_00841")</f>
        <v>conv_00841</v>
      </c>
      <c r="B2870" s="1" t="str">
        <f ca="1">IFERROR(__xludf.DUMMYFUNCTION("GOOGLETRANSLATE(English!B2870, ""en"", ""bg"")"),"химия")</f>
        <v>химия</v>
      </c>
      <c r="C2870" s="1" t="str">
        <f ca="1">IFERROR(__xludf.DUMMYFUNCTION("GOOGLETRANSLATE(English!C2870, ""en"", ""bg"")"),"елементарен")</f>
        <v>елементарен</v>
      </c>
      <c r="D2870" s="1" t="str">
        <f ca="1">IFERROR(__xludf.DUMMYFUNCTION("GOOGLETRANSLATE(English!D2870, ""en"", ""bg"")"),"смесване на материали")</f>
        <v>смесване на материали</v>
      </c>
      <c r="E2870" s="1" t="str">
        <f ca="1">IFERROR(__xludf.DUMMYFUNCTION("GOOGLETRANSLATE(English!E2870, ""en"", ""bg"")"),"Можете ли да ми обясните това? Как можете да отделите солта от водата?")</f>
        <v>Можете ли да ми обясните това? Как можете да отделите солта от водата?</v>
      </c>
      <c r="F2870" s="1" t="str">
        <f ca="1">IFERROR(__xludf.DUMMYFUNCTION("GOOGLETRANSLATE(English!F2870,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2870" s="1" t="str">
        <f ca="1">IFERROR(__xludf.DUMMYFUNCTION("GOOGLETRANSLATE(English!G2870, ""en"", ""bg"")"),"разговор")</f>
        <v>разговор</v>
      </c>
      <c r="H2870" s="1" t="str">
        <f ca="1">IFERROR(__xludf.DUMMYFUNCTION("GOOGLETRANSLATE(English!H2870, ""en"", ""bg"")"),"образователна_помощ")</f>
        <v>образователна_помощ</v>
      </c>
    </row>
    <row r="2871" spans="1:8" ht="13.2" x14ac:dyDescent="0.25">
      <c r="A2871" s="1" t="str">
        <f ca="1">IFERROR(__xludf.DUMMYFUNCTION("GOOGLETRANSLATE(English!A2871, ""en"", ""bg"")"),"conv_15708")</f>
        <v>conv_15708</v>
      </c>
      <c r="B2871" s="1" t="str">
        <f ca="1">IFERROR(__xludf.DUMMYFUNCTION("GOOGLETRANSLATE(English!B2871, ""en"", ""bg"")"),"биология")</f>
        <v>биология</v>
      </c>
      <c r="C2871" s="1" t="str">
        <f ca="1">IFERROR(__xludf.DUMMYFUNCTION("GOOGLETRANSLATE(English!C2871, ""en"", ""bg"")"),"елементарен")</f>
        <v>елементарен</v>
      </c>
      <c r="D2871" s="1" t="str">
        <f ca="1">IFERROR(__xludf.DUMMYFUNCTION("GOOGLETRANSLATE(English!D2871, ""en"", ""bg"")"),"човешкото тяло")</f>
        <v>човешкото тяло</v>
      </c>
      <c r="E2871" s="1" t="str">
        <f ca="1">IFERROR(__xludf.DUMMYFUNCTION("GOOGLETRANSLATE(English!E2871, ""en"", ""bg"")"),"Не разбирам тази тема. Какво е важно да знаем за човешкото тяло?")</f>
        <v>Не разбирам тази тема. Какво е важно да знаем за човешкото тяло?</v>
      </c>
      <c r="F2871" s="1" t="str">
        <f ca="1">IFERROR(__xludf.DUMMYFUNCTION("GOOGLETRANSLATE(English!F2871,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2871" s="1" t="str">
        <f ca="1">IFERROR(__xludf.DUMMYFUNCTION("GOOGLETRANSLATE(English!G2871, ""en"", ""bg"")"),"разговор")</f>
        <v>разговор</v>
      </c>
      <c r="H2871" s="1" t="str">
        <f ca="1">IFERROR(__xludf.DUMMYFUNCTION("GOOGLETRANSLATE(English!H2871, ""en"", ""bg"")"),"образователна_помощ")</f>
        <v>образователна_помощ</v>
      </c>
    </row>
    <row r="2872" spans="1:8" ht="13.2" x14ac:dyDescent="0.25">
      <c r="A2872" s="1" t="str">
        <f ca="1">IFERROR(__xludf.DUMMYFUNCTION("GOOGLETRANSLATE(English!A2872, ""en"", ""bg"")"),"hw_07020")</f>
        <v>hw_07020</v>
      </c>
      <c r="B2872" s="1" t="str">
        <f ca="1">IFERROR(__xludf.DUMMYFUNCTION("GOOGLETRANSLATE(English!B2872, ""en"", ""bg"")"),"биология")</f>
        <v>биология</v>
      </c>
      <c r="C2872" s="1" t="str">
        <f ca="1">IFERROR(__xludf.DUMMYFUNCTION("GOOGLETRANSLATE(English!C2872, ""en"", ""bg"")"),"средата")</f>
        <v>средата</v>
      </c>
      <c r="D2872" s="1" t="str">
        <f ca="1">IFERROR(__xludf.DUMMYFUNCTION("GOOGLETRANSLATE(English!D2872, ""en"", ""bg"")"),"размножаване")</f>
        <v>размножаване</v>
      </c>
      <c r="E2872" s="1" t="str">
        <f ca="1">IFERROR(__xludf.DUMMYFUNCTION("GOOGLETRANSLATE(English!E2872,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2872" s="1" t="str">
        <f ca="1">IFERROR(__xludf.DUMMYFUNCTION("GOOGLETRANSLATE(English!F2872,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2872" s="1" t="str">
        <f ca="1">IFERROR(__xludf.DUMMYFUNCTION("GOOGLETRANSLATE(English!G2872, ""en"", ""bg"")"),"помощ_за_домашно_изпълнение")</f>
        <v>помощ_за_домашно_изпълнение</v>
      </c>
      <c r="H2872" s="1" t="str">
        <f ca="1">IFERROR(__xludf.DUMMYFUNCTION("GOOGLETRANSLATE(English!H2872, ""en"", ""bg"")"),"помощ_за_домашно_задаване")</f>
        <v>помощ_за_домашно_задаване</v>
      </c>
    </row>
    <row r="2873" spans="1:8" ht="13.2" x14ac:dyDescent="0.25">
      <c r="A2873" s="1" t="str">
        <f ca="1">IFERROR(__xludf.DUMMYFUNCTION("GOOGLETRANSLATE(English!A2873, ""en"", ""bg"")"),"hw_06285")</f>
        <v>hw_06285</v>
      </c>
      <c r="B2873" s="1" t="str">
        <f ca="1">IFERROR(__xludf.DUMMYFUNCTION("GOOGLETRANSLATE(English!B2873, ""en"", ""bg"")"),"физика")</f>
        <v>физика</v>
      </c>
      <c r="C2873" s="1" t="str">
        <f ca="1">IFERROR(__xludf.DUMMYFUNCTION("GOOGLETRANSLATE(English!C2873, ""en"", ""bg"")"),"елементарен")</f>
        <v>елементарен</v>
      </c>
      <c r="D2873" s="1" t="str">
        <f ca="1">IFERROR(__xludf.DUMMYFUNCTION("GOOGLETRANSLATE(English!D2873, ""en"", ""bg"")"),"магнити")</f>
        <v>магнити</v>
      </c>
      <c r="E2873" s="1" t="str">
        <f ca="1">IFERROR(__xludf.DUMMYFUNCTION("GOOGLETRANSLATE(English!E2873, ""en"", ""bg"")"),"Можете ли да решите този въпрос с магнитите заедно с мен?")</f>
        <v>Можете ли да решите този въпрос с магнитите заедно с мен?</v>
      </c>
      <c r="F2873" s="1" t="str">
        <f ca="1">IFERROR(__xludf.DUMMYFUNCTION("GOOGLETRANSLATE(English!F2873,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2873" s="1" t="str">
        <f ca="1">IFERROR(__xludf.DUMMYFUNCTION("GOOGLETRANSLATE(English!G2873, ""en"", ""bg"")"),"помощ_за_домашно_изпълнение")</f>
        <v>помощ_за_домашно_изпълнение</v>
      </c>
      <c r="H2873" s="1" t="str">
        <f ca="1">IFERROR(__xludf.DUMMYFUNCTION("GOOGLETRANSLATE(English!H2873, ""en"", ""bg"")"),"помощ_за_домашно_задаване")</f>
        <v>помощ_за_домашно_задаване</v>
      </c>
    </row>
    <row r="2874" spans="1:8" ht="13.2" x14ac:dyDescent="0.25">
      <c r="A2874" s="1" t="str">
        <f ca="1">IFERROR(__xludf.DUMMYFUNCTION("GOOGLETRANSLATE(English!A2874, ""en"", ""bg"")"),"hw_08346")</f>
        <v>hw_08346</v>
      </c>
      <c r="B2874" s="1" t="str">
        <f ca="1">IFERROR(__xludf.DUMMYFUNCTION("GOOGLETRANSLATE(English!B2874, ""en"", ""bg"")"),"физика")</f>
        <v>физика</v>
      </c>
      <c r="C2874" s="1" t="str">
        <f ca="1">IFERROR(__xludf.DUMMYFUNCTION("GOOGLETRANSLATE(English!C2874, ""en"", ""bg"")"),"елементарен")</f>
        <v>елементарен</v>
      </c>
      <c r="D2874" s="1" t="str">
        <f ca="1">IFERROR(__xludf.DUMMYFUNCTION("GOOGLETRANSLATE(English!D2874, ""en"", ""bg"")"),"светлина и сянка")</f>
        <v>светлина и сянка</v>
      </c>
      <c r="E2874" s="1" t="str">
        <f ca="1">IFERROR(__xludf.DUMMYFUNCTION("GOOGLETRANSLATE(English!E2874,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2874" s="1" t="str">
        <f ca="1">IFERROR(__xludf.DUMMYFUNCTION("GOOGLETRANSLATE(English!F2874,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2874" s="1" t="str">
        <f ca="1">IFERROR(__xludf.DUMMYFUNCTION("GOOGLETRANSLATE(English!G2874, ""en"", ""bg"")"),"помощ_за_домашно_изпълнение")</f>
        <v>помощ_за_домашно_изпълнение</v>
      </c>
      <c r="H2874" s="1" t="str">
        <f ca="1">IFERROR(__xludf.DUMMYFUNCTION("GOOGLETRANSLATE(English!H2874, ""en"", ""bg"")"),"помощ_за_домашно_задаване")</f>
        <v>помощ_за_домашно_задаване</v>
      </c>
    </row>
    <row r="2875" spans="1:8" ht="13.2" x14ac:dyDescent="0.25">
      <c r="A2875" s="1" t="str">
        <f ca="1">IFERROR(__xludf.DUMMYFUNCTION("GOOGLETRANSLATE(English!A2875, ""en"", ""bg"")"),"conv_11246")</f>
        <v>conv_11246</v>
      </c>
      <c r="B2875" s="1" t="str">
        <f ca="1">IFERROR(__xludf.DUMMYFUNCTION("GOOGLETRANSLATE(English!B2875, ""en"", ""bg"")"),"химия")</f>
        <v>химия</v>
      </c>
      <c r="C2875" s="1" t="str">
        <f ca="1">IFERROR(__xludf.DUMMYFUNCTION("GOOGLETRANSLATE(English!C2875, ""en"", ""bg"")"),"високо")</f>
        <v>високо</v>
      </c>
      <c r="D2875" s="1" t="str">
        <f ca="1">IFERROR(__xludf.DUMMYFUNCTION("GOOGLETRANSLATE(English!D2875, ""en"", ""bg"")"),"химическо свързване")</f>
        <v>химическо свързване</v>
      </c>
      <c r="E2875" s="1" t="str">
        <f ca="1">IFERROR(__xludf.DUMMYFUNCTION("GOOGLETRANSLATE(English!E2875, ""en"", ""bg"")"),"Можете ли да ми обясните това? Какво представлява химическото свързване?")</f>
        <v>Можете ли да ми обясните това? Какво представлява химическото свързване?</v>
      </c>
      <c r="F2875" s="1" t="str">
        <f ca="1">IFERROR(__xludf.DUMMYFUNCTION("GOOGLETRANSLATE(English!F2875,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2875" s="1" t="str">
        <f ca="1">IFERROR(__xludf.DUMMYFUNCTION("GOOGLETRANSLATE(English!G2875, ""en"", ""bg"")"),"разговор")</f>
        <v>разговор</v>
      </c>
      <c r="H2875" s="1" t="str">
        <f ca="1">IFERROR(__xludf.DUMMYFUNCTION("GOOGLETRANSLATE(English!H2875, ""en"", ""bg"")"),"образователна_помощ")</f>
        <v>образователна_помощ</v>
      </c>
    </row>
    <row r="2876" spans="1:8" ht="13.2" x14ac:dyDescent="0.25">
      <c r="A2876" s="1" t="str">
        <f ca="1">IFERROR(__xludf.DUMMYFUNCTION("GOOGLETRANSLATE(English!A2876, ""en"", ""bg"")"),"conv_10839")</f>
        <v>conv_10839</v>
      </c>
      <c r="B2876" s="1" t="str">
        <f ca="1">IFERROR(__xludf.DUMMYFUNCTION("GOOGLETRANSLATE(English!B2876, ""en"", ""bg"")"),"химия")</f>
        <v>химия</v>
      </c>
      <c r="C2876" s="1" t="str">
        <f ca="1">IFERROR(__xludf.DUMMYFUNCTION("GOOGLETRANSLATE(English!C2876, ""en"", ""bg"")"),"средата")</f>
        <v>средата</v>
      </c>
      <c r="D2876" s="1" t="str">
        <f ca="1">IFERROR(__xludf.DUMMYFUNCTION("GOOGLETRANSLATE(English!D2876, ""en"", ""bg"")"),"химични промени")</f>
        <v>химични промени</v>
      </c>
      <c r="E2876" s="1" t="str">
        <f ca="1">IFERROR(__xludf.DUMMYFUNCTION("GOOGLETRANSLATE(English!E2876, ""en"", ""bg"")"),"Имам нужда от помощ с домашното. Можете ли да ми помогнете да разбера химичните промени?")</f>
        <v>Имам нужда от помощ с домашното. Можете ли да ми помогнете да разбера химичните промени?</v>
      </c>
      <c r="F2876" s="1" t="str">
        <f ca="1">IFERROR(__xludf.DUMMYFUNCTION("GOOGLETRANSLATE(English!F2876,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2876" s="1" t="str">
        <f ca="1">IFERROR(__xludf.DUMMYFUNCTION("GOOGLETRANSLATE(English!G2876, ""en"", ""bg"")"),"разговор")</f>
        <v>разговор</v>
      </c>
      <c r="H2876" s="1" t="str">
        <f ca="1">IFERROR(__xludf.DUMMYFUNCTION("GOOGLETRANSLATE(English!H2876, ""en"", ""bg"")"),"образователна_помощ")</f>
        <v>образователна_помощ</v>
      </c>
    </row>
    <row r="2877" spans="1:8" ht="13.2" x14ac:dyDescent="0.25">
      <c r="A2877" s="1" t="str">
        <f ca="1">IFERROR(__xludf.DUMMYFUNCTION("GOOGLETRANSLATE(English!A2877, ""en"", ""bg"")"),"qa_09160")</f>
        <v>qa_09160</v>
      </c>
      <c r="B2877" s="1" t="str">
        <f ca="1">IFERROR(__xludf.DUMMYFUNCTION("GOOGLETRANSLATE(English!B2877, ""en"", ""bg"")"),"химия")</f>
        <v>химия</v>
      </c>
      <c r="C2877" s="1" t="str">
        <f ca="1">IFERROR(__xludf.DUMMYFUNCTION("GOOGLETRANSLATE(English!C2877, ""en"", ""bg"")"),"високо")</f>
        <v>високо</v>
      </c>
      <c r="D2877" s="1" t="str">
        <f ca="1">IFERROR(__xludf.DUMMYFUNCTION("GOOGLETRANSLATE(English!D2877, ""en"", ""bg"")"),"химическо свързване")</f>
        <v>химическо свързване</v>
      </c>
      <c r="E2877" s="1" t="str">
        <f ca="1">IFERROR(__xludf.DUMMYFUNCTION("GOOGLETRANSLATE(English!E2877, ""en"", ""bg"")"),"Можете ли да ми помогнете да разбера какво представлява химичната връзка?")</f>
        <v>Можете ли да ми помогнете да разбера какво представлява химичната връзка?</v>
      </c>
      <c r="F2877" s="1" t="str">
        <f ca="1">IFERROR(__xludf.DUMMYFUNCTION("GOOGLETRANSLATE(English!F2877,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2877" s="1" t="str">
        <f ca="1">IFERROR(__xludf.DUMMYFUNCTION("GOOGLETRANSLATE(English!G2877, ""en"", ""bg"")"),"direct_qa")</f>
        <v>direct_qa</v>
      </c>
      <c r="H2877" s="1" t="str">
        <f ca="1">IFERROR(__xludf.DUMMYFUNCTION("GOOGLETRANSLATE(English!H2877, ""en"", ""bg"")"),"заявка_за_знание")</f>
        <v>заявка_за_знание</v>
      </c>
    </row>
    <row r="2878" spans="1:8" ht="13.2" x14ac:dyDescent="0.25">
      <c r="A2878" s="1" t="str">
        <f ca="1">IFERROR(__xludf.DUMMYFUNCTION("GOOGLETRANSLATE(English!A2878, ""en"", ""bg"")"),"qa_10727")</f>
        <v>qa_10727</v>
      </c>
      <c r="B2878" s="1" t="str">
        <f ca="1">IFERROR(__xludf.DUMMYFUNCTION("GOOGLETRANSLATE(English!B2878, ""en"", ""bg"")"),"физика")</f>
        <v>физика</v>
      </c>
      <c r="C2878" s="1" t="str">
        <f ca="1">IFERROR(__xludf.DUMMYFUNCTION("GOOGLETRANSLATE(English!C2878, ""en"", ""bg"")"),"високо")</f>
        <v>високо</v>
      </c>
      <c r="D2878" s="1" t="str">
        <f ca="1">IFERROR(__xludf.DUMMYFUNCTION("GOOGLETRANSLATE(English!D2878, ""en"", ""bg"")"),"радиоактивност")</f>
        <v>радиоактивност</v>
      </c>
      <c r="E2878" s="1" t="str">
        <f ca="1">IFERROR(__xludf.DUMMYFUNCTION("GOOGLETRANSLATE(English!E2878, ""en"", ""bg"")"),"Какво трябва да знам за радиоактивността?")</f>
        <v>Какво трябва да знам за радиоактивността?</v>
      </c>
      <c r="F2878" s="1" t="str">
        <f ca="1">IFERROR(__xludf.DUMMYFUNCTION("GOOGLETRANSLATE(English!F2878,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2878" s="1" t="str">
        <f ca="1">IFERROR(__xludf.DUMMYFUNCTION("GOOGLETRANSLATE(English!G2878, ""en"", ""bg"")"),"direct_qa")</f>
        <v>direct_qa</v>
      </c>
      <c r="H2878" s="1" t="str">
        <f ca="1">IFERROR(__xludf.DUMMYFUNCTION("GOOGLETRANSLATE(English!H2878, ""en"", ""bg"")"),"заявка_за_знание")</f>
        <v>заявка_за_знание</v>
      </c>
    </row>
    <row r="2879" spans="1:8" ht="13.2" x14ac:dyDescent="0.25">
      <c r="A2879" s="1" t="str">
        <f ca="1">IFERROR(__xludf.DUMMYFUNCTION("GOOGLETRANSLATE(English!A2879, ""en"", ""bg"")"),"hw_03589")</f>
        <v>hw_03589</v>
      </c>
      <c r="B2879" s="1" t="str">
        <f ca="1">IFERROR(__xludf.DUMMYFUNCTION("GOOGLETRANSLATE(English!B2879, ""en"", ""bg"")"),"химия")</f>
        <v>химия</v>
      </c>
      <c r="C2879" s="1" t="str">
        <f ca="1">IFERROR(__xludf.DUMMYFUNCTION("GOOGLETRANSLATE(English!C2879, ""en"", ""bg"")"),"високо")</f>
        <v>високо</v>
      </c>
      <c r="D2879" s="1" t="str">
        <f ca="1">IFERROR(__xludf.DUMMYFUNCTION("GOOGLETRANSLATE(English!D2879, ""en"", ""bg"")"),"органична химия")</f>
        <v>органична химия</v>
      </c>
      <c r="E2879" s="1" t="str">
        <f ca="1">IFERROR(__xludf.DUMMYFUNCTION("GOOGLETRANSLATE(English!E2879, ""en"", ""bg"")"),"Имам затруднения с органичната химия в домашното си.")</f>
        <v>Имам затруднения с органичната химия в домашното си.</v>
      </c>
      <c r="F2879" s="1" t="str">
        <f ca="1">IFERROR(__xludf.DUMMYFUNCTION("GOOGLETRANSLATE(English!F2879,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2879" s="1" t="str">
        <f ca="1">IFERROR(__xludf.DUMMYFUNCTION("GOOGLETRANSLATE(English!G2879, ""en"", ""bg"")"),"помощ_за_домашно_изпълнение")</f>
        <v>помощ_за_домашно_изпълнение</v>
      </c>
      <c r="H2879" s="1" t="str">
        <f ca="1">IFERROR(__xludf.DUMMYFUNCTION("GOOGLETRANSLATE(English!H2879, ""en"", ""bg"")"),"помощ_за_домашно_задаване")</f>
        <v>помощ_за_домашно_задаване</v>
      </c>
    </row>
    <row r="2880" spans="1:8" ht="13.2" x14ac:dyDescent="0.25">
      <c r="A2880" s="1" t="str">
        <f ca="1">IFERROR(__xludf.DUMMYFUNCTION("GOOGLETRANSLATE(English!A2880, ""en"", ""bg"")"),"conv_04316")</f>
        <v>conv_04316</v>
      </c>
      <c r="B2880" s="1" t="str">
        <f ca="1">IFERROR(__xludf.DUMMYFUNCTION("GOOGLETRANSLATE(English!B2880, ""en"", ""bg"")"),"биология")</f>
        <v>биология</v>
      </c>
      <c r="C2880" s="1" t="str">
        <f ca="1">IFERROR(__xludf.DUMMYFUNCTION("GOOGLETRANSLATE(English!C2880, ""en"", ""bg"")"),"високо")</f>
        <v>високо</v>
      </c>
      <c r="D2880" s="1" t="str">
        <f ca="1">IFERROR(__xludf.DUMMYFUNCTION("GOOGLETRANSLATE(English!D2880, ""en"", ""bg"")"),"молекулярна биология")</f>
        <v>молекулярна биология</v>
      </c>
      <c r="E2880" s="1" t="str">
        <f ca="1">IFERROR(__xludf.DUMMYFUNCTION("GOOGLETRANSLATE(English!E2880, ""en"", ""bg"")"),"Можете ли да ми обясните това? Как работи молекулярната биология?")</f>
        <v>Можете ли да ми обясните това? Как работи молекулярната биология?</v>
      </c>
      <c r="F2880" s="1" t="str">
        <f ca="1">IFERROR(__xludf.DUMMYFUNCTION("GOOGLETRANSLATE(English!F2880,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2880" s="1" t="str">
        <f ca="1">IFERROR(__xludf.DUMMYFUNCTION("GOOGLETRANSLATE(English!G2880, ""en"", ""bg"")"),"разговор")</f>
        <v>разговор</v>
      </c>
      <c r="H2880" s="1" t="str">
        <f ca="1">IFERROR(__xludf.DUMMYFUNCTION("GOOGLETRANSLATE(English!H2880, ""en"", ""bg"")"),"образователна_помощ")</f>
        <v>образователна_помощ</v>
      </c>
    </row>
    <row r="2881" spans="1:8" ht="13.2" x14ac:dyDescent="0.25">
      <c r="A2881" s="1" t="str">
        <f ca="1">IFERROR(__xludf.DUMMYFUNCTION("GOOGLETRANSLATE(English!A2881, ""en"", ""bg"")"),"hw_02218")</f>
        <v>hw_02218</v>
      </c>
      <c r="B2881" s="1" t="str">
        <f ca="1">IFERROR(__xludf.DUMMYFUNCTION("GOOGLETRANSLATE(English!B2881, ""en"", ""bg"")"),"физика")</f>
        <v>физика</v>
      </c>
      <c r="C2881" s="1" t="str">
        <f ca="1">IFERROR(__xludf.DUMMYFUNCTION("GOOGLETRANSLATE(English!C2881, ""en"", ""bg"")"),"средата")</f>
        <v>средата</v>
      </c>
      <c r="D2881" s="1" t="str">
        <f ca="1">IFERROR(__xludf.DUMMYFUNCTION("GOOGLETRANSLATE(English!D2881, ""en"", ""bg"")"),"плътност")</f>
        <v>плътност</v>
      </c>
      <c r="E2881" s="1" t="str">
        <f ca="1">IFERROR(__xludf.DUMMYFUNCTION("GOOGLETRANSLATE(English!E2881, ""en"", ""bg"")"),"Трябва да разбера плътността за изпита си.")</f>
        <v>Трябва да разбера плътността за изпита си.</v>
      </c>
      <c r="F2881" s="1" t="str">
        <f ca="1">IFERROR(__xludf.DUMMYFUNCTION("GOOGLETRANSLATE(English!F2881,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881" s="1" t="str">
        <f ca="1">IFERROR(__xludf.DUMMYFUNCTION("GOOGLETRANSLATE(English!G2881, ""en"", ""bg"")"),"помощ_за_домашно_изпълнение")</f>
        <v>помощ_за_домашно_изпълнение</v>
      </c>
      <c r="H2881" s="1" t="str">
        <f ca="1">IFERROR(__xludf.DUMMYFUNCTION("GOOGLETRANSLATE(English!H2881, ""en"", ""bg"")"),"помощ_за_домашно_задаване")</f>
        <v>помощ_за_домашно_задаване</v>
      </c>
    </row>
    <row r="2882" spans="1:8" ht="13.2" x14ac:dyDescent="0.25">
      <c r="A2882" s="1" t="str">
        <f ca="1">IFERROR(__xludf.DUMMYFUNCTION("GOOGLETRANSLATE(English!A2882, ""en"", ""bg"")"),"qa_06974")</f>
        <v>qa_06974</v>
      </c>
      <c r="B2882" s="1" t="str">
        <f ca="1">IFERROR(__xludf.DUMMYFUNCTION("GOOGLETRANSLATE(English!B2882, ""en"", ""bg"")"),"биология")</f>
        <v>биология</v>
      </c>
      <c r="C2882" s="1" t="str">
        <f ca="1">IFERROR(__xludf.DUMMYFUNCTION("GOOGLETRANSLATE(English!C2882, ""en"", ""bg"")"),"средата")</f>
        <v>средата</v>
      </c>
      <c r="D2882" s="1" t="str">
        <f ca="1">IFERROR(__xludf.DUMMYFUNCTION("GOOGLETRANSLATE(English!D2882, ""en"", ""bg"")"),"клетки")</f>
        <v>клетки</v>
      </c>
      <c r="E2882" s="1" t="str">
        <f ca="1">IFERROR(__xludf.DUMMYFUNCTION("GOOGLETRANSLATE(English!E2882, ""en"", ""bg"")"),"Защо клетките са толкова малки?")</f>
        <v>Защо клетките са толкова малки?</v>
      </c>
      <c r="F2882" s="1" t="str">
        <f ca="1">IFERROR(__xludf.DUMMYFUNCTION("GOOGLETRANSLATE(English!F2882,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2882" s="1" t="str">
        <f ca="1">IFERROR(__xludf.DUMMYFUNCTION("GOOGLETRANSLATE(English!G2882, ""en"", ""bg"")"),"direct_qa")</f>
        <v>direct_qa</v>
      </c>
      <c r="H2882" s="1" t="str">
        <f ca="1">IFERROR(__xludf.DUMMYFUNCTION("GOOGLETRANSLATE(English!H2882, ""en"", ""bg"")"),"заявка_за_знание")</f>
        <v>заявка_за_знание</v>
      </c>
    </row>
    <row r="2883" spans="1:8" ht="13.2" x14ac:dyDescent="0.25">
      <c r="A2883" s="1" t="str">
        <f ca="1">IFERROR(__xludf.DUMMYFUNCTION("GOOGLETRANSLATE(English!A2883, ""en"", ""bg"")"),"hw_03718")</f>
        <v>hw_03718</v>
      </c>
      <c r="B2883" s="1" t="str">
        <f ca="1">IFERROR(__xludf.DUMMYFUNCTION("GOOGLETRANSLATE(English!B2883, ""en"", ""bg"")"),"физика")</f>
        <v>физика</v>
      </c>
      <c r="C2883" s="1" t="str">
        <f ca="1">IFERROR(__xludf.DUMMYFUNCTION("GOOGLETRANSLATE(English!C2883, ""en"", ""bg"")"),"средата")</f>
        <v>средата</v>
      </c>
      <c r="D2883" s="1" t="str">
        <f ca="1">IFERROR(__xludf.DUMMYFUNCTION("GOOGLETRANSLATE(English!D2883, ""en"", ""bg"")"),"плътност")</f>
        <v>плътност</v>
      </c>
      <c r="E2883" s="1" t="str">
        <f ca="1">IFERROR(__xludf.DUMMYFUNCTION("GOOGLETRANSLATE(English!E2883, ""en"", ""bg"")"),"Домашното ми по физика е за плътността. Объркващо е!")</f>
        <v>Домашното ми по физика е за плътността. Объркващо е!</v>
      </c>
      <c r="F2883" s="1" t="str">
        <f ca="1">IFERROR(__xludf.DUMMYFUNCTION("GOOGLETRANSLATE(English!F2883,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883" s="1" t="str">
        <f ca="1">IFERROR(__xludf.DUMMYFUNCTION("GOOGLETRANSLATE(English!G2883, ""en"", ""bg"")"),"помощ_за_домашно_изпълнение")</f>
        <v>помощ_за_домашно_изпълнение</v>
      </c>
      <c r="H2883" s="1" t="str">
        <f ca="1">IFERROR(__xludf.DUMMYFUNCTION("GOOGLETRANSLATE(English!H2883, ""en"", ""bg"")"),"помощ_за_домашно_задаване")</f>
        <v>помощ_за_домашно_задаване</v>
      </c>
    </row>
    <row r="2884" spans="1:8" ht="13.2" x14ac:dyDescent="0.25">
      <c r="A2884" s="1" t="str">
        <f ca="1">IFERROR(__xludf.DUMMYFUNCTION("GOOGLETRANSLATE(English!A2884, ""en"", ""bg"")"),"hw_04234")</f>
        <v>hw_04234</v>
      </c>
      <c r="B2884" s="1" t="str">
        <f ca="1">IFERROR(__xludf.DUMMYFUNCTION("GOOGLETRANSLATE(English!B2884, ""en"", ""bg"")"),"химия")</f>
        <v>химия</v>
      </c>
      <c r="C2884" s="1" t="str">
        <f ca="1">IFERROR(__xludf.DUMMYFUNCTION("GOOGLETRANSLATE(English!C2884, ""en"", ""bg"")"),"средата")</f>
        <v>средата</v>
      </c>
      <c r="D2884" s="1" t="str">
        <f ca="1">IFERROR(__xludf.DUMMYFUNCTION("GOOGLETRANSLATE(English!D2884, ""en"", ""bg"")"),"химични реакции")</f>
        <v>химични реакции</v>
      </c>
      <c r="E2884" s="1" t="str">
        <f ca="1">IFERROR(__xludf.DUMMYFUNCTION("GOOGLETRANSLATE(English!E2884,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2884" s="1" t="str">
        <f ca="1">IFERROR(__xludf.DUMMYFUNCTION("GOOGLETRANSLATE(English!F2884,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2884" s="1" t="str">
        <f ca="1">IFERROR(__xludf.DUMMYFUNCTION("GOOGLETRANSLATE(English!G2884, ""en"", ""bg"")"),"помощ_за_домашно_изпълнение")</f>
        <v>помощ_за_домашно_изпълнение</v>
      </c>
      <c r="H2884" s="1" t="str">
        <f ca="1">IFERROR(__xludf.DUMMYFUNCTION("GOOGLETRANSLATE(English!H2884, ""en"", ""bg"")"),"помощ_за_домашно_задаване")</f>
        <v>помощ_за_домашно_задаване</v>
      </c>
    </row>
    <row r="2885" spans="1:8" ht="13.2" x14ac:dyDescent="0.25">
      <c r="A2885" s="1" t="str">
        <f ca="1">IFERROR(__xludf.DUMMYFUNCTION("GOOGLETRANSLATE(English!A2885, ""en"", ""bg"")"),"hw_12665")</f>
        <v>hw_12665</v>
      </c>
      <c r="B2885" s="1" t="str">
        <f ca="1">IFERROR(__xludf.DUMMYFUNCTION("GOOGLETRANSLATE(English!B2885, ""en"", ""bg"")"),"биология")</f>
        <v>биология</v>
      </c>
      <c r="C2885" s="1" t="str">
        <f ca="1">IFERROR(__xludf.DUMMYFUNCTION("GOOGLETRANSLATE(English!C2885, ""en"", ""bg"")"),"високо")</f>
        <v>високо</v>
      </c>
      <c r="D2885" s="1" t="str">
        <f ca="1">IFERROR(__xludf.DUMMYFUNCTION("GOOGLETRANSLATE(English!D2885, ""en"", ""bg"")"),"клетъчно дишане")</f>
        <v>клетъчно дишане</v>
      </c>
      <c r="E2885" s="1" t="str">
        <f ca="1">IFERROR(__xludf.DUMMYFUNCTION("GOOGLETRANSLATE(English!E2885, ""en"", ""bg"")"),"Утре имам тест по клетъчно дишане. Помогни ми да уча!")</f>
        <v>Утре имам тест по клетъчно дишане. Помогни ми да уча!</v>
      </c>
      <c r="F2885" s="1" t="str">
        <f ca="1">IFERROR(__xludf.DUMMYFUNCTION("GOOGLETRANSLATE(English!F2885,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885" s="1" t="str">
        <f ca="1">IFERROR(__xludf.DUMMYFUNCTION("GOOGLETRANSLATE(English!G2885, ""en"", ""bg"")"),"помощ_за_домашно_изпълнение")</f>
        <v>помощ_за_домашно_изпълнение</v>
      </c>
      <c r="H2885" s="1" t="str">
        <f ca="1">IFERROR(__xludf.DUMMYFUNCTION("GOOGLETRANSLATE(English!H2885, ""en"", ""bg"")"),"помощ_за_домашно_задаване")</f>
        <v>помощ_за_домашно_задаване</v>
      </c>
    </row>
    <row r="2886" spans="1:8" ht="13.2" x14ac:dyDescent="0.25">
      <c r="A2886" s="1" t="str">
        <f ca="1">IFERROR(__xludf.DUMMYFUNCTION("GOOGLETRANSLATE(English!A2886, ""en"", ""bg"")"),"conv_07861")</f>
        <v>conv_07861</v>
      </c>
      <c r="B2886" s="1" t="str">
        <f ca="1">IFERROR(__xludf.DUMMYFUNCTION("GOOGLETRANSLATE(English!B2886, ""en"", ""bg"")"),"биология")</f>
        <v>биология</v>
      </c>
      <c r="C2886" s="1" t="str">
        <f ca="1">IFERROR(__xludf.DUMMYFUNCTION("GOOGLETRANSLATE(English!C2886, ""en"", ""bg"")"),"високо")</f>
        <v>високо</v>
      </c>
      <c r="D2886" s="1" t="str">
        <f ca="1">IFERROR(__xludf.DUMMYFUNCTION("GOOGLETRANSLATE(English!D2886, ""en"", ""bg"")"),"синтез на протеини")</f>
        <v>синтез на протеини</v>
      </c>
      <c r="E2886" s="1" t="str">
        <f ca="1">IFERROR(__xludf.DUMMYFUNCTION("GOOGLETRANSLATE(English!E2886, ""en"", ""bg"")"),"Можете ли да ми обясните това? Как работи синтезът на протеини?")</f>
        <v>Можете ли да ми обясните това? Как работи синтезът на протеини?</v>
      </c>
      <c r="F2886" s="1" t="str">
        <f ca="1">IFERROR(__xludf.DUMMYFUNCTION("GOOGLETRANSLATE(English!F2886,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2886" s="1" t="str">
        <f ca="1">IFERROR(__xludf.DUMMYFUNCTION("GOOGLETRANSLATE(English!G2886, ""en"", ""bg"")"),"разговор")</f>
        <v>разговор</v>
      </c>
      <c r="H2886" s="1" t="str">
        <f ca="1">IFERROR(__xludf.DUMMYFUNCTION("GOOGLETRANSLATE(English!H2886, ""en"", ""bg"")"),"образователна_помощ")</f>
        <v>образователна_помощ</v>
      </c>
    </row>
    <row r="2887" spans="1:8" ht="13.2" x14ac:dyDescent="0.25">
      <c r="A2887" s="1" t="str">
        <f ca="1">IFERROR(__xludf.DUMMYFUNCTION("GOOGLETRANSLATE(English!A2887, ""en"", ""bg"")"),"conv_04185")</f>
        <v>conv_04185</v>
      </c>
      <c r="B2887" s="1" t="str">
        <f ca="1">IFERROR(__xludf.DUMMYFUNCTION("GOOGLETRANSLATE(English!B2887, ""en"", ""bg"")"),"биология")</f>
        <v>биология</v>
      </c>
      <c r="C2887" s="1" t="str">
        <f ca="1">IFERROR(__xludf.DUMMYFUNCTION("GOOGLETRANSLATE(English!C2887, ""en"", ""bg"")"),"високо")</f>
        <v>високо</v>
      </c>
      <c r="D2887" s="1" t="str">
        <f ca="1">IFERROR(__xludf.DUMMYFUNCTION("GOOGLETRANSLATE(English!D2887, ""en"", ""bg"")"),"модели на наследяване")</f>
        <v>модели на наследяване</v>
      </c>
      <c r="E2887" s="1" t="str">
        <f ca="1">IFERROR(__xludf.DUMMYFUNCTION("GOOGLETRANSLATE(English!E2887, ""en"", ""bg"")"),"Не разбирам тази тема. Защо моделите на наследяване са важни в биологията?")</f>
        <v>Не разбирам тази тема. Защо моделите на наследяване са важни в биологията?</v>
      </c>
      <c r="F2887" s="1" t="str">
        <f ca="1">IFERROR(__xludf.DUMMYFUNCTION("GOOGLETRANSLATE(English!F2887,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2887" s="1" t="str">
        <f ca="1">IFERROR(__xludf.DUMMYFUNCTION("GOOGLETRANSLATE(English!G2887, ""en"", ""bg"")"),"разговор")</f>
        <v>разговор</v>
      </c>
      <c r="H2887" s="1" t="str">
        <f ca="1">IFERROR(__xludf.DUMMYFUNCTION("GOOGLETRANSLATE(English!H2887, ""en"", ""bg"")"),"образователна_помощ")</f>
        <v>образователна_помощ</v>
      </c>
    </row>
    <row r="2888" spans="1:8" ht="13.2" x14ac:dyDescent="0.25">
      <c r="A2888" s="1" t="str">
        <f ca="1">IFERROR(__xludf.DUMMYFUNCTION("GOOGLETRANSLATE(English!A2888, ""en"", ""bg"")"),"qa_10030")</f>
        <v>qa_10030</v>
      </c>
      <c r="B2888" s="1" t="str">
        <f ca="1">IFERROR(__xludf.DUMMYFUNCTION("GOOGLETRANSLATE(English!B2888, ""en"", ""bg"")"),"биология")</f>
        <v>биология</v>
      </c>
      <c r="C2888" s="1" t="str">
        <f ca="1">IFERROR(__xludf.DUMMYFUNCTION("GOOGLETRANSLATE(English!C2888, ""en"", ""bg"")"),"елементарен")</f>
        <v>елементарен</v>
      </c>
      <c r="D2888" s="1" t="str">
        <f ca="1">IFERROR(__xludf.DUMMYFUNCTION("GOOGLETRANSLATE(English!D2888, ""en"", ""bg"")"),"растения")</f>
        <v>растения</v>
      </c>
      <c r="E2888" s="1" t="str">
        <f ca="1">IFERROR(__xludf.DUMMYFUNCTION("GOOGLETRANSLATE(English!E2888, ""en"", ""bg"")"),"Как семената пътуват до нови места?")</f>
        <v>Как семената пътуват до нови места?</v>
      </c>
      <c r="F2888" s="1" t="str">
        <f ca="1">IFERROR(__xludf.DUMMYFUNCTION("GOOGLETRANSLATE(English!F2888,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2888" s="1" t="str">
        <f ca="1">IFERROR(__xludf.DUMMYFUNCTION("GOOGLETRANSLATE(English!G2888, ""en"", ""bg"")"),"direct_qa")</f>
        <v>direct_qa</v>
      </c>
      <c r="H2888" s="1" t="str">
        <f ca="1">IFERROR(__xludf.DUMMYFUNCTION("GOOGLETRANSLATE(English!H2888, ""en"", ""bg"")"),"заявка_за_знание")</f>
        <v>заявка_за_знание</v>
      </c>
    </row>
    <row r="2889" spans="1:8" ht="13.2" x14ac:dyDescent="0.25">
      <c r="A2889" s="1" t="str">
        <f ca="1">IFERROR(__xludf.DUMMYFUNCTION("GOOGLETRANSLATE(English!A2889, ""en"", ""bg"")"),"qa_12122")</f>
        <v>qa_12122</v>
      </c>
      <c r="B2889" s="1" t="str">
        <f ca="1">IFERROR(__xludf.DUMMYFUNCTION("GOOGLETRANSLATE(English!B2889, ""en"", ""bg"")"),"физика")</f>
        <v>физика</v>
      </c>
      <c r="C2889" s="1" t="str">
        <f ca="1">IFERROR(__xludf.DUMMYFUNCTION("GOOGLETRANSLATE(English!C2889, ""en"", ""bg"")"),"елементарен")</f>
        <v>елементарен</v>
      </c>
      <c r="D2889" s="1" t="str">
        <f ca="1">IFERROR(__xludf.DUMMYFUNCTION("GOOGLETRANSLATE(English!D2889, ""en"", ""bg"")"),"бутане и дърпане")</f>
        <v>бутане и дърпане</v>
      </c>
      <c r="E2889" s="1" t="str">
        <f ca="1">IFERROR(__xludf.DUMMYFUNCTION("GOOGLETRANSLATE(English!E2889, ""en"", ""bg"")"),"Можете ли да ми обясните как се прави бутане и дърпане?")</f>
        <v>Можете ли да ми обясните как се прави бутане и дърпане?</v>
      </c>
      <c r="F2889" s="1" t="str">
        <f ca="1">IFERROR(__xludf.DUMMYFUNCTION("GOOGLETRANSLATE(English!F2889,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2889" s="1" t="str">
        <f ca="1">IFERROR(__xludf.DUMMYFUNCTION("GOOGLETRANSLATE(English!G2889, ""en"", ""bg"")"),"direct_qa")</f>
        <v>direct_qa</v>
      </c>
      <c r="H2889" s="1" t="str">
        <f ca="1">IFERROR(__xludf.DUMMYFUNCTION("GOOGLETRANSLATE(English!H2889, ""en"", ""bg"")"),"заявка_за_знание")</f>
        <v>заявка_за_знание</v>
      </c>
    </row>
    <row r="2890" spans="1:8" ht="13.2" x14ac:dyDescent="0.25">
      <c r="A2890" s="1" t="str">
        <f ca="1">IFERROR(__xludf.DUMMYFUNCTION("GOOGLETRANSLATE(English!A2890, ""en"", ""bg"")"),"qa_10618")</f>
        <v>qa_10618</v>
      </c>
      <c r="B2890" s="1" t="str">
        <f ca="1">IFERROR(__xludf.DUMMYFUNCTION("GOOGLETRANSLATE(English!B2890, ""en"", ""bg"")"),"химия")</f>
        <v>химия</v>
      </c>
      <c r="C2890" s="1" t="str">
        <f ca="1">IFERROR(__xludf.DUMMYFUNCTION("GOOGLETRANSLATE(English!C2890, ""en"", ""bg"")"),"високо")</f>
        <v>високо</v>
      </c>
      <c r="D2890" s="1" t="str">
        <f ca="1">IFERROR(__xludf.DUMMYFUNCTION("GOOGLETRANSLATE(English!D2890, ""en"", ""bg"")"),"органична химия")</f>
        <v>органична химия</v>
      </c>
      <c r="E2890" s="1" t="str">
        <f ca="1">IFERROR(__xludf.DUMMYFUNCTION("GOOGLETRANSLATE(English!E2890, ""en"", ""bg"")"),"Как работи органичната химия в химията?")</f>
        <v>Как работи органичната химия в химията?</v>
      </c>
      <c r="F2890" s="1" t="str">
        <f ca="1">IFERROR(__xludf.DUMMYFUNCTION("GOOGLETRANSLATE(English!F2890,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2890" s="1" t="str">
        <f ca="1">IFERROR(__xludf.DUMMYFUNCTION("GOOGLETRANSLATE(English!G2890, ""en"", ""bg"")"),"direct_qa")</f>
        <v>direct_qa</v>
      </c>
      <c r="H2890" s="1" t="str">
        <f ca="1">IFERROR(__xludf.DUMMYFUNCTION("GOOGLETRANSLATE(English!H2890, ""en"", ""bg"")"),"заявка_за_знание")</f>
        <v>заявка_за_знание</v>
      </c>
    </row>
    <row r="2891" spans="1:8" ht="13.2" x14ac:dyDescent="0.25">
      <c r="A2891" s="1" t="str">
        <f ca="1">IFERROR(__xludf.DUMMYFUNCTION("GOOGLETRANSLATE(English!A2891, ""en"", ""bg"")"),"qa_00131")</f>
        <v>qa_00131</v>
      </c>
      <c r="B2891" s="1" t="str">
        <f ca="1">IFERROR(__xludf.DUMMYFUNCTION("GOOGLETRANSLATE(English!B2891, ""en"", ""bg"")"),"биология")</f>
        <v>биология</v>
      </c>
      <c r="C2891" s="1" t="str">
        <f ca="1">IFERROR(__xludf.DUMMYFUNCTION("GOOGLETRANSLATE(English!C2891, ""en"", ""bg"")"),"средата")</f>
        <v>средата</v>
      </c>
      <c r="D2891" s="1" t="str">
        <f ca="1">IFERROR(__xludf.DUMMYFUNCTION("GOOGLETRANSLATE(English!D2891, ""en"", ""bg"")"),"основи на еволюцията")</f>
        <v>основи на еволюцията</v>
      </c>
      <c r="E2891" s="1" t="str">
        <f ca="1">IFERROR(__xludf.DUMMYFUNCTION("GOOGLETRANSLATE(English!E2891, ""en"", ""bg"")"),"Можете ли да ми разкажете за основите на еволюцията?")</f>
        <v>Можете ли да ми разкажете за основите на еволюцията?</v>
      </c>
      <c r="F2891" s="1" t="str">
        <f ca="1">IFERROR(__xludf.DUMMYFUNCTION("GOOGLETRANSLATE(English!F2891,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2891" s="1" t="str">
        <f ca="1">IFERROR(__xludf.DUMMYFUNCTION("GOOGLETRANSLATE(English!G2891, ""en"", ""bg"")"),"direct_qa")</f>
        <v>direct_qa</v>
      </c>
      <c r="H2891" s="1" t="str">
        <f ca="1">IFERROR(__xludf.DUMMYFUNCTION("GOOGLETRANSLATE(English!H2891, ""en"", ""bg"")"),"заявка_за_знание")</f>
        <v>заявка_за_знание</v>
      </c>
    </row>
    <row r="2892" spans="1:8" ht="13.2" x14ac:dyDescent="0.25">
      <c r="A2892" s="1" t="str">
        <f ca="1">IFERROR(__xludf.DUMMYFUNCTION("GOOGLETRANSLATE(English!A2892, ""en"", ""bg"")"),"qa_02938")</f>
        <v>qa_02938</v>
      </c>
      <c r="B2892" s="1" t="str">
        <f ca="1">IFERROR(__xludf.DUMMYFUNCTION("GOOGLETRANSLATE(English!B2892, ""en"", ""bg"")"),"физика")</f>
        <v>физика</v>
      </c>
      <c r="C2892" s="1" t="str">
        <f ca="1">IFERROR(__xludf.DUMMYFUNCTION("GOOGLETRANSLATE(English!C2892, ""en"", ""bg"")"),"високо")</f>
        <v>високо</v>
      </c>
      <c r="D2892" s="1" t="str">
        <f ca="1">IFERROR(__xludf.DUMMYFUNCTION("GOOGLETRANSLATE(English!D2892, ""en"", ""bg"")"),"оптика")</f>
        <v>оптика</v>
      </c>
      <c r="E2892" s="1" t="str">
        <f ca="1">IFERROR(__xludf.DUMMYFUNCTION("GOOGLETRANSLATE(English!E2892, ""en"", ""bg"")"),"Можете ли да ми обясните оптиката?")</f>
        <v>Можете ли да ми обясните оптиката?</v>
      </c>
      <c r="F2892" s="1" t="str">
        <f ca="1">IFERROR(__xludf.DUMMYFUNCTION("GOOGLETRANSLATE(English!F2892,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2892" s="1" t="str">
        <f ca="1">IFERROR(__xludf.DUMMYFUNCTION("GOOGLETRANSLATE(English!G2892, ""en"", ""bg"")"),"direct_qa")</f>
        <v>direct_qa</v>
      </c>
      <c r="H2892" s="1" t="str">
        <f ca="1">IFERROR(__xludf.DUMMYFUNCTION("GOOGLETRANSLATE(English!H2892, ""en"", ""bg"")"),"заявка_за_знание")</f>
        <v>заявка_за_знание</v>
      </c>
    </row>
    <row r="2893" spans="1:8" ht="13.2" x14ac:dyDescent="0.25">
      <c r="A2893" s="1" t="str">
        <f ca="1">IFERROR(__xludf.DUMMYFUNCTION("GOOGLETRANSLATE(English!A2893, ""en"", ""bg"")"),"conv_15377")</f>
        <v>conv_15377</v>
      </c>
      <c r="B2893" s="1" t="str">
        <f ca="1">IFERROR(__xludf.DUMMYFUNCTION("GOOGLETRANSLATE(English!B2893, ""en"", ""bg"")"),"физика")</f>
        <v>физика</v>
      </c>
      <c r="C2893" s="1" t="str">
        <f ca="1">IFERROR(__xludf.DUMMYFUNCTION("GOOGLETRANSLATE(English!C2893, ""en"", ""bg"")"),"елементарен")</f>
        <v>елементарен</v>
      </c>
      <c r="D2893" s="1" t="str">
        <f ca="1">IFERROR(__xludf.DUMMYFUNCTION("GOOGLETRANSLATE(English!D2893, ""en"", ""bg"")"),"звук")</f>
        <v>звук</v>
      </c>
      <c r="E2893" s="1" t="str">
        <f ca="1">IFERROR(__xludf.DUMMYFUNCTION("GOOGLETRANSLATE(English!E2893, ""en"", ""bg"")"),"Не разбирам тази тема. Можете ли да ми обясните звука?")</f>
        <v>Не разбирам тази тема. Можете ли да ми обясните звука?</v>
      </c>
      <c r="F2893" s="1" t="str">
        <f ca="1">IFERROR(__xludf.DUMMYFUNCTION("GOOGLETRANSLATE(English!F2893,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2893" s="1" t="str">
        <f ca="1">IFERROR(__xludf.DUMMYFUNCTION("GOOGLETRANSLATE(English!G2893, ""en"", ""bg"")"),"разговор")</f>
        <v>разговор</v>
      </c>
      <c r="H2893" s="1" t="str">
        <f ca="1">IFERROR(__xludf.DUMMYFUNCTION("GOOGLETRANSLATE(English!H2893, ""en"", ""bg"")"),"образователна_помощ")</f>
        <v>образователна_помощ</v>
      </c>
    </row>
    <row r="2894" spans="1:8" ht="13.2" x14ac:dyDescent="0.25">
      <c r="A2894" s="1" t="str">
        <f ca="1">IFERROR(__xludf.DUMMYFUNCTION("GOOGLETRANSLATE(English!A2894, ""en"", ""bg"")"),"hw_14421")</f>
        <v>hw_14421</v>
      </c>
      <c r="B2894" s="1" t="str">
        <f ca="1">IFERROR(__xludf.DUMMYFUNCTION("GOOGLETRANSLATE(English!B2894, ""en"", ""bg"")"),"физика")</f>
        <v>физика</v>
      </c>
      <c r="C2894" s="1" t="str">
        <f ca="1">IFERROR(__xludf.DUMMYFUNCTION("GOOGLETRANSLATE(English!C2894, ""en"", ""bg"")"),"средата")</f>
        <v>средата</v>
      </c>
      <c r="D2894" s="1" t="str">
        <f ca="1">IFERROR(__xludf.DUMMYFUNCTION("GOOGLETRANSLATE(English!D2894, ""en"", ""bg"")"),"плътност")</f>
        <v>плътност</v>
      </c>
      <c r="E2894" s="1" t="str">
        <f ca="1">IFERROR(__xludf.DUMMYFUNCTION("GOOGLETRANSLATE(English!E2894,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2894" s="1" t="str">
        <f ca="1">IFERROR(__xludf.DUMMYFUNCTION("GOOGLETRANSLATE(English!F2894,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894" s="1" t="str">
        <f ca="1">IFERROR(__xludf.DUMMYFUNCTION("GOOGLETRANSLATE(English!G2894, ""en"", ""bg"")"),"помощ_за_домашно_изпълнение")</f>
        <v>помощ_за_домашно_изпълнение</v>
      </c>
      <c r="H2894" s="1" t="str">
        <f ca="1">IFERROR(__xludf.DUMMYFUNCTION("GOOGLETRANSLATE(English!H2894, ""en"", ""bg"")"),"помощ_за_домашно_задаване")</f>
        <v>помощ_за_домашно_задаване</v>
      </c>
    </row>
    <row r="2895" spans="1:8" ht="13.2" x14ac:dyDescent="0.25">
      <c r="A2895" s="1" t="str">
        <f ca="1">IFERROR(__xludf.DUMMYFUNCTION("GOOGLETRANSLATE(English!A2895, ""en"", ""bg"")"),"qa_09805")</f>
        <v>qa_09805</v>
      </c>
      <c r="B2895" s="1" t="str">
        <f ca="1">IFERROR(__xludf.DUMMYFUNCTION("GOOGLETRANSLATE(English!B2895, ""en"", ""bg"")"),"биология")</f>
        <v>биология</v>
      </c>
      <c r="C2895" s="1" t="str">
        <f ca="1">IFERROR(__xludf.DUMMYFUNCTION("GOOGLETRANSLATE(English!C2895, ""en"", ""bg"")"),"елементарен")</f>
        <v>елементарен</v>
      </c>
      <c r="D2895" s="1" t="str">
        <f ca="1">IFERROR(__xludf.DUMMYFUNCTION("GOOGLETRANSLATE(English!D2895, ""en"", ""bg"")"),"домашни любимци срещу диви животни")</f>
        <v>домашни любимци срещу диви животни</v>
      </c>
      <c r="E2895" s="1" t="str">
        <f ca="1">IFERROR(__xludf.DUMMYFUNCTION("GOOGLETRANSLATE(English!E2895, ""en"", ""bg"")"),"Как се различават домашните любимци от дивите животни?")</f>
        <v>Как се различават домашните любимци от дивите животни?</v>
      </c>
      <c r="F2895" s="1" t="str">
        <f ca="1">IFERROR(__xludf.DUMMYFUNCTION("GOOGLETRANSLATE(English!F2895,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2895" s="1" t="str">
        <f ca="1">IFERROR(__xludf.DUMMYFUNCTION("GOOGLETRANSLATE(English!G2895, ""en"", ""bg"")"),"direct_qa")</f>
        <v>direct_qa</v>
      </c>
      <c r="H2895" s="1" t="str">
        <f ca="1">IFERROR(__xludf.DUMMYFUNCTION("GOOGLETRANSLATE(English!H2895, ""en"", ""bg"")"),"заявка_за_знание")</f>
        <v>заявка_за_знание</v>
      </c>
    </row>
    <row r="2896" spans="1:8" ht="13.2" x14ac:dyDescent="0.25">
      <c r="A2896" s="1" t="str">
        <f ca="1">IFERROR(__xludf.DUMMYFUNCTION("GOOGLETRANSLATE(English!A2896, ""en"", ""bg"")"),"conv_14685")</f>
        <v>conv_14685</v>
      </c>
      <c r="B2896" s="1" t="str">
        <f ca="1">IFERROR(__xludf.DUMMYFUNCTION("GOOGLETRANSLATE(English!B2896, ""en"", ""bg"")"),"физика")</f>
        <v>физика</v>
      </c>
      <c r="C2896" s="1" t="str">
        <f ca="1">IFERROR(__xludf.DUMMYFUNCTION("GOOGLETRANSLATE(English!C2896, ""en"", ""bg"")"),"средата")</f>
        <v>средата</v>
      </c>
      <c r="D2896" s="1" t="str">
        <f ca="1">IFERROR(__xludf.DUMMYFUNCTION("GOOGLETRANSLATE(English!D2896, ""en"", ""bg"")"),"основи на електричеството")</f>
        <v>основи на електричеството</v>
      </c>
      <c r="E2896" s="1" t="str">
        <f ca="1">IFERROR(__xludf.DUMMYFUNCTION("GOOGLETRANSLATE(English!E2896, ""en"", ""bg"")"),"Можете ли да ми обясните това? Защо основите на електричеството са важни?")</f>
        <v>Можете ли да ми обясните това? Защо основите на електричеството са важни?</v>
      </c>
      <c r="F2896" s="1" t="str">
        <f ca="1">IFERROR(__xludf.DUMMYFUNCTION("GOOGLETRANSLATE(English!F2896,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2896" s="1" t="str">
        <f ca="1">IFERROR(__xludf.DUMMYFUNCTION("GOOGLETRANSLATE(English!G2896, ""en"", ""bg"")"),"разговор")</f>
        <v>разговор</v>
      </c>
      <c r="H2896" s="1" t="str">
        <f ca="1">IFERROR(__xludf.DUMMYFUNCTION("GOOGLETRANSLATE(English!H2896, ""en"", ""bg"")"),"образователна_помощ")</f>
        <v>образователна_помощ</v>
      </c>
    </row>
    <row r="2897" spans="1:8" ht="13.2" x14ac:dyDescent="0.25">
      <c r="A2897" s="1" t="str">
        <f ca="1">IFERROR(__xludf.DUMMYFUNCTION("GOOGLETRANSLATE(English!A2897, ""en"", ""bg"")"),"hw_09568")</f>
        <v>hw_09568</v>
      </c>
      <c r="B2897" s="1" t="str">
        <f ca="1">IFERROR(__xludf.DUMMYFUNCTION("GOOGLETRANSLATE(English!B2897, ""en"", ""bg"")"),"биология")</f>
        <v>биология</v>
      </c>
      <c r="C2897" s="1" t="str">
        <f ca="1">IFERROR(__xludf.DUMMYFUNCTION("GOOGLETRANSLATE(English!C2897, ""en"", ""bg"")"),"средата")</f>
        <v>средата</v>
      </c>
      <c r="D2897" s="1" t="str">
        <f ca="1">IFERROR(__xludf.DUMMYFUNCTION("GOOGLETRANSLATE(English!D2897, ""en"", ""bg"")"),"основи на генетиката")</f>
        <v>основи на генетиката</v>
      </c>
      <c r="E2897" s="1" t="str">
        <f ca="1">IFERROR(__xludf.DUMMYFUNCTION("GOOGLETRANSLATE(English!E2897, ""en"", ""bg"")"),"Можете ли да обясните основите на генетиката за моя научен проект?")</f>
        <v>Можете ли да обясните основите на генетиката за моя научен проект?</v>
      </c>
      <c r="F2897" s="1" t="str">
        <f ca="1">IFERROR(__xludf.DUMMYFUNCTION("GOOGLETRANSLATE(English!F2897,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2897" s="1" t="str">
        <f ca="1">IFERROR(__xludf.DUMMYFUNCTION("GOOGLETRANSLATE(English!G2897, ""en"", ""bg"")"),"помощ_за_домашно_изпълнение")</f>
        <v>помощ_за_домашно_изпълнение</v>
      </c>
      <c r="H2897" s="1" t="str">
        <f ca="1">IFERROR(__xludf.DUMMYFUNCTION("GOOGLETRANSLATE(English!H2897, ""en"", ""bg"")"),"помощ_за_домашно_задаване")</f>
        <v>помощ_за_домашно_задаване</v>
      </c>
    </row>
    <row r="2898" spans="1:8" ht="13.2" x14ac:dyDescent="0.25">
      <c r="A2898" s="1" t="str">
        <f ca="1">IFERROR(__xludf.DUMMYFUNCTION("GOOGLETRANSLATE(English!A2898, ""en"", ""bg"")"),"qa_13612")</f>
        <v>qa_13612</v>
      </c>
      <c r="B2898" s="1" t="str">
        <f ca="1">IFERROR(__xludf.DUMMYFUNCTION("GOOGLETRANSLATE(English!B2898, ""en"", ""bg"")"),"химия")</f>
        <v>химия</v>
      </c>
      <c r="C2898" s="1" t="str">
        <f ca="1">IFERROR(__xludf.DUMMYFUNCTION("GOOGLETRANSLATE(English!C2898, ""en"", ""bg"")"),"средата")</f>
        <v>средата</v>
      </c>
      <c r="D2898" s="1" t="str">
        <f ca="1">IFERROR(__xludf.DUMMYFUNCTION("GOOGLETRANSLATE(English!D2898, ""en"", ""bg"")"),"атоми и молекули")</f>
        <v>атоми и молекули</v>
      </c>
      <c r="E2898" s="1" t="str">
        <f ca="1">IFERROR(__xludf.DUMMYFUNCTION("GOOGLETRANSLATE(English!E2898, ""en"", ""bg"")"),"По какво се различават атомите и молекулите?")</f>
        <v>По какво се различават атомите и молекулите?</v>
      </c>
      <c r="F2898" s="1" t="str">
        <f ca="1">IFERROR(__xludf.DUMMYFUNCTION("GOOGLETRANSLATE(English!F2898,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2898" s="1" t="str">
        <f ca="1">IFERROR(__xludf.DUMMYFUNCTION("GOOGLETRANSLATE(English!G2898, ""en"", ""bg"")"),"direct_qa")</f>
        <v>direct_qa</v>
      </c>
      <c r="H2898" s="1" t="str">
        <f ca="1">IFERROR(__xludf.DUMMYFUNCTION("GOOGLETRANSLATE(English!H2898, ""en"", ""bg"")"),"заявка_за_знание")</f>
        <v>заявка_за_знание</v>
      </c>
    </row>
    <row r="2899" spans="1:8" ht="13.2" x14ac:dyDescent="0.25">
      <c r="A2899" s="1" t="str">
        <f ca="1">IFERROR(__xludf.DUMMYFUNCTION("GOOGLETRANSLATE(English!A2899, ""en"", ""bg"")"),"hw_08291")</f>
        <v>hw_08291</v>
      </c>
      <c r="B2899" s="1" t="str">
        <f ca="1">IFERROR(__xludf.DUMMYFUNCTION("GOOGLETRANSLATE(English!B2899, ""en"", ""bg"")"),"химия")</f>
        <v>химия</v>
      </c>
      <c r="C2899" s="1" t="str">
        <f ca="1">IFERROR(__xludf.DUMMYFUNCTION("GOOGLETRANSLATE(English!C2899, ""en"", ""bg"")"),"елементарен")</f>
        <v>елементарен</v>
      </c>
      <c r="D2899" s="1" t="str">
        <f ca="1">IFERROR(__xludf.DUMMYFUNCTION("GOOGLETRANSLATE(English!D2899, ""en"", ""bg"")"),"промени в материалите")</f>
        <v>промени в материалите</v>
      </c>
      <c r="E2899" s="1" t="str">
        <f ca="1">IFERROR(__xludf.DUMMYFUNCTION("GOOGLETRANSLATE(English!E2899,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2899" s="1" t="str">
        <f ca="1">IFERROR(__xludf.DUMMYFUNCTION("GOOGLETRANSLATE(English!F2899,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2899" s="1" t="str">
        <f ca="1">IFERROR(__xludf.DUMMYFUNCTION("GOOGLETRANSLATE(English!G2899, ""en"", ""bg"")"),"помощ_за_домашно_изпълнение")</f>
        <v>помощ_за_домашно_изпълнение</v>
      </c>
      <c r="H2899" s="1" t="str">
        <f ca="1">IFERROR(__xludf.DUMMYFUNCTION("GOOGLETRANSLATE(English!H2899, ""en"", ""bg"")"),"помощ_за_домашно_задаване")</f>
        <v>помощ_за_домашно_задаване</v>
      </c>
    </row>
    <row r="2900" spans="1:8" ht="13.2" x14ac:dyDescent="0.25">
      <c r="A2900" s="1" t="str">
        <f ca="1">IFERROR(__xludf.DUMMYFUNCTION("GOOGLETRANSLATE(English!A2900, ""en"", ""bg"")"),"conv_15788")</f>
        <v>conv_15788</v>
      </c>
      <c r="B2900" s="1" t="str">
        <f ca="1">IFERROR(__xludf.DUMMYFUNCTION("GOOGLETRANSLATE(English!B2900, ""en"", ""bg"")"),"физика")</f>
        <v>физика</v>
      </c>
      <c r="C2900" s="1" t="str">
        <f ca="1">IFERROR(__xludf.DUMMYFUNCTION("GOOGLETRANSLATE(English!C2900, ""en"", ""bg"")"),"високо")</f>
        <v>високо</v>
      </c>
      <c r="D2900" s="1" t="str">
        <f ca="1">IFERROR(__xludf.DUMMYFUNCTION("GOOGLETRANSLATE(English!D2900, ""en"", ""bg"")"),"оптика")</f>
        <v>оптика</v>
      </c>
      <c r="E2900" s="1" t="str">
        <f ca="1">IFERROR(__xludf.DUMMYFUNCTION("GOOGLETRANSLATE(English!E2900, ""en"", ""bg"")"),"Имам нужда от помощ с домашното. Можете ли да ми обясните оптиката?")</f>
        <v>Имам нужда от помощ с домашното. Можете ли да ми обясните оптиката?</v>
      </c>
      <c r="F2900" s="1" t="str">
        <f ca="1">IFERROR(__xludf.DUMMYFUNCTION("GOOGLETRANSLATE(English!F2900,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2900" s="1" t="str">
        <f ca="1">IFERROR(__xludf.DUMMYFUNCTION("GOOGLETRANSLATE(English!G2900, ""en"", ""bg"")"),"разговор")</f>
        <v>разговор</v>
      </c>
      <c r="H2900" s="1" t="str">
        <f ca="1">IFERROR(__xludf.DUMMYFUNCTION("GOOGLETRANSLATE(English!H2900, ""en"", ""bg"")"),"образователна_помощ")</f>
        <v>образователна_помощ</v>
      </c>
    </row>
    <row r="2901" spans="1:8" ht="13.2" x14ac:dyDescent="0.25">
      <c r="A2901" s="1" t="str">
        <f ca="1">IFERROR(__xludf.DUMMYFUNCTION("GOOGLETRANSLATE(English!A2901, ""en"", ""bg"")"),"conv_12396")</f>
        <v>conv_12396</v>
      </c>
      <c r="B2901" s="1" t="str">
        <f ca="1">IFERROR(__xludf.DUMMYFUNCTION("GOOGLETRANSLATE(English!B2901, ""en"", ""bg"")"),"биология")</f>
        <v>биология</v>
      </c>
      <c r="C2901" s="1" t="str">
        <f ca="1">IFERROR(__xludf.DUMMYFUNCTION("GOOGLETRANSLATE(English!C2901, ""en"", ""bg"")"),"средата")</f>
        <v>средата</v>
      </c>
      <c r="D2901" s="1" t="str">
        <f ca="1">IFERROR(__xludf.DUMMYFUNCTION("GOOGLETRANSLATE(English!D2901, ""en"", ""bg"")"),"фотосинтеза")</f>
        <v>фотосинтеза</v>
      </c>
      <c r="E2901" s="1" t="str">
        <f ca="1">IFERROR(__xludf.DUMMYFUNCTION("GOOGLETRANSLATE(English!E2901, ""en"", ""bg"")"),"Помогнете ми да уча за теста. Какво е важно да знаем за фотосинтезата?")</f>
        <v>Помогнете ми да уча за теста. Какво е важно да знаем за фотосинтезата?</v>
      </c>
      <c r="F2901" s="1" t="str">
        <f ca="1">IFERROR(__xludf.DUMMYFUNCTION("GOOGLETRANSLATE(English!F2901,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2901" s="1" t="str">
        <f ca="1">IFERROR(__xludf.DUMMYFUNCTION("GOOGLETRANSLATE(English!G2901, ""en"", ""bg"")"),"разговор")</f>
        <v>разговор</v>
      </c>
      <c r="H2901" s="1" t="str">
        <f ca="1">IFERROR(__xludf.DUMMYFUNCTION("GOOGLETRANSLATE(English!H2901, ""en"", ""bg"")"),"образователна_помощ")</f>
        <v>образователна_помощ</v>
      </c>
    </row>
    <row r="2902" spans="1:8" ht="13.2" x14ac:dyDescent="0.25">
      <c r="A2902" s="1" t="str">
        <f ca="1">IFERROR(__xludf.DUMMYFUNCTION("GOOGLETRANSLATE(English!A2902, ""en"", ""bg"")"),"qa_09053")</f>
        <v>qa_09053</v>
      </c>
      <c r="B2902" s="1" t="str">
        <f ca="1">IFERROR(__xludf.DUMMYFUNCTION("GOOGLETRANSLATE(English!B2902, ""en"", ""bg"")"),"физика")</f>
        <v>физика</v>
      </c>
      <c r="C2902" s="1" t="str">
        <f ca="1">IFERROR(__xludf.DUMMYFUNCTION("GOOGLETRANSLATE(English!C2902, ""en"", ""bg"")"),"средата")</f>
        <v>средата</v>
      </c>
      <c r="D2902" s="1" t="str">
        <f ca="1">IFERROR(__xludf.DUMMYFUNCTION("GOOGLETRANSLATE(English!D2902, ""en"", ""bg"")"),"състояния на материята")</f>
        <v>състояния на материята</v>
      </c>
      <c r="E2902" s="1" t="str">
        <f ca="1">IFERROR(__xludf.DUMMYFUNCTION("GOOGLETRANSLATE(English!E2902, ""en"", ""bg"")"),"Какво трябва да знам за състоянията на материята?")</f>
        <v>Какво трябва да знам за състоянията на материята?</v>
      </c>
      <c r="F2902" s="1" t="str">
        <f ca="1">IFERROR(__xludf.DUMMYFUNCTION("GOOGLETRANSLATE(English!F2902,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2902" s="1" t="str">
        <f ca="1">IFERROR(__xludf.DUMMYFUNCTION("GOOGLETRANSLATE(English!G2902, ""en"", ""bg"")"),"direct_qa")</f>
        <v>direct_qa</v>
      </c>
      <c r="H2902" s="1" t="str">
        <f ca="1">IFERROR(__xludf.DUMMYFUNCTION("GOOGLETRANSLATE(English!H2902, ""en"", ""bg"")"),"заявка_за_знание")</f>
        <v>заявка_за_знание</v>
      </c>
    </row>
    <row r="2903" spans="1:8" ht="13.2" x14ac:dyDescent="0.25">
      <c r="A2903" s="1" t="str">
        <f ca="1">IFERROR(__xludf.DUMMYFUNCTION("GOOGLETRANSLATE(English!A2903, ""en"", ""bg"")"),"conv_18099")</f>
        <v>conv_18099</v>
      </c>
      <c r="B2903" s="1" t="str">
        <f ca="1">IFERROR(__xludf.DUMMYFUNCTION("GOOGLETRANSLATE(English!B2903, ""en"", ""bg"")"),"физика")</f>
        <v>физика</v>
      </c>
      <c r="C2903" s="1" t="str">
        <f ca="1">IFERROR(__xludf.DUMMYFUNCTION("GOOGLETRANSLATE(English!C2903, ""en"", ""bg"")"),"елементарен")</f>
        <v>елементарен</v>
      </c>
      <c r="D2903" s="1" t="str">
        <f ca="1">IFERROR(__xludf.DUMMYFUNCTION("GOOGLETRANSLATE(English!D2903, ""en"", ""bg"")"),"светлина и сянка")</f>
        <v>светлина и сянка</v>
      </c>
      <c r="E2903" s="1" t="str">
        <f ca="1">IFERROR(__xludf.DUMMYFUNCTION("GOOGLETRANSLATE(English!E2903, ""en"", ""bg"")"),"Не разбирам тази тема. Какво е светлина?")</f>
        <v>Не разбирам тази тема. Какво е светлина?</v>
      </c>
      <c r="F2903" s="1" t="str">
        <f ca="1">IFERROR(__xludf.DUMMYFUNCTION("GOOGLETRANSLATE(English!F2903,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2903" s="1" t="str">
        <f ca="1">IFERROR(__xludf.DUMMYFUNCTION("GOOGLETRANSLATE(English!G2903, ""en"", ""bg"")"),"разговор")</f>
        <v>разговор</v>
      </c>
      <c r="H2903" s="1" t="str">
        <f ca="1">IFERROR(__xludf.DUMMYFUNCTION("GOOGLETRANSLATE(English!H2903, ""en"", ""bg"")"),"образователна_помощ")</f>
        <v>образователна_помощ</v>
      </c>
    </row>
    <row r="2904" spans="1:8" ht="13.2" x14ac:dyDescent="0.25">
      <c r="A2904" s="1" t="str">
        <f ca="1">IFERROR(__xludf.DUMMYFUNCTION("GOOGLETRANSLATE(English!A2904, ""en"", ""bg"")"),"qa_06751")</f>
        <v>qa_06751</v>
      </c>
      <c r="B2904" s="1" t="str">
        <f ca="1">IFERROR(__xludf.DUMMYFUNCTION("GOOGLETRANSLATE(English!B2904, ""en"", ""bg"")"),"химия")</f>
        <v>химия</v>
      </c>
      <c r="C2904" s="1" t="str">
        <f ca="1">IFERROR(__xludf.DUMMYFUNCTION("GOOGLETRANSLATE(English!C2904, ""en"", ""bg"")"),"високо")</f>
        <v>високо</v>
      </c>
      <c r="D2904" s="1" t="str">
        <f ca="1">IFERROR(__xludf.DUMMYFUNCTION("GOOGLETRANSLATE(English!D2904, ""en"", ""bg"")"),"скорости на реакция")</f>
        <v>скорости на реакция</v>
      </c>
      <c r="E2904" s="1" t="str">
        <f ca="1">IFERROR(__xludf.DUMMYFUNCTION("GOOGLETRANSLATE(English!E2904,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2904" s="1" t="str">
        <f ca="1">IFERROR(__xludf.DUMMYFUNCTION("GOOGLETRANSLATE(English!F2904,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2904" s="1" t="str">
        <f ca="1">IFERROR(__xludf.DUMMYFUNCTION("GOOGLETRANSLATE(English!G2904, ""en"", ""bg"")"),"direct_qa")</f>
        <v>direct_qa</v>
      </c>
      <c r="H2904" s="1" t="str">
        <f ca="1">IFERROR(__xludf.DUMMYFUNCTION("GOOGLETRANSLATE(English!H2904, ""en"", ""bg"")"),"заявка_за_знание")</f>
        <v>заявка_за_знание</v>
      </c>
    </row>
    <row r="2905" spans="1:8" ht="13.2" x14ac:dyDescent="0.25">
      <c r="A2905" s="1" t="str">
        <f ca="1">IFERROR(__xludf.DUMMYFUNCTION("GOOGLETRANSLATE(English!A2905, ""en"", ""bg"")"),"qa_02839")</f>
        <v>qa_02839</v>
      </c>
      <c r="B2905" s="1" t="str">
        <f ca="1">IFERROR(__xludf.DUMMYFUNCTION("GOOGLETRANSLATE(English!B2905, ""en"", ""bg"")"),"биология")</f>
        <v>биология</v>
      </c>
      <c r="C2905" s="1" t="str">
        <f ca="1">IFERROR(__xludf.DUMMYFUNCTION("GOOGLETRANSLATE(English!C2905, ""en"", ""bg"")"),"средата")</f>
        <v>средата</v>
      </c>
      <c r="D2905" s="1" t="str">
        <f ca="1">IFERROR(__xludf.DUMMYFUNCTION("GOOGLETRANSLATE(English!D2905, ""en"", ""bg"")"),"размножаване")</f>
        <v>размножаване</v>
      </c>
      <c r="E2905" s="1" t="str">
        <f ca="1">IFERROR(__xludf.DUMMYFUNCTION("GOOGLETRANSLATE(English!E2905, ""en"", ""bg"")"),"Можете ли да ми разкажете за размножаването?")</f>
        <v>Можете ли да ми разкажете за размножаването?</v>
      </c>
      <c r="F2905" s="1" t="str">
        <f ca="1">IFERROR(__xludf.DUMMYFUNCTION("GOOGLETRANSLATE(English!F2905,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2905" s="1" t="str">
        <f ca="1">IFERROR(__xludf.DUMMYFUNCTION("GOOGLETRANSLATE(English!G2905, ""en"", ""bg"")"),"direct_qa")</f>
        <v>direct_qa</v>
      </c>
      <c r="H2905" s="1" t="str">
        <f ca="1">IFERROR(__xludf.DUMMYFUNCTION("GOOGLETRANSLATE(English!H2905, ""en"", ""bg"")"),"заявка_за_знание")</f>
        <v>заявка_за_знание</v>
      </c>
    </row>
    <row r="2906" spans="1:8" ht="13.2" x14ac:dyDescent="0.25">
      <c r="A2906" s="1" t="str">
        <f ca="1">IFERROR(__xludf.DUMMYFUNCTION("GOOGLETRANSLATE(English!A2906, ""en"", ""bg"")"),"qa_12885")</f>
        <v>qa_12885</v>
      </c>
      <c r="B2906" s="1" t="str">
        <f ca="1">IFERROR(__xludf.DUMMYFUNCTION("GOOGLETRANSLATE(English!B2906, ""en"", ""bg"")"),"химия")</f>
        <v>химия</v>
      </c>
      <c r="C2906" s="1" t="str">
        <f ca="1">IFERROR(__xludf.DUMMYFUNCTION("GOOGLETRANSLATE(English!C2906, ""en"", ""bg"")"),"средата")</f>
        <v>средата</v>
      </c>
      <c r="D2906" s="1" t="str">
        <f ca="1">IFERROR(__xludf.DUMMYFUNCTION("GOOGLETRANSLATE(English!D2906, ""en"", ""bg"")"),"атоми и молекули")</f>
        <v>атоми и молекули</v>
      </c>
      <c r="E2906" s="1" t="str">
        <f ca="1">IFERROR(__xludf.DUMMYFUNCTION("GOOGLETRANSLATE(English!E2906, ""en"", ""bg"")"),"Кои са частите на един атом?")</f>
        <v>Кои са частите на един атом?</v>
      </c>
      <c r="F2906" s="1" t="str">
        <f ca="1">IFERROR(__xludf.DUMMYFUNCTION("GOOGLETRANSLATE(English!F2906,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2906" s="1" t="str">
        <f ca="1">IFERROR(__xludf.DUMMYFUNCTION("GOOGLETRANSLATE(English!G2906, ""en"", ""bg"")"),"direct_qa")</f>
        <v>direct_qa</v>
      </c>
      <c r="H2906" s="1" t="str">
        <f ca="1">IFERROR(__xludf.DUMMYFUNCTION("GOOGLETRANSLATE(English!H2906, ""en"", ""bg"")"),"заявка_за_знание")</f>
        <v>заявка_за_знание</v>
      </c>
    </row>
    <row r="2907" spans="1:8" ht="13.2" x14ac:dyDescent="0.25">
      <c r="A2907" s="1" t="str">
        <f ca="1">IFERROR(__xludf.DUMMYFUNCTION("GOOGLETRANSLATE(English!A2907, ""en"", ""bg"")"),"conv_15246")</f>
        <v>conv_15246</v>
      </c>
      <c r="B2907" s="1" t="str">
        <f ca="1">IFERROR(__xludf.DUMMYFUNCTION("GOOGLETRANSLATE(English!B2907, ""en"", ""bg"")"),"биология")</f>
        <v>биология</v>
      </c>
      <c r="C2907" s="1" t="str">
        <f ca="1">IFERROR(__xludf.DUMMYFUNCTION("GOOGLETRANSLATE(English!C2907, ""en"", ""bg"")"),"високо")</f>
        <v>високо</v>
      </c>
      <c r="D2907" s="1" t="str">
        <f ca="1">IFERROR(__xludf.DUMMYFUNCTION("GOOGLETRANSLATE(English!D2907, ""en"", ""bg"")"),"молекулярна биология")</f>
        <v>молекулярна биология</v>
      </c>
      <c r="E2907" s="1" t="str">
        <f ca="1">IFERROR(__xludf.DUMMYFUNCTION("GOOGLETRANSLATE(English!E2907, ""en"", ""bg"")"),"Можете ли да ми обясните това? Можете ли да ми разкажете за молекулярната биология?")</f>
        <v>Можете ли да ми обясните това? Можете ли да ми разкажете за молекулярната биология?</v>
      </c>
      <c r="F2907" s="1" t="str">
        <f ca="1">IFERROR(__xludf.DUMMYFUNCTION("GOOGLETRANSLATE(English!F2907,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2907" s="1" t="str">
        <f ca="1">IFERROR(__xludf.DUMMYFUNCTION("GOOGLETRANSLATE(English!G2907, ""en"", ""bg"")"),"разговор")</f>
        <v>разговор</v>
      </c>
      <c r="H2907" s="1" t="str">
        <f ca="1">IFERROR(__xludf.DUMMYFUNCTION("GOOGLETRANSLATE(English!H2907, ""en"", ""bg"")"),"образователна_помощ")</f>
        <v>образователна_помощ</v>
      </c>
    </row>
    <row r="2908" spans="1:8" ht="13.2" x14ac:dyDescent="0.25">
      <c r="A2908" s="1" t="str">
        <f ca="1">IFERROR(__xludf.DUMMYFUNCTION("GOOGLETRANSLATE(English!A2908, ""en"", ""bg"")"),"conv_16557")</f>
        <v>conv_16557</v>
      </c>
      <c r="B2908" s="1" t="str">
        <f ca="1">IFERROR(__xludf.DUMMYFUNCTION("GOOGLETRANSLATE(English!B2908, ""en"", ""bg"")"),"физика")</f>
        <v>физика</v>
      </c>
      <c r="C2908" s="1" t="str">
        <f ca="1">IFERROR(__xludf.DUMMYFUNCTION("GOOGLETRANSLATE(English!C2908, ""en"", ""bg"")"),"елементарен")</f>
        <v>елементарен</v>
      </c>
      <c r="D2908" s="1" t="str">
        <f ca="1">IFERROR(__xludf.DUMMYFUNCTION("GOOGLETRANSLATE(English!D2908, ""en"", ""bg"")"),"звук")</f>
        <v>звук</v>
      </c>
      <c r="E2908" s="1" t="str">
        <f ca="1">IFERROR(__xludf.DUMMYFUNCTION("GOOGLETRANSLATE(English!E2908, ""en"", ""bg"")"),"Не разбирам тази тема. Защо звукът е важен?")</f>
        <v>Не разбирам тази тема. Защо звукът е важен?</v>
      </c>
      <c r="F2908" s="1" t="str">
        <f ca="1">IFERROR(__xludf.DUMMYFUNCTION("GOOGLETRANSLATE(English!F2908,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2908" s="1" t="str">
        <f ca="1">IFERROR(__xludf.DUMMYFUNCTION("GOOGLETRANSLATE(English!G2908, ""en"", ""bg"")"),"разговор")</f>
        <v>разговор</v>
      </c>
      <c r="H2908" s="1" t="str">
        <f ca="1">IFERROR(__xludf.DUMMYFUNCTION("GOOGLETRANSLATE(English!H2908, ""en"", ""bg"")"),"образователна_помощ")</f>
        <v>образователна_помощ</v>
      </c>
    </row>
    <row r="2909" spans="1:8" ht="13.2" x14ac:dyDescent="0.25">
      <c r="A2909" s="1" t="str">
        <f ca="1">IFERROR(__xludf.DUMMYFUNCTION("GOOGLETRANSLATE(English!A2909, ""en"", ""bg"")"),"conv_18249")</f>
        <v>conv_18249</v>
      </c>
      <c r="B2909" s="1" t="str">
        <f ca="1">IFERROR(__xludf.DUMMYFUNCTION("GOOGLETRANSLATE(English!B2909, ""en"", ""bg"")"),"биология")</f>
        <v>биология</v>
      </c>
      <c r="C2909" s="1" t="str">
        <f ca="1">IFERROR(__xludf.DUMMYFUNCTION("GOOGLETRANSLATE(English!C2909, ""en"", ""bg"")"),"елементарен")</f>
        <v>елементарен</v>
      </c>
      <c r="D2909" s="1" t="str">
        <f ca="1">IFERROR(__xludf.DUMMYFUNCTION("GOOGLETRANSLATE(English!D2909, ""en"", ""bg"")"),"местообитания")</f>
        <v>местообитания</v>
      </c>
      <c r="E2909" s="1" t="str">
        <f ca="1">IFERROR(__xludf.DUMMYFUNCTION("GOOGLETRANSLATE(English!E2909, ""en"", ""bg"")"),"Имам научен въпрос. Защо местообитанията са важни в биологията?")</f>
        <v>Имам научен въпрос. Защо местообитанията са важни в биологията?</v>
      </c>
      <c r="F2909" s="1" t="str">
        <f ca="1">IFERROR(__xludf.DUMMYFUNCTION("GOOGLETRANSLATE(English!F2909,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2909" s="1" t="str">
        <f ca="1">IFERROR(__xludf.DUMMYFUNCTION("GOOGLETRANSLATE(English!G2909, ""en"", ""bg"")"),"разговор")</f>
        <v>разговор</v>
      </c>
      <c r="H2909" s="1" t="str">
        <f ca="1">IFERROR(__xludf.DUMMYFUNCTION("GOOGLETRANSLATE(English!H2909, ""en"", ""bg"")"),"образователна_помощ")</f>
        <v>образователна_помощ</v>
      </c>
    </row>
    <row r="2910" spans="1:8" ht="13.2" x14ac:dyDescent="0.25">
      <c r="A2910" s="1" t="str">
        <f ca="1">IFERROR(__xludf.DUMMYFUNCTION("GOOGLETRANSLATE(English!A2910, ""en"", ""bg"")"),"qa_05800")</f>
        <v>qa_05800</v>
      </c>
      <c r="B2910" s="1" t="str">
        <f ca="1">IFERROR(__xludf.DUMMYFUNCTION("GOOGLETRANSLATE(English!B2910, ""en"", ""bg"")"),"биология")</f>
        <v>биология</v>
      </c>
      <c r="C2910" s="1" t="str">
        <f ca="1">IFERROR(__xludf.DUMMYFUNCTION("GOOGLETRANSLATE(English!C2910, ""en"", ""bg"")"),"елементарен")</f>
        <v>елементарен</v>
      </c>
      <c r="D2910" s="1" t="str">
        <f ca="1">IFERROR(__xludf.DUMMYFUNCTION("GOOGLETRANSLATE(English!D2910, ""en"", ""bg"")"),"жизнени цикли")</f>
        <v>жизнени цикли</v>
      </c>
      <c r="E2910" s="1" t="str">
        <f ca="1">IFERROR(__xludf.DUMMYFUNCTION("GOOGLETRANSLATE(English!E2910, ""en"", ""bg"")"),"Защо жизнените цикли са важни в биологията?")</f>
        <v>Защо жизнените цикли са важни в биологията?</v>
      </c>
      <c r="F2910" s="1" t="str">
        <f ca="1">IFERROR(__xludf.DUMMYFUNCTION("GOOGLETRANSLATE(English!F2910,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2910" s="1" t="str">
        <f ca="1">IFERROR(__xludf.DUMMYFUNCTION("GOOGLETRANSLATE(English!G2910, ""en"", ""bg"")"),"direct_qa")</f>
        <v>direct_qa</v>
      </c>
      <c r="H2910" s="1" t="str">
        <f ca="1">IFERROR(__xludf.DUMMYFUNCTION("GOOGLETRANSLATE(English!H2910, ""en"", ""bg"")"),"заявка_за_знание")</f>
        <v>заявка_за_знание</v>
      </c>
    </row>
    <row r="2911" spans="1:8" ht="13.2" x14ac:dyDescent="0.25">
      <c r="A2911" s="1" t="str">
        <f ca="1">IFERROR(__xludf.DUMMYFUNCTION("GOOGLETRANSLATE(English!A2911, ""en"", ""bg"")"),"conv_07559")</f>
        <v>conv_07559</v>
      </c>
      <c r="B2911" s="1" t="str">
        <f ca="1">IFERROR(__xludf.DUMMYFUNCTION("GOOGLETRANSLATE(English!B2911, ""en"", ""bg"")"),"физика")</f>
        <v>физика</v>
      </c>
      <c r="C2911" s="1" t="str">
        <f ca="1">IFERROR(__xludf.DUMMYFUNCTION("GOOGLETRANSLATE(English!C2911, ""en"", ""bg"")"),"средата")</f>
        <v>средата</v>
      </c>
      <c r="D2911" s="1" t="str">
        <f ca="1">IFERROR(__xludf.DUMMYFUNCTION("GOOGLETRANSLATE(English!D2911, ""en"", ""bg"")"),"видове енергия")</f>
        <v>видове енергия</v>
      </c>
      <c r="E2911" s="1" t="str">
        <f ca="1">IFERROR(__xludf.DUMMYFUNCTION("GOOGLETRANSLATE(English!E2911, ""en"", ""bg"")"),"Помогнете ми да уча за теста си. Какво е потенциална енергия?")</f>
        <v>Помогнете ми да уча за теста си. Какво е потенциална енергия?</v>
      </c>
      <c r="F2911" s="1" t="str">
        <f ca="1">IFERROR(__xludf.DUMMYFUNCTION("GOOGLETRANSLATE(English!F2911,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2911" s="1" t="str">
        <f ca="1">IFERROR(__xludf.DUMMYFUNCTION("GOOGLETRANSLATE(English!G2911, ""en"", ""bg"")"),"разговор")</f>
        <v>разговор</v>
      </c>
      <c r="H2911" s="1" t="str">
        <f ca="1">IFERROR(__xludf.DUMMYFUNCTION("GOOGLETRANSLATE(English!H2911, ""en"", ""bg"")"),"образователна_помощ")</f>
        <v>образователна_помощ</v>
      </c>
    </row>
    <row r="2912" spans="1:8" ht="13.2" x14ac:dyDescent="0.25">
      <c r="A2912" s="1" t="str">
        <f ca="1">IFERROR(__xludf.DUMMYFUNCTION("GOOGLETRANSLATE(English!A2912, ""en"", ""bg"")"),"qa_11514")</f>
        <v>qa_11514</v>
      </c>
      <c r="B2912" s="1" t="str">
        <f ca="1">IFERROR(__xludf.DUMMYFUNCTION("GOOGLETRANSLATE(English!B2912, ""en"", ""bg"")"),"физика")</f>
        <v>физика</v>
      </c>
      <c r="C2912" s="1" t="str">
        <f ca="1">IFERROR(__xludf.DUMMYFUNCTION("GOOGLETRANSLATE(English!C2912, ""en"", ""bg"")"),"елементарен")</f>
        <v>елементарен</v>
      </c>
      <c r="D2912" s="1" t="str">
        <f ca="1">IFERROR(__xludf.DUMMYFUNCTION("GOOGLETRANSLATE(English!D2912, ""en"", ""bg"")"),"бутане и дърпане")</f>
        <v>бутане и дърпане</v>
      </c>
      <c r="E2912" s="1" t="str">
        <f ca="1">IFERROR(__xludf.DUMMYFUNCTION("GOOGLETRANSLATE(English!E2912, ""en"", ""bg"")"),"Какво трябва да знам за бутането и дърпането?")</f>
        <v>Какво трябва да знам за бутането и дърпането?</v>
      </c>
      <c r="F2912" s="1" t="str">
        <f ca="1">IFERROR(__xludf.DUMMYFUNCTION("GOOGLETRANSLATE(English!F2912,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2912" s="1" t="str">
        <f ca="1">IFERROR(__xludf.DUMMYFUNCTION("GOOGLETRANSLATE(English!G2912, ""en"", ""bg"")"),"direct_qa")</f>
        <v>direct_qa</v>
      </c>
      <c r="H2912" s="1" t="str">
        <f ca="1">IFERROR(__xludf.DUMMYFUNCTION("GOOGLETRANSLATE(English!H2912, ""en"", ""bg"")"),"заявка_за_знание")</f>
        <v>заявка_за_знание</v>
      </c>
    </row>
    <row r="2913" spans="1:8" ht="13.2" x14ac:dyDescent="0.25">
      <c r="A2913" s="1" t="str">
        <f ca="1">IFERROR(__xludf.DUMMYFUNCTION("GOOGLETRANSLATE(English!A2913, ""en"", ""bg"")"),"qa_04202")</f>
        <v>qa_04202</v>
      </c>
      <c r="B2913" s="1" t="str">
        <f ca="1">IFERROR(__xludf.DUMMYFUNCTION("GOOGLETRANSLATE(English!B2913, ""en"", ""bg"")"),"химия")</f>
        <v>химия</v>
      </c>
      <c r="C2913" s="1" t="str">
        <f ca="1">IFERROR(__xludf.DUMMYFUNCTION("GOOGLETRANSLATE(English!C2913, ""en"", ""bg"")"),"средата")</f>
        <v>средата</v>
      </c>
      <c r="D2913" s="1" t="str">
        <f ca="1">IFERROR(__xludf.DUMMYFUNCTION("GOOGLETRANSLATE(English!D2913, ""en"", ""bg"")"),"атоми и молекули")</f>
        <v>атоми и молекули</v>
      </c>
      <c r="E2913" s="1" t="str">
        <f ca="1">IFERROR(__xludf.DUMMYFUNCTION("GOOGLETRANSLATE(English!E2913, ""en"", ""bg"")"),"Какво е атом?")</f>
        <v>Какво е атом?</v>
      </c>
      <c r="F2913" s="1" t="str">
        <f ca="1">IFERROR(__xludf.DUMMYFUNCTION("GOOGLETRANSLATE(English!F2913,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2913" s="1" t="str">
        <f ca="1">IFERROR(__xludf.DUMMYFUNCTION("GOOGLETRANSLATE(English!G2913, ""en"", ""bg"")"),"direct_qa")</f>
        <v>direct_qa</v>
      </c>
      <c r="H2913" s="1" t="str">
        <f ca="1">IFERROR(__xludf.DUMMYFUNCTION("GOOGLETRANSLATE(English!H2913, ""en"", ""bg"")"),"заявка_за_знание")</f>
        <v>заявка_за_знание</v>
      </c>
    </row>
    <row r="2914" spans="1:8" ht="13.2" x14ac:dyDescent="0.25">
      <c r="A2914" s="1" t="str">
        <f ca="1">IFERROR(__xludf.DUMMYFUNCTION("GOOGLETRANSLATE(English!A2914, ""en"", ""bg"")"),"qa_13259")</f>
        <v>qa_13259</v>
      </c>
      <c r="B2914" s="1" t="str">
        <f ca="1">IFERROR(__xludf.DUMMYFUNCTION("GOOGLETRANSLATE(English!B2914, ""en"", ""bg"")"),"биология")</f>
        <v>биология</v>
      </c>
      <c r="C2914" s="1" t="str">
        <f ca="1">IFERROR(__xludf.DUMMYFUNCTION("GOOGLETRANSLATE(English!C2914, ""en"", ""bg"")"),"високо")</f>
        <v>високо</v>
      </c>
      <c r="D2914" s="1" t="str">
        <f ca="1">IFERROR(__xludf.DUMMYFUNCTION("GOOGLETRANSLATE(English!D2914, ""en"", ""bg"")"),"Структура на ДНК")</f>
        <v>Структура на ДНК</v>
      </c>
      <c r="E2914" s="1" t="str">
        <f ca="1">IFERROR(__xludf.DUMMYFUNCTION("GOOGLETRANSLATE(English!E2914, ""en"", ""bg"")"),"Как работи структурата на ДНК?")</f>
        <v>Как работи структурата на ДНК?</v>
      </c>
      <c r="F2914" s="1" t="str">
        <f ca="1">IFERROR(__xludf.DUMMYFUNCTION("GOOGLETRANSLATE(English!F2914,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2914" s="1" t="str">
        <f ca="1">IFERROR(__xludf.DUMMYFUNCTION("GOOGLETRANSLATE(English!G2914, ""en"", ""bg"")"),"direct_qa")</f>
        <v>direct_qa</v>
      </c>
      <c r="H2914" s="1" t="str">
        <f ca="1">IFERROR(__xludf.DUMMYFUNCTION("GOOGLETRANSLATE(English!H2914, ""en"", ""bg"")"),"заявка_за_знание")</f>
        <v>заявка_за_знание</v>
      </c>
    </row>
    <row r="2915" spans="1:8" ht="13.2" x14ac:dyDescent="0.25">
      <c r="A2915" s="1" t="str">
        <f ca="1">IFERROR(__xludf.DUMMYFUNCTION("GOOGLETRANSLATE(English!A2915, ""en"", ""bg"")"),"hw_11763")</f>
        <v>hw_11763</v>
      </c>
      <c r="B2915" s="1" t="str">
        <f ca="1">IFERROR(__xludf.DUMMYFUNCTION("GOOGLETRANSLATE(English!B2915, ""en"", ""bg"")"),"химия")</f>
        <v>химия</v>
      </c>
      <c r="C2915" s="1" t="str">
        <f ca="1">IFERROR(__xludf.DUMMYFUNCTION("GOOGLETRANSLATE(English!C2915, ""en"", ""bg"")"),"елементарен")</f>
        <v>елементарен</v>
      </c>
      <c r="D2915" s="1" t="str">
        <f ca="1">IFERROR(__xludf.DUMMYFUNCTION("GOOGLETRANSLATE(English!D2915, ""en"", ""bg"")"),"разтваряне")</f>
        <v>разтваряне</v>
      </c>
      <c r="E2915" s="1" t="str">
        <f ca="1">IFERROR(__xludf.DUMMYFUNCTION("GOOGLETRANSLATE(English!E2915,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2915" s="1" t="str">
        <f ca="1">IFERROR(__xludf.DUMMYFUNCTION("GOOGLETRANSLATE(English!F2915,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2915" s="1" t="str">
        <f ca="1">IFERROR(__xludf.DUMMYFUNCTION("GOOGLETRANSLATE(English!G2915, ""en"", ""bg"")"),"помощ_за_домашно_изпълнение")</f>
        <v>помощ_за_домашно_изпълнение</v>
      </c>
      <c r="H2915" s="1" t="str">
        <f ca="1">IFERROR(__xludf.DUMMYFUNCTION("GOOGLETRANSLATE(English!H2915, ""en"", ""bg"")"),"помощ_за_домашно_задаване")</f>
        <v>помощ_за_домашно_задаване</v>
      </c>
    </row>
    <row r="2916" spans="1:8" ht="13.2" x14ac:dyDescent="0.25">
      <c r="A2916" s="1" t="str">
        <f ca="1">IFERROR(__xludf.DUMMYFUNCTION("GOOGLETRANSLATE(English!A2916, ""en"", ""bg"")"),"conv_17798")</f>
        <v>conv_17798</v>
      </c>
      <c r="B2916" s="1" t="str">
        <f ca="1">IFERROR(__xludf.DUMMYFUNCTION("GOOGLETRANSLATE(English!B2916, ""en"", ""bg"")"),"физика")</f>
        <v>физика</v>
      </c>
      <c r="C2916" s="1" t="str">
        <f ca="1">IFERROR(__xludf.DUMMYFUNCTION("GOOGLETRANSLATE(English!C2916, ""en"", ""bg"")"),"елементарен")</f>
        <v>елементарен</v>
      </c>
      <c r="D2916" s="1" t="str">
        <f ca="1">IFERROR(__xludf.DUMMYFUNCTION("GOOGLETRANSLATE(English!D2916, ""en"", ""bg"")"),"магнити")</f>
        <v>магнити</v>
      </c>
      <c r="E2916" s="1" t="str">
        <f ca="1">IFERROR(__xludf.DUMMYFUNCTION("GOOGLETRANSLATE(English!E2916, ""en"", ""bg"")"),"Имам научен въпрос: Кои са полюсите на магнита?")</f>
        <v>Имам научен въпрос: Кои са полюсите на магнита?</v>
      </c>
      <c r="F2916" s="1" t="str">
        <f ca="1">IFERROR(__xludf.DUMMYFUNCTION("GOOGLETRANSLATE(English!F2916,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2916" s="1" t="str">
        <f ca="1">IFERROR(__xludf.DUMMYFUNCTION("GOOGLETRANSLATE(English!G2916, ""en"", ""bg"")"),"разговор")</f>
        <v>разговор</v>
      </c>
      <c r="H2916" s="1" t="str">
        <f ca="1">IFERROR(__xludf.DUMMYFUNCTION("GOOGLETRANSLATE(English!H2916, ""en"", ""bg"")"),"образователна_помощ")</f>
        <v>образователна_помощ</v>
      </c>
    </row>
    <row r="2917" spans="1:8" ht="13.2" x14ac:dyDescent="0.25">
      <c r="A2917" s="1" t="str">
        <f ca="1">IFERROR(__xludf.DUMMYFUNCTION("GOOGLETRANSLATE(English!A2917, ""en"", ""bg"")"),"qa_01364")</f>
        <v>qa_01364</v>
      </c>
      <c r="B2917" s="1" t="str">
        <f ca="1">IFERROR(__xludf.DUMMYFUNCTION("GOOGLETRANSLATE(English!B2917, ""en"", ""bg"")"),"физика")</f>
        <v>физика</v>
      </c>
      <c r="C2917" s="1" t="str">
        <f ca="1">IFERROR(__xludf.DUMMYFUNCTION("GOOGLETRANSLATE(English!C2917, ""en"", ""bg"")"),"елементарен")</f>
        <v>елементарен</v>
      </c>
      <c r="D2917" s="1" t="str">
        <f ca="1">IFERROR(__xludf.DUMMYFUNCTION("GOOGLETRANSLATE(English!D2917, ""en"", ""bg"")"),"бутане и дърпане")</f>
        <v>бутане и дърпане</v>
      </c>
      <c r="E2917" s="1" t="str">
        <f ca="1">IFERROR(__xludf.DUMMYFUNCTION("GOOGLETRANSLATE(English!E2917, ""en"", ""bg"")"),"Как работят бутането и дърпането във физиката?")</f>
        <v>Как работят бутането и дърпането във физиката?</v>
      </c>
      <c r="F2917" s="1" t="str">
        <f ca="1">IFERROR(__xludf.DUMMYFUNCTION("GOOGLETRANSLATE(English!F2917,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2917" s="1" t="str">
        <f ca="1">IFERROR(__xludf.DUMMYFUNCTION("GOOGLETRANSLATE(English!G2917, ""en"", ""bg"")"),"direct_qa")</f>
        <v>direct_qa</v>
      </c>
      <c r="H2917" s="1" t="str">
        <f ca="1">IFERROR(__xludf.DUMMYFUNCTION("GOOGLETRANSLATE(English!H2917, ""en"", ""bg"")"),"заявка_за_знание")</f>
        <v>заявка_за_знание</v>
      </c>
    </row>
    <row r="2918" spans="1:8" ht="13.2" x14ac:dyDescent="0.25">
      <c r="A2918" s="1" t="str">
        <f ca="1">IFERROR(__xludf.DUMMYFUNCTION("GOOGLETRANSLATE(English!A2918, ""en"", ""bg"")"),"hw_09101")</f>
        <v>hw_09101</v>
      </c>
      <c r="B2918" s="1" t="str">
        <f ca="1">IFERROR(__xludf.DUMMYFUNCTION("GOOGLETRANSLATE(English!B2918, ""en"", ""bg"")"),"физика")</f>
        <v>физика</v>
      </c>
      <c r="C2918" s="1" t="str">
        <f ca="1">IFERROR(__xludf.DUMMYFUNCTION("GOOGLETRANSLATE(English!C2918, ""en"", ""bg"")"),"средата")</f>
        <v>средата</v>
      </c>
      <c r="D2918" s="1" t="str">
        <f ca="1">IFERROR(__xludf.DUMMYFUNCTION("GOOGLETRANSLATE(English!D2918, ""en"", ""bg"")"),"основи на електричеството")</f>
        <v>основи на електричеството</v>
      </c>
      <c r="E2918" s="1" t="str">
        <f ca="1">IFERROR(__xludf.DUMMYFUNCTION("GOOGLETRANSLATE(English!E2918, ""en"", ""bg"")"),"Можете ли да решите този въпрос по основи на електричеството с мен?")</f>
        <v>Можете ли да решите този въпрос по основи на електричеството с мен?</v>
      </c>
      <c r="F2918" s="1" t="str">
        <f ca="1">IFERROR(__xludf.DUMMYFUNCTION("GOOGLETRANSLATE(English!F2918,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2918" s="1" t="str">
        <f ca="1">IFERROR(__xludf.DUMMYFUNCTION("GOOGLETRANSLATE(English!G2918, ""en"", ""bg"")"),"помощ_за_домашно_изпълнение")</f>
        <v>помощ_за_домашно_изпълнение</v>
      </c>
      <c r="H2918" s="1" t="str">
        <f ca="1">IFERROR(__xludf.DUMMYFUNCTION("GOOGLETRANSLATE(English!H2918, ""en"", ""bg"")"),"помощ_за_домашно_задаване")</f>
        <v>помощ_за_домашно_задаване</v>
      </c>
    </row>
    <row r="2919" spans="1:8" ht="13.2" x14ac:dyDescent="0.25">
      <c r="A2919" s="1" t="str">
        <f ca="1">IFERROR(__xludf.DUMMYFUNCTION("GOOGLETRANSLATE(English!A2919, ""en"", ""bg"")"),"hw_08191")</f>
        <v>hw_08191</v>
      </c>
      <c r="B2919" s="1" t="str">
        <f ca="1">IFERROR(__xludf.DUMMYFUNCTION("GOOGLETRANSLATE(English!B2919, ""en"", ""bg"")"),"биология")</f>
        <v>биология</v>
      </c>
      <c r="C2919" s="1" t="str">
        <f ca="1">IFERROR(__xludf.DUMMYFUNCTION("GOOGLETRANSLATE(English!C2919, ""en"", ""bg"")"),"елементарен")</f>
        <v>елементарен</v>
      </c>
      <c r="D2919" s="1" t="str">
        <f ca="1">IFERROR(__xludf.DUMMYFUNCTION("GOOGLETRANSLATE(English!D2919, ""en"", ""bg"")"),"местообитания")</f>
        <v>местообитания</v>
      </c>
      <c r="E2919" s="1" t="str">
        <f ca="1">IFERROR(__xludf.DUMMYFUNCTION("GOOGLETRANSLATE(English!E2919, ""en"", ""bg"")"),"Можете ли да обясните местообитанията за моя научен проект?")</f>
        <v>Можете ли да обясните местообитанията за моя научен проект?</v>
      </c>
      <c r="F2919" s="1" t="str">
        <f ca="1">IFERROR(__xludf.DUMMYFUNCTION("GOOGLETRANSLATE(English!F2919,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2919" s="1" t="str">
        <f ca="1">IFERROR(__xludf.DUMMYFUNCTION("GOOGLETRANSLATE(English!G2919, ""en"", ""bg"")"),"помощ_за_домашно_изпълнение")</f>
        <v>помощ_за_домашно_изпълнение</v>
      </c>
      <c r="H2919" s="1" t="str">
        <f ca="1">IFERROR(__xludf.DUMMYFUNCTION("GOOGLETRANSLATE(English!H2919, ""en"", ""bg"")"),"помощ_за_домашно_задаване")</f>
        <v>помощ_за_домашно_задаване</v>
      </c>
    </row>
    <row r="2920" spans="1:8" ht="13.2" x14ac:dyDescent="0.25">
      <c r="A2920" s="1" t="str">
        <f ca="1">IFERROR(__xludf.DUMMYFUNCTION("GOOGLETRANSLATE(English!A2920, ""en"", ""bg"")"),"conv_10950")</f>
        <v>conv_10950</v>
      </c>
      <c r="B2920" s="1" t="str">
        <f ca="1">IFERROR(__xludf.DUMMYFUNCTION("GOOGLETRANSLATE(English!B2920, ""en"", ""bg"")"),"биология")</f>
        <v>биология</v>
      </c>
      <c r="C2920" s="1" t="str">
        <f ca="1">IFERROR(__xludf.DUMMYFUNCTION("GOOGLETRANSLATE(English!C2920, ""en"", ""bg"")"),"средата")</f>
        <v>средата</v>
      </c>
      <c r="D2920" s="1" t="str">
        <f ca="1">IFERROR(__xludf.DUMMYFUNCTION("GOOGLETRANSLATE(English!D2920, ""en"", ""bg"")"),"основи на еволюцията")</f>
        <v>основи на еволюцията</v>
      </c>
      <c r="E2920" s="1" t="str">
        <f ca="1">IFERROR(__xludf.DUMMYFUNCTION("GOOGLETRANSLATE(English!E2920, ""en"", ""bg"")"),"Можете ли да ми обясните това? Какво е важно да знаем за основите на еволюцията?")</f>
        <v>Можете ли да ми обясните това? Какво е важно да знаем за основите на еволюцията?</v>
      </c>
      <c r="F2920" s="1" t="str">
        <f ca="1">IFERROR(__xludf.DUMMYFUNCTION("GOOGLETRANSLATE(English!F2920,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2920" s="1" t="str">
        <f ca="1">IFERROR(__xludf.DUMMYFUNCTION("GOOGLETRANSLATE(English!G2920, ""en"", ""bg"")"),"разговор")</f>
        <v>разговор</v>
      </c>
      <c r="H2920" s="1" t="str">
        <f ca="1">IFERROR(__xludf.DUMMYFUNCTION("GOOGLETRANSLATE(English!H2920, ""en"", ""bg"")"),"образователна_помощ")</f>
        <v>образователна_помощ</v>
      </c>
    </row>
    <row r="2921" spans="1:8" ht="13.2" x14ac:dyDescent="0.25">
      <c r="A2921" s="1" t="str">
        <f ca="1">IFERROR(__xludf.DUMMYFUNCTION("GOOGLETRANSLATE(English!A2921, ""en"", ""bg"")"),"hw_05208")</f>
        <v>hw_05208</v>
      </c>
      <c r="B2921" s="1" t="str">
        <f ca="1">IFERROR(__xludf.DUMMYFUNCTION("GOOGLETRANSLATE(English!B2921, ""en"", ""bg"")"),"биология")</f>
        <v>биология</v>
      </c>
      <c r="C2921" s="1" t="str">
        <f ca="1">IFERROR(__xludf.DUMMYFUNCTION("GOOGLETRANSLATE(English!C2921, ""en"", ""bg"")"),"елементарен")</f>
        <v>елементарен</v>
      </c>
      <c r="D2921" s="1" t="str">
        <f ca="1">IFERROR(__xludf.DUMMYFUNCTION("GOOGLETRANSLATE(English!D2921, ""en"", ""bg"")"),"сетива")</f>
        <v>сетива</v>
      </c>
      <c r="E2921" s="1" t="str">
        <f ca="1">IFERROR(__xludf.DUMMYFUNCTION("GOOGLETRANSLATE(English!E2921, ""en"", ""bg"")"),"Можете ли да обясните сетивата за моя научен проект?")</f>
        <v>Можете ли да обясните сетивата за моя научен проект?</v>
      </c>
      <c r="F2921" s="1" t="str">
        <f ca="1">IFERROR(__xludf.DUMMYFUNCTION("GOOGLETRANSLATE(English!F2921,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2921" s="1" t="str">
        <f ca="1">IFERROR(__xludf.DUMMYFUNCTION("GOOGLETRANSLATE(English!G2921, ""en"", ""bg"")"),"помощ_за_домашно_изпълнение")</f>
        <v>помощ_за_домашно_изпълнение</v>
      </c>
      <c r="H2921" s="1" t="str">
        <f ca="1">IFERROR(__xludf.DUMMYFUNCTION("GOOGLETRANSLATE(English!H2921, ""en"", ""bg"")"),"помощ_за_домашно_задаване")</f>
        <v>помощ_за_домашно_задаване</v>
      </c>
    </row>
    <row r="2922" spans="1:8" ht="13.2" x14ac:dyDescent="0.25">
      <c r="A2922" s="1" t="str">
        <f ca="1">IFERROR(__xludf.DUMMYFUNCTION("GOOGLETRANSLATE(English!A2922, ""en"", ""bg"")"),"qa_04901")</f>
        <v>qa_04901</v>
      </c>
      <c r="B2922" s="1" t="str">
        <f ca="1">IFERROR(__xludf.DUMMYFUNCTION("GOOGLETRANSLATE(English!B2922, ""en"", ""bg"")"),"физика")</f>
        <v>физика</v>
      </c>
      <c r="C2922" s="1" t="str">
        <f ca="1">IFERROR(__xludf.DUMMYFUNCTION("GOOGLETRANSLATE(English!C2922, ""en"", ""bg"")"),"високо")</f>
        <v>високо</v>
      </c>
      <c r="D2922" s="1" t="str">
        <f ca="1">IFERROR(__xludf.DUMMYFUNCTION("GOOGLETRANSLATE(English!D2922, ""en"", ""bg"")"),"електромагнетизъм")</f>
        <v>електромагнетизъм</v>
      </c>
      <c r="E2922" s="1" t="str">
        <f ca="1">IFERROR(__xludf.DUMMYFUNCTION("GOOGLETRANSLATE(English!E2922, ""en"", ""bg"")"),"Защо електромагнетизмът е важен?")</f>
        <v>Защо електромагнетизмът е важен?</v>
      </c>
      <c r="F2922" s="1" t="str">
        <f ca="1">IFERROR(__xludf.DUMMYFUNCTION("GOOGLETRANSLATE(English!F2922,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2922" s="1" t="str">
        <f ca="1">IFERROR(__xludf.DUMMYFUNCTION("GOOGLETRANSLATE(English!G2922, ""en"", ""bg"")"),"direct_qa")</f>
        <v>direct_qa</v>
      </c>
      <c r="H2922" s="1" t="str">
        <f ca="1">IFERROR(__xludf.DUMMYFUNCTION("GOOGLETRANSLATE(English!H2922, ""en"", ""bg"")"),"заявка_за_знание")</f>
        <v>заявка_за_знание</v>
      </c>
    </row>
    <row r="2923" spans="1:8" ht="13.2" x14ac:dyDescent="0.25">
      <c r="A2923" s="1" t="str">
        <f ca="1">IFERROR(__xludf.DUMMYFUNCTION("GOOGLETRANSLATE(English!A2923, ""en"", ""bg"")"),"qa_09510")</f>
        <v>qa_09510</v>
      </c>
      <c r="B2923" s="1" t="str">
        <f ca="1">IFERROR(__xludf.DUMMYFUNCTION("GOOGLETRANSLATE(English!B2923, ""en"", ""bg"")"),"химия")</f>
        <v>химия</v>
      </c>
      <c r="C2923" s="1" t="str">
        <f ca="1">IFERROR(__xludf.DUMMYFUNCTION("GOOGLETRANSLATE(English!C2923, ""en"", ""bg"")"),"средата")</f>
        <v>средата</v>
      </c>
      <c r="D2923" s="1" t="str">
        <f ca="1">IFERROR(__xludf.DUMMYFUNCTION("GOOGLETRANSLATE(English!D2923, ""en"", ""bg"")"),"съединения срещу елементи")</f>
        <v>съединения срещу елементи</v>
      </c>
      <c r="E2923" s="1" t="str">
        <f ca="1">IFERROR(__xludf.DUMMYFUNCTION("GOOGLETRANSLATE(English!E2923, ""en"", ""bg"")"),"Можете ли да ми помогнете да разбера по-добре съединенията спрямо елементите?")</f>
        <v>Можете ли да ми помогнете да разбера по-добре съединенията спрямо елементите?</v>
      </c>
      <c r="F2923" s="1" t="str">
        <f ca="1">IFERROR(__xludf.DUMMYFUNCTION("GOOGLETRANSLATE(English!F2923,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2923" s="1" t="str">
        <f ca="1">IFERROR(__xludf.DUMMYFUNCTION("GOOGLETRANSLATE(English!G2923, ""en"", ""bg"")"),"direct_qa")</f>
        <v>direct_qa</v>
      </c>
      <c r="H2923" s="1" t="str">
        <f ca="1">IFERROR(__xludf.DUMMYFUNCTION("GOOGLETRANSLATE(English!H2923, ""en"", ""bg"")"),"заявка_за_знание")</f>
        <v>заявка_за_знание</v>
      </c>
    </row>
    <row r="2924" spans="1:8" ht="13.2" x14ac:dyDescent="0.25">
      <c r="A2924" s="1" t="str">
        <f ca="1">IFERROR(__xludf.DUMMYFUNCTION("GOOGLETRANSLATE(English!A2924, ""en"", ""bg"")"),"qa_05535")</f>
        <v>qa_05535</v>
      </c>
      <c r="B2924" s="1" t="str">
        <f ca="1">IFERROR(__xludf.DUMMYFUNCTION("GOOGLETRANSLATE(English!B2924, ""en"", ""bg"")"),"физика")</f>
        <v>физика</v>
      </c>
      <c r="C2924" s="1" t="str">
        <f ca="1">IFERROR(__xludf.DUMMYFUNCTION("GOOGLETRANSLATE(English!C2924, ""en"", ""bg"")"),"елементарен")</f>
        <v>елементарен</v>
      </c>
      <c r="D2924" s="1" t="str">
        <f ca="1">IFERROR(__xludf.DUMMYFUNCTION("GOOGLETRANSLATE(English!D2924, ""en"", ""bg"")"),"магнити")</f>
        <v>магнити</v>
      </c>
      <c r="E2924" s="1" t="str">
        <f ca="1">IFERROR(__xludf.DUMMYFUNCTION("GOOGLETRANSLATE(English!E2924, ""en"", ""bg"")"),"Как работят магнитите?")</f>
        <v>Как работят магнитите?</v>
      </c>
      <c r="F2924" s="1" t="str">
        <f ca="1">IFERROR(__xludf.DUMMYFUNCTION("GOOGLETRANSLATE(English!F2924,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2924" s="1" t="str">
        <f ca="1">IFERROR(__xludf.DUMMYFUNCTION("GOOGLETRANSLATE(English!G2924, ""en"", ""bg"")"),"direct_qa")</f>
        <v>direct_qa</v>
      </c>
      <c r="H2924" s="1" t="str">
        <f ca="1">IFERROR(__xludf.DUMMYFUNCTION("GOOGLETRANSLATE(English!H2924, ""en"", ""bg"")"),"заявка_за_знание")</f>
        <v>заявка_за_знание</v>
      </c>
    </row>
    <row r="2925" spans="1:8" ht="13.2" x14ac:dyDescent="0.25">
      <c r="A2925" s="1" t="str">
        <f ca="1">IFERROR(__xludf.DUMMYFUNCTION("GOOGLETRANSLATE(English!A2925, ""en"", ""bg"")"),"qa_01727")</f>
        <v>qa_01727</v>
      </c>
      <c r="B2925" s="1" t="str">
        <f ca="1">IFERROR(__xludf.DUMMYFUNCTION("GOOGLETRANSLATE(English!B2925, ""en"", ""bg"")"),"биология")</f>
        <v>биология</v>
      </c>
      <c r="C2925" s="1" t="str">
        <f ca="1">IFERROR(__xludf.DUMMYFUNCTION("GOOGLETRANSLATE(English!C2925, ""en"", ""bg"")"),"високо")</f>
        <v>високо</v>
      </c>
      <c r="D2925" s="1" t="str">
        <f ca="1">IFERROR(__xludf.DUMMYFUNCTION("GOOGLETRANSLATE(English!D2925, ""en"", ""bg"")"),"клетъчно дишане")</f>
        <v>клетъчно дишане</v>
      </c>
      <c r="E2925" s="1" t="str">
        <f ca="1">IFERROR(__xludf.DUMMYFUNCTION("GOOGLETRANSLATE(English!E2925, ""en"", ""bg"")"),"Как работи клетъчното дишане?")</f>
        <v>Как работи клетъчното дишане?</v>
      </c>
      <c r="F2925" s="1" t="str">
        <f ca="1">IFERROR(__xludf.DUMMYFUNCTION("GOOGLETRANSLATE(English!F2925,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2925" s="1" t="str">
        <f ca="1">IFERROR(__xludf.DUMMYFUNCTION("GOOGLETRANSLATE(English!G2925, ""en"", ""bg"")"),"direct_qa")</f>
        <v>direct_qa</v>
      </c>
      <c r="H2925" s="1" t="str">
        <f ca="1">IFERROR(__xludf.DUMMYFUNCTION("GOOGLETRANSLATE(English!H2925, ""en"", ""bg"")"),"заявка_за_знание")</f>
        <v>заявка_за_знание</v>
      </c>
    </row>
    <row r="2926" spans="1:8" ht="13.2" x14ac:dyDescent="0.25">
      <c r="A2926" s="1" t="str">
        <f ca="1">IFERROR(__xludf.DUMMYFUNCTION("GOOGLETRANSLATE(English!A2926, ""en"", ""bg"")"),"hw_00645")</f>
        <v>hw_00645</v>
      </c>
      <c r="B2926" s="1" t="str">
        <f ca="1">IFERROR(__xludf.DUMMYFUNCTION("GOOGLETRANSLATE(English!B2926, ""en"", ""bg"")"),"химия")</f>
        <v>химия</v>
      </c>
      <c r="C2926" s="1" t="str">
        <f ca="1">IFERROR(__xludf.DUMMYFUNCTION("GOOGLETRANSLATE(English!C2926, ""en"", ""bg"")"),"средата")</f>
        <v>средата</v>
      </c>
      <c r="D2926" s="1" t="str">
        <f ca="1">IFERROR(__xludf.DUMMYFUNCTION("GOOGLETRANSLATE(English!D2926, ""en"", ""bg"")"),"съединения срещу елементи")</f>
        <v>съединения срещу елементи</v>
      </c>
      <c r="E2926" s="1" t="str">
        <f ca="1">IFERROR(__xludf.DUMMYFUNCTION("GOOGLETRANSLATE(English!E2926,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2926" s="1" t="str">
        <f ca="1">IFERROR(__xludf.DUMMYFUNCTION("GOOGLETRANSLATE(English!F2926,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2926" s="1" t="str">
        <f ca="1">IFERROR(__xludf.DUMMYFUNCTION("GOOGLETRANSLATE(English!G2926, ""en"", ""bg"")"),"помощ_за_домашно_изпълнение")</f>
        <v>помощ_за_домашно_изпълнение</v>
      </c>
      <c r="H2926" s="1" t="str">
        <f ca="1">IFERROR(__xludf.DUMMYFUNCTION("GOOGLETRANSLATE(English!H2926, ""en"", ""bg"")"),"помощ_за_домашно_задаване")</f>
        <v>помощ_за_домашно_задаване</v>
      </c>
    </row>
    <row r="2927" spans="1:8" ht="13.2" x14ac:dyDescent="0.25">
      <c r="A2927" s="1" t="str">
        <f ca="1">IFERROR(__xludf.DUMMYFUNCTION("GOOGLETRANSLATE(English!A2927, ""en"", ""bg"")"),"qa_02571")</f>
        <v>qa_02571</v>
      </c>
      <c r="B2927" s="1" t="str">
        <f ca="1">IFERROR(__xludf.DUMMYFUNCTION("GOOGLETRANSLATE(English!B2927, ""en"", ""bg"")"),"химия")</f>
        <v>химия</v>
      </c>
      <c r="C2927" s="1" t="str">
        <f ca="1">IFERROR(__xludf.DUMMYFUNCTION("GOOGLETRANSLATE(English!C2927, ""en"", ""bg"")"),"елементарен")</f>
        <v>елементарен</v>
      </c>
      <c r="D2927" s="1" t="str">
        <f ca="1">IFERROR(__xludf.DUMMYFUNCTION("GOOGLETRANSLATE(English!D2927, ""en"", ""bg"")"),"твърди вещества, течности, газове")</f>
        <v>твърди вещества, течности, газове</v>
      </c>
      <c r="E2927" s="1" t="str">
        <f ca="1">IFERROR(__xludf.DUMMYFUNCTION("GOOGLETRANSLATE(English!E2927, ""en"", ""bg"")"),"Какво се случва, когато нагрявате твърдо вещество?")</f>
        <v>Какво се случва, когато нагрявате твърдо вещество?</v>
      </c>
      <c r="F2927" s="1" t="str">
        <f ca="1">IFERROR(__xludf.DUMMYFUNCTION("GOOGLETRANSLATE(English!F2927,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2927" s="1" t="str">
        <f ca="1">IFERROR(__xludf.DUMMYFUNCTION("GOOGLETRANSLATE(English!G2927, ""en"", ""bg"")"),"direct_qa")</f>
        <v>direct_qa</v>
      </c>
      <c r="H2927" s="1" t="str">
        <f ca="1">IFERROR(__xludf.DUMMYFUNCTION("GOOGLETRANSLATE(English!H2927, ""en"", ""bg"")"),"заявка_за_знание")</f>
        <v>заявка_за_знание</v>
      </c>
    </row>
    <row r="2928" spans="1:8" ht="13.2" x14ac:dyDescent="0.25">
      <c r="A2928" s="1" t="str">
        <f ca="1">IFERROR(__xludf.DUMMYFUNCTION("GOOGLETRANSLATE(English!A2928, ""en"", ""bg"")"),"hw_04467")</f>
        <v>hw_04467</v>
      </c>
      <c r="B2928" s="1" t="str">
        <f ca="1">IFERROR(__xludf.DUMMYFUNCTION("GOOGLETRANSLATE(English!B2928, ""en"", ""bg"")"),"физика")</f>
        <v>физика</v>
      </c>
      <c r="C2928" s="1" t="str">
        <f ca="1">IFERROR(__xludf.DUMMYFUNCTION("GOOGLETRANSLATE(English!C2928, ""en"", ""bg"")"),"елементарен")</f>
        <v>елементарен</v>
      </c>
      <c r="D2928" s="1" t="str">
        <f ca="1">IFERROR(__xludf.DUMMYFUNCTION("GOOGLETRANSLATE(English!D2928, ""en"", ""bg"")"),"горещо и студено")</f>
        <v>горещо и студено</v>
      </c>
      <c r="E2928" s="1" t="str">
        <f ca="1">IFERROR(__xludf.DUMMYFUNCTION("GOOGLETRANSLATE(English!E2928, ""en"", ""bg"")"),"Можеш ли да решиш този горещ и студен въпрос с мен?")</f>
        <v>Можеш ли да решиш този горещ и студен въпрос с мен?</v>
      </c>
      <c r="F2928" s="1" t="str">
        <f ca="1">IFERROR(__xludf.DUMMYFUNCTION("GOOGLETRANSLATE(English!F2928,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2928" s="1" t="str">
        <f ca="1">IFERROR(__xludf.DUMMYFUNCTION("GOOGLETRANSLATE(English!G2928, ""en"", ""bg"")"),"помощ_за_домашно_изпълнение")</f>
        <v>помощ_за_домашно_изпълнение</v>
      </c>
      <c r="H2928" s="1" t="str">
        <f ca="1">IFERROR(__xludf.DUMMYFUNCTION("GOOGLETRANSLATE(English!H2928, ""en"", ""bg"")"),"помощ_за_домашно_задаване")</f>
        <v>помощ_за_домашно_задаване</v>
      </c>
    </row>
    <row r="2929" spans="1:8" ht="13.2" x14ac:dyDescent="0.25">
      <c r="A2929" s="1" t="str">
        <f ca="1">IFERROR(__xludf.DUMMYFUNCTION("GOOGLETRANSLATE(English!A2929, ""en"", ""bg"")"),"hw_00519")</f>
        <v>hw_00519</v>
      </c>
      <c r="B2929" s="1" t="str">
        <f ca="1">IFERROR(__xludf.DUMMYFUNCTION("GOOGLETRANSLATE(English!B2929, ""en"", ""bg"")"),"биология")</f>
        <v>биология</v>
      </c>
      <c r="C2929" s="1" t="str">
        <f ca="1">IFERROR(__xludf.DUMMYFUNCTION("GOOGLETRANSLATE(English!C2929, ""en"", ""bg"")"),"елементарен")</f>
        <v>елементарен</v>
      </c>
      <c r="D2929" s="1" t="str">
        <f ca="1">IFERROR(__xludf.DUMMYFUNCTION("GOOGLETRANSLATE(English!D2929, ""en"", ""bg"")"),"растения")</f>
        <v>растения</v>
      </c>
      <c r="E2929" s="1" t="str">
        <f ca="1">IFERROR(__xludf.DUMMYFUNCTION("GOOGLETRANSLATE(English!E2929, ""en"", ""bg"")"),"Домашното ми пита за растенията. Не го разбирам.")</f>
        <v>Домашното ми пита за растенията. Не го разбирам.</v>
      </c>
      <c r="F2929" s="1" t="str">
        <f ca="1">IFERROR(__xludf.DUMMYFUNCTION("GOOGLETRANSLATE(English!F2929,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2929" s="1" t="str">
        <f ca="1">IFERROR(__xludf.DUMMYFUNCTION("GOOGLETRANSLATE(English!G2929, ""en"", ""bg"")"),"помощ_за_домашно_изпълнение")</f>
        <v>помощ_за_домашно_изпълнение</v>
      </c>
      <c r="H2929" s="1" t="str">
        <f ca="1">IFERROR(__xludf.DUMMYFUNCTION("GOOGLETRANSLATE(English!H2929, ""en"", ""bg"")"),"помощ_за_домашно_задаване")</f>
        <v>помощ_за_домашно_задаване</v>
      </c>
    </row>
    <row r="2930" spans="1:8" ht="13.2" x14ac:dyDescent="0.25">
      <c r="A2930" s="1" t="str">
        <f ca="1">IFERROR(__xludf.DUMMYFUNCTION("GOOGLETRANSLATE(English!A2930, ""en"", ""bg"")"),"qa_04392")</f>
        <v>qa_04392</v>
      </c>
      <c r="B2930" s="1" t="str">
        <f ca="1">IFERROR(__xludf.DUMMYFUNCTION("GOOGLETRANSLATE(English!B2930, ""en"", ""bg"")"),"физика")</f>
        <v>физика</v>
      </c>
      <c r="C2930" s="1" t="str">
        <f ca="1">IFERROR(__xludf.DUMMYFUNCTION("GOOGLETRANSLATE(English!C2930, ""en"", ""bg"")"),"елементарен")</f>
        <v>елементарен</v>
      </c>
      <c r="D2930" s="1" t="str">
        <f ca="1">IFERROR(__xludf.DUMMYFUNCTION("GOOGLETRANSLATE(English!D2930, ""en"", ""bg"")"),"бутане и дърпане")</f>
        <v>бутане и дърпане</v>
      </c>
      <c r="E2930" s="1" t="str">
        <f ca="1">IFERROR(__xludf.DUMMYFUNCTION("GOOGLETRANSLATE(English!E2930, ""en"", ""bg"")"),"Как работят бутането и дърпането във физиката?")</f>
        <v>Как работят бутането и дърпането във физиката?</v>
      </c>
      <c r="F2930" s="1" t="str">
        <f ca="1">IFERROR(__xludf.DUMMYFUNCTION("GOOGLETRANSLATE(English!F2930,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2930" s="1" t="str">
        <f ca="1">IFERROR(__xludf.DUMMYFUNCTION("GOOGLETRANSLATE(English!G2930, ""en"", ""bg"")"),"direct_qa")</f>
        <v>direct_qa</v>
      </c>
      <c r="H2930" s="1" t="str">
        <f ca="1">IFERROR(__xludf.DUMMYFUNCTION("GOOGLETRANSLATE(English!H2930, ""en"", ""bg"")"),"заявка_за_знание")</f>
        <v>заявка_за_знание</v>
      </c>
    </row>
    <row r="2931" spans="1:8" ht="13.2" x14ac:dyDescent="0.25">
      <c r="A2931" s="1" t="str">
        <f ca="1">IFERROR(__xludf.DUMMYFUNCTION("GOOGLETRANSLATE(English!A2931, ""en"", ""bg"")"),"hw_12710")</f>
        <v>hw_12710</v>
      </c>
      <c r="B2931" s="1" t="str">
        <f ca="1">IFERROR(__xludf.DUMMYFUNCTION("GOOGLETRANSLATE(English!B2931, ""en"", ""bg"")"),"биология")</f>
        <v>биология</v>
      </c>
      <c r="C2931" s="1" t="str">
        <f ca="1">IFERROR(__xludf.DUMMYFUNCTION("GOOGLETRANSLATE(English!C2931, ""en"", ""bg"")"),"средата")</f>
        <v>средата</v>
      </c>
      <c r="D2931" s="1" t="str">
        <f ca="1">IFERROR(__xludf.DUMMYFUNCTION("GOOGLETRANSLATE(English!D2931, ""en"", ""bg"")"),"клетки")</f>
        <v>клетки</v>
      </c>
      <c r="E2931" s="1" t="str">
        <f ca="1">IFERROR(__xludf.DUMMYFUNCTION("GOOGLETRANSLATE(English!E2931, ""en"", ""bg"")"),"Можете ли да обясните какво представляват клетките за моя научен проект?")</f>
        <v>Можете ли да обясните какво представляват клетките за моя научен проект?</v>
      </c>
      <c r="F2931" s="1" t="str">
        <f ca="1">IFERROR(__xludf.DUMMYFUNCTION("GOOGLETRANSLATE(English!F2931,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2931" s="1" t="str">
        <f ca="1">IFERROR(__xludf.DUMMYFUNCTION("GOOGLETRANSLATE(English!G2931, ""en"", ""bg"")"),"помощ_за_домашно_изпълнение")</f>
        <v>помощ_за_домашно_изпълнение</v>
      </c>
      <c r="H2931" s="1" t="str">
        <f ca="1">IFERROR(__xludf.DUMMYFUNCTION("GOOGLETRANSLATE(English!H2931, ""en"", ""bg"")"),"помощ_за_домашно_задаване")</f>
        <v>помощ_за_домашно_задаване</v>
      </c>
    </row>
    <row r="2932" spans="1:8" ht="13.2" x14ac:dyDescent="0.25">
      <c r="A2932" s="1" t="str">
        <f ca="1">IFERROR(__xludf.DUMMYFUNCTION("GOOGLETRANSLATE(English!A2932, ""en"", ""bg"")"),"hw_02840")</f>
        <v>hw_02840</v>
      </c>
      <c r="B2932" s="1" t="str">
        <f ca="1">IFERROR(__xludf.DUMMYFUNCTION("GOOGLETRANSLATE(English!B2932, ""en"", ""bg"")"),"физика")</f>
        <v>физика</v>
      </c>
      <c r="C2932" s="1" t="str">
        <f ca="1">IFERROR(__xludf.DUMMYFUNCTION("GOOGLETRANSLATE(English!C2932, ""en"", ""bg"")"),"елементарен")</f>
        <v>елементарен</v>
      </c>
      <c r="D2932" s="1" t="str">
        <f ca="1">IFERROR(__xludf.DUMMYFUNCTION("GOOGLETRANSLATE(English!D2932, ""en"", ""bg"")"),"светлина и сянка")</f>
        <v>светлина и сянка</v>
      </c>
      <c r="E2932" s="1" t="str">
        <f ca="1">IFERROR(__xludf.DUMMYFUNCTION("GOOGLETRANSLATE(English!E2932, ""en"", ""bg"")"),"Домашното ми по физика е за светлина и сянка. Объркващо е!")</f>
        <v>Домашното ми по физика е за светлина и сянка. Объркващо е!</v>
      </c>
      <c r="F2932" s="1" t="str">
        <f ca="1">IFERROR(__xludf.DUMMYFUNCTION("GOOGLETRANSLATE(English!F2932,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2932" s="1" t="str">
        <f ca="1">IFERROR(__xludf.DUMMYFUNCTION("GOOGLETRANSLATE(English!G2932, ""en"", ""bg"")"),"помощ_за_домашно_изпълнение")</f>
        <v>помощ_за_домашно_изпълнение</v>
      </c>
      <c r="H2932" s="1" t="str">
        <f ca="1">IFERROR(__xludf.DUMMYFUNCTION("GOOGLETRANSLATE(English!H2932, ""en"", ""bg"")"),"помощ_за_домашно_задаване")</f>
        <v>помощ_за_домашно_задаване</v>
      </c>
    </row>
    <row r="2933" spans="1:8" ht="13.2" x14ac:dyDescent="0.25">
      <c r="A2933" s="1" t="str">
        <f ca="1">IFERROR(__xludf.DUMMYFUNCTION("GOOGLETRANSLATE(English!A2933, ""en"", ""bg"")"),"qa_00030")</f>
        <v>qa_00030</v>
      </c>
      <c r="B2933" s="1" t="str">
        <f ca="1">IFERROR(__xludf.DUMMYFUNCTION("GOOGLETRANSLATE(English!B2933, ""en"", ""bg"")"),"физика")</f>
        <v>физика</v>
      </c>
      <c r="C2933" s="1" t="str">
        <f ca="1">IFERROR(__xludf.DUMMYFUNCTION("GOOGLETRANSLATE(English!C2933, ""en"", ""bg"")"),"елементарен")</f>
        <v>елементарен</v>
      </c>
      <c r="D2933" s="1" t="str">
        <f ca="1">IFERROR(__xludf.DUMMYFUNCTION("GOOGLETRANSLATE(English!D2933, ""en"", ""bg"")"),"магнити")</f>
        <v>магнити</v>
      </c>
      <c r="E2933" s="1" t="str">
        <f ca="1">IFERROR(__xludf.DUMMYFUNCTION("GOOGLETRANSLATE(English!E2933, ""en"", ""bg"")"),"Можете ли да направите магнит по-силен?")</f>
        <v>Можете ли да направите магнит по-силен?</v>
      </c>
      <c r="F2933" s="1" t="str">
        <f ca="1">IFERROR(__xludf.DUMMYFUNCTION("GOOGLETRANSLATE(English!F2933,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2933" s="1" t="str">
        <f ca="1">IFERROR(__xludf.DUMMYFUNCTION("GOOGLETRANSLATE(English!G2933, ""en"", ""bg"")"),"direct_qa")</f>
        <v>direct_qa</v>
      </c>
      <c r="H2933" s="1" t="str">
        <f ca="1">IFERROR(__xludf.DUMMYFUNCTION("GOOGLETRANSLATE(English!H2933, ""en"", ""bg"")"),"заявка_за_знание")</f>
        <v>заявка_за_знание</v>
      </c>
    </row>
    <row r="2934" spans="1:8" ht="13.2" x14ac:dyDescent="0.25">
      <c r="A2934" s="1" t="str">
        <f ca="1">IFERROR(__xludf.DUMMYFUNCTION("GOOGLETRANSLATE(English!A2934, ""en"", ""bg"")"),"conv_16518")</f>
        <v>conv_16518</v>
      </c>
      <c r="B2934" s="1" t="str">
        <f ca="1">IFERROR(__xludf.DUMMYFUNCTION("GOOGLETRANSLATE(English!B2934, ""en"", ""bg"")"),"биология")</f>
        <v>биология</v>
      </c>
      <c r="C2934" s="1" t="str">
        <f ca="1">IFERROR(__xludf.DUMMYFUNCTION("GOOGLETRANSLATE(English!C2934, ""en"", ""bg"")"),"елементарен")</f>
        <v>елементарен</v>
      </c>
      <c r="D2934" s="1" t="str">
        <f ca="1">IFERROR(__xludf.DUMMYFUNCTION("GOOGLETRANSLATE(English!D2934, ""en"", ""bg"")"),"животни")</f>
        <v>животни</v>
      </c>
      <c r="E2934" s="1" t="str">
        <f ca="1">IFERROR(__xludf.DUMMYFUNCTION("GOOGLETRANSLATE(English!E2934, ""en"", ""bg"")"),"Помогни ми да уча за теста си. С какво се хранят рибите?")</f>
        <v>Помогни ми да уча за теста си. С какво се хранят рибите?</v>
      </c>
      <c r="F2934" s="1" t="str">
        <f ca="1">IFERROR(__xludf.DUMMYFUNCTION("GOOGLETRANSLATE(English!F2934,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2934" s="1" t="str">
        <f ca="1">IFERROR(__xludf.DUMMYFUNCTION("GOOGLETRANSLATE(English!G2934, ""en"", ""bg"")"),"разговор")</f>
        <v>разговор</v>
      </c>
      <c r="H2934" s="1" t="str">
        <f ca="1">IFERROR(__xludf.DUMMYFUNCTION("GOOGLETRANSLATE(English!H2934, ""en"", ""bg"")"),"образователна_помощ")</f>
        <v>образователна_помощ</v>
      </c>
    </row>
    <row r="2935" spans="1:8" ht="13.2" x14ac:dyDescent="0.25">
      <c r="A2935" s="1" t="str">
        <f ca="1">IFERROR(__xludf.DUMMYFUNCTION("GOOGLETRANSLATE(English!A2935, ""en"", ""bg"")"),"qa_05771")</f>
        <v>qa_05771</v>
      </c>
      <c r="B2935" s="1" t="str">
        <f ca="1">IFERROR(__xludf.DUMMYFUNCTION("GOOGLETRANSLATE(English!B2935, ""en"", ""bg"")"),"физика")</f>
        <v>физика</v>
      </c>
      <c r="C2935" s="1" t="str">
        <f ca="1">IFERROR(__xludf.DUMMYFUNCTION("GOOGLETRANSLATE(English!C2935, ""en"", ""bg"")"),"средата")</f>
        <v>средата</v>
      </c>
      <c r="D2935" s="1" t="str">
        <f ca="1">IFERROR(__xludf.DUMMYFUNCTION("GOOGLETRANSLATE(English!D2935, ""en"", ""bg"")"),"основи на електричеството")</f>
        <v>основи на електричеството</v>
      </c>
      <c r="E2935" s="1" t="str">
        <f ca="1">IFERROR(__xludf.DUMMYFUNCTION("GOOGLETRANSLATE(English!E2935, ""en"", ""bg"")"),"Защо основите на електричеството са важни?")</f>
        <v>Защо основите на електричеството са важни?</v>
      </c>
      <c r="F2935" s="1" t="str">
        <f ca="1">IFERROR(__xludf.DUMMYFUNCTION("GOOGLETRANSLATE(English!F2935,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2935" s="1" t="str">
        <f ca="1">IFERROR(__xludf.DUMMYFUNCTION("GOOGLETRANSLATE(English!G2935, ""en"", ""bg"")"),"direct_qa")</f>
        <v>direct_qa</v>
      </c>
      <c r="H2935" s="1" t="str">
        <f ca="1">IFERROR(__xludf.DUMMYFUNCTION("GOOGLETRANSLATE(English!H2935, ""en"", ""bg"")"),"заявка_за_знание")</f>
        <v>заявка_за_знание</v>
      </c>
    </row>
    <row r="2936" spans="1:8" ht="13.2" x14ac:dyDescent="0.25">
      <c r="A2936" s="1" t="str">
        <f ca="1">IFERROR(__xludf.DUMMYFUNCTION("GOOGLETRANSLATE(English!A2936, ""en"", ""bg"")"),"qa_01295")</f>
        <v>qa_01295</v>
      </c>
      <c r="B2936" s="1" t="str">
        <f ca="1">IFERROR(__xludf.DUMMYFUNCTION("GOOGLETRANSLATE(English!B2936, ""en"", ""bg"")"),"биология")</f>
        <v>биология</v>
      </c>
      <c r="C2936" s="1" t="str">
        <f ca="1">IFERROR(__xludf.DUMMYFUNCTION("GOOGLETRANSLATE(English!C2936, ""en"", ""bg"")"),"средата")</f>
        <v>средата</v>
      </c>
      <c r="D2936" s="1" t="str">
        <f ca="1">IFERROR(__xludf.DUMMYFUNCTION("GOOGLETRANSLATE(English!D2936, ""en"", ""bg"")"),"екосистеми")</f>
        <v>екосистеми</v>
      </c>
      <c r="E2936" s="1" t="str">
        <f ca="1">IFERROR(__xludf.DUMMYFUNCTION("GOOGLETRANSLATE(English!E2936, ""en"", ""bg"")"),"Можете ли да ми разкажете за екосистемите?")</f>
        <v>Можете ли да ми разкажете за екосистемите?</v>
      </c>
      <c r="F2936" s="1" t="str">
        <f ca="1">IFERROR(__xludf.DUMMYFUNCTION("GOOGLETRANSLATE(English!F2936,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2936" s="1" t="str">
        <f ca="1">IFERROR(__xludf.DUMMYFUNCTION("GOOGLETRANSLATE(English!G2936, ""en"", ""bg"")"),"direct_qa")</f>
        <v>direct_qa</v>
      </c>
      <c r="H2936" s="1" t="str">
        <f ca="1">IFERROR(__xludf.DUMMYFUNCTION("GOOGLETRANSLATE(English!H2936, ""en"", ""bg"")"),"заявка_за_знание")</f>
        <v>заявка_за_знание</v>
      </c>
    </row>
    <row r="2937" spans="1:8" ht="13.2" x14ac:dyDescent="0.25">
      <c r="A2937" s="1" t="str">
        <f ca="1">IFERROR(__xludf.DUMMYFUNCTION("GOOGLETRANSLATE(English!A2937, ""en"", ""bg"")"),"qa_02457")</f>
        <v>qa_02457</v>
      </c>
      <c r="B2937" s="1" t="str">
        <f ca="1">IFERROR(__xludf.DUMMYFUNCTION("GOOGLETRANSLATE(English!B2937, ""en"", ""bg"")"),"химия")</f>
        <v>химия</v>
      </c>
      <c r="C2937" s="1" t="str">
        <f ca="1">IFERROR(__xludf.DUMMYFUNCTION("GOOGLETRANSLATE(English!C2937, ""en"", ""bg"")"),"елементарен")</f>
        <v>елементарен</v>
      </c>
      <c r="D2937" s="1" t="str">
        <f ca="1">IFERROR(__xludf.DUMMYFUNCTION("GOOGLETRANSLATE(English!D2937, ""en"", ""bg"")"),"твърди вещества, течности, газове")</f>
        <v>твърди вещества, течности, газове</v>
      </c>
      <c r="E2937" s="1" t="str">
        <f ca="1">IFERROR(__xludf.DUMMYFUNCTION("GOOGLETRANSLATE(English!E2937, ""en"", ""bg"")"),"Защо ледът плава по водата?")</f>
        <v>Защо ледът плава по водата?</v>
      </c>
      <c r="F2937" s="1" t="str">
        <f ca="1">IFERROR(__xludf.DUMMYFUNCTION("GOOGLETRANSLATE(English!F2937,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2937" s="1" t="str">
        <f ca="1">IFERROR(__xludf.DUMMYFUNCTION("GOOGLETRANSLATE(English!G2937, ""en"", ""bg"")"),"direct_qa")</f>
        <v>direct_qa</v>
      </c>
      <c r="H2937" s="1" t="str">
        <f ca="1">IFERROR(__xludf.DUMMYFUNCTION("GOOGLETRANSLATE(English!H2937, ""en"", ""bg"")"),"заявка_за_знание")</f>
        <v>заявка_за_знание</v>
      </c>
    </row>
    <row r="2938" spans="1:8" ht="13.2" x14ac:dyDescent="0.25">
      <c r="A2938" s="1" t="str">
        <f ca="1">IFERROR(__xludf.DUMMYFUNCTION("GOOGLETRANSLATE(English!A2938, ""en"", ""bg"")"),"conv_00020")</f>
        <v>conv_00020</v>
      </c>
      <c r="B2938" s="1" t="str">
        <f ca="1">IFERROR(__xludf.DUMMYFUNCTION("GOOGLETRANSLATE(English!B2938, ""en"", ""bg"")"),"физика")</f>
        <v>физика</v>
      </c>
      <c r="C2938" s="1" t="str">
        <f ca="1">IFERROR(__xludf.DUMMYFUNCTION("GOOGLETRANSLATE(English!C2938, ""en"", ""bg"")"),"високо")</f>
        <v>високо</v>
      </c>
      <c r="D2938" s="1" t="str">
        <f ca="1">IFERROR(__xludf.DUMMYFUNCTION("GOOGLETRANSLATE(English!D2938, ""en"", ""bg"")"),"радиоактивност")</f>
        <v>радиоактивност</v>
      </c>
      <c r="E2938" s="1" t="str">
        <f ca="1">IFERROR(__xludf.DUMMYFUNCTION("GOOGLETRANSLATE(English!E2938, ""en"", ""bg"")"),"Можете ли да ми обясните това? Можете ли да ми обясните радиоактивността?")</f>
        <v>Можете ли да ми обясните това? Можете ли да ми обясните радиоактивността?</v>
      </c>
      <c r="F2938" s="1" t="str">
        <f ca="1">IFERROR(__xludf.DUMMYFUNCTION("GOOGLETRANSLATE(English!F2938,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2938" s="1" t="str">
        <f ca="1">IFERROR(__xludf.DUMMYFUNCTION("GOOGLETRANSLATE(English!G2938, ""en"", ""bg"")"),"разговор")</f>
        <v>разговор</v>
      </c>
      <c r="H2938" s="1" t="str">
        <f ca="1">IFERROR(__xludf.DUMMYFUNCTION("GOOGLETRANSLATE(English!H2938, ""en"", ""bg"")"),"образователна_помощ")</f>
        <v>образователна_помощ</v>
      </c>
    </row>
    <row r="2939" spans="1:8" ht="13.2" x14ac:dyDescent="0.25">
      <c r="A2939" s="1" t="str">
        <f ca="1">IFERROR(__xludf.DUMMYFUNCTION("GOOGLETRANSLATE(English!A2939, ""en"", ""bg"")"),"hw_02705")</f>
        <v>hw_02705</v>
      </c>
      <c r="B2939" s="1" t="str">
        <f ca="1">IFERROR(__xludf.DUMMYFUNCTION("GOOGLETRANSLATE(English!B2939, ""en"", ""bg"")"),"биология")</f>
        <v>биология</v>
      </c>
      <c r="C2939" s="1" t="str">
        <f ca="1">IFERROR(__xludf.DUMMYFUNCTION("GOOGLETRANSLATE(English!C2939, ""en"", ""bg"")"),"средата")</f>
        <v>средата</v>
      </c>
      <c r="D2939" s="1" t="str">
        <f ca="1">IFERROR(__xludf.DUMMYFUNCTION("GOOGLETRANSLATE(English!D2939, ""en"", ""bg"")"),"класификация")</f>
        <v>класификация</v>
      </c>
      <c r="E2939" s="1" t="str">
        <f ca="1">IFERROR(__xludf.DUMMYFUNCTION("GOOGLETRANSLATE(English!E2939, ""en"", ""bg"")"),"Утре имам тест по класификация. Помогни ми да уча!")</f>
        <v>Утре имам тест по класификация. Помогни ми да уча!</v>
      </c>
      <c r="F2939" s="1" t="str">
        <f ca="1">IFERROR(__xludf.DUMMYFUNCTION("GOOGLETRANSLATE(English!F2939,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2939" s="1" t="str">
        <f ca="1">IFERROR(__xludf.DUMMYFUNCTION("GOOGLETRANSLATE(English!G2939, ""en"", ""bg"")"),"помощ_за_домашно_изпълнение")</f>
        <v>помощ_за_домашно_изпълнение</v>
      </c>
      <c r="H2939" s="1" t="str">
        <f ca="1">IFERROR(__xludf.DUMMYFUNCTION("GOOGLETRANSLATE(English!H2939, ""en"", ""bg"")"),"помощ_за_домашно_задаване")</f>
        <v>помощ_за_домашно_задаване</v>
      </c>
    </row>
    <row r="2940" spans="1:8" ht="13.2" x14ac:dyDescent="0.25">
      <c r="A2940" s="1" t="str">
        <f ca="1">IFERROR(__xludf.DUMMYFUNCTION("GOOGLETRANSLATE(English!A2940, ""en"", ""bg"")"),"conv_05313")</f>
        <v>conv_05313</v>
      </c>
      <c r="B2940" s="1" t="str">
        <f ca="1">IFERROR(__xludf.DUMMYFUNCTION("GOOGLETRANSLATE(English!B2940, ""en"", ""bg"")"),"биология")</f>
        <v>биология</v>
      </c>
      <c r="C2940" s="1" t="str">
        <f ca="1">IFERROR(__xludf.DUMMYFUNCTION("GOOGLETRANSLATE(English!C2940, ""en"", ""bg"")"),"елементарен")</f>
        <v>елементарен</v>
      </c>
      <c r="D2940" s="1" t="str">
        <f ca="1">IFERROR(__xludf.DUMMYFUNCTION("GOOGLETRANSLATE(English!D2940, ""en"", ""bg"")"),"животни")</f>
        <v>животни</v>
      </c>
      <c r="E2940" s="1" t="str">
        <f ca="1">IFERROR(__xludf.DUMMYFUNCTION("GOOGLETRANSLATE(English!E2940, ""en"", ""bg"")"),"Не разбирам тази тема. Какво отличава бозайниците от птиците?")</f>
        <v>Не разбирам тази тема. Какво отличава бозайниците от птиците?</v>
      </c>
      <c r="F2940" s="1" t="str">
        <f ca="1">IFERROR(__xludf.DUMMYFUNCTION("GOOGLETRANSLATE(English!F2940,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2940" s="1" t="str">
        <f ca="1">IFERROR(__xludf.DUMMYFUNCTION("GOOGLETRANSLATE(English!G2940, ""en"", ""bg"")"),"разговор")</f>
        <v>разговор</v>
      </c>
      <c r="H2940" s="1" t="str">
        <f ca="1">IFERROR(__xludf.DUMMYFUNCTION("GOOGLETRANSLATE(English!H2940, ""en"", ""bg"")"),"образователна_помощ")</f>
        <v>образователна_помощ</v>
      </c>
    </row>
    <row r="2941" spans="1:8" ht="13.2" x14ac:dyDescent="0.25">
      <c r="A2941" s="1" t="str">
        <f ca="1">IFERROR(__xludf.DUMMYFUNCTION("GOOGLETRANSLATE(English!A2941, ""en"", ""bg"")"),"hw_03019")</f>
        <v>hw_03019</v>
      </c>
      <c r="B2941" s="1" t="str">
        <f ca="1">IFERROR(__xludf.DUMMYFUNCTION("GOOGLETRANSLATE(English!B2941, ""en"", ""bg"")"),"химия")</f>
        <v>химия</v>
      </c>
      <c r="C2941" s="1" t="str">
        <f ca="1">IFERROR(__xludf.DUMMYFUNCTION("GOOGLETRANSLATE(English!C2941, ""en"", ""bg"")"),"средата")</f>
        <v>средата</v>
      </c>
      <c r="D2941" s="1" t="str">
        <f ca="1">IFERROR(__xludf.DUMMYFUNCTION("GOOGLETRANSLATE(English!D2941, ""en"", ""bg"")"),"химични промени")</f>
        <v>химични промени</v>
      </c>
      <c r="E2941" s="1" t="str">
        <f ca="1">IFERROR(__xludf.DUMMYFUNCTION("GOOGLETRANSLATE(English!E2941, ""en"", ""bg"")"),"Имам проблеми с химичните промени в домашното си.")</f>
        <v>Имам проблеми с химичните промени в домашното си.</v>
      </c>
      <c r="F2941" s="1" t="str">
        <f ca="1">IFERROR(__xludf.DUMMYFUNCTION("GOOGLETRANSLATE(English!F2941,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2941" s="1" t="str">
        <f ca="1">IFERROR(__xludf.DUMMYFUNCTION("GOOGLETRANSLATE(English!G2941, ""en"", ""bg"")"),"помощ_за_домашно_изпълнение")</f>
        <v>помощ_за_домашно_изпълнение</v>
      </c>
      <c r="H2941" s="1" t="str">
        <f ca="1">IFERROR(__xludf.DUMMYFUNCTION("GOOGLETRANSLATE(English!H2941, ""en"", ""bg"")"),"помощ_за_домашно_задаване")</f>
        <v>помощ_за_домашно_задаване</v>
      </c>
    </row>
    <row r="2942" spans="1:8" ht="13.2" x14ac:dyDescent="0.25">
      <c r="A2942" s="1" t="str">
        <f ca="1">IFERROR(__xludf.DUMMYFUNCTION("GOOGLETRANSLATE(English!A2942, ""en"", ""bg"")"),"hw_05802")</f>
        <v>hw_05802</v>
      </c>
      <c r="B2942" s="1" t="str">
        <f ca="1">IFERROR(__xludf.DUMMYFUNCTION("GOOGLETRANSLATE(English!B2942, ""en"", ""bg"")"),"физика")</f>
        <v>физика</v>
      </c>
      <c r="C2942" s="1" t="str">
        <f ca="1">IFERROR(__xludf.DUMMYFUNCTION("GOOGLETRANSLATE(English!C2942, ""en"", ""bg"")"),"средата")</f>
        <v>средата</v>
      </c>
      <c r="D2942" s="1" t="str">
        <f ca="1">IFERROR(__xludf.DUMMYFUNCTION("GOOGLETRANSLATE(English!D2942, ""en"", ""bg"")"),"плътност")</f>
        <v>плътност</v>
      </c>
      <c r="E2942" s="1" t="str">
        <f ca="1">IFERROR(__xludf.DUMMYFUNCTION("GOOGLETRANSLATE(English!E2942,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2942" s="1" t="str">
        <f ca="1">IFERROR(__xludf.DUMMYFUNCTION("GOOGLETRANSLATE(English!F2942,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2942" s="1" t="str">
        <f ca="1">IFERROR(__xludf.DUMMYFUNCTION("GOOGLETRANSLATE(English!G2942, ""en"", ""bg"")"),"помощ_за_домашно_изпълнение")</f>
        <v>помощ_за_домашно_изпълнение</v>
      </c>
      <c r="H2942" s="1" t="str">
        <f ca="1">IFERROR(__xludf.DUMMYFUNCTION("GOOGLETRANSLATE(English!H2942, ""en"", ""bg"")"),"помощ_за_домашно_задаване")</f>
        <v>помощ_за_домашно_задаване</v>
      </c>
    </row>
    <row r="2943" spans="1:8" ht="13.2" x14ac:dyDescent="0.25">
      <c r="A2943" s="1" t="str">
        <f ca="1">IFERROR(__xludf.DUMMYFUNCTION("GOOGLETRANSLATE(English!A2943, ""en"", ""bg"")"),"qa_03107")</f>
        <v>qa_03107</v>
      </c>
      <c r="B2943" s="1" t="str">
        <f ca="1">IFERROR(__xludf.DUMMYFUNCTION("GOOGLETRANSLATE(English!B2943, ""en"", ""bg"")"),"физика")</f>
        <v>физика</v>
      </c>
      <c r="C2943" s="1" t="str">
        <f ca="1">IFERROR(__xludf.DUMMYFUNCTION("GOOGLETRANSLATE(English!C2943, ""en"", ""bg"")"),"средата")</f>
        <v>средата</v>
      </c>
      <c r="D2943" s="1" t="str">
        <f ca="1">IFERROR(__xludf.DUMMYFUNCTION("GOOGLETRANSLATE(English!D2943, ""en"", ""bg"")"),"състояния на материята")</f>
        <v>състояния на материята</v>
      </c>
      <c r="E2943" s="1" t="str">
        <f ca="1">IFERROR(__xludf.DUMMYFUNCTION("GOOGLETRANSLATE(English!E2943, ""en"", ""bg"")"),"Защо състоянията на материята са важни?")</f>
        <v>Защо състоянията на материята са важни?</v>
      </c>
      <c r="F2943" s="1" t="str">
        <f ca="1">IFERROR(__xludf.DUMMYFUNCTION("GOOGLETRANSLATE(English!F2943,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2943" s="1" t="str">
        <f ca="1">IFERROR(__xludf.DUMMYFUNCTION("GOOGLETRANSLATE(English!G2943, ""en"", ""bg"")"),"direct_qa")</f>
        <v>direct_qa</v>
      </c>
      <c r="H2943" s="1" t="str">
        <f ca="1">IFERROR(__xludf.DUMMYFUNCTION("GOOGLETRANSLATE(English!H2943, ""en"", ""bg"")"),"заявка_за_знание")</f>
        <v>заявка_за_знание</v>
      </c>
    </row>
    <row r="2944" spans="1:8" ht="13.2" x14ac:dyDescent="0.25">
      <c r="A2944" s="1" t="str">
        <f ca="1">IFERROR(__xludf.DUMMYFUNCTION("GOOGLETRANSLATE(English!A2944, ""en"", ""bg"")"),"qa_10731")</f>
        <v>qa_10731</v>
      </c>
      <c r="B2944" s="1" t="str">
        <f ca="1">IFERROR(__xludf.DUMMYFUNCTION("GOOGLETRANSLATE(English!B2944, ""en"", ""bg"")"),"физика")</f>
        <v>физика</v>
      </c>
      <c r="C2944" s="1" t="str">
        <f ca="1">IFERROR(__xludf.DUMMYFUNCTION("GOOGLETRANSLATE(English!C2944, ""en"", ""bg"")"),"средата")</f>
        <v>средата</v>
      </c>
      <c r="D2944" s="1" t="str">
        <f ca="1">IFERROR(__xludf.DUMMYFUNCTION("GOOGLETRANSLATE(English!D2944, ""en"", ""bg"")"),"сили и движение")</f>
        <v>сили и движение</v>
      </c>
      <c r="E2944" s="1" t="str">
        <f ca="1">IFERROR(__xludf.DUMMYFUNCTION("GOOGLETRANSLATE(English!E2944, ""en"", ""bg"")"),"Какъв е първият закон на Нютон?")</f>
        <v>Какъв е първият закон на Нютон?</v>
      </c>
      <c r="F2944" s="1" t="str">
        <f ca="1">IFERROR(__xludf.DUMMYFUNCTION("GOOGLETRANSLATE(English!F2944,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2944" s="1" t="str">
        <f ca="1">IFERROR(__xludf.DUMMYFUNCTION("GOOGLETRANSLATE(English!G2944, ""en"", ""bg"")"),"direct_qa")</f>
        <v>direct_qa</v>
      </c>
      <c r="H2944" s="1" t="str">
        <f ca="1">IFERROR(__xludf.DUMMYFUNCTION("GOOGLETRANSLATE(English!H2944, ""en"", ""bg"")"),"заявка_за_знание")</f>
        <v>заявка_за_знание</v>
      </c>
    </row>
    <row r="2945" spans="1:8" ht="13.2" x14ac:dyDescent="0.25">
      <c r="A2945" s="1" t="str">
        <f ca="1">IFERROR(__xludf.DUMMYFUNCTION("GOOGLETRANSLATE(English!A2945, ""en"", ""bg"")"),"qa_06029")</f>
        <v>qa_06029</v>
      </c>
      <c r="B2945" s="1" t="str">
        <f ca="1">IFERROR(__xludf.DUMMYFUNCTION("GOOGLETRANSLATE(English!B2945, ""en"", ""bg"")"),"химия")</f>
        <v>химия</v>
      </c>
      <c r="C2945" s="1" t="str">
        <f ca="1">IFERROR(__xludf.DUMMYFUNCTION("GOOGLETRANSLATE(English!C2945, ""en"", ""bg"")"),"средата")</f>
        <v>средата</v>
      </c>
      <c r="D2945" s="1" t="str">
        <f ca="1">IFERROR(__xludf.DUMMYFUNCTION("GOOGLETRANSLATE(English!D2945, ""en"", ""bg"")"),"химични промени")</f>
        <v>химични промени</v>
      </c>
      <c r="E2945" s="1" t="str">
        <f ca="1">IFERROR(__xludf.DUMMYFUNCTION("GOOGLETRANSLATE(English!E2945, ""en"", ""bg"")"),"Можете ли да ми помогнете да разбера химичните промени?")</f>
        <v>Можете ли да ми помогнете да разбера химичните промени?</v>
      </c>
      <c r="F2945" s="1" t="str">
        <f ca="1">IFERROR(__xludf.DUMMYFUNCTION("GOOGLETRANSLATE(English!F2945,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2945" s="1" t="str">
        <f ca="1">IFERROR(__xludf.DUMMYFUNCTION("GOOGLETRANSLATE(English!G2945, ""en"", ""bg"")"),"direct_qa")</f>
        <v>direct_qa</v>
      </c>
      <c r="H2945" s="1" t="str">
        <f ca="1">IFERROR(__xludf.DUMMYFUNCTION("GOOGLETRANSLATE(English!H2945, ""en"", ""bg"")"),"заявка_за_знание")</f>
        <v>заявка_за_знание</v>
      </c>
    </row>
    <row r="2946" spans="1:8" ht="13.2" x14ac:dyDescent="0.25">
      <c r="A2946" s="1" t="str">
        <f ca="1">IFERROR(__xludf.DUMMYFUNCTION("GOOGLETRANSLATE(English!A2946, ""en"", ""bg"")"),"hw_02998")</f>
        <v>hw_02998</v>
      </c>
      <c r="B2946" s="1" t="str">
        <f ca="1">IFERROR(__xludf.DUMMYFUNCTION("GOOGLETRANSLATE(English!B2946, ""en"", ""bg"")"),"биология")</f>
        <v>биология</v>
      </c>
      <c r="C2946" s="1" t="str">
        <f ca="1">IFERROR(__xludf.DUMMYFUNCTION("GOOGLETRANSLATE(English!C2946, ""en"", ""bg"")"),"високо")</f>
        <v>високо</v>
      </c>
      <c r="D2946" s="1" t="str">
        <f ca="1">IFERROR(__xludf.DUMMYFUNCTION("GOOGLETRANSLATE(English!D2946, ""en"", ""bg"")"),"клетъчно дишане")</f>
        <v>клетъчно дишане</v>
      </c>
      <c r="E2946" s="1" t="str">
        <f ca="1">IFERROR(__xludf.DUMMYFUNCTION("GOOGLETRANSLATE(English!E2946,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2946" s="1" t="str">
        <f ca="1">IFERROR(__xludf.DUMMYFUNCTION("GOOGLETRANSLATE(English!F2946,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2946" s="1" t="str">
        <f ca="1">IFERROR(__xludf.DUMMYFUNCTION("GOOGLETRANSLATE(English!G2946, ""en"", ""bg"")"),"помощ_за_домашно_изпълнение")</f>
        <v>помощ_за_домашно_изпълнение</v>
      </c>
      <c r="H2946" s="1" t="str">
        <f ca="1">IFERROR(__xludf.DUMMYFUNCTION("GOOGLETRANSLATE(English!H2946, ""en"", ""bg"")"),"помощ_за_домашно_задаване")</f>
        <v>помощ_за_домашно_задаване</v>
      </c>
    </row>
    <row r="2947" spans="1:8" ht="13.2" x14ac:dyDescent="0.25">
      <c r="A2947" s="1" t="str">
        <f ca="1">IFERROR(__xludf.DUMMYFUNCTION("GOOGLETRANSLATE(English!A2947, ""en"", ""bg"")"),"qa_10960")</f>
        <v>qa_10960</v>
      </c>
      <c r="B2947" s="1" t="str">
        <f ca="1">IFERROR(__xludf.DUMMYFUNCTION("GOOGLETRANSLATE(English!B2947, ""en"", ""bg"")"),"химия")</f>
        <v>химия</v>
      </c>
      <c r="C2947" s="1" t="str">
        <f ca="1">IFERROR(__xludf.DUMMYFUNCTION("GOOGLETRANSLATE(English!C2947, ""en"", ""bg"")"),"високо")</f>
        <v>високо</v>
      </c>
      <c r="D2947" s="1" t="str">
        <f ca="1">IFERROR(__xludf.DUMMYFUNCTION("GOOGLETRANSLATE(English!D2947, ""en"", ""bg"")"),"равновесие")</f>
        <v>равновесие</v>
      </c>
      <c r="E2947" s="1" t="str">
        <f ca="1">IFERROR(__xludf.DUMMYFUNCTION("GOOGLETRANSLATE(English!E2947, ""en"", ""bg"")"),"Можете ли да ми помогнете да разбера какво е равновесие?")</f>
        <v>Можете ли да ми помогнете да разбера какво е равновесие?</v>
      </c>
      <c r="F2947" s="1" t="str">
        <f ca="1">IFERROR(__xludf.DUMMYFUNCTION("GOOGLETRANSLATE(English!F2947,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2947" s="1" t="str">
        <f ca="1">IFERROR(__xludf.DUMMYFUNCTION("GOOGLETRANSLATE(English!G2947, ""en"", ""bg"")"),"direct_qa")</f>
        <v>direct_qa</v>
      </c>
      <c r="H2947" s="1" t="str">
        <f ca="1">IFERROR(__xludf.DUMMYFUNCTION("GOOGLETRANSLATE(English!H2947, ""en"", ""bg"")"),"заявка_за_знание")</f>
        <v>заявка_за_знание</v>
      </c>
    </row>
    <row r="2948" spans="1:8" ht="13.2" x14ac:dyDescent="0.25">
      <c r="A2948" s="1" t="str">
        <f ca="1">IFERROR(__xludf.DUMMYFUNCTION("GOOGLETRANSLATE(English!A2948, ""en"", ""bg"")"),"conv_15481")</f>
        <v>conv_15481</v>
      </c>
      <c r="B2948" s="1" t="str">
        <f ca="1">IFERROR(__xludf.DUMMYFUNCTION("GOOGLETRANSLATE(English!B2948, ""en"", ""bg"")"),"физика")</f>
        <v>физика</v>
      </c>
      <c r="C2948" s="1" t="str">
        <f ca="1">IFERROR(__xludf.DUMMYFUNCTION("GOOGLETRANSLATE(English!C2948, ""en"", ""bg"")"),"елементарен")</f>
        <v>елементарен</v>
      </c>
      <c r="D2948" s="1" t="str">
        <f ca="1">IFERROR(__xludf.DUMMYFUNCTION("GOOGLETRANSLATE(English!D2948, ""en"", ""bg"")"),"прости машини")</f>
        <v>прости машини</v>
      </c>
      <c r="E2948" s="1" t="str">
        <f ca="1">IFERROR(__xludf.DUMMYFUNCTION("GOOGLETRANSLATE(English!E2948, ""en"", ""bg"")"),"Не разбирам тази тема. Можете ли да ми обясните прости машини?")</f>
        <v>Не разбирам тази тема. Можете ли да ми обясните прости машини?</v>
      </c>
      <c r="F2948" s="1" t="str">
        <f ca="1">IFERROR(__xludf.DUMMYFUNCTION("GOOGLETRANSLATE(English!F2948,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2948" s="1" t="str">
        <f ca="1">IFERROR(__xludf.DUMMYFUNCTION("GOOGLETRANSLATE(English!G2948, ""en"", ""bg"")"),"разговор")</f>
        <v>разговор</v>
      </c>
      <c r="H2948" s="1" t="str">
        <f ca="1">IFERROR(__xludf.DUMMYFUNCTION("GOOGLETRANSLATE(English!H2948, ""en"", ""bg"")"),"образователна_помощ")</f>
        <v>образователна_помощ</v>
      </c>
    </row>
    <row r="2949" spans="1:8" ht="13.2" x14ac:dyDescent="0.25">
      <c r="A2949" s="1" t="str">
        <f ca="1">IFERROR(__xludf.DUMMYFUNCTION("GOOGLETRANSLATE(English!A2949, ""en"", ""bg"")"),"hw_02281")</f>
        <v>hw_02281</v>
      </c>
      <c r="B2949" s="1" t="str">
        <f ca="1">IFERROR(__xludf.DUMMYFUNCTION("GOOGLETRANSLATE(English!B2949, ""en"", ""bg"")"),"биология")</f>
        <v>биология</v>
      </c>
      <c r="C2949" s="1" t="str">
        <f ca="1">IFERROR(__xludf.DUMMYFUNCTION("GOOGLETRANSLATE(English!C2949, ""en"", ""bg"")"),"високо")</f>
        <v>високо</v>
      </c>
      <c r="D2949" s="1" t="str">
        <f ca="1">IFERROR(__xludf.DUMMYFUNCTION("GOOGLETRANSLATE(English!D2949, ""en"", ""bg"")"),"модели на наследяване")</f>
        <v>модели на наследяване</v>
      </c>
      <c r="E2949" s="1" t="str">
        <f ca="1">IFERROR(__xludf.DUMMYFUNCTION("GOOGLETRANSLATE(English!E2949, ""en"", ""bg"")"),"Можете ли да обясните моделите на наследяване за моя научен проект?")</f>
        <v>Можете ли да обясните моделите на наследяване за моя научен проект?</v>
      </c>
      <c r="F2949" s="1" t="str">
        <f ca="1">IFERROR(__xludf.DUMMYFUNCTION("GOOGLETRANSLATE(English!F2949,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2949" s="1" t="str">
        <f ca="1">IFERROR(__xludf.DUMMYFUNCTION("GOOGLETRANSLATE(English!G2949, ""en"", ""bg"")"),"помощ_за_домашно_изпълнение")</f>
        <v>помощ_за_домашно_изпълнение</v>
      </c>
      <c r="H2949" s="1" t="str">
        <f ca="1">IFERROR(__xludf.DUMMYFUNCTION("GOOGLETRANSLATE(English!H2949, ""en"", ""bg"")"),"помощ_за_домашно_задаване")</f>
        <v>помощ_за_домашно_задаване</v>
      </c>
    </row>
    <row r="2950" spans="1:8" ht="13.2" x14ac:dyDescent="0.25">
      <c r="A2950" s="1" t="str">
        <f ca="1">IFERROR(__xludf.DUMMYFUNCTION("GOOGLETRANSLATE(English!A2950, ""en"", ""bg"")"),"hw_04633")</f>
        <v>hw_04633</v>
      </c>
      <c r="B2950" s="1" t="str">
        <f ca="1">IFERROR(__xludf.DUMMYFUNCTION("GOOGLETRANSLATE(English!B2950, ""en"", ""bg"")"),"химия")</f>
        <v>химия</v>
      </c>
      <c r="C2950" s="1" t="str">
        <f ca="1">IFERROR(__xludf.DUMMYFUNCTION("GOOGLETRANSLATE(English!C2950, ""en"", ""bg"")"),"средата")</f>
        <v>средата</v>
      </c>
      <c r="D2950" s="1" t="str">
        <f ca="1">IFERROR(__xludf.DUMMYFUNCTION("GOOGLETRANSLATE(English!D2950, ""en"", ""bg"")"),"атоми и молекули")</f>
        <v>атоми и молекули</v>
      </c>
      <c r="E2950" s="1" t="str">
        <f ca="1">IFERROR(__xludf.DUMMYFUNCTION("GOOGLETRANSLATE(English!E2950,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2950" s="1" t="str">
        <f ca="1">IFERROR(__xludf.DUMMYFUNCTION("GOOGLETRANSLATE(English!F2950,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950" s="1" t="str">
        <f ca="1">IFERROR(__xludf.DUMMYFUNCTION("GOOGLETRANSLATE(English!G2950, ""en"", ""bg"")"),"помощ_за_домашно_изпълнение")</f>
        <v>помощ_за_домашно_изпълнение</v>
      </c>
      <c r="H2950" s="1" t="str">
        <f ca="1">IFERROR(__xludf.DUMMYFUNCTION("GOOGLETRANSLATE(English!H2950, ""en"", ""bg"")"),"помощ_за_домашно_задаване")</f>
        <v>помощ_за_домашно_задаване</v>
      </c>
    </row>
    <row r="2951" spans="1:8" ht="13.2" x14ac:dyDescent="0.25">
      <c r="A2951" s="1" t="str">
        <f ca="1">IFERROR(__xludf.DUMMYFUNCTION("GOOGLETRANSLATE(English!A2951, ""en"", ""bg"")"),"conv_14743")</f>
        <v>conv_14743</v>
      </c>
      <c r="B2951" s="1" t="str">
        <f ca="1">IFERROR(__xludf.DUMMYFUNCTION("GOOGLETRANSLATE(English!B2951, ""en"", ""bg"")"),"физика")</f>
        <v>физика</v>
      </c>
      <c r="C2951" s="1" t="str">
        <f ca="1">IFERROR(__xludf.DUMMYFUNCTION("GOOGLETRANSLATE(English!C2951, ""en"", ""bg"")"),"високо")</f>
        <v>високо</v>
      </c>
      <c r="D2951" s="1" t="str">
        <f ca="1">IFERROR(__xludf.DUMMYFUNCTION("GOOGLETRANSLATE(English!D2951, ""en"", ""bg"")"),"атомна структура")</f>
        <v>атомна структура</v>
      </c>
      <c r="E2951" s="1" t="str">
        <f ca="1">IFERROR(__xludf.DUMMYFUNCTION("GOOGLETRANSLATE(English!E2951, ""en"", ""bg"")"),"Помогнете ми да уча за теста си. Защо атомната структура е важна?")</f>
        <v>Помогнете ми да уча за теста си. Защо атомната структура е важна?</v>
      </c>
      <c r="F2951" s="1" t="str">
        <f ca="1">IFERROR(__xludf.DUMMYFUNCTION("GOOGLETRANSLATE(English!F2951,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2951" s="1" t="str">
        <f ca="1">IFERROR(__xludf.DUMMYFUNCTION("GOOGLETRANSLATE(English!G2951, ""en"", ""bg"")"),"разговор")</f>
        <v>разговор</v>
      </c>
      <c r="H2951" s="1" t="str">
        <f ca="1">IFERROR(__xludf.DUMMYFUNCTION("GOOGLETRANSLATE(English!H2951, ""en"", ""bg"")"),"образователна_помощ")</f>
        <v>образователна_помощ</v>
      </c>
    </row>
    <row r="2952" spans="1:8" ht="13.2" x14ac:dyDescent="0.25">
      <c r="A2952" s="1" t="str">
        <f ca="1">IFERROR(__xludf.DUMMYFUNCTION("GOOGLETRANSLATE(English!A2952, ""en"", ""bg"")"),"conv_19743")</f>
        <v>conv_19743</v>
      </c>
      <c r="B2952" s="1" t="str">
        <f ca="1">IFERROR(__xludf.DUMMYFUNCTION("GOOGLETRANSLATE(English!B2952, ""en"", ""bg"")"),"химия")</f>
        <v>химия</v>
      </c>
      <c r="C2952" s="1" t="str">
        <f ca="1">IFERROR(__xludf.DUMMYFUNCTION("GOOGLETRANSLATE(English!C2952, ""en"", ""bg"")"),"елементарен")</f>
        <v>елементарен</v>
      </c>
      <c r="D2952" s="1" t="str">
        <f ca="1">IFERROR(__xludf.DUMMYFUNCTION("GOOGLETRANSLATE(English!D2952, ""en"", ""bg"")"),"твърди вещества, течности, газове")</f>
        <v>твърди вещества, течности, газове</v>
      </c>
      <c r="E2952" s="1" t="str">
        <f ca="1">IFERROR(__xludf.DUMMYFUNCTION("GOOGLETRANSLATE(English!E2952, ""en"", ""bg"")"),"Имам нужда от помощ с домашното. Какво се случва, когато нагрявате твърдо тяло?")</f>
        <v>Имам нужда от помощ с домашното. Какво се случва, когато нагрявате твърдо тяло?</v>
      </c>
      <c r="F2952" s="1" t="str">
        <f ca="1">IFERROR(__xludf.DUMMYFUNCTION("GOOGLETRANSLATE(English!F2952,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2952" s="1" t="str">
        <f ca="1">IFERROR(__xludf.DUMMYFUNCTION("GOOGLETRANSLATE(English!G2952, ""en"", ""bg"")"),"разговор")</f>
        <v>разговор</v>
      </c>
      <c r="H2952" s="1" t="str">
        <f ca="1">IFERROR(__xludf.DUMMYFUNCTION("GOOGLETRANSLATE(English!H2952, ""en"", ""bg"")"),"образователна_помощ")</f>
        <v>образователна_помощ</v>
      </c>
    </row>
    <row r="2953" spans="1:8" ht="13.2" x14ac:dyDescent="0.25">
      <c r="A2953" s="1" t="str">
        <f ca="1">IFERROR(__xludf.DUMMYFUNCTION("GOOGLETRANSLATE(English!A2953, ""en"", ""bg"")"),"qa_14350")</f>
        <v>qa_14350</v>
      </c>
      <c r="B2953" s="1" t="str">
        <f ca="1">IFERROR(__xludf.DUMMYFUNCTION("GOOGLETRANSLATE(English!B2953, ""en"", ""bg"")"),"физика")</f>
        <v>физика</v>
      </c>
      <c r="C2953" s="1" t="str">
        <f ca="1">IFERROR(__xludf.DUMMYFUNCTION("GOOGLETRANSLATE(English!C2953, ""en"", ""bg"")"),"елементарен")</f>
        <v>елементарен</v>
      </c>
      <c r="D2953" s="1" t="str">
        <f ca="1">IFERROR(__xludf.DUMMYFUNCTION("GOOGLETRANSLATE(English!D2953, ""en"", ""bg"")"),"прости машини")</f>
        <v>прости машини</v>
      </c>
      <c r="E2953" s="1" t="str">
        <f ca="1">IFERROR(__xludf.DUMMYFUNCTION("GOOGLETRANSLATE(English!E2953, ""en"", ""bg"")"),"Можете ли да ми обясните какво представляват прости машини?")</f>
        <v>Можете ли да ми обясните какво представляват прости машини?</v>
      </c>
      <c r="F2953" s="1" t="str">
        <f ca="1">IFERROR(__xludf.DUMMYFUNCTION("GOOGLETRANSLATE(English!F2953,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2953" s="1" t="str">
        <f ca="1">IFERROR(__xludf.DUMMYFUNCTION("GOOGLETRANSLATE(English!G2953, ""en"", ""bg"")"),"direct_qa")</f>
        <v>direct_qa</v>
      </c>
      <c r="H2953" s="1" t="str">
        <f ca="1">IFERROR(__xludf.DUMMYFUNCTION("GOOGLETRANSLATE(English!H2953, ""en"", ""bg"")"),"заявка_за_знание")</f>
        <v>заявка_за_знание</v>
      </c>
    </row>
    <row r="2954" spans="1:8" ht="13.2" x14ac:dyDescent="0.25">
      <c r="A2954" s="1" t="str">
        <f ca="1">IFERROR(__xludf.DUMMYFUNCTION("GOOGLETRANSLATE(English!A2954, ""en"", ""bg"")"),"conv_08439")</f>
        <v>conv_08439</v>
      </c>
      <c r="B2954" s="1" t="str">
        <f ca="1">IFERROR(__xludf.DUMMYFUNCTION("GOOGLETRANSLATE(English!B2954, ""en"", ""bg"")"),"химия")</f>
        <v>химия</v>
      </c>
      <c r="C2954" s="1" t="str">
        <f ca="1">IFERROR(__xludf.DUMMYFUNCTION("GOOGLETRANSLATE(English!C2954, ""en"", ""bg"")"),"средата")</f>
        <v>средата</v>
      </c>
      <c r="D2954" s="1" t="str">
        <f ca="1">IFERROR(__xludf.DUMMYFUNCTION("GOOGLETRANSLATE(English!D2954, ""en"", ""bg"")"),"основи на периодичната таблица")</f>
        <v>основи на периодичната таблица</v>
      </c>
      <c r="E2954" s="1" t="str">
        <f ca="1">IFERROR(__xludf.DUMMYFUNCTION("GOOGLETRANSLATE(English!E2954, ""en"", ""bg"")"),"Здравей, преподавателю! Как се прилагат основите на периодичната таблица в химията?")</f>
        <v>Здравей, преподавателю! Как се прилагат основите на периодичната таблица в химията?</v>
      </c>
      <c r="F2954" s="1" t="str">
        <f ca="1">IFERROR(__xludf.DUMMYFUNCTION("GOOGLETRANSLATE(English!F2954,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2954" s="1" t="str">
        <f ca="1">IFERROR(__xludf.DUMMYFUNCTION("GOOGLETRANSLATE(English!G2954, ""en"", ""bg"")"),"разговор")</f>
        <v>разговор</v>
      </c>
      <c r="H2954" s="1" t="str">
        <f ca="1">IFERROR(__xludf.DUMMYFUNCTION("GOOGLETRANSLATE(English!H2954, ""en"", ""bg"")"),"образователна_помощ")</f>
        <v>образователна_помощ</v>
      </c>
    </row>
    <row r="2955" spans="1:8" ht="13.2" x14ac:dyDescent="0.25">
      <c r="A2955" s="1" t="str">
        <f ca="1">IFERROR(__xludf.DUMMYFUNCTION("GOOGLETRANSLATE(English!A2955, ""en"", ""bg"")"),"qa_14101")</f>
        <v>qa_14101</v>
      </c>
      <c r="B2955" s="1" t="str">
        <f ca="1">IFERROR(__xludf.DUMMYFUNCTION("GOOGLETRANSLATE(English!B2955, ""en"", ""bg"")"),"химия")</f>
        <v>химия</v>
      </c>
      <c r="C2955" s="1" t="str">
        <f ca="1">IFERROR(__xludf.DUMMYFUNCTION("GOOGLETRANSLATE(English!C2955, ""en"", ""bg"")"),"елементарен")</f>
        <v>елементарен</v>
      </c>
      <c r="D2955" s="1" t="str">
        <f ca="1">IFERROR(__xludf.DUMMYFUNCTION("GOOGLETRANSLATE(English!D2955, ""en"", ""bg"")"),"безопасност")</f>
        <v>безопасност</v>
      </c>
      <c r="E2955" s="1" t="str">
        <f ca="1">IFERROR(__xludf.DUMMYFUNCTION("GOOGLETRANSLATE(English!E2955, ""en"", ""bg"")"),"Можете ли да ми помогнете да разбера безопасността?")</f>
        <v>Можете ли да ми помогнете да разбера безопасността?</v>
      </c>
      <c r="F2955" s="1" t="str">
        <f ca="1">IFERROR(__xludf.DUMMYFUNCTION("GOOGLETRANSLATE(English!F2955,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2955" s="1" t="str">
        <f ca="1">IFERROR(__xludf.DUMMYFUNCTION("GOOGLETRANSLATE(English!G2955, ""en"", ""bg"")"),"direct_qa")</f>
        <v>direct_qa</v>
      </c>
      <c r="H2955" s="1" t="str">
        <f ca="1">IFERROR(__xludf.DUMMYFUNCTION("GOOGLETRANSLATE(English!H2955, ""en"", ""bg"")"),"заявка_за_знание")</f>
        <v>заявка_за_знание</v>
      </c>
    </row>
    <row r="2956" spans="1:8" ht="13.2" x14ac:dyDescent="0.25">
      <c r="A2956" s="1" t="str">
        <f ca="1">IFERROR(__xludf.DUMMYFUNCTION("GOOGLETRANSLATE(English!A2956, ""en"", ""bg"")"),"hw_11828")</f>
        <v>hw_11828</v>
      </c>
      <c r="B2956" s="1" t="str">
        <f ca="1">IFERROR(__xludf.DUMMYFUNCTION("GOOGLETRANSLATE(English!B2956, ""en"", ""bg"")"),"биология")</f>
        <v>биология</v>
      </c>
      <c r="C2956" s="1" t="str">
        <f ca="1">IFERROR(__xludf.DUMMYFUNCTION("GOOGLETRANSLATE(English!C2956, ""en"", ""bg"")"),"високо")</f>
        <v>високо</v>
      </c>
      <c r="D2956" s="1" t="str">
        <f ca="1">IFERROR(__xludf.DUMMYFUNCTION("GOOGLETRANSLATE(English!D2956, ""en"", ""bg"")"),"синтез на протеини")</f>
        <v>синтез на протеини</v>
      </c>
      <c r="E2956" s="1" t="str">
        <f ca="1">IFERROR(__xludf.DUMMYFUNCTION("GOOGLETRANSLATE(English!E2956, ""en"", ""bg"")"),"Утре имам тест по протеинов синтез. Помогни ми да уча!")</f>
        <v>Утре имам тест по протеинов синтез. Помогни ми да уча!</v>
      </c>
      <c r="F2956" s="1" t="str">
        <f ca="1">IFERROR(__xludf.DUMMYFUNCTION("GOOGLETRANSLATE(English!F2956,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2956" s="1" t="str">
        <f ca="1">IFERROR(__xludf.DUMMYFUNCTION("GOOGLETRANSLATE(English!G2956, ""en"", ""bg"")"),"помощ_за_домашно_изпълнение")</f>
        <v>помощ_за_домашно_изпълнение</v>
      </c>
      <c r="H2956" s="1" t="str">
        <f ca="1">IFERROR(__xludf.DUMMYFUNCTION("GOOGLETRANSLATE(English!H2956, ""en"", ""bg"")"),"помощ_за_домашно_задаване")</f>
        <v>помощ_за_домашно_задаване</v>
      </c>
    </row>
    <row r="2957" spans="1:8" ht="13.2" x14ac:dyDescent="0.25">
      <c r="A2957" s="1" t="str">
        <f ca="1">IFERROR(__xludf.DUMMYFUNCTION("GOOGLETRANSLATE(English!A2957, ""en"", ""bg"")"),"conv_12540")</f>
        <v>conv_12540</v>
      </c>
      <c r="B2957" s="1" t="str">
        <f ca="1">IFERROR(__xludf.DUMMYFUNCTION("GOOGLETRANSLATE(English!B2957, ""en"", ""bg"")"),"химия")</f>
        <v>химия</v>
      </c>
      <c r="C2957" s="1" t="str">
        <f ca="1">IFERROR(__xludf.DUMMYFUNCTION("GOOGLETRANSLATE(English!C2957, ""en"", ""bg"")"),"високо")</f>
        <v>високо</v>
      </c>
      <c r="D2957" s="1" t="str">
        <f ca="1">IFERROR(__xludf.DUMMYFUNCTION("GOOGLETRANSLATE(English!D2957, ""en"", ""bg"")"),"скорости на реакция")</f>
        <v>скорости на реакция</v>
      </c>
      <c r="E2957" s="1" t="str">
        <f ca="1">IFERROR(__xludf.DUMMYFUNCTION("GOOGLETRANSLATE(English!E2957, ""en"", ""bg"")"),"Можете ли да ми обясните това? Как работят скоростите на реакциите в химията?")</f>
        <v>Можете ли да ми обясните това? Как работят скоростите на реакциите в химията?</v>
      </c>
      <c r="F2957" s="1" t="str">
        <f ca="1">IFERROR(__xludf.DUMMYFUNCTION("GOOGLETRANSLATE(English!F2957,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2957" s="1" t="str">
        <f ca="1">IFERROR(__xludf.DUMMYFUNCTION("GOOGLETRANSLATE(English!G2957, ""en"", ""bg"")"),"разговор")</f>
        <v>разговор</v>
      </c>
      <c r="H2957" s="1" t="str">
        <f ca="1">IFERROR(__xludf.DUMMYFUNCTION("GOOGLETRANSLATE(English!H2957, ""en"", ""bg"")"),"образователна_помощ")</f>
        <v>образователна_помощ</v>
      </c>
    </row>
    <row r="2958" spans="1:8" ht="13.2" x14ac:dyDescent="0.25">
      <c r="A2958" s="1" t="str">
        <f ca="1">IFERROR(__xludf.DUMMYFUNCTION("GOOGLETRANSLATE(English!A2958, ""en"", ""bg"")"),"conv_11413")</f>
        <v>conv_11413</v>
      </c>
      <c r="B2958" s="1" t="str">
        <f ca="1">IFERROR(__xludf.DUMMYFUNCTION("GOOGLETRANSLATE(English!B2958, ""en"", ""bg"")"),"физика")</f>
        <v>физика</v>
      </c>
      <c r="C2958" s="1" t="str">
        <f ca="1">IFERROR(__xludf.DUMMYFUNCTION("GOOGLETRANSLATE(English!C2958, ""en"", ""bg"")"),"високо")</f>
        <v>високо</v>
      </c>
      <c r="D2958" s="1" t="str">
        <f ca="1">IFERROR(__xludf.DUMMYFUNCTION("GOOGLETRANSLATE(English!D2958, ""en"", ""bg"")"),"радиоактивност")</f>
        <v>радиоактивност</v>
      </c>
      <c r="E2958" s="1" t="str">
        <f ca="1">IFERROR(__xludf.DUMMYFUNCTION("GOOGLETRANSLATE(English!E2958, ""en"", ""bg"")"),"Можете ли да ми помогнете? Как работи радиоактивността във физиката?")</f>
        <v>Можете ли да ми помогнете? Как работи радиоактивността във физиката?</v>
      </c>
      <c r="F2958" s="1" t="str">
        <f ca="1">IFERROR(__xludf.DUMMYFUNCTION("GOOGLETRANSLATE(English!F2958,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2958" s="1" t="str">
        <f ca="1">IFERROR(__xludf.DUMMYFUNCTION("GOOGLETRANSLATE(English!G2958, ""en"", ""bg"")"),"разговор")</f>
        <v>разговор</v>
      </c>
      <c r="H2958" s="1" t="str">
        <f ca="1">IFERROR(__xludf.DUMMYFUNCTION("GOOGLETRANSLATE(English!H2958, ""en"", ""bg"")"),"образователна_помощ")</f>
        <v>образователна_помощ</v>
      </c>
    </row>
    <row r="2959" spans="1:8" ht="13.2" x14ac:dyDescent="0.25">
      <c r="A2959" s="1" t="str">
        <f ca="1">IFERROR(__xludf.DUMMYFUNCTION("GOOGLETRANSLATE(English!A2959, ""en"", ""bg"")"),"conv_17901")</f>
        <v>conv_17901</v>
      </c>
      <c r="B2959" s="1" t="str">
        <f ca="1">IFERROR(__xludf.DUMMYFUNCTION("GOOGLETRANSLATE(English!B2959, ""en"", ""bg"")"),"биология")</f>
        <v>биология</v>
      </c>
      <c r="C2959" s="1" t="str">
        <f ca="1">IFERROR(__xludf.DUMMYFUNCTION("GOOGLETRANSLATE(English!C2959, ""en"", ""bg"")"),"средата")</f>
        <v>средата</v>
      </c>
      <c r="D2959" s="1" t="str">
        <f ca="1">IFERROR(__xludf.DUMMYFUNCTION("GOOGLETRANSLATE(English!D2959, ""en"", ""bg"")"),"основи на еволюцията")</f>
        <v>основи на еволюцията</v>
      </c>
      <c r="E2959" s="1" t="str">
        <f ca="1">IFERROR(__xludf.DUMMYFUNCTION("GOOGLETRANSLATE(English!E2959, ""en"", ""bg"")"),"Можете ли да ми помогнете? Можете ли да ми разкажете за основите на еволюцията?")</f>
        <v>Можете ли да ми помогнете? Можете ли да ми разкажете за основите на еволюцията?</v>
      </c>
      <c r="F2959" s="1" t="str">
        <f ca="1">IFERROR(__xludf.DUMMYFUNCTION("GOOGLETRANSLATE(English!F2959,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2959" s="1" t="str">
        <f ca="1">IFERROR(__xludf.DUMMYFUNCTION("GOOGLETRANSLATE(English!G2959, ""en"", ""bg"")"),"разговор")</f>
        <v>разговор</v>
      </c>
      <c r="H2959" s="1" t="str">
        <f ca="1">IFERROR(__xludf.DUMMYFUNCTION("GOOGLETRANSLATE(English!H2959, ""en"", ""bg"")"),"образователна_помощ")</f>
        <v>образователна_помощ</v>
      </c>
    </row>
    <row r="2960" spans="1:8" ht="13.2" x14ac:dyDescent="0.25">
      <c r="A2960" s="1" t="str">
        <f ca="1">IFERROR(__xludf.DUMMYFUNCTION("GOOGLETRANSLATE(English!A2960, ""en"", ""bg"")"),"conv_16125")</f>
        <v>conv_16125</v>
      </c>
      <c r="B2960" s="1" t="str">
        <f ca="1">IFERROR(__xludf.DUMMYFUNCTION("GOOGLETRANSLATE(English!B2960, ""en"", ""bg"")"),"химия")</f>
        <v>химия</v>
      </c>
      <c r="C2960" s="1" t="str">
        <f ca="1">IFERROR(__xludf.DUMMYFUNCTION("GOOGLETRANSLATE(English!C2960, ""en"", ""bg"")"),"елементарен")</f>
        <v>елементарен</v>
      </c>
      <c r="D2960" s="1" t="str">
        <f ca="1">IFERROR(__xludf.DUMMYFUNCTION("GOOGLETRANSLATE(English!D2960, ""en"", ""bg"")"),"разтваряне")</f>
        <v>разтваряне</v>
      </c>
      <c r="E2960" s="1" t="str">
        <f ca="1">IFERROR(__xludf.DUMMYFUNCTION("GOOGLETRANSLATE(English!E2960, ""en"", ""bg"")"),"Здравей, преподавателю! Как протича разтварянето в химията?")</f>
        <v>Здравей, преподавателю! Как протича разтварянето в химията?</v>
      </c>
      <c r="F2960" s="1" t="str">
        <f ca="1">IFERROR(__xludf.DUMMYFUNCTION("GOOGLETRANSLATE(English!F2960,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2960" s="1" t="str">
        <f ca="1">IFERROR(__xludf.DUMMYFUNCTION("GOOGLETRANSLATE(English!G2960, ""en"", ""bg"")"),"разговор")</f>
        <v>разговор</v>
      </c>
      <c r="H2960" s="1" t="str">
        <f ca="1">IFERROR(__xludf.DUMMYFUNCTION("GOOGLETRANSLATE(English!H2960, ""en"", ""bg"")"),"образователна_помощ")</f>
        <v>образователна_помощ</v>
      </c>
    </row>
    <row r="2961" spans="1:8" ht="13.2" x14ac:dyDescent="0.25">
      <c r="A2961" s="1" t="str">
        <f ca="1">IFERROR(__xludf.DUMMYFUNCTION("GOOGLETRANSLATE(English!A2961, ""en"", ""bg"")"),"hw_09940")</f>
        <v>hw_09940</v>
      </c>
      <c r="B2961" s="1" t="str">
        <f ca="1">IFERROR(__xludf.DUMMYFUNCTION("GOOGLETRANSLATE(English!B2961, ""en"", ""bg"")"),"физика")</f>
        <v>физика</v>
      </c>
      <c r="C2961" s="1" t="str">
        <f ca="1">IFERROR(__xludf.DUMMYFUNCTION("GOOGLETRANSLATE(English!C2961, ""en"", ""bg"")"),"високо")</f>
        <v>високо</v>
      </c>
      <c r="D2961" s="1" t="str">
        <f ca="1">IFERROR(__xludf.DUMMYFUNCTION("GOOGLETRANSLATE(English!D2961, ""en"", ""bg"")"),"термодинамика")</f>
        <v>термодинамика</v>
      </c>
      <c r="E2961" s="1" t="str">
        <f ca="1">IFERROR(__xludf.DUMMYFUNCTION("GOOGLETRANSLATE(English!E2961, ""en"", ""bg"")"),"Домашното ми по физика е за термодинамика. Объркващо е!")</f>
        <v>Домашното ми по физика е за термодинамика. Объркващо е!</v>
      </c>
      <c r="F2961" s="1" t="str">
        <f ca="1">IFERROR(__xludf.DUMMYFUNCTION("GOOGLETRANSLATE(English!F2961,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2961" s="1" t="str">
        <f ca="1">IFERROR(__xludf.DUMMYFUNCTION("GOOGLETRANSLATE(English!G2961, ""en"", ""bg"")"),"помощ_за_домашно_изпълнение")</f>
        <v>помощ_за_домашно_изпълнение</v>
      </c>
      <c r="H2961" s="1" t="str">
        <f ca="1">IFERROR(__xludf.DUMMYFUNCTION("GOOGLETRANSLATE(English!H2961, ""en"", ""bg"")"),"помощ_за_домашно_задаване")</f>
        <v>помощ_за_домашно_задаване</v>
      </c>
    </row>
    <row r="2962" spans="1:8" ht="13.2" x14ac:dyDescent="0.25">
      <c r="A2962" s="1" t="str">
        <f ca="1">IFERROR(__xludf.DUMMYFUNCTION("GOOGLETRANSLATE(English!A2962, ""en"", ""bg"")"),"qa_10958")</f>
        <v>qa_10958</v>
      </c>
      <c r="B2962" s="1" t="str">
        <f ca="1">IFERROR(__xludf.DUMMYFUNCTION("GOOGLETRANSLATE(English!B2962, ""en"", ""bg"")"),"физика")</f>
        <v>физика</v>
      </c>
      <c r="C2962" s="1" t="str">
        <f ca="1">IFERROR(__xludf.DUMMYFUNCTION("GOOGLETRANSLATE(English!C2962, ""en"", ""bg"")"),"средата")</f>
        <v>средата</v>
      </c>
      <c r="D2962" s="1" t="str">
        <f ca="1">IFERROR(__xludf.DUMMYFUNCTION("GOOGLETRANSLATE(English!D2962, ""en"", ""bg"")"),"плътност")</f>
        <v>плътност</v>
      </c>
      <c r="E2962" s="1" t="str">
        <f ca="1">IFERROR(__xludf.DUMMYFUNCTION("GOOGLETRANSLATE(English!E2962, ""en"", ""bg"")"),"Как работи плътността във физиката?")</f>
        <v>Как работи плътността във физиката?</v>
      </c>
      <c r="F2962" s="1" t="str">
        <f ca="1">IFERROR(__xludf.DUMMYFUNCTION("GOOGLETRANSLATE(English!F2962,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2962" s="1" t="str">
        <f ca="1">IFERROR(__xludf.DUMMYFUNCTION("GOOGLETRANSLATE(English!G2962, ""en"", ""bg"")"),"direct_qa")</f>
        <v>direct_qa</v>
      </c>
      <c r="H2962" s="1" t="str">
        <f ca="1">IFERROR(__xludf.DUMMYFUNCTION("GOOGLETRANSLATE(English!H2962, ""en"", ""bg"")"),"заявка_за_знание")</f>
        <v>заявка_за_знание</v>
      </c>
    </row>
    <row r="2963" spans="1:8" ht="13.2" x14ac:dyDescent="0.25">
      <c r="A2963" s="1" t="str">
        <f ca="1">IFERROR(__xludf.DUMMYFUNCTION("GOOGLETRANSLATE(English!A2963, ""en"", ""bg"")"),"qa_08444")</f>
        <v>qa_08444</v>
      </c>
      <c r="B2963" s="1" t="str">
        <f ca="1">IFERROR(__xludf.DUMMYFUNCTION("GOOGLETRANSLATE(English!B2963, ""en"", ""bg"")"),"физика")</f>
        <v>физика</v>
      </c>
      <c r="C2963" s="1" t="str">
        <f ca="1">IFERROR(__xludf.DUMMYFUNCTION("GOOGLETRANSLATE(English!C2963, ""en"", ""bg"")"),"елементарен")</f>
        <v>елементарен</v>
      </c>
      <c r="D2963" s="1" t="str">
        <f ca="1">IFERROR(__xludf.DUMMYFUNCTION("GOOGLETRANSLATE(English!D2963, ""en"", ""bg"")"),"звук")</f>
        <v>звук</v>
      </c>
      <c r="E2963" s="1" t="str">
        <f ca="1">IFERROR(__xludf.DUMMYFUNCTION("GOOGLETRANSLATE(English!E2963, ""en"", ""bg"")"),"Можеш ли да ми обясниш звука?")</f>
        <v>Можеш ли да ми обясниш звука?</v>
      </c>
      <c r="F2963" s="1" t="str">
        <f ca="1">IFERROR(__xludf.DUMMYFUNCTION("GOOGLETRANSLATE(English!F2963,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2963" s="1" t="str">
        <f ca="1">IFERROR(__xludf.DUMMYFUNCTION("GOOGLETRANSLATE(English!G2963, ""en"", ""bg"")"),"direct_qa")</f>
        <v>direct_qa</v>
      </c>
      <c r="H2963" s="1" t="str">
        <f ca="1">IFERROR(__xludf.DUMMYFUNCTION("GOOGLETRANSLATE(English!H2963, ""en"", ""bg"")"),"заявка_за_знание")</f>
        <v>заявка_за_знание</v>
      </c>
    </row>
    <row r="2964" spans="1:8" ht="13.2" x14ac:dyDescent="0.25">
      <c r="A2964" s="1" t="str">
        <f ca="1">IFERROR(__xludf.DUMMYFUNCTION("GOOGLETRANSLATE(English!A2964, ""en"", ""bg"")"),"hw_04138")</f>
        <v>hw_04138</v>
      </c>
      <c r="B2964" s="1" t="str">
        <f ca="1">IFERROR(__xludf.DUMMYFUNCTION("GOOGLETRANSLATE(English!B2964, ""en"", ""bg"")"),"биология")</f>
        <v>биология</v>
      </c>
      <c r="C2964" s="1" t="str">
        <f ca="1">IFERROR(__xludf.DUMMYFUNCTION("GOOGLETRANSLATE(English!C2964, ""en"", ""bg"")"),"елементарен")</f>
        <v>елементарен</v>
      </c>
      <c r="D2964" s="1" t="str">
        <f ca="1">IFERROR(__xludf.DUMMYFUNCTION("GOOGLETRANSLATE(English!D2964, ""en"", ""bg"")"),"хранителни вериги")</f>
        <v>хранителни вериги</v>
      </c>
      <c r="E2964" s="1" t="str">
        <f ca="1">IFERROR(__xludf.DUMMYFUNCTION("GOOGLETRANSLATE(English!E2964, ""en"", ""bg"")"),"Трябва да напиша доклад за хранителните вериги. Можете ли да ми помогнете да започна?")</f>
        <v>Трябва да напиша доклад за хранителните вериги. Можете ли да ми помогнете да започна?</v>
      </c>
      <c r="F2964" s="1" t="str">
        <f ca="1">IFERROR(__xludf.DUMMYFUNCTION("GOOGLETRANSLATE(English!F2964,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2964" s="1" t="str">
        <f ca="1">IFERROR(__xludf.DUMMYFUNCTION("GOOGLETRANSLATE(English!G2964, ""en"", ""bg"")"),"помощ_за_домашно_изпълнение")</f>
        <v>помощ_за_домашно_изпълнение</v>
      </c>
      <c r="H2964" s="1" t="str">
        <f ca="1">IFERROR(__xludf.DUMMYFUNCTION("GOOGLETRANSLATE(English!H2964, ""en"", ""bg"")"),"помощ_за_домашно_задаване")</f>
        <v>помощ_за_домашно_задаване</v>
      </c>
    </row>
    <row r="2965" spans="1:8" ht="13.2" x14ac:dyDescent="0.25">
      <c r="A2965" s="1" t="str">
        <f ca="1">IFERROR(__xludf.DUMMYFUNCTION("GOOGLETRANSLATE(English!A2965, ""en"", ""bg"")"),"conv_14151")</f>
        <v>conv_14151</v>
      </c>
      <c r="B2965" s="1" t="str">
        <f ca="1">IFERROR(__xludf.DUMMYFUNCTION("GOOGLETRANSLATE(English!B2965, ""en"", ""bg"")"),"физика")</f>
        <v>физика</v>
      </c>
      <c r="C2965" s="1" t="str">
        <f ca="1">IFERROR(__xludf.DUMMYFUNCTION("GOOGLETRANSLATE(English!C2965, ""en"", ""bg"")"),"високо")</f>
        <v>високо</v>
      </c>
      <c r="D2965" s="1" t="str">
        <f ca="1">IFERROR(__xludf.DUMMYFUNCTION("GOOGLETRANSLATE(English!D2965, ""en"", ""bg"")"),"термодинамика")</f>
        <v>термодинамика</v>
      </c>
      <c r="E2965" s="1" t="str">
        <f ca="1">IFERROR(__xludf.DUMMYFUNCTION("GOOGLETRANSLATE(English!E2965, ""en"", ""bg"")"),"Имам нужда от помощ с домашното си. Можете ли да ми обясните термодинамиката?")</f>
        <v>Имам нужда от помощ с домашното си. Можете ли да ми обясните термодинамиката?</v>
      </c>
      <c r="F2965" s="1" t="str">
        <f ca="1">IFERROR(__xludf.DUMMYFUNCTION("GOOGLETRANSLATE(English!F2965,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2965" s="1" t="str">
        <f ca="1">IFERROR(__xludf.DUMMYFUNCTION("GOOGLETRANSLATE(English!G2965, ""en"", ""bg"")"),"разговор")</f>
        <v>разговор</v>
      </c>
      <c r="H2965" s="1" t="str">
        <f ca="1">IFERROR(__xludf.DUMMYFUNCTION("GOOGLETRANSLATE(English!H2965, ""en"", ""bg"")"),"образователна_помощ")</f>
        <v>образователна_помощ</v>
      </c>
    </row>
    <row r="2966" spans="1:8" ht="13.2" x14ac:dyDescent="0.25">
      <c r="A2966" s="1" t="str">
        <f ca="1">IFERROR(__xludf.DUMMYFUNCTION("GOOGLETRANSLATE(English!A2966, ""en"", ""bg"")"),"conv_01781")</f>
        <v>conv_01781</v>
      </c>
      <c r="B2966" s="1" t="str">
        <f ca="1">IFERROR(__xludf.DUMMYFUNCTION("GOOGLETRANSLATE(English!B2966, ""en"", ""bg"")"),"биология")</f>
        <v>биология</v>
      </c>
      <c r="C2966" s="1" t="str">
        <f ca="1">IFERROR(__xludf.DUMMYFUNCTION("GOOGLETRANSLATE(English!C2966, ""en"", ""bg"")"),"средата")</f>
        <v>средата</v>
      </c>
      <c r="D2966" s="1" t="str">
        <f ca="1">IFERROR(__xludf.DUMMYFUNCTION("GOOGLETRANSLATE(English!D2966, ""en"", ""bg"")"),"клетки")</f>
        <v>клетки</v>
      </c>
      <c r="E2966" s="1" t="str">
        <f ca="1">IFERROR(__xludf.DUMMYFUNCTION("GOOGLETRANSLATE(English!E2966, ""en"", ""bg"")"),"Здравей, преподавателю! Какво е клетка?")</f>
        <v>Здравей, преподавателю! Какво е клетка?</v>
      </c>
      <c r="F2966" s="1" t="str">
        <f ca="1">IFERROR(__xludf.DUMMYFUNCTION("GOOGLETRANSLATE(English!F2966, ""en"", ""bg"")"),"Клетката е най-малката единица живот! Тя е като мъничък градивен елемент, който изгражда всички живи същества.")</f>
        <v>Клетката е най-малката единица живот! Тя е като мъничък градивен елемент, който изгражда всички живи същества.</v>
      </c>
      <c r="G2966" s="1" t="str">
        <f ca="1">IFERROR(__xludf.DUMMYFUNCTION("GOOGLETRANSLATE(English!G2966, ""en"", ""bg"")"),"разговор")</f>
        <v>разговор</v>
      </c>
      <c r="H2966" s="1" t="str">
        <f ca="1">IFERROR(__xludf.DUMMYFUNCTION("GOOGLETRANSLATE(English!H2966, ""en"", ""bg"")"),"образователна_помощ")</f>
        <v>образователна_помощ</v>
      </c>
    </row>
    <row r="2967" spans="1:8" ht="13.2" x14ac:dyDescent="0.25">
      <c r="A2967" s="1" t="str">
        <f ca="1">IFERROR(__xludf.DUMMYFUNCTION("GOOGLETRANSLATE(English!A2967, ""en"", ""bg"")"),"conv_02400")</f>
        <v>conv_02400</v>
      </c>
      <c r="B2967" s="1" t="str">
        <f ca="1">IFERROR(__xludf.DUMMYFUNCTION("GOOGLETRANSLATE(English!B2967, ""en"", ""bg"")"),"биология")</f>
        <v>биология</v>
      </c>
      <c r="C2967" s="1" t="str">
        <f ca="1">IFERROR(__xludf.DUMMYFUNCTION("GOOGLETRANSLATE(English!C2967, ""en"", ""bg"")"),"високо")</f>
        <v>високо</v>
      </c>
      <c r="D2967" s="1" t="str">
        <f ca="1">IFERROR(__xludf.DUMMYFUNCTION("GOOGLETRANSLATE(English!D2967, ""en"", ""bg"")"),"Структура на ДНК")</f>
        <v>Структура на ДНК</v>
      </c>
      <c r="E2967" s="1" t="str">
        <f ca="1">IFERROR(__xludf.DUMMYFUNCTION("GOOGLETRANSLATE(English!E2967, ""en"", ""bg"")"),"Можете ли да ми помогнете? Можете ли да ми разкажете за структурата на ДНК?")</f>
        <v>Можете ли да ми помогнете? Можете ли да ми разкажете за структурата на ДНК?</v>
      </c>
      <c r="F2967" s="1" t="str">
        <f ca="1">IFERROR(__xludf.DUMMYFUNCTION("GOOGLETRANSLATE(English!F2967,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2967" s="1" t="str">
        <f ca="1">IFERROR(__xludf.DUMMYFUNCTION("GOOGLETRANSLATE(English!G2967, ""en"", ""bg"")"),"разговор")</f>
        <v>разговор</v>
      </c>
      <c r="H2967" s="1" t="str">
        <f ca="1">IFERROR(__xludf.DUMMYFUNCTION("GOOGLETRANSLATE(English!H2967, ""en"", ""bg"")"),"образователна_помощ")</f>
        <v>образователна_помощ</v>
      </c>
    </row>
    <row r="2968" spans="1:8" ht="13.2" x14ac:dyDescent="0.25">
      <c r="A2968" s="1" t="str">
        <f ca="1">IFERROR(__xludf.DUMMYFUNCTION("GOOGLETRANSLATE(English!A2968, ""en"", ""bg"")"),"hw_10503")</f>
        <v>hw_10503</v>
      </c>
      <c r="B2968" s="1" t="str">
        <f ca="1">IFERROR(__xludf.DUMMYFUNCTION("GOOGLETRANSLATE(English!B2968, ""en"", ""bg"")"),"биология")</f>
        <v>биология</v>
      </c>
      <c r="C2968" s="1" t="str">
        <f ca="1">IFERROR(__xludf.DUMMYFUNCTION("GOOGLETRANSLATE(English!C2968, ""en"", ""bg"")"),"средата")</f>
        <v>средата</v>
      </c>
      <c r="D2968" s="1" t="str">
        <f ca="1">IFERROR(__xludf.DUMMYFUNCTION("GOOGLETRANSLATE(English!D2968, ""en"", ""bg"")"),"размножаване")</f>
        <v>размножаване</v>
      </c>
      <c r="E2968" s="1" t="str">
        <f ca="1">IFERROR(__xludf.DUMMYFUNCTION("GOOGLETRANSLATE(English!E2968, ""en"", ""bg"")"),"Утре имам тест по репродукция. Помогни ми да уча!")</f>
        <v>Утре имам тест по репродукция. Помогни ми да уча!</v>
      </c>
      <c r="F2968" s="1" t="str">
        <f ca="1">IFERROR(__xludf.DUMMYFUNCTION("GOOGLETRANSLATE(English!F2968,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2968" s="1" t="str">
        <f ca="1">IFERROR(__xludf.DUMMYFUNCTION("GOOGLETRANSLATE(English!G2968, ""en"", ""bg"")"),"помощ_за_домашно_изпълнение")</f>
        <v>помощ_за_домашно_изпълнение</v>
      </c>
      <c r="H2968" s="1" t="str">
        <f ca="1">IFERROR(__xludf.DUMMYFUNCTION("GOOGLETRANSLATE(English!H2968, ""en"", ""bg"")"),"помощ_за_домашно_задаване")</f>
        <v>помощ_за_домашно_задаване</v>
      </c>
    </row>
    <row r="2969" spans="1:8" ht="13.2" x14ac:dyDescent="0.25">
      <c r="A2969" s="1" t="str">
        <f ca="1">IFERROR(__xludf.DUMMYFUNCTION("GOOGLETRANSLATE(English!A2969, ""en"", ""bg"")"),"conv_08234")</f>
        <v>conv_08234</v>
      </c>
      <c r="B2969" s="1" t="str">
        <f ca="1">IFERROR(__xludf.DUMMYFUNCTION("GOOGLETRANSLATE(English!B2969, ""en"", ""bg"")"),"физика")</f>
        <v>физика</v>
      </c>
      <c r="C2969" s="1" t="str">
        <f ca="1">IFERROR(__xludf.DUMMYFUNCTION("GOOGLETRANSLATE(English!C2969, ""en"", ""bg"")"),"високо")</f>
        <v>високо</v>
      </c>
      <c r="D2969" s="1" t="str">
        <f ca="1">IFERROR(__xludf.DUMMYFUNCTION("GOOGLETRANSLATE(English!D2969, ""en"", ""bg"")"),"механика")</f>
        <v>механика</v>
      </c>
      <c r="E2969" s="1" t="str">
        <f ca="1">IFERROR(__xludf.DUMMYFUNCTION("GOOGLETRANSLATE(English!E2969, ""en"", ""bg"")"),"Здравей, преподавателю! Можеш ли да ми обясниш механиката?")</f>
        <v>Здравей, преподавателю! Можеш ли да ми обясниш механиката?</v>
      </c>
      <c r="F2969" s="1" t="str">
        <f ca="1">IFERROR(__xludf.DUMMYFUNCTION("GOOGLETRANSLATE(English!F2969,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2969" s="1" t="str">
        <f ca="1">IFERROR(__xludf.DUMMYFUNCTION("GOOGLETRANSLATE(English!G2969, ""en"", ""bg"")"),"разговор")</f>
        <v>разговор</v>
      </c>
      <c r="H2969" s="1" t="str">
        <f ca="1">IFERROR(__xludf.DUMMYFUNCTION("GOOGLETRANSLATE(English!H2969, ""en"", ""bg"")"),"образователна_помощ")</f>
        <v>образователна_помощ</v>
      </c>
    </row>
    <row r="2970" spans="1:8" ht="13.2" x14ac:dyDescent="0.25">
      <c r="A2970" s="1" t="str">
        <f ca="1">IFERROR(__xludf.DUMMYFUNCTION("GOOGLETRANSLATE(English!A2970, ""en"", ""bg"")"),"qa_12664")</f>
        <v>qa_12664</v>
      </c>
      <c r="B2970" s="1" t="str">
        <f ca="1">IFERROR(__xludf.DUMMYFUNCTION("GOOGLETRANSLATE(English!B2970, ""en"", ""bg"")"),"биология")</f>
        <v>биология</v>
      </c>
      <c r="C2970" s="1" t="str">
        <f ca="1">IFERROR(__xludf.DUMMYFUNCTION("GOOGLETRANSLATE(English!C2970, ""en"", ""bg"")"),"високо")</f>
        <v>високо</v>
      </c>
      <c r="D2970" s="1" t="str">
        <f ca="1">IFERROR(__xludf.DUMMYFUNCTION("GOOGLETRANSLATE(English!D2970, ""en"", ""bg"")"),"клетъчно дишане")</f>
        <v>клетъчно дишане</v>
      </c>
      <c r="E2970" s="1" t="str">
        <f ca="1">IFERROR(__xludf.DUMMYFUNCTION("GOOGLETRANSLATE(English!E2970, ""en"", ""bg"")"),"Можете ли да ми разкажете за клетъчното дишане?")</f>
        <v>Можете ли да ми разкажете за клетъчното дишане?</v>
      </c>
      <c r="F2970" s="1" t="str">
        <f ca="1">IFERROR(__xludf.DUMMYFUNCTION("GOOGLETRANSLATE(English!F2970,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2970" s="1" t="str">
        <f ca="1">IFERROR(__xludf.DUMMYFUNCTION("GOOGLETRANSLATE(English!G2970, ""en"", ""bg"")"),"direct_qa")</f>
        <v>direct_qa</v>
      </c>
      <c r="H2970" s="1" t="str">
        <f ca="1">IFERROR(__xludf.DUMMYFUNCTION("GOOGLETRANSLATE(English!H2970, ""en"", ""bg"")"),"заявка_за_знание")</f>
        <v>заявка_за_знание</v>
      </c>
    </row>
    <row r="2971" spans="1:8" ht="13.2" x14ac:dyDescent="0.25">
      <c r="A2971" s="1" t="str">
        <f ca="1">IFERROR(__xludf.DUMMYFUNCTION("GOOGLETRANSLATE(English!A2971, ""en"", ""bg"")"),"conv_17807")</f>
        <v>conv_17807</v>
      </c>
      <c r="B2971" s="1" t="str">
        <f ca="1">IFERROR(__xludf.DUMMYFUNCTION("GOOGLETRANSLATE(English!B2971, ""en"", ""bg"")"),"биология")</f>
        <v>биология</v>
      </c>
      <c r="C2971" s="1" t="str">
        <f ca="1">IFERROR(__xludf.DUMMYFUNCTION("GOOGLETRANSLATE(English!C2971, ""en"", ""bg"")"),"високо")</f>
        <v>високо</v>
      </c>
      <c r="D2971" s="1" t="str">
        <f ca="1">IFERROR(__xludf.DUMMYFUNCTION("GOOGLETRANSLATE(English!D2971, ""en"", ""bg"")"),"митоза и мейоза")</f>
        <v>митоза и мейоза</v>
      </c>
      <c r="E2971" s="1" t="str">
        <f ca="1">IFERROR(__xludf.DUMMYFUNCTION("GOOGLETRANSLATE(English!E2971, ""en"", ""bg"")"),"Не разбирам тази тема. Какво е важно да знаем за митозата и мейозата?")</f>
        <v>Не разбирам тази тема. Какво е важно да знаем за митозата и мейозата?</v>
      </c>
      <c r="F2971" s="1" t="str">
        <f ca="1">IFERROR(__xludf.DUMMYFUNCTION("GOOGLETRANSLATE(English!F2971,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2971" s="1" t="str">
        <f ca="1">IFERROR(__xludf.DUMMYFUNCTION("GOOGLETRANSLATE(English!G2971, ""en"", ""bg"")"),"разговор")</f>
        <v>разговор</v>
      </c>
      <c r="H2971" s="1" t="str">
        <f ca="1">IFERROR(__xludf.DUMMYFUNCTION("GOOGLETRANSLATE(English!H2971, ""en"", ""bg"")"),"образователна_помощ")</f>
        <v>образователна_помощ</v>
      </c>
    </row>
    <row r="2972" spans="1:8" ht="13.2" x14ac:dyDescent="0.25">
      <c r="A2972" s="1" t="str">
        <f ca="1">IFERROR(__xludf.DUMMYFUNCTION("GOOGLETRANSLATE(English!A2972, ""en"", ""bg"")"),"conv_15449")</f>
        <v>conv_15449</v>
      </c>
      <c r="B2972" s="1" t="str">
        <f ca="1">IFERROR(__xludf.DUMMYFUNCTION("GOOGLETRANSLATE(English!B2972, ""en"", ""bg"")"),"биология")</f>
        <v>биология</v>
      </c>
      <c r="C2972" s="1" t="str">
        <f ca="1">IFERROR(__xludf.DUMMYFUNCTION("GOOGLETRANSLATE(English!C2972, ""en"", ""bg"")"),"средата")</f>
        <v>средата</v>
      </c>
      <c r="D2972" s="1" t="str">
        <f ca="1">IFERROR(__xludf.DUMMYFUNCTION("GOOGLETRANSLATE(English!D2972, ""en"", ""bg"")"),"размножаване")</f>
        <v>размножаване</v>
      </c>
      <c r="E2972" s="1" t="str">
        <f ca="1">IFERROR(__xludf.DUMMYFUNCTION("GOOGLETRANSLATE(English!E2972, ""en"", ""bg"")"),"Здравей, преподавателю! Можеш ли да ми кажеш нещо за размножаването?")</f>
        <v>Здравей, преподавателю! Можеш ли да ми кажеш нещо за размножаването?</v>
      </c>
      <c r="F2972" s="1" t="str">
        <f ca="1">IFERROR(__xludf.DUMMYFUNCTION("GOOGLETRANSLATE(English!F2972,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2972" s="1" t="str">
        <f ca="1">IFERROR(__xludf.DUMMYFUNCTION("GOOGLETRANSLATE(English!G2972, ""en"", ""bg"")"),"разговор")</f>
        <v>разговор</v>
      </c>
      <c r="H2972" s="1" t="str">
        <f ca="1">IFERROR(__xludf.DUMMYFUNCTION("GOOGLETRANSLATE(English!H2972, ""en"", ""bg"")"),"образователна_помощ")</f>
        <v>образователна_помощ</v>
      </c>
    </row>
    <row r="2973" spans="1:8" ht="13.2" x14ac:dyDescent="0.25">
      <c r="A2973" s="1" t="str">
        <f ca="1">IFERROR(__xludf.DUMMYFUNCTION("GOOGLETRANSLATE(English!A2973, ""en"", ""bg"")"),"conv_06671")</f>
        <v>conv_06671</v>
      </c>
      <c r="B2973" s="1" t="str">
        <f ca="1">IFERROR(__xludf.DUMMYFUNCTION("GOOGLETRANSLATE(English!B2973, ""en"", ""bg"")"),"биология")</f>
        <v>биология</v>
      </c>
      <c r="C2973" s="1" t="str">
        <f ca="1">IFERROR(__xludf.DUMMYFUNCTION("GOOGLETRANSLATE(English!C2973, ""en"", ""bg"")"),"средата")</f>
        <v>средата</v>
      </c>
      <c r="D2973" s="1" t="str">
        <f ca="1">IFERROR(__xludf.DUMMYFUNCTION("GOOGLETRANSLATE(English!D2973, ""en"", ""bg"")"),"дишане")</f>
        <v>дишане</v>
      </c>
      <c r="E2973" s="1" t="str">
        <f ca="1">IFERROR(__xludf.DUMMYFUNCTION("GOOGLETRANSLATE(English!E2973, ""en"", ""bg"")"),"Здравей, преподавателю! Защо дишането е важно в биологията?")</f>
        <v>Здравей, преподавателю! Защо дишането е важно в биологията?</v>
      </c>
      <c r="F2973" s="1" t="str">
        <f ca="1">IFERROR(__xludf.DUMMYFUNCTION("GOOGLETRANSLATE(English!F2973, ""en"", ""bg"")"),"Дишането е важно, защото ни помага да разберем живота и как живите същества оцеляват.")</f>
        <v>Дишането е важно, защото ни помага да разберем живота и как живите същества оцеляват.</v>
      </c>
      <c r="G2973" s="1" t="str">
        <f ca="1">IFERROR(__xludf.DUMMYFUNCTION("GOOGLETRANSLATE(English!G2973, ""en"", ""bg"")"),"разговор")</f>
        <v>разговор</v>
      </c>
      <c r="H2973" s="1" t="str">
        <f ca="1">IFERROR(__xludf.DUMMYFUNCTION("GOOGLETRANSLATE(English!H2973, ""en"", ""bg"")"),"образователна_помощ")</f>
        <v>образователна_помощ</v>
      </c>
    </row>
    <row r="2974" spans="1:8" ht="13.2" x14ac:dyDescent="0.25">
      <c r="A2974" s="1" t="str">
        <f ca="1">IFERROR(__xludf.DUMMYFUNCTION("GOOGLETRANSLATE(English!A2974, ""en"", ""bg"")"),"conv_06138")</f>
        <v>conv_06138</v>
      </c>
      <c r="B2974" s="1" t="str">
        <f ca="1">IFERROR(__xludf.DUMMYFUNCTION("GOOGLETRANSLATE(English!B2974, ""en"", ""bg"")"),"биология")</f>
        <v>биология</v>
      </c>
      <c r="C2974" s="1" t="str">
        <f ca="1">IFERROR(__xludf.DUMMYFUNCTION("GOOGLETRANSLATE(English!C2974, ""en"", ""bg"")"),"високо")</f>
        <v>високо</v>
      </c>
      <c r="D2974" s="1" t="str">
        <f ca="1">IFERROR(__xludf.DUMMYFUNCTION("GOOGLETRANSLATE(English!D2974, ""en"", ""bg"")"),"модели на наследяване")</f>
        <v>модели на наследяване</v>
      </c>
      <c r="E2974" s="1" t="str">
        <f ca="1">IFERROR(__xludf.DUMMYFUNCTION("GOOGLETRANSLATE(English!E2974, ""en"", ""bg"")"),"Имам нужда от помощ с домашното си. Как работят моделите на наследяване?")</f>
        <v>Имам нужда от помощ с домашното си. Как работят моделите на наследяване?</v>
      </c>
      <c r="F2974" s="1" t="str">
        <f ca="1">IFERROR(__xludf.DUMMYFUNCTION("GOOGLETRANSLATE(English!F2974,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2974" s="1" t="str">
        <f ca="1">IFERROR(__xludf.DUMMYFUNCTION("GOOGLETRANSLATE(English!G2974, ""en"", ""bg"")"),"разговор")</f>
        <v>разговор</v>
      </c>
      <c r="H2974" s="1" t="str">
        <f ca="1">IFERROR(__xludf.DUMMYFUNCTION("GOOGLETRANSLATE(English!H2974, ""en"", ""bg"")"),"образователна_помощ")</f>
        <v>образователна_помощ</v>
      </c>
    </row>
    <row r="2975" spans="1:8" ht="13.2" x14ac:dyDescent="0.25">
      <c r="A2975" s="1" t="str">
        <f ca="1">IFERROR(__xludf.DUMMYFUNCTION("GOOGLETRANSLATE(English!A2975, ""en"", ""bg"")"),"conv_19048")</f>
        <v>conv_19048</v>
      </c>
      <c r="B2975" s="1" t="str">
        <f ca="1">IFERROR(__xludf.DUMMYFUNCTION("GOOGLETRANSLATE(English!B2975, ""en"", ""bg"")"),"физика")</f>
        <v>физика</v>
      </c>
      <c r="C2975" s="1" t="str">
        <f ca="1">IFERROR(__xludf.DUMMYFUNCTION("GOOGLETRANSLATE(English!C2975, ""en"", ""bg"")"),"средата")</f>
        <v>средата</v>
      </c>
      <c r="D2975" s="1" t="str">
        <f ca="1">IFERROR(__xludf.DUMMYFUNCTION("GOOGLETRANSLATE(English!D2975, ""en"", ""bg"")"),"вълни")</f>
        <v>вълни</v>
      </c>
      <c r="E2975" s="1" t="str">
        <f ca="1">IFERROR(__xludf.DUMMYFUNCTION("GOOGLETRANSLATE(English!E2975, ""en"", ""bg"")"),"Помогни ми да уча за теста. Можеш ли да ми обясниш вълните?")</f>
        <v>Помогни ми да уча за теста. Можеш ли да ми обясниш вълните?</v>
      </c>
      <c r="F2975" s="1" t="str">
        <f ca="1">IFERROR(__xludf.DUMMYFUNCTION("GOOGLETRANSLATE(English!F2975,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2975" s="1" t="str">
        <f ca="1">IFERROR(__xludf.DUMMYFUNCTION("GOOGLETRANSLATE(English!G2975, ""en"", ""bg"")"),"разговор")</f>
        <v>разговор</v>
      </c>
      <c r="H2975" s="1" t="str">
        <f ca="1">IFERROR(__xludf.DUMMYFUNCTION("GOOGLETRANSLATE(English!H2975, ""en"", ""bg"")"),"образователна_помощ")</f>
        <v>образователна_помощ</v>
      </c>
    </row>
    <row r="2976" spans="1:8" ht="13.2" x14ac:dyDescent="0.25">
      <c r="A2976" s="1" t="str">
        <f ca="1">IFERROR(__xludf.DUMMYFUNCTION("GOOGLETRANSLATE(English!A2976, ""en"", ""bg"")"),"qa_03826")</f>
        <v>qa_03826</v>
      </c>
      <c r="B2976" s="1" t="str">
        <f ca="1">IFERROR(__xludf.DUMMYFUNCTION("GOOGLETRANSLATE(English!B2976, ""en"", ""bg"")"),"химия")</f>
        <v>химия</v>
      </c>
      <c r="C2976" s="1" t="str">
        <f ca="1">IFERROR(__xludf.DUMMYFUNCTION("GOOGLETRANSLATE(English!C2976, ""en"", ""bg"")"),"средата")</f>
        <v>средата</v>
      </c>
      <c r="D2976" s="1" t="str">
        <f ca="1">IFERROR(__xludf.DUMMYFUNCTION("GOOGLETRANSLATE(English!D2976, ""en"", ""bg"")"),"химични промени")</f>
        <v>химични промени</v>
      </c>
      <c r="E2976" s="1" t="str">
        <f ca="1">IFERROR(__xludf.DUMMYFUNCTION("GOOGLETRANSLATE(English!E2976, ""en"", ""bg"")"),"Можете ли да ми помогнете да разбера химичните промени?")</f>
        <v>Можете ли да ми помогнете да разбера химичните промени?</v>
      </c>
      <c r="F2976" s="1" t="str">
        <f ca="1">IFERROR(__xludf.DUMMYFUNCTION("GOOGLETRANSLATE(English!F2976,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2976" s="1" t="str">
        <f ca="1">IFERROR(__xludf.DUMMYFUNCTION("GOOGLETRANSLATE(English!G2976, ""en"", ""bg"")"),"direct_qa")</f>
        <v>direct_qa</v>
      </c>
      <c r="H2976" s="1" t="str">
        <f ca="1">IFERROR(__xludf.DUMMYFUNCTION("GOOGLETRANSLATE(English!H2976, ""en"", ""bg"")"),"заявка_за_знание")</f>
        <v>заявка_за_знание</v>
      </c>
    </row>
    <row r="2977" spans="1:8" ht="13.2" x14ac:dyDescent="0.25">
      <c r="A2977" s="1" t="str">
        <f ca="1">IFERROR(__xludf.DUMMYFUNCTION("GOOGLETRANSLATE(English!A2977, ""en"", ""bg"")"),"qa_13561")</f>
        <v>qa_13561</v>
      </c>
      <c r="B2977" s="1" t="str">
        <f ca="1">IFERROR(__xludf.DUMMYFUNCTION("GOOGLETRANSLATE(English!B2977, ""en"", ""bg"")"),"биология")</f>
        <v>биология</v>
      </c>
      <c r="C2977" s="1" t="str">
        <f ca="1">IFERROR(__xludf.DUMMYFUNCTION("GOOGLETRANSLATE(English!C2977, ""en"", ""bg"")"),"елементарен")</f>
        <v>елементарен</v>
      </c>
      <c r="D2977" s="1" t="str">
        <f ca="1">IFERROR(__xludf.DUMMYFUNCTION("GOOGLETRANSLATE(English!D2977, ""en"", ""bg"")"),"животни")</f>
        <v>животни</v>
      </c>
      <c r="E2977" s="1" t="str">
        <f ca="1">IFERROR(__xludf.DUMMYFUNCTION("GOOGLETRANSLATE(English!E2977, ""en"", ""bg"")"),"Как котките се грижат за своите бебета?")</f>
        <v>Как котките се грижат за своите бебета?</v>
      </c>
      <c r="F2977" s="1" t="str">
        <f ca="1">IFERROR(__xludf.DUMMYFUNCTION("GOOGLETRANSLATE(English!F2977,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2977" s="1" t="str">
        <f ca="1">IFERROR(__xludf.DUMMYFUNCTION("GOOGLETRANSLATE(English!G2977, ""en"", ""bg"")"),"direct_qa")</f>
        <v>direct_qa</v>
      </c>
      <c r="H2977" s="1" t="str">
        <f ca="1">IFERROR(__xludf.DUMMYFUNCTION("GOOGLETRANSLATE(English!H2977, ""en"", ""bg"")"),"заявка_за_знание")</f>
        <v>заявка_за_знание</v>
      </c>
    </row>
    <row r="2978" spans="1:8" ht="13.2" x14ac:dyDescent="0.25">
      <c r="A2978" s="1" t="str">
        <f ca="1">IFERROR(__xludf.DUMMYFUNCTION("GOOGLETRANSLATE(English!A2978, ""en"", ""bg"")"),"hw_11408")</f>
        <v>hw_11408</v>
      </c>
      <c r="B2978" s="1" t="str">
        <f ca="1">IFERROR(__xludf.DUMMYFUNCTION("GOOGLETRANSLATE(English!B2978, ""en"", ""bg"")"),"химия")</f>
        <v>химия</v>
      </c>
      <c r="C2978" s="1" t="str">
        <f ca="1">IFERROR(__xludf.DUMMYFUNCTION("GOOGLETRANSLATE(English!C2978, ""en"", ""bg"")"),"средата")</f>
        <v>средата</v>
      </c>
      <c r="D2978" s="1" t="str">
        <f ca="1">IFERROR(__xludf.DUMMYFUNCTION("GOOGLETRANSLATE(English!D2978, ""en"", ""bg"")"),"атоми и молекули")</f>
        <v>атоми и молекули</v>
      </c>
      <c r="E2978" s="1" t="str">
        <f ca="1">IFERROR(__xludf.DUMMYFUNCTION("GOOGLETRANSLATE(English!E2978, ""en"", ""bg"")"),"Затруднявам се с атомите и молекулите в домашното си.")</f>
        <v>Затруднявам се с атомите и молекулите в домашното си.</v>
      </c>
      <c r="F2978" s="1" t="str">
        <f ca="1">IFERROR(__xludf.DUMMYFUNCTION("GOOGLETRANSLATE(English!F2978,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2978" s="1" t="str">
        <f ca="1">IFERROR(__xludf.DUMMYFUNCTION("GOOGLETRANSLATE(English!G2978, ""en"", ""bg"")"),"помощ_за_домашно_изпълнение")</f>
        <v>помощ_за_домашно_изпълнение</v>
      </c>
      <c r="H2978" s="1" t="str">
        <f ca="1">IFERROR(__xludf.DUMMYFUNCTION("GOOGLETRANSLATE(English!H2978, ""en"", ""bg"")"),"помощ_за_домашно_задаване")</f>
        <v>помощ_за_домашно_задаване</v>
      </c>
    </row>
    <row r="2979" spans="1:8" ht="13.2" x14ac:dyDescent="0.25">
      <c r="A2979" s="1" t="str">
        <f ca="1">IFERROR(__xludf.DUMMYFUNCTION("GOOGLETRANSLATE(English!A2979, ""en"", ""bg"")"),"conv_11851")</f>
        <v>conv_11851</v>
      </c>
      <c r="B2979" s="1" t="str">
        <f ca="1">IFERROR(__xludf.DUMMYFUNCTION("GOOGLETRANSLATE(English!B2979, ""en"", ""bg"")"),"физика")</f>
        <v>физика</v>
      </c>
      <c r="C2979" s="1" t="str">
        <f ca="1">IFERROR(__xludf.DUMMYFUNCTION("GOOGLETRANSLATE(English!C2979, ""en"", ""bg"")"),"високо")</f>
        <v>високо</v>
      </c>
      <c r="D2979" s="1" t="str">
        <f ca="1">IFERROR(__xludf.DUMMYFUNCTION("GOOGLETRANSLATE(English!D2979, ""en"", ""bg"")"),"радиоактивност")</f>
        <v>радиоактивност</v>
      </c>
      <c r="E2979" s="1" t="str">
        <f ca="1">IFERROR(__xludf.DUMMYFUNCTION("GOOGLETRANSLATE(English!E2979, ""en"", ""bg"")"),"Можете ли да ми помогнете? Как работи радиоактивността във физиката?")</f>
        <v>Можете ли да ми помогнете? Как работи радиоактивността във физиката?</v>
      </c>
      <c r="F2979" s="1" t="str">
        <f ca="1">IFERROR(__xludf.DUMMYFUNCTION("GOOGLETRANSLATE(English!F2979,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2979" s="1" t="str">
        <f ca="1">IFERROR(__xludf.DUMMYFUNCTION("GOOGLETRANSLATE(English!G2979, ""en"", ""bg"")"),"разговор")</f>
        <v>разговор</v>
      </c>
      <c r="H2979" s="1" t="str">
        <f ca="1">IFERROR(__xludf.DUMMYFUNCTION("GOOGLETRANSLATE(English!H2979, ""en"", ""bg"")"),"образователна_помощ")</f>
        <v>образователна_помощ</v>
      </c>
    </row>
    <row r="2980" spans="1:8" ht="13.2" x14ac:dyDescent="0.25">
      <c r="A2980" s="1" t="str">
        <f ca="1">IFERROR(__xludf.DUMMYFUNCTION("GOOGLETRANSLATE(English!A2980, ""en"", ""bg"")"),"conv_09839")</f>
        <v>conv_09839</v>
      </c>
      <c r="B2980" s="1" t="str">
        <f ca="1">IFERROR(__xludf.DUMMYFUNCTION("GOOGLETRANSLATE(English!B2980, ""en"", ""bg"")"),"биология")</f>
        <v>биология</v>
      </c>
      <c r="C2980" s="1" t="str">
        <f ca="1">IFERROR(__xludf.DUMMYFUNCTION("GOOGLETRANSLATE(English!C2980, ""en"", ""bg"")"),"високо")</f>
        <v>високо</v>
      </c>
      <c r="D2980" s="1" t="str">
        <f ca="1">IFERROR(__xludf.DUMMYFUNCTION("GOOGLETRANSLATE(English!D2980, ""en"", ""bg"")"),"Структура на ДНК")</f>
        <v>Структура на ДНК</v>
      </c>
      <c r="E2980" s="1" t="str">
        <f ca="1">IFERROR(__xludf.DUMMYFUNCTION("GOOGLETRANSLATE(English!E2980, ""en"", ""bg"")"),"Имам нужда от помощ с домашното. Можете ли да ми разкажете за структурата на ДНК?")</f>
        <v>Имам нужда от помощ с домашното. Можете ли да ми разкажете за структурата на ДНК?</v>
      </c>
      <c r="F2980" s="1" t="str">
        <f ca="1">IFERROR(__xludf.DUMMYFUNCTION("GOOGLETRANSLATE(English!F2980,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2980" s="1" t="str">
        <f ca="1">IFERROR(__xludf.DUMMYFUNCTION("GOOGLETRANSLATE(English!G2980, ""en"", ""bg"")"),"разговор")</f>
        <v>разговор</v>
      </c>
      <c r="H2980" s="1" t="str">
        <f ca="1">IFERROR(__xludf.DUMMYFUNCTION("GOOGLETRANSLATE(English!H2980, ""en"", ""bg"")"),"образователна_помощ")</f>
        <v>образователна_помощ</v>
      </c>
    </row>
    <row r="2981" spans="1:8" ht="13.2" x14ac:dyDescent="0.25">
      <c r="A2981" s="1" t="str">
        <f ca="1">IFERROR(__xludf.DUMMYFUNCTION("GOOGLETRANSLATE(English!A2981, ""en"", ""bg"")"),"conv_15164")</f>
        <v>conv_15164</v>
      </c>
      <c r="B2981" s="1" t="str">
        <f ca="1">IFERROR(__xludf.DUMMYFUNCTION("GOOGLETRANSLATE(English!B2981, ""en"", ""bg"")"),"химия")</f>
        <v>химия</v>
      </c>
      <c r="C2981" s="1" t="str">
        <f ca="1">IFERROR(__xludf.DUMMYFUNCTION("GOOGLETRANSLATE(English!C2981, ""en"", ""bg"")"),"високо")</f>
        <v>високо</v>
      </c>
      <c r="D2981" s="1" t="str">
        <f ca="1">IFERROR(__xludf.DUMMYFUNCTION("GOOGLETRANSLATE(English!D2981, ""en"", ""bg"")"),"скорости на реакция")</f>
        <v>скорости на реакция</v>
      </c>
      <c r="E2981" s="1" t="str">
        <f ca="1">IFERROR(__xludf.DUMMYFUNCTION("GOOGLETRANSLATE(English!E2981, ""en"", ""bg"")"),"Можете ли да ми помогнете? Можете ли да ми помогнете да разбера скоростта на реакциите?")</f>
        <v>Можете ли да ми помогнете? Можете ли да ми помогнете да разбера скоростта на реакциите?</v>
      </c>
      <c r="F2981" s="1" t="str">
        <f ca="1">IFERROR(__xludf.DUMMYFUNCTION("GOOGLETRANSLATE(English!F2981,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2981" s="1" t="str">
        <f ca="1">IFERROR(__xludf.DUMMYFUNCTION("GOOGLETRANSLATE(English!G2981, ""en"", ""bg"")"),"разговор")</f>
        <v>разговор</v>
      </c>
      <c r="H2981" s="1" t="str">
        <f ca="1">IFERROR(__xludf.DUMMYFUNCTION("GOOGLETRANSLATE(English!H2981, ""en"", ""bg"")"),"образователна_помощ")</f>
        <v>образователна_помощ</v>
      </c>
    </row>
    <row r="2982" spans="1:8" ht="13.2" x14ac:dyDescent="0.25">
      <c r="A2982" s="1" t="str">
        <f ca="1">IFERROR(__xludf.DUMMYFUNCTION("GOOGLETRANSLATE(English!A2982, ""en"", ""bg"")"),"hw_14474")</f>
        <v>hw_14474</v>
      </c>
      <c r="B2982" s="1" t="str">
        <f ca="1">IFERROR(__xludf.DUMMYFUNCTION("GOOGLETRANSLATE(English!B2982, ""en"", ""bg"")"),"химия")</f>
        <v>химия</v>
      </c>
      <c r="C2982" s="1" t="str">
        <f ca="1">IFERROR(__xludf.DUMMYFUNCTION("GOOGLETRANSLATE(English!C2982, ""en"", ""bg"")"),"елементарен")</f>
        <v>елементарен</v>
      </c>
      <c r="D2982" s="1" t="str">
        <f ca="1">IFERROR(__xludf.DUMMYFUNCTION("GOOGLETRANSLATE(English!D2982, ""en"", ""bg"")"),"разтваряне")</f>
        <v>разтваряне</v>
      </c>
      <c r="E2982" s="1" t="str">
        <f ca="1">IFERROR(__xludf.DUMMYFUNCTION("GOOGLETRANSLATE(English!E2982, ""en"", ""bg"")"),"Трудно ми е да се разсея в домашните си.")</f>
        <v>Трудно ми е да се разсея в домашните си.</v>
      </c>
      <c r="F2982" s="1" t="str">
        <f ca="1">IFERROR(__xludf.DUMMYFUNCTION("GOOGLETRANSLATE(English!F2982,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2982" s="1" t="str">
        <f ca="1">IFERROR(__xludf.DUMMYFUNCTION("GOOGLETRANSLATE(English!G2982, ""en"", ""bg"")"),"помощ_за_домашно_изпълнение")</f>
        <v>помощ_за_домашно_изпълнение</v>
      </c>
      <c r="H2982" s="1" t="str">
        <f ca="1">IFERROR(__xludf.DUMMYFUNCTION("GOOGLETRANSLATE(English!H2982, ""en"", ""bg"")"),"помощ_за_домашно_задаване")</f>
        <v>помощ_за_домашно_задаване</v>
      </c>
    </row>
    <row r="2983" spans="1:8" ht="13.2" x14ac:dyDescent="0.25">
      <c r="A2983" s="1" t="str">
        <f ca="1">IFERROR(__xludf.DUMMYFUNCTION("GOOGLETRANSLATE(English!A2983, ""en"", ""bg"")"),"qa_10836")</f>
        <v>qa_10836</v>
      </c>
      <c r="B2983" s="1" t="str">
        <f ca="1">IFERROR(__xludf.DUMMYFUNCTION("GOOGLETRANSLATE(English!B2983, ""en"", ""bg"")"),"биология")</f>
        <v>биология</v>
      </c>
      <c r="C2983" s="1" t="str">
        <f ca="1">IFERROR(__xludf.DUMMYFUNCTION("GOOGLETRANSLATE(English!C2983, ""en"", ""bg"")"),"високо")</f>
        <v>високо</v>
      </c>
      <c r="D2983" s="1" t="str">
        <f ca="1">IFERROR(__xludf.DUMMYFUNCTION("GOOGLETRANSLATE(English!D2983, ""en"", ""bg"")"),"молекулярна биология")</f>
        <v>молекулярна биология</v>
      </c>
      <c r="E2983" s="1" t="str">
        <f ca="1">IFERROR(__xludf.DUMMYFUNCTION("GOOGLETRANSLATE(English!E2983, ""en"", ""bg"")"),"Как работи молекулярната биология?")</f>
        <v>Как работи молекулярната биология?</v>
      </c>
      <c r="F2983" s="1" t="str">
        <f ca="1">IFERROR(__xludf.DUMMYFUNCTION("GOOGLETRANSLATE(English!F2983,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2983" s="1" t="str">
        <f ca="1">IFERROR(__xludf.DUMMYFUNCTION("GOOGLETRANSLATE(English!G2983, ""en"", ""bg"")"),"direct_qa")</f>
        <v>direct_qa</v>
      </c>
      <c r="H2983" s="1" t="str">
        <f ca="1">IFERROR(__xludf.DUMMYFUNCTION("GOOGLETRANSLATE(English!H2983, ""en"", ""bg"")"),"заявка_за_знание")</f>
        <v>заявка_за_знание</v>
      </c>
    </row>
    <row r="2984" spans="1:8" ht="13.2" x14ac:dyDescent="0.25">
      <c r="A2984" s="1" t="str">
        <f ca="1">IFERROR(__xludf.DUMMYFUNCTION("GOOGLETRANSLATE(English!A2984, ""en"", ""bg"")"),"hw_03292")</f>
        <v>hw_03292</v>
      </c>
      <c r="B2984" s="1" t="str">
        <f ca="1">IFERROR(__xludf.DUMMYFUNCTION("GOOGLETRANSLATE(English!B2984, ""en"", ""bg"")"),"химия")</f>
        <v>химия</v>
      </c>
      <c r="C2984" s="1" t="str">
        <f ca="1">IFERROR(__xludf.DUMMYFUNCTION("GOOGLETRANSLATE(English!C2984, ""en"", ""bg"")"),"високо")</f>
        <v>високо</v>
      </c>
      <c r="D2984" s="1" t="str">
        <f ca="1">IFERROR(__xludf.DUMMYFUNCTION("GOOGLETRANSLATE(English!D2984, ""en"", ""bg"")"),"скорости на реакция")</f>
        <v>скорости на реакция</v>
      </c>
      <c r="E2984" s="1" t="str">
        <f ca="1">IFERROR(__xludf.DUMMYFUNCTION("GOOGLETRANSLATE(English!E2984, ""en"", ""bg"")"),"Имам проблеми с темпото на реакция в домашните си.")</f>
        <v>Имам проблеми с темпото на реакция в домашните си.</v>
      </c>
      <c r="F2984" s="1" t="str">
        <f ca="1">IFERROR(__xludf.DUMMYFUNCTION("GOOGLETRANSLATE(English!F2984,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2984" s="1" t="str">
        <f ca="1">IFERROR(__xludf.DUMMYFUNCTION("GOOGLETRANSLATE(English!G2984, ""en"", ""bg"")"),"помощ_за_домашно_изпълнение")</f>
        <v>помощ_за_домашно_изпълнение</v>
      </c>
      <c r="H2984" s="1" t="str">
        <f ca="1">IFERROR(__xludf.DUMMYFUNCTION("GOOGLETRANSLATE(English!H2984, ""en"", ""bg"")"),"помощ_за_домашно_задаване")</f>
        <v>помощ_за_домашно_задаване</v>
      </c>
    </row>
    <row r="2985" spans="1:8" ht="13.2" x14ac:dyDescent="0.25">
      <c r="A2985" s="1" t="str">
        <f ca="1">IFERROR(__xludf.DUMMYFUNCTION("GOOGLETRANSLATE(English!A2985, ""en"", ""bg"")"),"hw_04393")</f>
        <v>hw_04393</v>
      </c>
      <c r="B2985" s="1" t="str">
        <f ca="1">IFERROR(__xludf.DUMMYFUNCTION("GOOGLETRANSLATE(English!B2985, ""en"", ""bg"")"),"биология")</f>
        <v>биология</v>
      </c>
      <c r="C2985" s="1" t="str">
        <f ca="1">IFERROR(__xludf.DUMMYFUNCTION("GOOGLETRANSLATE(English!C2985, ""en"", ""bg"")"),"елементарен")</f>
        <v>елементарен</v>
      </c>
      <c r="D2985" s="1" t="str">
        <f ca="1">IFERROR(__xludf.DUMMYFUNCTION("GOOGLETRANSLATE(English!D2985, ""en"", ""bg"")"),"животни")</f>
        <v>животни</v>
      </c>
      <c r="E2985" s="1" t="str">
        <f ca="1">IFERROR(__xludf.DUMMYFUNCTION("GOOGLETRANSLATE(English!E2985, ""en"", ""bg"")"),"Утре имам тест върху животни. Помогни ми да уча!")</f>
        <v>Утре имам тест върху животни. Помогни ми да уча!</v>
      </c>
      <c r="F2985" s="1" t="str">
        <f ca="1">IFERROR(__xludf.DUMMYFUNCTION("GOOGLETRANSLATE(English!F2985,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2985" s="1" t="str">
        <f ca="1">IFERROR(__xludf.DUMMYFUNCTION("GOOGLETRANSLATE(English!G2985, ""en"", ""bg"")"),"помощ_за_домашно_изпълнение")</f>
        <v>помощ_за_домашно_изпълнение</v>
      </c>
      <c r="H2985" s="1" t="str">
        <f ca="1">IFERROR(__xludf.DUMMYFUNCTION("GOOGLETRANSLATE(English!H2985, ""en"", ""bg"")"),"помощ_за_домашно_задаване")</f>
        <v>помощ_за_домашно_задаване</v>
      </c>
    </row>
    <row r="2986" spans="1:8" ht="13.2" x14ac:dyDescent="0.25">
      <c r="A2986" s="1" t="str">
        <f ca="1">IFERROR(__xludf.DUMMYFUNCTION("GOOGLETRANSLATE(English!A2986, ""en"", ""bg"")"),"hw_13755")</f>
        <v>hw_13755</v>
      </c>
      <c r="B2986" s="1" t="str">
        <f ca="1">IFERROR(__xludf.DUMMYFUNCTION("GOOGLETRANSLATE(English!B2986, ""en"", ""bg"")"),"физика")</f>
        <v>физика</v>
      </c>
      <c r="C2986" s="1" t="str">
        <f ca="1">IFERROR(__xludf.DUMMYFUNCTION("GOOGLETRANSLATE(English!C2986, ""en"", ""bg"")"),"елементарен")</f>
        <v>елементарен</v>
      </c>
      <c r="D2986" s="1" t="str">
        <f ca="1">IFERROR(__xludf.DUMMYFUNCTION("GOOGLETRANSLATE(English!D2986, ""en"", ""bg"")"),"прости машини")</f>
        <v>прости машини</v>
      </c>
      <c r="E2986" s="1" t="str">
        <f ca="1">IFERROR(__xludf.DUMMYFUNCTION("GOOGLETRANSLATE(English!E2986, ""en"", ""bg"")"),"Трябва да разбирам прости машини за изпита си.")</f>
        <v>Трябва да разбирам прости машини за изпита си.</v>
      </c>
      <c r="F2986" s="1" t="str">
        <f ca="1">IFERROR(__xludf.DUMMYFUNCTION("GOOGLETRANSLATE(English!F2986,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2986" s="1" t="str">
        <f ca="1">IFERROR(__xludf.DUMMYFUNCTION("GOOGLETRANSLATE(English!G2986, ""en"", ""bg"")"),"помощ_за_домашно_изпълнение")</f>
        <v>помощ_за_домашно_изпълнение</v>
      </c>
      <c r="H2986" s="1" t="str">
        <f ca="1">IFERROR(__xludf.DUMMYFUNCTION("GOOGLETRANSLATE(English!H2986, ""en"", ""bg"")"),"помощ_за_домашно_задаване")</f>
        <v>помощ_за_домашно_задаване</v>
      </c>
    </row>
    <row r="2987" spans="1:8" ht="13.2" x14ac:dyDescent="0.25">
      <c r="A2987" s="1" t="str">
        <f ca="1">IFERROR(__xludf.DUMMYFUNCTION("GOOGLETRANSLATE(English!A2987, ""en"", ""bg"")"),"conv_09580")</f>
        <v>conv_09580</v>
      </c>
      <c r="B2987" s="1" t="str">
        <f ca="1">IFERROR(__xludf.DUMMYFUNCTION("GOOGLETRANSLATE(English!B2987, ""en"", ""bg"")"),"биология")</f>
        <v>биология</v>
      </c>
      <c r="C2987" s="1" t="str">
        <f ca="1">IFERROR(__xludf.DUMMYFUNCTION("GOOGLETRANSLATE(English!C2987, ""en"", ""bg"")"),"високо")</f>
        <v>високо</v>
      </c>
      <c r="D2987" s="1" t="str">
        <f ca="1">IFERROR(__xludf.DUMMYFUNCTION("GOOGLETRANSLATE(English!D2987, ""en"", ""bg"")"),"Структура на ДНК")</f>
        <v>Структура на ДНК</v>
      </c>
      <c r="E2987" s="1" t="str">
        <f ca="1">IFERROR(__xludf.DUMMYFUNCTION("GOOGLETRANSLATE(English!E2987, ""en"", ""bg"")"),"Имам нужда от помощ с домашното. Какво е важно да знаем за структурата на ДНК?")</f>
        <v>Имам нужда от помощ с домашното. Какво е важно да знаем за структурата на ДНК?</v>
      </c>
      <c r="F2987" s="1" t="str">
        <f ca="1">IFERROR(__xludf.DUMMYFUNCTION("GOOGLETRANSLATE(English!F2987,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2987" s="1" t="str">
        <f ca="1">IFERROR(__xludf.DUMMYFUNCTION("GOOGLETRANSLATE(English!G2987, ""en"", ""bg"")"),"разговор")</f>
        <v>разговор</v>
      </c>
      <c r="H2987" s="1" t="str">
        <f ca="1">IFERROR(__xludf.DUMMYFUNCTION("GOOGLETRANSLATE(English!H2987, ""en"", ""bg"")"),"образователна_помощ")</f>
        <v>образователна_помощ</v>
      </c>
    </row>
    <row r="2988" spans="1:8" ht="13.2" x14ac:dyDescent="0.25">
      <c r="A2988" s="1" t="str">
        <f ca="1">IFERROR(__xludf.DUMMYFUNCTION("GOOGLETRANSLATE(English!A2988, ""en"", ""bg"")"),"conv_01953")</f>
        <v>conv_01953</v>
      </c>
      <c r="B2988" s="1" t="str">
        <f ca="1">IFERROR(__xludf.DUMMYFUNCTION("GOOGLETRANSLATE(English!B2988, ""en"", ""bg"")"),"химия")</f>
        <v>химия</v>
      </c>
      <c r="C2988" s="1" t="str">
        <f ca="1">IFERROR(__xludf.DUMMYFUNCTION("GOOGLETRANSLATE(English!C2988, ""en"", ""bg"")"),"средата")</f>
        <v>средата</v>
      </c>
      <c r="D2988" s="1" t="str">
        <f ca="1">IFERROR(__xludf.DUMMYFUNCTION("GOOGLETRANSLATE(English!D2988, ""en"", ""bg"")"),"атоми и молекули")</f>
        <v>атоми и молекули</v>
      </c>
      <c r="E2988" s="1" t="str">
        <f ca="1">IFERROR(__xludf.DUMMYFUNCTION("GOOGLETRANSLATE(English!E2988, ""en"", ""bg"")"),"Имам научен въпрос: По какво се различават атомите и молекулите?")</f>
        <v>Имам научен въпрос: По какво се различават атомите и молекулите?</v>
      </c>
      <c r="F2988" s="1" t="str">
        <f ca="1">IFERROR(__xludf.DUMMYFUNCTION("GOOGLETRANSLATE(English!F2988,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2988" s="1" t="str">
        <f ca="1">IFERROR(__xludf.DUMMYFUNCTION("GOOGLETRANSLATE(English!G2988, ""en"", ""bg"")"),"разговор")</f>
        <v>разговор</v>
      </c>
      <c r="H2988" s="1" t="str">
        <f ca="1">IFERROR(__xludf.DUMMYFUNCTION("GOOGLETRANSLATE(English!H2988, ""en"", ""bg"")"),"образователна_помощ")</f>
        <v>образователна_помощ</v>
      </c>
    </row>
    <row r="2989" spans="1:8" ht="13.2" x14ac:dyDescent="0.25">
      <c r="A2989" s="1" t="str">
        <f ca="1">IFERROR(__xludf.DUMMYFUNCTION("GOOGLETRANSLATE(English!A2989, ""en"", ""bg"")"),"conv_09717")</f>
        <v>conv_09717</v>
      </c>
      <c r="B2989" s="1" t="str">
        <f ca="1">IFERROR(__xludf.DUMMYFUNCTION("GOOGLETRANSLATE(English!B2989, ""en"", ""bg"")"),"физика")</f>
        <v>физика</v>
      </c>
      <c r="C2989" s="1" t="str">
        <f ca="1">IFERROR(__xludf.DUMMYFUNCTION("GOOGLETRANSLATE(English!C2989, ""en"", ""bg"")"),"високо")</f>
        <v>високо</v>
      </c>
      <c r="D2989" s="1" t="str">
        <f ca="1">IFERROR(__xludf.DUMMYFUNCTION("GOOGLETRANSLATE(English!D2989, ""en"", ""bg"")"),"оптика")</f>
        <v>оптика</v>
      </c>
      <c r="E2989" s="1" t="str">
        <f ca="1">IFERROR(__xludf.DUMMYFUNCTION("GOOGLETRANSLATE(English!E2989, ""en"", ""bg"")"),"Не разбирам тази тема. Защо оптиката е важна?")</f>
        <v>Не разбирам тази тема. Защо оптиката е важна?</v>
      </c>
      <c r="F2989" s="1" t="str">
        <f ca="1">IFERROR(__xludf.DUMMYFUNCTION("GOOGLETRANSLATE(English!F2989,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2989" s="1" t="str">
        <f ca="1">IFERROR(__xludf.DUMMYFUNCTION("GOOGLETRANSLATE(English!G2989, ""en"", ""bg"")"),"разговор")</f>
        <v>разговор</v>
      </c>
      <c r="H2989" s="1" t="str">
        <f ca="1">IFERROR(__xludf.DUMMYFUNCTION("GOOGLETRANSLATE(English!H2989, ""en"", ""bg"")"),"образователна_помощ")</f>
        <v>образователна_помощ</v>
      </c>
    </row>
    <row r="2990" spans="1:8" ht="13.2" x14ac:dyDescent="0.25">
      <c r="A2990" s="1" t="str">
        <f ca="1">IFERROR(__xludf.DUMMYFUNCTION("GOOGLETRANSLATE(English!A2990, ""en"", ""bg"")"),"qa_06609")</f>
        <v>qa_06609</v>
      </c>
      <c r="B2990" s="1" t="str">
        <f ca="1">IFERROR(__xludf.DUMMYFUNCTION("GOOGLETRANSLATE(English!B2990, ""en"", ""bg"")"),"физика")</f>
        <v>физика</v>
      </c>
      <c r="C2990" s="1" t="str">
        <f ca="1">IFERROR(__xludf.DUMMYFUNCTION("GOOGLETRANSLATE(English!C2990, ""en"", ""bg"")"),"високо")</f>
        <v>високо</v>
      </c>
      <c r="D2990" s="1" t="str">
        <f ca="1">IFERROR(__xludf.DUMMYFUNCTION("GOOGLETRANSLATE(English!D2990, ""en"", ""bg"")"),"термодинамика")</f>
        <v>термодинамика</v>
      </c>
      <c r="E2990" s="1" t="str">
        <f ca="1">IFERROR(__xludf.DUMMYFUNCTION("GOOGLETRANSLATE(English!E2990, ""en"", ""bg"")"),"Защо термодинамиката е важна?")</f>
        <v>Защо термодинамиката е важна?</v>
      </c>
      <c r="F2990" s="1" t="str">
        <f ca="1">IFERROR(__xludf.DUMMYFUNCTION("GOOGLETRANSLATE(English!F2990,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2990" s="1" t="str">
        <f ca="1">IFERROR(__xludf.DUMMYFUNCTION("GOOGLETRANSLATE(English!G2990, ""en"", ""bg"")"),"direct_qa")</f>
        <v>direct_qa</v>
      </c>
      <c r="H2990" s="1" t="str">
        <f ca="1">IFERROR(__xludf.DUMMYFUNCTION("GOOGLETRANSLATE(English!H2990, ""en"", ""bg"")"),"заявка_за_знание")</f>
        <v>заявка_за_знание</v>
      </c>
    </row>
    <row r="2991" spans="1:8" ht="13.2" x14ac:dyDescent="0.25">
      <c r="A2991" s="1" t="str">
        <f ca="1">IFERROR(__xludf.DUMMYFUNCTION("GOOGLETRANSLATE(English!A2991, ""en"", ""bg"")"),"conv_18957")</f>
        <v>conv_18957</v>
      </c>
      <c r="B2991" s="1" t="str">
        <f ca="1">IFERROR(__xludf.DUMMYFUNCTION("GOOGLETRANSLATE(English!B2991, ""en"", ""bg"")"),"биология")</f>
        <v>биология</v>
      </c>
      <c r="C2991" s="1" t="str">
        <f ca="1">IFERROR(__xludf.DUMMYFUNCTION("GOOGLETRANSLATE(English!C2991, ""en"", ""bg"")"),"елементарен")</f>
        <v>елементарен</v>
      </c>
      <c r="D2991" s="1" t="str">
        <f ca="1">IFERROR(__xludf.DUMMYFUNCTION("GOOGLETRANSLATE(English!D2991, ""en"", ""bg"")"),"хранителни вериги")</f>
        <v>хранителни вериги</v>
      </c>
      <c r="E2991" s="1" t="str">
        <f ca="1">IFERROR(__xludf.DUMMYFUNCTION("GOOGLETRANSLATE(English!E2991, ""en"", ""bg"")"),"Не разбирам тази тема. Как работят хранителните вериги?")</f>
        <v>Не разбирам тази тема. Как работят хранителните вериги?</v>
      </c>
      <c r="F2991" s="1" t="str">
        <f ca="1">IFERROR(__xludf.DUMMYFUNCTION("GOOGLETRANSLATE(English!F2991,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2991" s="1" t="str">
        <f ca="1">IFERROR(__xludf.DUMMYFUNCTION("GOOGLETRANSLATE(English!G2991, ""en"", ""bg"")"),"разговор")</f>
        <v>разговор</v>
      </c>
      <c r="H2991" s="1" t="str">
        <f ca="1">IFERROR(__xludf.DUMMYFUNCTION("GOOGLETRANSLATE(English!H2991, ""en"", ""bg"")"),"образователна_помощ")</f>
        <v>образователна_помощ</v>
      </c>
    </row>
    <row r="2992" spans="1:8" ht="13.2" x14ac:dyDescent="0.25">
      <c r="A2992" s="1" t="str">
        <f ca="1">IFERROR(__xludf.DUMMYFUNCTION("GOOGLETRANSLATE(English!A2992, ""en"", ""bg"")"),"qa_12042")</f>
        <v>qa_12042</v>
      </c>
      <c r="B2992" s="1" t="str">
        <f ca="1">IFERROR(__xludf.DUMMYFUNCTION("GOOGLETRANSLATE(English!B2992, ""en"", ""bg"")"),"физика")</f>
        <v>физика</v>
      </c>
      <c r="C2992" s="1" t="str">
        <f ca="1">IFERROR(__xludf.DUMMYFUNCTION("GOOGLETRANSLATE(English!C2992, ""en"", ""bg"")"),"високо")</f>
        <v>високо</v>
      </c>
      <c r="D2992" s="1" t="str">
        <f ca="1">IFERROR(__xludf.DUMMYFUNCTION("GOOGLETRANSLATE(English!D2992, ""en"", ""bg"")"),"атомна структура")</f>
        <v>атомна структура</v>
      </c>
      <c r="E2992" s="1" t="str">
        <f ca="1">IFERROR(__xludf.DUMMYFUNCTION("GOOGLETRANSLATE(English!E2992, ""en"", ""bg"")"),"Какво трябва да знам за атомната структура?")</f>
        <v>Какво трябва да знам за атомната структура?</v>
      </c>
      <c r="F2992" s="1" t="str">
        <f ca="1">IFERROR(__xludf.DUMMYFUNCTION("GOOGLETRANSLATE(English!F2992,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2992" s="1" t="str">
        <f ca="1">IFERROR(__xludf.DUMMYFUNCTION("GOOGLETRANSLATE(English!G2992, ""en"", ""bg"")"),"direct_qa")</f>
        <v>direct_qa</v>
      </c>
      <c r="H2992" s="1" t="str">
        <f ca="1">IFERROR(__xludf.DUMMYFUNCTION("GOOGLETRANSLATE(English!H2992, ""en"", ""bg"")"),"заявка_за_знание")</f>
        <v>заявка_за_знание</v>
      </c>
    </row>
    <row r="2993" spans="1:8" ht="13.2" x14ac:dyDescent="0.25">
      <c r="A2993" s="1" t="str">
        <f ca="1">IFERROR(__xludf.DUMMYFUNCTION("GOOGLETRANSLATE(English!A2993, ""en"", ""bg"")"),"hw_12760")</f>
        <v>hw_12760</v>
      </c>
      <c r="B2993" s="1" t="str">
        <f ca="1">IFERROR(__xludf.DUMMYFUNCTION("GOOGLETRANSLATE(English!B2993, ""en"", ""bg"")"),"физика")</f>
        <v>физика</v>
      </c>
      <c r="C2993" s="1" t="str">
        <f ca="1">IFERROR(__xludf.DUMMYFUNCTION("GOOGLETRANSLATE(English!C2993, ""en"", ""bg"")"),"високо")</f>
        <v>високо</v>
      </c>
      <c r="D2993" s="1" t="str">
        <f ca="1">IFERROR(__xludf.DUMMYFUNCTION("GOOGLETRANSLATE(English!D2993, ""en"", ""bg"")"),"радиоактивност")</f>
        <v>радиоактивност</v>
      </c>
      <c r="E2993" s="1" t="str">
        <f ca="1">IFERROR(__xludf.DUMMYFUNCTION("GOOGLETRANSLATE(English!E2993, ""en"", ""bg"")"),"Заседнал съм с този проблем с радиоактивността. Можете ли да помогнете?")</f>
        <v>Заседнал съм с този проблем с радиоактивността. Можете ли да помогнете?</v>
      </c>
      <c r="F2993" s="1" t="str">
        <f ca="1">IFERROR(__xludf.DUMMYFUNCTION("GOOGLETRANSLATE(English!F2993,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2993" s="1" t="str">
        <f ca="1">IFERROR(__xludf.DUMMYFUNCTION("GOOGLETRANSLATE(English!G2993, ""en"", ""bg"")"),"помощ_за_домашно_изпълнение")</f>
        <v>помощ_за_домашно_изпълнение</v>
      </c>
      <c r="H2993" s="1" t="str">
        <f ca="1">IFERROR(__xludf.DUMMYFUNCTION("GOOGLETRANSLATE(English!H2993, ""en"", ""bg"")"),"помощ_за_домашно_задаване")</f>
        <v>помощ_за_домашно_задаване</v>
      </c>
    </row>
    <row r="2994" spans="1:8" ht="13.2" x14ac:dyDescent="0.25">
      <c r="A2994" s="1" t="str">
        <f ca="1">IFERROR(__xludf.DUMMYFUNCTION("GOOGLETRANSLATE(English!A2994, ""en"", ""bg"")"),"qa_01250")</f>
        <v>qa_01250</v>
      </c>
      <c r="B2994" s="1" t="str">
        <f ca="1">IFERROR(__xludf.DUMMYFUNCTION("GOOGLETRANSLATE(English!B2994, ""en"", ""bg"")"),"физика")</f>
        <v>физика</v>
      </c>
      <c r="C2994" s="1" t="str">
        <f ca="1">IFERROR(__xludf.DUMMYFUNCTION("GOOGLETRANSLATE(English!C2994, ""en"", ""bg"")"),"елементарен")</f>
        <v>елементарен</v>
      </c>
      <c r="D2994" s="1" t="str">
        <f ca="1">IFERROR(__xludf.DUMMYFUNCTION("GOOGLETRANSLATE(English!D2994, ""en"", ""bg"")"),"светлина и сянка")</f>
        <v>светлина и сянка</v>
      </c>
      <c r="E2994" s="1" t="str">
        <f ca="1">IFERROR(__xludf.DUMMYFUNCTION("GOOGLETRANSLATE(English!E2994, ""en"", ""bg"")"),"Защо можем да виждаме цветове?")</f>
        <v>Защо можем да виждаме цветове?</v>
      </c>
      <c r="F2994" s="1" t="str">
        <f ca="1">IFERROR(__xludf.DUMMYFUNCTION("GOOGLETRANSLATE(English!F2994,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2994" s="1" t="str">
        <f ca="1">IFERROR(__xludf.DUMMYFUNCTION("GOOGLETRANSLATE(English!G2994, ""en"", ""bg"")"),"direct_qa")</f>
        <v>direct_qa</v>
      </c>
      <c r="H2994" s="1" t="str">
        <f ca="1">IFERROR(__xludf.DUMMYFUNCTION("GOOGLETRANSLATE(English!H2994, ""en"", ""bg"")"),"заявка_за_знание")</f>
        <v>заявка_за_знание</v>
      </c>
    </row>
    <row r="2995" spans="1:8" ht="13.2" x14ac:dyDescent="0.25">
      <c r="A2995" s="1" t="str">
        <f ca="1">IFERROR(__xludf.DUMMYFUNCTION("GOOGLETRANSLATE(English!A2995, ""en"", ""bg"")"),"conv_00642")</f>
        <v>conv_00642</v>
      </c>
      <c r="B2995" s="1" t="str">
        <f ca="1">IFERROR(__xludf.DUMMYFUNCTION("GOOGLETRANSLATE(English!B2995, ""en"", ""bg"")"),"физика")</f>
        <v>физика</v>
      </c>
      <c r="C2995" s="1" t="str">
        <f ca="1">IFERROR(__xludf.DUMMYFUNCTION("GOOGLETRANSLATE(English!C2995, ""en"", ""bg"")"),"елементарен")</f>
        <v>елементарен</v>
      </c>
      <c r="D2995" s="1" t="str">
        <f ca="1">IFERROR(__xludf.DUMMYFUNCTION("GOOGLETRANSLATE(English!D2995, ""en"", ""bg"")"),"бутане и дърпане")</f>
        <v>бутане и дърпане</v>
      </c>
      <c r="E2995" s="1" t="str">
        <f ca="1">IFERROR(__xludf.DUMMYFUNCTION("GOOGLETRANSLATE(English!E2995, ""en"", ""bg"")"),"Здравей, преподавателю! Можеш ли да ми обясниш как се дърпа и бута?")</f>
        <v>Здравей, преподавателю! Можеш ли да ми обясниш как се дърпа и бута?</v>
      </c>
      <c r="F2995" s="1" t="str">
        <f ca="1">IFERROR(__xludf.DUMMYFUNCTION("GOOGLETRANSLATE(English!F2995,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2995" s="1" t="str">
        <f ca="1">IFERROR(__xludf.DUMMYFUNCTION("GOOGLETRANSLATE(English!G2995, ""en"", ""bg"")"),"разговор")</f>
        <v>разговор</v>
      </c>
      <c r="H2995" s="1" t="str">
        <f ca="1">IFERROR(__xludf.DUMMYFUNCTION("GOOGLETRANSLATE(English!H2995, ""en"", ""bg"")"),"образователна_помощ")</f>
        <v>образователна_помощ</v>
      </c>
    </row>
    <row r="2996" spans="1:8" ht="13.2" x14ac:dyDescent="0.25">
      <c r="A2996" s="1" t="str">
        <f ca="1">IFERROR(__xludf.DUMMYFUNCTION("GOOGLETRANSLATE(English!A2996, ""en"", ""bg"")"),"qa_10676")</f>
        <v>qa_10676</v>
      </c>
      <c r="B2996" s="1" t="str">
        <f ca="1">IFERROR(__xludf.DUMMYFUNCTION("GOOGLETRANSLATE(English!B2996, ""en"", ""bg"")"),"химия")</f>
        <v>химия</v>
      </c>
      <c r="C2996" s="1" t="str">
        <f ca="1">IFERROR(__xludf.DUMMYFUNCTION("GOOGLETRANSLATE(English!C2996, ""en"", ""bg"")"),"средата")</f>
        <v>средата</v>
      </c>
      <c r="D2996" s="1" t="str">
        <f ca="1">IFERROR(__xludf.DUMMYFUNCTION("GOOGLETRANSLATE(English!D2996, ""en"", ""bg"")"),"атоми и молекули")</f>
        <v>атоми и молекули</v>
      </c>
      <c r="E2996" s="1" t="str">
        <f ca="1">IFERROR(__xludf.DUMMYFUNCTION("GOOGLETRANSLATE(English!E2996, ""en"", ""bg"")"),"Кои са частите на един атом?")</f>
        <v>Кои са частите на един атом?</v>
      </c>
      <c r="F2996" s="1" t="str">
        <f ca="1">IFERROR(__xludf.DUMMYFUNCTION("GOOGLETRANSLATE(English!F2996,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2996" s="1" t="str">
        <f ca="1">IFERROR(__xludf.DUMMYFUNCTION("GOOGLETRANSLATE(English!G2996, ""en"", ""bg"")"),"direct_qa")</f>
        <v>direct_qa</v>
      </c>
      <c r="H2996" s="1" t="str">
        <f ca="1">IFERROR(__xludf.DUMMYFUNCTION("GOOGLETRANSLATE(English!H2996, ""en"", ""bg"")"),"заявка_за_знание")</f>
        <v>заявка_за_знание</v>
      </c>
    </row>
    <row r="2997" spans="1:8" ht="13.2" x14ac:dyDescent="0.25">
      <c r="A2997" s="1" t="str">
        <f ca="1">IFERROR(__xludf.DUMMYFUNCTION("GOOGLETRANSLATE(English!A2997, ""en"", ""bg"")"),"conv_14622")</f>
        <v>conv_14622</v>
      </c>
      <c r="B2997" s="1" t="str">
        <f ca="1">IFERROR(__xludf.DUMMYFUNCTION("GOOGLETRANSLATE(English!B2997, ""en"", ""bg"")"),"биология")</f>
        <v>биология</v>
      </c>
      <c r="C2997" s="1" t="str">
        <f ca="1">IFERROR(__xludf.DUMMYFUNCTION("GOOGLETRANSLATE(English!C2997, ""en"", ""bg"")"),"елементарен")</f>
        <v>елементарен</v>
      </c>
      <c r="D2997" s="1" t="str">
        <f ca="1">IFERROR(__xludf.DUMMYFUNCTION("GOOGLETRANSLATE(English!D2997, ""en"", ""bg"")"),"местообитания")</f>
        <v>местообитания</v>
      </c>
      <c r="E2997" s="1" t="str">
        <f ca="1">IFERROR(__xludf.DUMMYFUNCTION("GOOGLETRANSLATE(English!E2997, ""en"", ""bg"")"),"Имам научен въпрос. Защо местообитанията са важни в биологията?")</f>
        <v>Имам научен въпрос. Защо местообитанията са важни в биологията?</v>
      </c>
      <c r="F2997" s="1" t="str">
        <f ca="1">IFERROR(__xludf.DUMMYFUNCTION("GOOGLETRANSLATE(English!F2997,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2997" s="1" t="str">
        <f ca="1">IFERROR(__xludf.DUMMYFUNCTION("GOOGLETRANSLATE(English!G2997, ""en"", ""bg"")"),"разговор")</f>
        <v>разговор</v>
      </c>
      <c r="H2997" s="1" t="str">
        <f ca="1">IFERROR(__xludf.DUMMYFUNCTION("GOOGLETRANSLATE(English!H2997, ""en"", ""bg"")"),"образователна_помощ")</f>
        <v>образователна_помощ</v>
      </c>
    </row>
    <row r="2998" spans="1:8" ht="13.2" x14ac:dyDescent="0.25">
      <c r="A2998" s="1" t="str">
        <f ca="1">IFERROR(__xludf.DUMMYFUNCTION("GOOGLETRANSLATE(English!A2998, ""en"", ""bg"")"),"hw_09193")</f>
        <v>hw_09193</v>
      </c>
      <c r="B2998" s="1" t="str">
        <f ca="1">IFERROR(__xludf.DUMMYFUNCTION("GOOGLETRANSLATE(English!B2998, ""en"", ""bg"")"),"физика")</f>
        <v>физика</v>
      </c>
      <c r="C2998" s="1" t="str">
        <f ca="1">IFERROR(__xludf.DUMMYFUNCTION("GOOGLETRANSLATE(English!C2998, ""en"", ""bg"")"),"средата")</f>
        <v>средата</v>
      </c>
      <c r="D2998" s="1" t="str">
        <f ca="1">IFERROR(__xludf.DUMMYFUNCTION("GOOGLETRANSLATE(English!D2998, ""en"", ""bg"")"),"видове енергия")</f>
        <v>видове енергия</v>
      </c>
      <c r="E2998" s="1" t="str">
        <f ca="1">IFERROR(__xludf.DUMMYFUNCTION("GOOGLETRANSLATE(English!E2998, ""en"", ""bg"")"),"Домашното ми по физика е за видовете енергия. Объркващо е!")</f>
        <v>Домашното ми по физика е за видовете енергия. Объркващо е!</v>
      </c>
      <c r="F2998" s="1" t="str">
        <f ca="1">IFERROR(__xludf.DUMMYFUNCTION("GOOGLETRANSLATE(English!F2998,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2998" s="1" t="str">
        <f ca="1">IFERROR(__xludf.DUMMYFUNCTION("GOOGLETRANSLATE(English!G2998, ""en"", ""bg"")"),"помощ_за_домашно_изпълнение")</f>
        <v>помощ_за_домашно_изпълнение</v>
      </c>
      <c r="H2998" s="1" t="str">
        <f ca="1">IFERROR(__xludf.DUMMYFUNCTION("GOOGLETRANSLATE(English!H2998, ""en"", ""bg"")"),"помощ_за_домашно_задаване")</f>
        <v>помощ_за_домашно_задаване</v>
      </c>
    </row>
    <row r="2999" spans="1:8" ht="13.2" x14ac:dyDescent="0.25">
      <c r="A2999" s="1" t="str">
        <f ca="1">IFERROR(__xludf.DUMMYFUNCTION("GOOGLETRANSLATE(English!A2999, ""en"", ""bg"")"),"conv_10330")</f>
        <v>conv_10330</v>
      </c>
      <c r="B2999" s="1" t="str">
        <f ca="1">IFERROR(__xludf.DUMMYFUNCTION("GOOGLETRANSLATE(English!B2999, ""en"", ""bg"")"),"физика")</f>
        <v>физика</v>
      </c>
      <c r="C2999" s="1" t="str">
        <f ca="1">IFERROR(__xludf.DUMMYFUNCTION("GOOGLETRANSLATE(English!C2999, ""en"", ""bg"")"),"елементарен")</f>
        <v>елементарен</v>
      </c>
      <c r="D2999" s="1" t="str">
        <f ca="1">IFERROR(__xludf.DUMMYFUNCTION("GOOGLETRANSLATE(English!D2999, ""en"", ""bg"")"),"светлина и сянка")</f>
        <v>светлина и сянка</v>
      </c>
      <c r="E2999" s="1" t="str">
        <f ca="1">IFERROR(__xludf.DUMMYFUNCTION("GOOGLETRANSLATE(English!E2999, ""en"", ""bg"")"),"Можете ли да ми помогнете? Как се правят сенките?")</f>
        <v>Можете ли да ми помогнете? Как се правят сенките?</v>
      </c>
      <c r="F2999" s="1" t="str">
        <f ca="1">IFERROR(__xludf.DUMMYFUNCTION("GOOGLETRANSLATE(English!F2999,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2999" s="1" t="str">
        <f ca="1">IFERROR(__xludf.DUMMYFUNCTION("GOOGLETRANSLATE(English!G2999, ""en"", ""bg"")"),"разговор")</f>
        <v>разговор</v>
      </c>
      <c r="H2999" s="1" t="str">
        <f ca="1">IFERROR(__xludf.DUMMYFUNCTION("GOOGLETRANSLATE(English!H2999, ""en"", ""bg"")"),"образователна_помощ")</f>
        <v>образователна_помощ</v>
      </c>
    </row>
    <row r="3000" spans="1:8" ht="13.2" x14ac:dyDescent="0.25">
      <c r="A3000" s="1" t="str">
        <f ca="1">IFERROR(__xludf.DUMMYFUNCTION("GOOGLETRANSLATE(English!A3000, ""en"", ""bg"")"),"qa_02899")</f>
        <v>qa_02899</v>
      </c>
      <c r="B3000" s="1" t="str">
        <f ca="1">IFERROR(__xludf.DUMMYFUNCTION("GOOGLETRANSLATE(English!B3000, ""en"", ""bg"")"),"химия")</f>
        <v>химия</v>
      </c>
      <c r="C3000" s="1" t="str">
        <f ca="1">IFERROR(__xludf.DUMMYFUNCTION("GOOGLETRANSLATE(English!C3000, ""en"", ""bg"")"),"средата")</f>
        <v>средата</v>
      </c>
      <c r="D3000" s="1" t="str">
        <f ca="1">IFERROR(__xludf.DUMMYFUNCTION("GOOGLETRANSLATE(English!D3000, ""en"", ""bg"")"),"основи на периодичната таблица")</f>
        <v>основи на периодичната таблица</v>
      </c>
      <c r="E3000" s="1" t="str">
        <f ca="1">IFERROR(__xludf.DUMMYFUNCTION("GOOGLETRANSLATE(English!E3000,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3000" s="1" t="str">
        <f ca="1">IFERROR(__xludf.DUMMYFUNCTION("GOOGLETRANSLATE(English!F3000,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3000" s="1" t="str">
        <f ca="1">IFERROR(__xludf.DUMMYFUNCTION("GOOGLETRANSLATE(English!G3000, ""en"", ""bg"")"),"direct_qa")</f>
        <v>direct_qa</v>
      </c>
      <c r="H3000" s="1" t="str">
        <f ca="1">IFERROR(__xludf.DUMMYFUNCTION("GOOGLETRANSLATE(English!H3000, ""en"", ""bg"")"),"заявка_за_знание")</f>
        <v>заявка_за_знание</v>
      </c>
    </row>
    <row r="3001" spans="1:8" ht="13.2" x14ac:dyDescent="0.25">
      <c r="A3001" s="1" t="str">
        <f ca="1">IFERROR(__xludf.DUMMYFUNCTION("GOOGLETRANSLATE(English!A3001, ""en"", ""bg"")"),"conv_10343")</f>
        <v>conv_10343</v>
      </c>
      <c r="B3001" s="1" t="str">
        <f ca="1">IFERROR(__xludf.DUMMYFUNCTION("GOOGLETRANSLATE(English!B3001, ""en"", ""bg"")"),"биология")</f>
        <v>биология</v>
      </c>
      <c r="C3001" s="1" t="str">
        <f ca="1">IFERROR(__xludf.DUMMYFUNCTION("GOOGLETRANSLATE(English!C3001, ""en"", ""bg"")"),"високо")</f>
        <v>високо</v>
      </c>
      <c r="D3001" s="1" t="str">
        <f ca="1">IFERROR(__xludf.DUMMYFUNCTION("GOOGLETRANSLATE(English!D3001, ""en"", ""bg"")"),"митоза и мейоза")</f>
        <v>митоза и мейоза</v>
      </c>
      <c r="E3001" s="1" t="str">
        <f ca="1">IFERROR(__xludf.DUMMYFUNCTION("GOOGLETRANSLATE(English!E3001, ""en"", ""bg"")"),"Можете ли да ми помогнете? Можете ли да ми разкажете за митозата и мейозата?")</f>
        <v>Можете ли да ми помогнете? Можете ли да ми разкажете за митозата и мейозата?</v>
      </c>
      <c r="F3001" s="1" t="str">
        <f ca="1">IFERROR(__xludf.DUMMYFUNCTION("GOOGLETRANSLATE(English!F3001,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3001" s="1" t="str">
        <f ca="1">IFERROR(__xludf.DUMMYFUNCTION("GOOGLETRANSLATE(English!G3001, ""en"", ""bg"")"),"разговор")</f>
        <v>разговор</v>
      </c>
      <c r="H3001" s="1" t="str">
        <f ca="1">IFERROR(__xludf.DUMMYFUNCTION("GOOGLETRANSLATE(English!H3001, ""en"", ""bg"")"),"образователна_помощ")</f>
        <v>образователна_помощ</v>
      </c>
    </row>
    <row r="3002" spans="1:8" ht="13.2" x14ac:dyDescent="0.25">
      <c r="A3002" s="1" t="str">
        <f ca="1">IFERROR(__xludf.DUMMYFUNCTION("GOOGLETRANSLATE(English!A3002, ""en"", ""bg"")"),"conv_10539")</f>
        <v>conv_10539</v>
      </c>
      <c r="B3002" s="1" t="str">
        <f ca="1">IFERROR(__xludf.DUMMYFUNCTION("GOOGLETRANSLATE(English!B3002, ""en"", ""bg"")"),"биология")</f>
        <v>биология</v>
      </c>
      <c r="C3002" s="1" t="str">
        <f ca="1">IFERROR(__xludf.DUMMYFUNCTION("GOOGLETRANSLATE(English!C3002, ""en"", ""bg"")"),"средата")</f>
        <v>средата</v>
      </c>
      <c r="D3002" s="1" t="str">
        <f ca="1">IFERROR(__xludf.DUMMYFUNCTION("GOOGLETRANSLATE(English!D3002, ""en"", ""bg"")"),"размножаване")</f>
        <v>размножаване</v>
      </c>
      <c r="E3002" s="1" t="str">
        <f ca="1">IFERROR(__xludf.DUMMYFUNCTION("GOOGLETRANSLATE(English!E3002, ""en"", ""bg"")"),"Здравей, преподавателю! Какво е важно да знаеш за размножаването?")</f>
        <v>Здравей, преподавателю! Какво е важно да знаеш за размножаването?</v>
      </c>
      <c r="F3002" s="1" t="str">
        <f ca="1">IFERROR(__xludf.DUMMYFUNCTION("GOOGLETRANSLATE(English!F3002,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3002" s="1" t="str">
        <f ca="1">IFERROR(__xludf.DUMMYFUNCTION("GOOGLETRANSLATE(English!G3002, ""en"", ""bg"")"),"разговор")</f>
        <v>разговор</v>
      </c>
      <c r="H3002" s="1" t="str">
        <f ca="1">IFERROR(__xludf.DUMMYFUNCTION("GOOGLETRANSLATE(English!H3002, ""en"", ""bg"")"),"образователна_помощ")</f>
        <v>образователна_помощ</v>
      </c>
    </row>
    <row r="3003" spans="1:8" ht="13.2" x14ac:dyDescent="0.25">
      <c r="A3003" s="1" t="str">
        <f ca="1">IFERROR(__xludf.DUMMYFUNCTION("GOOGLETRANSLATE(English!A3003, ""en"", ""bg"")"),"hw_09458")</f>
        <v>hw_09458</v>
      </c>
      <c r="B3003" s="1" t="str">
        <f ca="1">IFERROR(__xludf.DUMMYFUNCTION("GOOGLETRANSLATE(English!B3003, ""en"", ""bg"")"),"химия")</f>
        <v>химия</v>
      </c>
      <c r="C3003" s="1" t="str">
        <f ca="1">IFERROR(__xludf.DUMMYFUNCTION("GOOGLETRANSLATE(English!C3003, ""en"", ""bg"")"),"високо")</f>
        <v>високо</v>
      </c>
      <c r="D3003" s="1" t="str">
        <f ca="1">IFERROR(__xludf.DUMMYFUNCTION("GOOGLETRANSLATE(English!D3003, ""en"", ""bg"")"),"химическо свързване")</f>
        <v>химическо свързване</v>
      </c>
      <c r="E3003" s="1" t="str">
        <f ca="1">IFERROR(__xludf.DUMMYFUNCTION("GOOGLETRANSLATE(English!E3003, ""en"", ""bg"")"),"Имам проблеми с химичните връзки в домашното си.")</f>
        <v>Имам проблеми с химичните връзки в домашното си.</v>
      </c>
      <c r="F3003" s="1" t="str">
        <f ca="1">IFERROR(__xludf.DUMMYFUNCTION("GOOGLETRANSLATE(English!F3003,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003" s="1" t="str">
        <f ca="1">IFERROR(__xludf.DUMMYFUNCTION("GOOGLETRANSLATE(English!G3003, ""en"", ""bg"")"),"помощ_за_домашно_изпълнение")</f>
        <v>помощ_за_домашно_изпълнение</v>
      </c>
      <c r="H3003" s="1" t="str">
        <f ca="1">IFERROR(__xludf.DUMMYFUNCTION("GOOGLETRANSLATE(English!H3003, ""en"", ""bg"")"),"помощ_за_домашно_задаване")</f>
        <v>помощ_за_домашно_задаване</v>
      </c>
    </row>
    <row r="3004" spans="1:8" ht="13.2" x14ac:dyDescent="0.25">
      <c r="A3004" s="1" t="str">
        <f ca="1">IFERROR(__xludf.DUMMYFUNCTION("GOOGLETRANSLATE(English!A3004, ""en"", ""bg"")"),"conv_12109")</f>
        <v>conv_12109</v>
      </c>
      <c r="B3004" s="1" t="str">
        <f ca="1">IFERROR(__xludf.DUMMYFUNCTION("GOOGLETRANSLATE(English!B3004, ""en"", ""bg"")"),"химия")</f>
        <v>химия</v>
      </c>
      <c r="C3004" s="1" t="str">
        <f ca="1">IFERROR(__xludf.DUMMYFUNCTION("GOOGLETRANSLATE(English!C3004, ""en"", ""bg"")"),"средата")</f>
        <v>средата</v>
      </c>
      <c r="D3004" s="1" t="str">
        <f ca="1">IFERROR(__xludf.DUMMYFUNCTION("GOOGLETRANSLATE(English!D3004, ""en"", ""bg"")"),"химични промени")</f>
        <v>химични промени</v>
      </c>
      <c r="E3004" s="1" t="str">
        <f ca="1">IFERROR(__xludf.DUMMYFUNCTION("GOOGLETRANSLATE(English!E3004, ""en"", ""bg"")"),"Помогнете ми да се подготвя за теста. Какво представляват химичните промени?")</f>
        <v>Помогнете ми да се подготвя за теста. Какво представляват химичните промени?</v>
      </c>
      <c r="F3004" s="1" t="str">
        <f ca="1">IFERROR(__xludf.DUMMYFUNCTION("GOOGLETRANSLATE(English!F3004,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3004" s="1" t="str">
        <f ca="1">IFERROR(__xludf.DUMMYFUNCTION("GOOGLETRANSLATE(English!G3004, ""en"", ""bg"")"),"разговор")</f>
        <v>разговор</v>
      </c>
      <c r="H3004" s="1" t="str">
        <f ca="1">IFERROR(__xludf.DUMMYFUNCTION("GOOGLETRANSLATE(English!H3004, ""en"", ""bg"")"),"образователна_помощ")</f>
        <v>образователна_помощ</v>
      </c>
    </row>
    <row r="3005" spans="1:8" ht="13.2" x14ac:dyDescent="0.25">
      <c r="A3005" s="1" t="str">
        <f ca="1">IFERROR(__xludf.DUMMYFUNCTION("GOOGLETRANSLATE(English!A3005, ""en"", ""bg"")"),"hw_02186")</f>
        <v>hw_02186</v>
      </c>
      <c r="B3005" s="1" t="str">
        <f ca="1">IFERROR(__xludf.DUMMYFUNCTION("GOOGLETRANSLATE(English!B3005, ""en"", ""bg"")"),"химия")</f>
        <v>химия</v>
      </c>
      <c r="C3005" s="1" t="str">
        <f ca="1">IFERROR(__xludf.DUMMYFUNCTION("GOOGLETRANSLATE(English!C3005, ""en"", ""bg"")"),"високо")</f>
        <v>високо</v>
      </c>
      <c r="D3005" s="1" t="str">
        <f ca="1">IFERROR(__xludf.DUMMYFUNCTION("GOOGLETRANSLATE(English!D3005, ""en"", ""bg"")"),"скорости на реакция")</f>
        <v>скорости на реакция</v>
      </c>
      <c r="E3005" s="1" t="str">
        <f ca="1">IFERROR(__xludf.DUMMYFUNCTION("GOOGLETRANSLATE(English!E3005, ""en"", ""bg"")"),"Не разбирам тази концепция за скоростта на реакцията. Моля, обяснете!")</f>
        <v>Не разбирам тази концепция за скоростта на реакцията. Моля, обяснете!</v>
      </c>
      <c r="F3005" s="1" t="str">
        <f ca="1">IFERROR(__xludf.DUMMYFUNCTION("GOOGLETRANSLATE(English!F3005,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3005" s="1" t="str">
        <f ca="1">IFERROR(__xludf.DUMMYFUNCTION("GOOGLETRANSLATE(English!G3005, ""en"", ""bg"")"),"помощ_за_домашно_изпълнение")</f>
        <v>помощ_за_домашно_изпълнение</v>
      </c>
      <c r="H3005" s="1" t="str">
        <f ca="1">IFERROR(__xludf.DUMMYFUNCTION("GOOGLETRANSLATE(English!H3005, ""en"", ""bg"")"),"помощ_за_домашно_задаване")</f>
        <v>помощ_за_домашно_задаване</v>
      </c>
    </row>
    <row r="3006" spans="1:8" ht="13.2" x14ac:dyDescent="0.25">
      <c r="A3006" s="1" t="str">
        <f ca="1">IFERROR(__xludf.DUMMYFUNCTION("GOOGLETRANSLATE(English!A3006, ""en"", ""bg"")"),"hw_04859")</f>
        <v>hw_04859</v>
      </c>
      <c r="B3006" s="1" t="str">
        <f ca="1">IFERROR(__xludf.DUMMYFUNCTION("GOOGLETRANSLATE(English!B3006, ""en"", ""bg"")"),"химия")</f>
        <v>химия</v>
      </c>
      <c r="C3006" s="1" t="str">
        <f ca="1">IFERROR(__xludf.DUMMYFUNCTION("GOOGLETRANSLATE(English!C3006, ""en"", ""bg"")"),"средата")</f>
        <v>средата</v>
      </c>
      <c r="D3006" s="1" t="str">
        <f ca="1">IFERROR(__xludf.DUMMYFUNCTION("GOOGLETRANSLATE(English!D3006, ""en"", ""bg"")"),"киселини и основи")</f>
        <v>киселини и основи</v>
      </c>
      <c r="E3006" s="1" t="str">
        <f ca="1">IFERROR(__xludf.DUMMYFUNCTION("GOOGLETRANSLATE(English!E3006, ""en"", ""bg"")"),"Имам затруднения с киселините и основите в домашното си.")</f>
        <v>Имам затруднения с киселините и основите в домашното си.</v>
      </c>
      <c r="F3006" s="1" t="str">
        <f ca="1">IFERROR(__xludf.DUMMYFUNCTION("GOOGLETRANSLATE(English!F3006,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3006" s="1" t="str">
        <f ca="1">IFERROR(__xludf.DUMMYFUNCTION("GOOGLETRANSLATE(English!G3006, ""en"", ""bg"")"),"помощ_за_домашно_изпълнение")</f>
        <v>помощ_за_домашно_изпълнение</v>
      </c>
      <c r="H3006" s="1" t="str">
        <f ca="1">IFERROR(__xludf.DUMMYFUNCTION("GOOGLETRANSLATE(English!H3006, ""en"", ""bg"")"),"помощ_за_домашно_задаване")</f>
        <v>помощ_за_домашно_задаване</v>
      </c>
    </row>
    <row r="3007" spans="1:8" ht="13.2" x14ac:dyDescent="0.25">
      <c r="A3007" s="1" t="str">
        <f ca="1">IFERROR(__xludf.DUMMYFUNCTION("GOOGLETRANSLATE(English!A3007, ""en"", ""bg"")"),"conv_14455")</f>
        <v>conv_14455</v>
      </c>
      <c r="B3007" s="1" t="str">
        <f ca="1">IFERROR(__xludf.DUMMYFUNCTION("GOOGLETRANSLATE(English!B3007, ""en"", ""bg"")"),"химия")</f>
        <v>химия</v>
      </c>
      <c r="C3007" s="1" t="str">
        <f ca="1">IFERROR(__xludf.DUMMYFUNCTION("GOOGLETRANSLATE(English!C3007, ""en"", ""bg"")"),"средата")</f>
        <v>средата</v>
      </c>
      <c r="D3007" s="1" t="str">
        <f ca="1">IFERROR(__xludf.DUMMYFUNCTION("GOOGLETRANSLATE(English!D3007, ""en"", ""bg"")"),"съединения срещу елементи")</f>
        <v>съединения срещу елементи</v>
      </c>
      <c r="E3007" s="1" t="str">
        <f ca="1">IFERROR(__xludf.DUMMYFUNCTION("GOOGLETRANSLATE(English!E3007, ""en"", ""bg"")"),"Можете ли да ми обясните това? Какво е сравнението между съединения и елементи?")</f>
        <v>Можете ли да ми обясните това? Какво е сравнението между съединения и елементи?</v>
      </c>
      <c r="F3007" s="1" t="str">
        <f ca="1">IFERROR(__xludf.DUMMYFUNCTION("GOOGLETRANSLATE(English!F3007,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3007" s="1" t="str">
        <f ca="1">IFERROR(__xludf.DUMMYFUNCTION("GOOGLETRANSLATE(English!G3007, ""en"", ""bg"")"),"разговор")</f>
        <v>разговор</v>
      </c>
      <c r="H3007" s="1" t="str">
        <f ca="1">IFERROR(__xludf.DUMMYFUNCTION("GOOGLETRANSLATE(English!H3007, ""en"", ""bg"")"),"образователна_помощ")</f>
        <v>образователна_помощ</v>
      </c>
    </row>
    <row r="3008" spans="1:8" ht="13.2" x14ac:dyDescent="0.25">
      <c r="A3008" s="1" t="str">
        <f ca="1">IFERROR(__xludf.DUMMYFUNCTION("GOOGLETRANSLATE(English!A3008, ""en"", ""bg"")"),"hw_06947")</f>
        <v>hw_06947</v>
      </c>
      <c r="B3008" s="1" t="str">
        <f ca="1">IFERROR(__xludf.DUMMYFUNCTION("GOOGLETRANSLATE(English!B3008, ""en"", ""bg"")"),"физика")</f>
        <v>физика</v>
      </c>
      <c r="C3008" s="1" t="str">
        <f ca="1">IFERROR(__xludf.DUMMYFUNCTION("GOOGLETRANSLATE(English!C3008, ""en"", ""bg"")"),"средата")</f>
        <v>средата</v>
      </c>
      <c r="D3008" s="1" t="str">
        <f ca="1">IFERROR(__xludf.DUMMYFUNCTION("GOOGLETRANSLATE(English!D3008, ""en"", ""bg"")"),"сили и движение")</f>
        <v>сили и движение</v>
      </c>
      <c r="E3008" s="1" t="str">
        <f ca="1">IFERROR(__xludf.DUMMYFUNCTION("GOOGLETRANSLATE(English!E3008, ""en"", ""bg"")"),"Домашното ми по физика е за сили и движение. Объркващо е!")</f>
        <v>Домашното ми по физика е за сили и движение. Объркващо е!</v>
      </c>
      <c r="F3008" s="1" t="str">
        <f ca="1">IFERROR(__xludf.DUMMYFUNCTION("GOOGLETRANSLATE(English!F3008,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3008" s="1" t="str">
        <f ca="1">IFERROR(__xludf.DUMMYFUNCTION("GOOGLETRANSLATE(English!G3008, ""en"", ""bg"")"),"помощ_за_домашно_изпълнение")</f>
        <v>помощ_за_домашно_изпълнение</v>
      </c>
      <c r="H3008" s="1" t="str">
        <f ca="1">IFERROR(__xludf.DUMMYFUNCTION("GOOGLETRANSLATE(English!H3008, ""en"", ""bg"")"),"помощ_за_домашно_задаване")</f>
        <v>помощ_за_домашно_задаване</v>
      </c>
    </row>
    <row r="3009" spans="1:8" ht="13.2" x14ac:dyDescent="0.25">
      <c r="A3009" s="1" t="str">
        <f ca="1">IFERROR(__xludf.DUMMYFUNCTION("GOOGLETRANSLATE(English!A3009, ""en"", ""bg"")"),"hw_00449")</f>
        <v>hw_00449</v>
      </c>
      <c r="B3009" s="1" t="str">
        <f ca="1">IFERROR(__xludf.DUMMYFUNCTION("GOOGLETRANSLATE(English!B3009, ""en"", ""bg"")"),"химия")</f>
        <v>химия</v>
      </c>
      <c r="C3009" s="1" t="str">
        <f ca="1">IFERROR(__xludf.DUMMYFUNCTION("GOOGLETRANSLATE(English!C3009, ""en"", ""bg"")"),"елементарен")</f>
        <v>елементарен</v>
      </c>
      <c r="D3009" s="1" t="str">
        <f ca="1">IFERROR(__xludf.DUMMYFUNCTION("GOOGLETRANSLATE(English!D3009, ""en"", ""bg"")"),"ежедневни химикали")</f>
        <v>ежедневни химикали</v>
      </c>
      <c r="E3009" s="1" t="str">
        <f ca="1">IFERROR(__xludf.DUMMYFUNCTION("GOOGLETRANSLATE(English!E3009, ""en"", ""bg"")"),"Трудя се с ежедневните химикали в домашните си.")</f>
        <v>Трудя се с ежедневните химикали в домашните си.</v>
      </c>
      <c r="F3009" s="1" t="str">
        <f ca="1">IFERROR(__xludf.DUMMYFUNCTION("GOOGLETRANSLATE(English!F3009,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3009" s="1" t="str">
        <f ca="1">IFERROR(__xludf.DUMMYFUNCTION("GOOGLETRANSLATE(English!G3009, ""en"", ""bg"")"),"помощ_за_домашно_изпълнение")</f>
        <v>помощ_за_домашно_изпълнение</v>
      </c>
      <c r="H3009" s="1" t="str">
        <f ca="1">IFERROR(__xludf.DUMMYFUNCTION("GOOGLETRANSLATE(English!H3009, ""en"", ""bg"")"),"помощ_за_домашно_задаване")</f>
        <v>помощ_за_домашно_задаване</v>
      </c>
    </row>
    <row r="3010" spans="1:8" ht="13.2" x14ac:dyDescent="0.25">
      <c r="A3010" s="1" t="str">
        <f ca="1">IFERROR(__xludf.DUMMYFUNCTION("GOOGLETRANSLATE(English!A3010, ""en"", ""bg"")"),"qa_07120")</f>
        <v>qa_07120</v>
      </c>
      <c r="B3010" s="1" t="str">
        <f ca="1">IFERROR(__xludf.DUMMYFUNCTION("GOOGLETRANSLATE(English!B3010, ""en"", ""bg"")"),"биология")</f>
        <v>биология</v>
      </c>
      <c r="C3010" s="1" t="str">
        <f ca="1">IFERROR(__xludf.DUMMYFUNCTION("GOOGLETRANSLATE(English!C3010, ""en"", ""bg"")"),"елементарен")</f>
        <v>елементарен</v>
      </c>
      <c r="D3010" s="1" t="str">
        <f ca="1">IFERROR(__xludf.DUMMYFUNCTION("GOOGLETRANSLATE(English!D3010, ""en"", ""bg"")"),"местообитания")</f>
        <v>местообитания</v>
      </c>
      <c r="E3010" s="1" t="str">
        <f ca="1">IFERROR(__xludf.DUMMYFUNCTION("GOOGLETRANSLATE(English!E3010, ""en"", ""bg"")"),"Какво е важно да знаем за местообитанията?")</f>
        <v>Какво е важно да знаем за местообитанията?</v>
      </c>
      <c r="F3010" s="1" t="str">
        <f ca="1">IFERROR(__xludf.DUMMYFUNCTION("GOOGLETRANSLATE(English!F3010, ""en"", ""bg"")"),"Най-важното нещо за местообитанията е как те се свързват с други части на живота и природата.")</f>
        <v>Най-важното нещо за местообитанията е как те се свързват с други части на живота и природата.</v>
      </c>
      <c r="G3010" s="1" t="str">
        <f ca="1">IFERROR(__xludf.DUMMYFUNCTION("GOOGLETRANSLATE(English!G3010, ""en"", ""bg"")"),"direct_qa")</f>
        <v>direct_qa</v>
      </c>
      <c r="H3010" s="1" t="str">
        <f ca="1">IFERROR(__xludf.DUMMYFUNCTION("GOOGLETRANSLATE(English!H3010, ""en"", ""bg"")"),"заявка_за_знание")</f>
        <v>заявка_за_знание</v>
      </c>
    </row>
    <row r="3011" spans="1:8" ht="13.2" x14ac:dyDescent="0.25">
      <c r="A3011" s="1" t="str">
        <f ca="1">IFERROR(__xludf.DUMMYFUNCTION("GOOGLETRANSLATE(English!A3011, ""en"", ""bg"")"),"conv_18699")</f>
        <v>conv_18699</v>
      </c>
      <c r="B3011" s="1" t="str">
        <f ca="1">IFERROR(__xludf.DUMMYFUNCTION("GOOGLETRANSLATE(English!B3011, ""en"", ""bg"")"),"биология")</f>
        <v>биология</v>
      </c>
      <c r="C3011" s="1" t="str">
        <f ca="1">IFERROR(__xludf.DUMMYFUNCTION("GOOGLETRANSLATE(English!C3011, ""en"", ""bg"")"),"средата")</f>
        <v>средата</v>
      </c>
      <c r="D3011" s="1" t="str">
        <f ca="1">IFERROR(__xludf.DUMMYFUNCTION("GOOGLETRANSLATE(English!D3011, ""en"", ""bg"")"),"дишане")</f>
        <v>дишане</v>
      </c>
      <c r="E3011" s="1" t="str">
        <f ca="1">IFERROR(__xludf.DUMMYFUNCTION("GOOGLETRANSLATE(English!E3011, ""en"", ""bg"")"),"Можете ли да ми помогнете? Можете ли да ми разкажете за дишането?")</f>
        <v>Можете ли да ми помогнете? Можете ли да ми разкажете за дишането?</v>
      </c>
      <c r="F3011" s="1" t="str">
        <f ca="1">IFERROR(__xludf.DUMMYFUNCTION("GOOGLETRANSLATE(English!F3011,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3011" s="1" t="str">
        <f ca="1">IFERROR(__xludf.DUMMYFUNCTION("GOOGLETRANSLATE(English!G3011, ""en"", ""bg"")"),"разговор")</f>
        <v>разговор</v>
      </c>
      <c r="H3011" s="1" t="str">
        <f ca="1">IFERROR(__xludf.DUMMYFUNCTION("GOOGLETRANSLATE(English!H3011, ""en"", ""bg"")"),"образователна_помощ")</f>
        <v>образователна_помощ</v>
      </c>
    </row>
    <row r="3012" spans="1:8" ht="13.2" x14ac:dyDescent="0.25">
      <c r="A3012" s="1" t="str">
        <f ca="1">IFERROR(__xludf.DUMMYFUNCTION("GOOGLETRANSLATE(English!A3012, ""en"", ""bg"")"),"qa_13985")</f>
        <v>qa_13985</v>
      </c>
      <c r="B3012" s="1" t="str">
        <f ca="1">IFERROR(__xludf.DUMMYFUNCTION("GOOGLETRANSLATE(English!B3012, ""en"", ""bg"")"),"химия")</f>
        <v>химия</v>
      </c>
      <c r="C3012" s="1" t="str">
        <f ca="1">IFERROR(__xludf.DUMMYFUNCTION("GOOGLETRANSLATE(English!C3012, ""en"", ""bg"")"),"средата")</f>
        <v>средата</v>
      </c>
      <c r="D3012" s="1" t="str">
        <f ca="1">IFERROR(__xludf.DUMMYFUNCTION("GOOGLETRANSLATE(English!D3012, ""en"", ""bg"")"),"основи на периодичната таблица")</f>
        <v>основи на периодичната таблица</v>
      </c>
      <c r="E3012" s="1" t="str">
        <f ca="1">IFERROR(__xludf.DUMMYFUNCTION("GOOGLETRANSLATE(English!E3012,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3012" s="1" t="str">
        <f ca="1">IFERROR(__xludf.DUMMYFUNCTION("GOOGLETRANSLATE(English!F3012,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3012" s="1" t="str">
        <f ca="1">IFERROR(__xludf.DUMMYFUNCTION("GOOGLETRANSLATE(English!G3012, ""en"", ""bg"")"),"direct_qa")</f>
        <v>direct_qa</v>
      </c>
      <c r="H3012" s="1" t="str">
        <f ca="1">IFERROR(__xludf.DUMMYFUNCTION("GOOGLETRANSLATE(English!H3012, ""en"", ""bg"")"),"заявка_за_знание")</f>
        <v>заявка_за_знание</v>
      </c>
    </row>
    <row r="3013" spans="1:8" ht="13.2" x14ac:dyDescent="0.25">
      <c r="A3013" s="1" t="str">
        <f ca="1">IFERROR(__xludf.DUMMYFUNCTION("GOOGLETRANSLATE(English!A3013, ""en"", ""bg"")"),"hw_07659")</f>
        <v>hw_07659</v>
      </c>
      <c r="B3013" s="1" t="str">
        <f ca="1">IFERROR(__xludf.DUMMYFUNCTION("GOOGLETRANSLATE(English!B3013, ""en"", ""bg"")"),"химия")</f>
        <v>химия</v>
      </c>
      <c r="C3013" s="1" t="str">
        <f ca="1">IFERROR(__xludf.DUMMYFUNCTION("GOOGLETRANSLATE(English!C3013, ""en"", ""bg"")"),"средата")</f>
        <v>средата</v>
      </c>
      <c r="D3013" s="1" t="str">
        <f ca="1">IFERROR(__xludf.DUMMYFUNCTION("GOOGLETRANSLATE(English!D3013, ""en"", ""bg"")"),"основи на периодичната таблица")</f>
        <v>основи на периодичната таблица</v>
      </c>
      <c r="E3013" s="1" t="str">
        <f ca="1">IFERROR(__xludf.DUMMYFUNCTION("GOOGLETRANSLATE(English!E3013, ""en"", ""bg"")"),"Имам затруднения с основите на периодичната таблица в домашното си.")</f>
        <v>Имам затруднения с основите на периодичната таблица в домашното си.</v>
      </c>
      <c r="F3013" s="1" t="str">
        <f ca="1">IFERROR(__xludf.DUMMYFUNCTION("GOOGLETRANSLATE(English!F3013,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3013" s="1" t="str">
        <f ca="1">IFERROR(__xludf.DUMMYFUNCTION("GOOGLETRANSLATE(English!G3013, ""en"", ""bg"")"),"помощ_за_домашно_изпълнение")</f>
        <v>помощ_за_домашно_изпълнение</v>
      </c>
      <c r="H3013" s="1" t="str">
        <f ca="1">IFERROR(__xludf.DUMMYFUNCTION("GOOGLETRANSLATE(English!H3013, ""en"", ""bg"")"),"помощ_за_домашно_задаване")</f>
        <v>помощ_за_домашно_задаване</v>
      </c>
    </row>
    <row r="3014" spans="1:8" ht="13.2" x14ac:dyDescent="0.25">
      <c r="A3014" s="1" t="str">
        <f ca="1">IFERROR(__xludf.DUMMYFUNCTION("GOOGLETRANSLATE(English!A3014, ""en"", ""bg"")"),"hw_02422")</f>
        <v>hw_02422</v>
      </c>
      <c r="B3014" s="1" t="str">
        <f ca="1">IFERROR(__xludf.DUMMYFUNCTION("GOOGLETRANSLATE(English!B3014, ""en"", ""bg"")"),"химия")</f>
        <v>химия</v>
      </c>
      <c r="C3014" s="1" t="str">
        <f ca="1">IFERROR(__xludf.DUMMYFUNCTION("GOOGLETRANSLATE(English!C3014, ""en"", ""bg"")"),"високо")</f>
        <v>високо</v>
      </c>
      <c r="D3014" s="1" t="str">
        <f ca="1">IFERROR(__xludf.DUMMYFUNCTION("GOOGLETRANSLATE(English!D3014, ""en"", ""bg"")"),"химическо свързване")</f>
        <v>химическо свързване</v>
      </c>
      <c r="E3014" s="1" t="str">
        <f ca="1">IFERROR(__xludf.DUMMYFUNCTION("GOOGLETRANSLATE(English!E3014,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3014" s="1" t="str">
        <f ca="1">IFERROR(__xludf.DUMMYFUNCTION("GOOGLETRANSLATE(English!F3014,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014" s="1" t="str">
        <f ca="1">IFERROR(__xludf.DUMMYFUNCTION("GOOGLETRANSLATE(English!G3014, ""en"", ""bg"")"),"помощ_за_домашно_изпълнение")</f>
        <v>помощ_за_домашно_изпълнение</v>
      </c>
      <c r="H3014" s="1" t="str">
        <f ca="1">IFERROR(__xludf.DUMMYFUNCTION("GOOGLETRANSLATE(English!H3014, ""en"", ""bg"")"),"помощ_за_домашно_задаване")</f>
        <v>помощ_за_домашно_задаване</v>
      </c>
    </row>
    <row r="3015" spans="1:8" ht="13.2" x14ac:dyDescent="0.25">
      <c r="A3015" s="1" t="str">
        <f ca="1">IFERROR(__xludf.DUMMYFUNCTION("GOOGLETRANSLATE(English!A3015, ""en"", ""bg"")"),"conv_01602")</f>
        <v>conv_01602</v>
      </c>
      <c r="B3015" s="1" t="str">
        <f ca="1">IFERROR(__xludf.DUMMYFUNCTION("GOOGLETRANSLATE(English!B3015, ""en"", ""bg"")"),"химия")</f>
        <v>химия</v>
      </c>
      <c r="C3015" s="1" t="str">
        <f ca="1">IFERROR(__xludf.DUMMYFUNCTION("GOOGLETRANSLATE(English!C3015, ""en"", ""bg"")"),"средата")</f>
        <v>средата</v>
      </c>
      <c r="D3015" s="1" t="str">
        <f ca="1">IFERROR(__xludf.DUMMYFUNCTION("GOOGLETRANSLATE(English!D3015, ""en"", ""bg"")"),"атоми и молекули")</f>
        <v>атоми и молекули</v>
      </c>
      <c r="E3015" s="1" t="str">
        <f ca="1">IFERROR(__xludf.DUMMYFUNCTION("GOOGLETRANSLATE(English!E3015, ""en"", ""bg"")"),"Здравей, преподавателю! Защо атомите се свързват?")</f>
        <v>Здравей, преподавателю! Защо атомите се свързват?</v>
      </c>
      <c r="F3015" s="1" t="str">
        <f ca="1">IFERROR(__xludf.DUMMYFUNCTION("GOOGLETRANSLATE(English!F3015,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3015" s="1" t="str">
        <f ca="1">IFERROR(__xludf.DUMMYFUNCTION("GOOGLETRANSLATE(English!G3015, ""en"", ""bg"")"),"разговор")</f>
        <v>разговор</v>
      </c>
      <c r="H3015" s="1" t="str">
        <f ca="1">IFERROR(__xludf.DUMMYFUNCTION("GOOGLETRANSLATE(English!H3015, ""en"", ""bg"")"),"образователна_помощ")</f>
        <v>образователна_помощ</v>
      </c>
    </row>
    <row r="3016" spans="1:8" ht="13.2" x14ac:dyDescent="0.25">
      <c r="A3016" s="1" t="str">
        <f ca="1">IFERROR(__xludf.DUMMYFUNCTION("GOOGLETRANSLATE(English!A3016, ""en"", ""bg"")"),"conv_00613")</f>
        <v>conv_00613</v>
      </c>
      <c r="B3016" s="1" t="str">
        <f ca="1">IFERROR(__xludf.DUMMYFUNCTION("GOOGLETRANSLATE(English!B3016, ""en"", ""bg"")"),"химия")</f>
        <v>химия</v>
      </c>
      <c r="C3016" s="1" t="str">
        <f ca="1">IFERROR(__xludf.DUMMYFUNCTION("GOOGLETRANSLATE(English!C3016, ""en"", ""bg"")"),"средата")</f>
        <v>средата</v>
      </c>
      <c r="D3016" s="1" t="str">
        <f ca="1">IFERROR(__xludf.DUMMYFUNCTION("GOOGLETRANSLATE(English!D3016, ""en"", ""bg"")"),"химични реакции")</f>
        <v>химични реакции</v>
      </c>
      <c r="E3016" s="1" t="str">
        <f ca="1">IFERROR(__xludf.DUMMYFUNCTION("GOOGLETRANSLATE(English!E3016, ""en"", ""bg"")"),"Имам нужда от помощ с домашното си. Какво е химична реакция?")</f>
        <v>Имам нужда от помощ с домашното си. Какво е химична реакция?</v>
      </c>
      <c r="F3016" s="1" t="str">
        <f ca="1">IFERROR(__xludf.DUMMYFUNCTION("GOOGLETRANSLATE(English!F3016,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3016" s="1" t="str">
        <f ca="1">IFERROR(__xludf.DUMMYFUNCTION("GOOGLETRANSLATE(English!G3016, ""en"", ""bg"")"),"разговор")</f>
        <v>разговор</v>
      </c>
      <c r="H3016" s="1" t="str">
        <f ca="1">IFERROR(__xludf.DUMMYFUNCTION("GOOGLETRANSLATE(English!H3016, ""en"", ""bg"")"),"образователна_помощ")</f>
        <v>образователна_помощ</v>
      </c>
    </row>
    <row r="3017" spans="1:8" ht="13.2" x14ac:dyDescent="0.25">
      <c r="A3017" s="1" t="str">
        <f ca="1">IFERROR(__xludf.DUMMYFUNCTION("GOOGLETRANSLATE(English!A3017, ""en"", ""bg"")"),"conv_02639")</f>
        <v>conv_02639</v>
      </c>
      <c r="B3017" s="1" t="str">
        <f ca="1">IFERROR(__xludf.DUMMYFUNCTION("GOOGLETRANSLATE(English!B3017, ""en"", ""bg"")"),"химия")</f>
        <v>химия</v>
      </c>
      <c r="C3017" s="1" t="str">
        <f ca="1">IFERROR(__xludf.DUMMYFUNCTION("GOOGLETRANSLATE(English!C3017, ""en"", ""bg"")"),"елементарен")</f>
        <v>елементарен</v>
      </c>
      <c r="D3017" s="1" t="str">
        <f ca="1">IFERROR(__xludf.DUMMYFUNCTION("GOOGLETRANSLATE(English!D3017, ""en"", ""bg"")"),"безопасност")</f>
        <v>безопасност</v>
      </c>
      <c r="E3017" s="1" t="str">
        <f ca="1">IFERROR(__xludf.DUMMYFUNCTION("GOOGLETRANSLATE(English!E3017, ""en"", ""bg"")"),"Здравей, преподавателю! Можеш ли да ми помогнеш да разбера безопасността?")</f>
        <v>Здравей, преподавателю! Можеш ли да ми помогнеш да разбера безопасността?</v>
      </c>
      <c r="F3017" s="1" t="str">
        <f ca="1">IFERROR(__xludf.DUMMYFUNCTION("GOOGLETRANSLATE(English!F3017,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3017" s="1" t="str">
        <f ca="1">IFERROR(__xludf.DUMMYFUNCTION("GOOGLETRANSLATE(English!G3017, ""en"", ""bg"")"),"разговор")</f>
        <v>разговор</v>
      </c>
      <c r="H3017" s="1" t="str">
        <f ca="1">IFERROR(__xludf.DUMMYFUNCTION("GOOGLETRANSLATE(English!H3017, ""en"", ""bg"")"),"образователна_помощ")</f>
        <v>образователна_помощ</v>
      </c>
    </row>
    <row r="3018" spans="1:8" ht="13.2" x14ac:dyDescent="0.25">
      <c r="A3018" s="1" t="str">
        <f ca="1">IFERROR(__xludf.DUMMYFUNCTION("GOOGLETRANSLATE(English!A3018, ""en"", ""bg"")"),"conv_14160")</f>
        <v>conv_14160</v>
      </c>
      <c r="B3018" s="1" t="str">
        <f ca="1">IFERROR(__xludf.DUMMYFUNCTION("GOOGLETRANSLATE(English!B3018, ""en"", ""bg"")"),"физика")</f>
        <v>физика</v>
      </c>
      <c r="C3018" s="1" t="str">
        <f ca="1">IFERROR(__xludf.DUMMYFUNCTION("GOOGLETRANSLATE(English!C3018, ""en"", ""bg"")"),"елементарен")</f>
        <v>елементарен</v>
      </c>
      <c r="D3018" s="1" t="str">
        <f ca="1">IFERROR(__xludf.DUMMYFUNCTION("GOOGLETRANSLATE(English!D3018, ""en"", ""bg"")"),"магнити")</f>
        <v>магнити</v>
      </c>
      <c r="E3018" s="1" t="str">
        <f ca="1">IFERROR(__xludf.DUMMYFUNCTION("GOOGLETRANSLATE(English!E3018, ""en"", ""bg"")"),"Помогнете ми да уча за теста си. Как работят магнитите?")</f>
        <v>Помогнете ми да уча за теста си. Как работят магнитите?</v>
      </c>
      <c r="F3018" s="1" t="str">
        <f ca="1">IFERROR(__xludf.DUMMYFUNCTION("GOOGLETRANSLATE(English!F3018,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3018" s="1" t="str">
        <f ca="1">IFERROR(__xludf.DUMMYFUNCTION("GOOGLETRANSLATE(English!G3018, ""en"", ""bg"")"),"разговор")</f>
        <v>разговор</v>
      </c>
      <c r="H3018" s="1" t="str">
        <f ca="1">IFERROR(__xludf.DUMMYFUNCTION("GOOGLETRANSLATE(English!H3018, ""en"", ""bg"")"),"образователна_помощ")</f>
        <v>образователна_помощ</v>
      </c>
    </row>
    <row r="3019" spans="1:8" ht="13.2" x14ac:dyDescent="0.25">
      <c r="A3019" s="1" t="str">
        <f ca="1">IFERROR(__xludf.DUMMYFUNCTION("GOOGLETRANSLATE(English!A3019, ""en"", ""bg"")"),"qa_13144")</f>
        <v>qa_13144</v>
      </c>
      <c r="B3019" s="1" t="str">
        <f ca="1">IFERROR(__xludf.DUMMYFUNCTION("GOOGLETRANSLATE(English!B3019, ""en"", ""bg"")"),"химия")</f>
        <v>химия</v>
      </c>
      <c r="C3019" s="1" t="str">
        <f ca="1">IFERROR(__xludf.DUMMYFUNCTION("GOOGLETRANSLATE(English!C3019, ""en"", ""bg"")"),"средата")</f>
        <v>средата</v>
      </c>
      <c r="D3019" s="1" t="str">
        <f ca="1">IFERROR(__xludf.DUMMYFUNCTION("GOOGLETRANSLATE(English!D3019, ""en"", ""bg"")"),"химични реакции")</f>
        <v>химични реакции</v>
      </c>
      <c r="E3019" s="1" t="str">
        <f ca="1">IFERROR(__xludf.DUMMYFUNCTION("GOOGLETRANSLATE(English!E3019, ""en"", ""bg"")"),"Могат ли химичните реакции да бъдат обратими?")</f>
        <v>Могат ли химичните реакции да бъдат обратими?</v>
      </c>
      <c r="F3019" s="1" t="str">
        <f ca="1">IFERROR(__xludf.DUMMYFUNCTION("GOOGLETRANSLATE(English!F3019,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3019" s="1" t="str">
        <f ca="1">IFERROR(__xludf.DUMMYFUNCTION("GOOGLETRANSLATE(English!G3019, ""en"", ""bg"")"),"direct_qa")</f>
        <v>direct_qa</v>
      </c>
      <c r="H3019" s="1" t="str">
        <f ca="1">IFERROR(__xludf.DUMMYFUNCTION("GOOGLETRANSLATE(English!H3019, ""en"", ""bg"")"),"заявка_за_знание")</f>
        <v>заявка_за_знание</v>
      </c>
    </row>
    <row r="3020" spans="1:8" ht="13.2" x14ac:dyDescent="0.25">
      <c r="A3020" s="1" t="str">
        <f ca="1">IFERROR(__xludf.DUMMYFUNCTION("GOOGLETRANSLATE(English!A3020, ""en"", ""bg"")"),"hw_10410")</f>
        <v>hw_10410</v>
      </c>
      <c r="B3020" s="1" t="str">
        <f ca="1">IFERROR(__xludf.DUMMYFUNCTION("GOOGLETRANSLATE(English!B3020, ""en"", ""bg"")"),"химия")</f>
        <v>химия</v>
      </c>
      <c r="C3020" s="1" t="str">
        <f ca="1">IFERROR(__xludf.DUMMYFUNCTION("GOOGLETRANSLATE(English!C3020, ""en"", ""bg"")"),"средата")</f>
        <v>средата</v>
      </c>
      <c r="D3020" s="1" t="str">
        <f ca="1">IFERROR(__xludf.DUMMYFUNCTION("GOOGLETRANSLATE(English!D3020, ""en"", ""bg"")"),"съединения срещу елементи")</f>
        <v>съединения срещу елементи</v>
      </c>
      <c r="E3020" s="1" t="str">
        <f ca="1">IFERROR(__xludf.DUMMYFUNCTION("GOOGLETRANSLATE(English!E3020, ""en"", ""bg"")"),"Можете ли да ми помогнете с изчисленията на съединенията спрямо елементите?")</f>
        <v>Можете ли да ми помогнете с изчисленията на съединенията спрямо елементите?</v>
      </c>
      <c r="F3020" s="1" t="str">
        <f ca="1">IFERROR(__xludf.DUMMYFUNCTION("GOOGLETRANSLATE(English!F3020,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020" s="1" t="str">
        <f ca="1">IFERROR(__xludf.DUMMYFUNCTION("GOOGLETRANSLATE(English!G3020, ""en"", ""bg"")"),"помощ_за_домашно_изпълнение")</f>
        <v>помощ_за_домашно_изпълнение</v>
      </c>
      <c r="H3020" s="1" t="str">
        <f ca="1">IFERROR(__xludf.DUMMYFUNCTION("GOOGLETRANSLATE(English!H3020, ""en"", ""bg"")"),"помощ_за_домашно_задаване")</f>
        <v>помощ_за_домашно_задаване</v>
      </c>
    </row>
    <row r="3021" spans="1:8" ht="13.2" x14ac:dyDescent="0.25">
      <c r="A3021" s="1" t="str">
        <f ca="1">IFERROR(__xludf.DUMMYFUNCTION("GOOGLETRANSLATE(English!A3021, ""en"", ""bg"")"),"qa_03333")</f>
        <v>qa_03333</v>
      </c>
      <c r="B3021" s="1" t="str">
        <f ca="1">IFERROR(__xludf.DUMMYFUNCTION("GOOGLETRANSLATE(English!B3021, ""en"", ""bg"")"),"химия")</f>
        <v>химия</v>
      </c>
      <c r="C3021" s="1" t="str">
        <f ca="1">IFERROR(__xludf.DUMMYFUNCTION("GOOGLETRANSLATE(English!C3021, ""en"", ""bg"")"),"елементарен")</f>
        <v>елементарен</v>
      </c>
      <c r="D3021" s="1" t="str">
        <f ca="1">IFERROR(__xludf.DUMMYFUNCTION("GOOGLETRANSLATE(English!D3021, ""en"", ""bg"")"),"смесване на материали")</f>
        <v>смесване на материали</v>
      </c>
      <c r="E3021" s="1" t="str">
        <f ca="1">IFERROR(__xludf.DUMMYFUNCTION("GOOGLETRANSLATE(English!E3021, ""en"", ""bg"")"),"Как можете да отделите солта от водата?")</f>
        <v>Как можете да отделите солта от водата?</v>
      </c>
      <c r="F3021" s="1" t="str">
        <f ca="1">IFERROR(__xludf.DUMMYFUNCTION("GOOGLETRANSLATE(English!F3021,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3021" s="1" t="str">
        <f ca="1">IFERROR(__xludf.DUMMYFUNCTION("GOOGLETRANSLATE(English!G3021, ""en"", ""bg"")"),"direct_qa")</f>
        <v>direct_qa</v>
      </c>
      <c r="H3021" s="1" t="str">
        <f ca="1">IFERROR(__xludf.DUMMYFUNCTION("GOOGLETRANSLATE(English!H3021, ""en"", ""bg"")"),"заявка_за_знание")</f>
        <v>заявка_за_знание</v>
      </c>
    </row>
    <row r="3022" spans="1:8" ht="13.2" x14ac:dyDescent="0.25">
      <c r="A3022" s="1" t="str">
        <f ca="1">IFERROR(__xludf.DUMMYFUNCTION("GOOGLETRANSLATE(English!A3022, ""en"", ""bg"")"),"conv_05031")</f>
        <v>conv_05031</v>
      </c>
      <c r="B3022" s="1" t="str">
        <f ca="1">IFERROR(__xludf.DUMMYFUNCTION("GOOGLETRANSLATE(English!B3022, ""en"", ""bg"")"),"физика")</f>
        <v>физика</v>
      </c>
      <c r="C3022" s="1" t="str">
        <f ca="1">IFERROR(__xludf.DUMMYFUNCTION("GOOGLETRANSLATE(English!C3022, ""en"", ""bg"")"),"високо")</f>
        <v>високо</v>
      </c>
      <c r="D3022" s="1" t="str">
        <f ca="1">IFERROR(__xludf.DUMMYFUNCTION("GOOGLETRANSLATE(English!D3022, ""en"", ""bg"")"),"радиоактивност")</f>
        <v>радиоактивност</v>
      </c>
      <c r="E3022" s="1" t="str">
        <f ca="1">IFERROR(__xludf.DUMMYFUNCTION("GOOGLETRANSLATE(English!E3022, ""en"", ""bg"")"),"Можете ли да ми обясните това? Какво трябва да знам за радиоактивността?")</f>
        <v>Можете ли да ми обясните това? Какво трябва да знам за радиоактивността?</v>
      </c>
      <c r="F3022" s="1" t="str">
        <f ca="1">IFERROR(__xludf.DUMMYFUNCTION("GOOGLETRANSLATE(English!F3022,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3022" s="1" t="str">
        <f ca="1">IFERROR(__xludf.DUMMYFUNCTION("GOOGLETRANSLATE(English!G3022, ""en"", ""bg"")"),"разговор")</f>
        <v>разговор</v>
      </c>
      <c r="H3022" s="1" t="str">
        <f ca="1">IFERROR(__xludf.DUMMYFUNCTION("GOOGLETRANSLATE(English!H3022, ""en"", ""bg"")"),"образователна_помощ")</f>
        <v>образователна_помощ</v>
      </c>
    </row>
    <row r="3023" spans="1:8" ht="13.2" x14ac:dyDescent="0.25">
      <c r="A3023" s="1" t="str">
        <f ca="1">IFERROR(__xludf.DUMMYFUNCTION("GOOGLETRANSLATE(English!A3023, ""en"", ""bg"")"),"conv_10976")</f>
        <v>conv_10976</v>
      </c>
      <c r="B3023" s="1" t="str">
        <f ca="1">IFERROR(__xludf.DUMMYFUNCTION("GOOGLETRANSLATE(English!B3023, ""en"", ""bg"")"),"химия")</f>
        <v>химия</v>
      </c>
      <c r="C3023" s="1" t="str">
        <f ca="1">IFERROR(__xludf.DUMMYFUNCTION("GOOGLETRANSLATE(English!C3023, ""en"", ""bg"")"),"средата")</f>
        <v>средата</v>
      </c>
      <c r="D3023" s="1" t="str">
        <f ca="1">IFERROR(__xludf.DUMMYFUNCTION("GOOGLETRANSLATE(English!D3023, ""en"", ""bg"")"),"киселини и основи")</f>
        <v>киселини и основи</v>
      </c>
      <c r="E3023" s="1" t="str">
        <f ca="1">IFERROR(__xludf.DUMMYFUNCTION("GOOGLETRANSLATE(English!E3023, ""en"", ""bg"")"),"Можете ли да ми помогнете? Можете ли да ми помогнете да разбера киселините и основите?")</f>
        <v>Можете ли да ми помогнете? Можете ли да ми помогнете да разбера киселините и основите?</v>
      </c>
      <c r="F3023" s="1" t="str">
        <f ca="1">IFERROR(__xludf.DUMMYFUNCTION("GOOGLETRANSLATE(English!F3023,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3023" s="1" t="str">
        <f ca="1">IFERROR(__xludf.DUMMYFUNCTION("GOOGLETRANSLATE(English!G3023, ""en"", ""bg"")"),"разговор")</f>
        <v>разговор</v>
      </c>
      <c r="H3023" s="1" t="str">
        <f ca="1">IFERROR(__xludf.DUMMYFUNCTION("GOOGLETRANSLATE(English!H3023, ""en"", ""bg"")"),"образователна_помощ")</f>
        <v>образователна_помощ</v>
      </c>
    </row>
    <row r="3024" spans="1:8" ht="13.2" x14ac:dyDescent="0.25">
      <c r="A3024" s="1" t="str">
        <f ca="1">IFERROR(__xludf.DUMMYFUNCTION("GOOGLETRANSLATE(English!A3024, ""en"", ""bg"")"),"qa_05063")</f>
        <v>qa_05063</v>
      </c>
      <c r="B3024" s="1" t="str">
        <f ca="1">IFERROR(__xludf.DUMMYFUNCTION("GOOGLETRANSLATE(English!B3024, ""en"", ""bg"")"),"химия")</f>
        <v>химия</v>
      </c>
      <c r="C3024" s="1" t="str">
        <f ca="1">IFERROR(__xludf.DUMMYFUNCTION("GOOGLETRANSLATE(English!C3024, ""en"", ""bg"")"),"високо")</f>
        <v>високо</v>
      </c>
      <c r="D3024" s="1" t="str">
        <f ca="1">IFERROR(__xludf.DUMMYFUNCTION("GOOGLETRANSLATE(English!D3024, ""en"", ""bg"")"),"химическо свързване")</f>
        <v>химическо свързване</v>
      </c>
      <c r="E3024" s="1" t="str">
        <f ca="1">IFERROR(__xludf.DUMMYFUNCTION("GOOGLETRANSLATE(English!E3024, ""en"", ""bg"")"),"Как работи химическата връзка в химията?")</f>
        <v>Как работи химическата връзка в химията?</v>
      </c>
      <c r="F3024" s="1" t="str">
        <f ca="1">IFERROR(__xludf.DUMMYFUNCTION("GOOGLETRANSLATE(English!F3024,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3024" s="1" t="str">
        <f ca="1">IFERROR(__xludf.DUMMYFUNCTION("GOOGLETRANSLATE(English!G3024, ""en"", ""bg"")"),"direct_qa")</f>
        <v>direct_qa</v>
      </c>
      <c r="H3024" s="1" t="str">
        <f ca="1">IFERROR(__xludf.DUMMYFUNCTION("GOOGLETRANSLATE(English!H3024, ""en"", ""bg"")"),"заявка_за_знание")</f>
        <v>заявка_за_знание</v>
      </c>
    </row>
    <row r="3025" spans="1:8" ht="13.2" x14ac:dyDescent="0.25">
      <c r="A3025" s="1" t="str">
        <f ca="1">IFERROR(__xludf.DUMMYFUNCTION("GOOGLETRANSLATE(English!A3025, ""en"", ""bg"")"),"hw_13013")</f>
        <v>hw_13013</v>
      </c>
      <c r="B3025" s="1" t="str">
        <f ca="1">IFERROR(__xludf.DUMMYFUNCTION("GOOGLETRANSLATE(English!B3025, ""en"", ""bg"")"),"химия")</f>
        <v>химия</v>
      </c>
      <c r="C3025" s="1" t="str">
        <f ca="1">IFERROR(__xludf.DUMMYFUNCTION("GOOGLETRANSLATE(English!C3025, ""en"", ""bg"")"),"средата")</f>
        <v>средата</v>
      </c>
      <c r="D3025" s="1" t="str">
        <f ca="1">IFERROR(__xludf.DUMMYFUNCTION("GOOGLETRANSLATE(English!D3025, ""en"", ""bg"")"),"химични реакции")</f>
        <v>химични реакции</v>
      </c>
      <c r="E3025" s="1" t="str">
        <f ca="1">IFERROR(__xludf.DUMMYFUNCTION("GOOGLETRANSLATE(English!E3025, ""en"", ""bg"")"),"Имам проблеми с химичните реакции в домашното си.")</f>
        <v>Имам проблеми с химичните реакции в домашното си.</v>
      </c>
      <c r="F3025" s="1" t="str">
        <f ca="1">IFERROR(__xludf.DUMMYFUNCTION("GOOGLETRANSLATE(English!F3025,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3025" s="1" t="str">
        <f ca="1">IFERROR(__xludf.DUMMYFUNCTION("GOOGLETRANSLATE(English!G3025, ""en"", ""bg"")"),"помощ_за_домашно_изпълнение")</f>
        <v>помощ_за_домашно_изпълнение</v>
      </c>
      <c r="H3025" s="1" t="str">
        <f ca="1">IFERROR(__xludf.DUMMYFUNCTION("GOOGLETRANSLATE(English!H3025, ""en"", ""bg"")"),"помощ_за_домашно_задаване")</f>
        <v>помощ_за_домашно_задаване</v>
      </c>
    </row>
    <row r="3026" spans="1:8" ht="13.2" x14ac:dyDescent="0.25">
      <c r="A3026" s="1" t="str">
        <f ca="1">IFERROR(__xludf.DUMMYFUNCTION("GOOGLETRANSLATE(English!A3026, ""en"", ""bg"")"),"hw_09512")</f>
        <v>hw_09512</v>
      </c>
      <c r="B3026" s="1" t="str">
        <f ca="1">IFERROR(__xludf.DUMMYFUNCTION("GOOGLETRANSLATE(English!B3026, ""en"", ""bg"")"),"физика")</f>
        <v>физика</v>
      </c>
      <c r="C3026" s="1" t="str">
        <f ca="1">IFERROR(__xludf.DUMMYFUNCTION("GOOGLETRANSLATE(English!C3026, ""en"", ""bg"")"),"елементарен")</f>
        <v>елементарен</v>
      </c>
      <c r="D3026" s="1" t="str">
        <f ca="1">IFERROR(__xludf.DUMMYFUNCTION("GOOGLETRANSLATE(English!D3026, ""en"", ""bg"")"),"звук")</f>
        <v>звук</v>
      </c>
      <c r="E3026" s="1" t="str">
        <f ca="1">IFERROR(__xludf.DUMMYFUNCTION("GOOGLETRANSLATE(English!E3026, ""en"", ""bg"")"),"Трябва да разбирам звука за изпита си.")</f>
        <v>Трябва да разбирам звука за изпита си.</v>
      </c>
      <c r="F3026" s="1" t="str">
        <f ca="1">IFERROR(__xludf.DUMMYFUNCTION("GOOGLETRANSLATE(English!F3026,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3026" s="1" t="str">
        <f ca="1">IFERROR(__xludf.DUMMYFUNCTION("GOOGLETRANSLATE(English!G3026, ""en"", ""bg"")"),"помощ_за_домашно_изпълнение")</f>
        <v>помощ_за_домашно_изпълнение</v>
      </c>
      <c r="H3026" s="1" t="str">
        <f ca="1">IFERROR(__xludf.DUMMYFUNCTION("GOOGLETRANSLATE(English!H3026, ""en"", ""bg"")"),"помощ_за_домашно_задаване")</f>
        <v>помощ_за_домашно_задаване</v>
      </c>
    </row>
    <row r="3027" spans="1:8" ht="13.2" x14ac:dyDescent="0.25">
      <c r="A3027" s="1" t="str">
        <f ca="1">IFERROR(__xludf.DUMMYFUNCTION("GOOGLETRANSLATE(English!A3027, ""en"", ""bg"")"),"qa_06419")</f>
        <v>qa_06419</v>
      </c>
      <c r="B3027" s="1" t="str">
        <f ca="1">IFERROR(__xludf.DUMMYFUNCTION("GOOGLETRANSLATE(English!B3027, ""en"", ""bg"")"),"биология")</f>
        <v>биология</v>
      </c>
      <c r="C3027" s="1" t="str">
        <f ca="1">IFERROR(__xludf.DUMMYFUNCTION("GOOGLETRANSLATE(English!C3027, ""en"", ""bg"")"),"елементарен")</f>
        <v>елементарен</v>
      </c>
      <c r="D3027" s="1" t="str">
        <f ca="1">IFERROR(__xludf.DUMMYFUNCTION("GOOGLETRANSLATE(English!D3027, ""en"", ""bg"")"),"местообитания")</f>
        <v>местообитания</v>
      </c>
      <c r="E3027" s="1" t="str">
        <f ca="1">IFERROR(__xludf.DUMMYFUNCTION("GOOGLETRANSLATE(English!E3027, ""en"", ""bg"")"),"Как функционират местообитанията?")</f>
        <v>Как функционират местообитанията?</v>
      </c>
      <c r="F3027" s="1" t="str">
        <f ca="1">IFERROR(__xludf.DUMMYFUNCTION("GOOGLETRANSLATE(English!F3027, ""en"", ""bg"")"),"Хабитатите функционират чрез естествени процеси, които учените изучават от много години.")</f>
        <v>Хабитатите функционират чрез естествени процеси, които учените изучават от много години.</v>
      </c>
      <c r="G3027" s="1" t="str">
        <f ca="1">IFERROR(__xludf.DUMMYFUNCTION("GOOGLETRANSLATE(English!G3027, ""en"", ""bg"")"),"direct_qa")</f>
        <v>direct_qa</v>
      </c>
      <c r="H3027" s="1" t="str">
        <f ca="1">IFERROR(__xludf.DUMMYFUNCTION("GOOGLETRANSLATE(English!H3027, ""en"", ""bg"")"),"заявка_за_знание")</f>
        <v>заявка_за_знание</v>
      </c>
    </row>
    <row r="3028" spans="1:8" ht="13.2" x14ac:dyDescent="0.25">
      <c r="A3028" s="1" t="str">
        <f ca="1">IFERROR(__xludf.DUMMYFUNCTION("GOOGLETRANSLATE(English!A3028, ""en"", ""bg"")"),"hw_02617")</f>
        <v>hw_02617</v>
      </c>
      <c r="B3028" s="1" t="str">
        <f ca="1">IFERROR(__xludf.DUMMYFUNCTION("GOOGLETRANSLATE(English!B3028, ""en"", ""bg"")"),"химия")</f>
        <v>химия</v>
      </c>
      <c r="C3028" s="1" t="str">
        <f ca="1">IFERROR(__xludf.DUMMYFUNCTION("GOOGLETRANSLATE(English!C3028, ""en"", ""bg"")"),"средата")</f>
        <v>средата</v>
      </c>
      <c r="D3028" s="1" t="str">
        <f ca="1">IFERROR(__xludf.DUMMYFUNCTION("GOOGLETRANSLATE(English!D3028, ""en"", ""bg"")"),"химични промени")</f>
        <v>химични промени</v>
      </c>
      <c r="E3028" s="1" t="str">
        <f ca="1">IFERROR(__xludf.DUMMYFUNCTION("GOOGLETRANSLATE(English!E3028, ""en"", ""bg"")"),"Имам проблеми с химичните промени в домашното си.")</f>
        <v>Имам проблеми с химичните промени в домашното си.</v>
      </c>
      <c r="F3028" s="1" t="str">
        <f ca="1">IFERROR(__xludf.DUMMYFUNCTION("GOOGLETRANSLATE(English!F3028,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028" s="1" t="str">
        <f ca="1">IFERROR(__xludf.DUMMYFUNCTION("GOOGLETRANSLATE(English!G3028, ""en"", ""bg"")"),"помощ_за_домашно_изпълнение")</f>
        <v>помощ_за_домашно_изпълнение</v>
      </c>
      <c r="H3028" s="1" t="str">
        <f ca="1">IFERROR(__xludf.DUMMYFUNCTION("GOOGLETRANSLATE(English!H3028, ""en"", ""bg"")"),"помощ_за_домашно_задаване")</f>
        <v>помощ_за_домашно_задаване</v>
      </c>
    </row>
    <row r="3029" spans="1:8" ht="13.2" x14ac:dyDescent="0.25">
      <c r="A3029" s="1" t="str">
        <f ca="1">IFERROR(__xludf.DUMMYFUNCTION("GOOGLETRANSLATE(English!A3029, ""en"", ""bg"")"),"hw_09415")</f>
        <v>hw_09415</v>
      </c>
      <c r="B3029" s="1" t="str">
        <f ca="1">IFERROR(__xludf.DUMMYFUNCTION("GOOGLETRANSLATE(English!B3029, ""en"", ""bg"")"),"химия")</f>
        <v>химия</v>
      </c>
      <c r="C3029" s="1" t="str">
        <f ca="1">IFERROR(__xludf.DUMMYFUNCTION("GOOGLETRANSLATE(English!C3029, ""en"", ""bg"")"),"високо")</f>
        <v>високо</v>
      </c>
      <c r="D3029" s="1" t="str">
        <f ca="1">IFERROR(__xludf.DUMMYFUNCTION("GOOGLETRANSLATE(English!D3029, ""en"", ""bg"")"),"стехиометрия")</f>
        <v>стехиометрия</v>
      </c>
      <c r="E3029" s="1" t="str">
        <f ca="1">IFERROR(__xludf.DUMMYFUNCTION("GOOGLETRANSLATE(English!E3029, ""en"", ""bg"")"),"Затруднявам се със стехиометрията в домашното си.")</f>
        <v>Затруднявам се със стехиометрията в домашното си.</v>
      </c>
      <c r="F3029" s="1" t="str">
        <f ca="1">IFERROR(__xludf.DUMMYFUNCTION("GOOGLETRANSLATE(English!F3029,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3029" s="1" t="str">
        <f ca="1">IFERROR(__xludf.DUMMYFUNCTION("GOOGLETRANSLATE(English!G3029, ""en"", ""bg"")"),"помощ_за_домашно_изпълнение")</f>
        <v>помощ_за_домашно_изпълнение</v>
      </c>
      <c r="H3029" s="1" t="str">
        <f ca="1">IFERROR(__xludf.DUMMYFUNCTION("GOOGLETRANSLATE(English!H3029, ""en"", ""bg"")"),"помощ_за_домашно_задаване")</f>
        <v>помощ_за_домашно_задаване</v>
      </c>
    </row>
    <row r="3030" spans="1:8" ht="13.2" x14ac:dyDescent="0.25">
      <c r="A3030" s="1" t="str">
        <f ca="1">IFERROR(__xludf.DUMMYFUNCTION("GOOGLETRANSLATE(English!A3030, ""en"", ""bg"")"),"conv_16941")</f>
        <v>conv_16941</v>
      </c>
      <c r="B3030" s="1" t="str">
        <f ca="1">IFERROR(__xludf.DUMMYFUNCTION("GOOGLETRANSLATE(English!B3030, ""en"", ""bg"")"),"биология")</f>
        <v>биология</v>
      </c>
      <c r="C3030" s="1" t="str">
        <f ca="1">IFERROR(__xludf.DUMMYFUNCTION("GOOGLETRANSLATE(English!C3030, ""en"", ""bg"")"),"средата")</f>
        <v>средата</v>
      </c>
      <c r="D3030" s="1" t="str">
        <f ca="1">IFERROR(__xludf.DUMMYFUNCTION("GOOGLETRANSLATE(English!D3030, ""en"", ""bg"")"),"основи на генетиката")</f>
        <v>основи на генетиката</v>
      </c>
      <c r="E3030" s="1" t="str">
        <f ca="1">IFERROR(__xludf.DUMMYFUNCTION("GOOGLETRANSLATE(English!E3030, ""en"", ""bg"")"),"Можете ли да ми обясните това? Защо основите на генетиката са важни в биологията?")</f>
        <v>Можете ли да ми обясните това? Защо основите на генетиката са важни в биологията?</v>
      </c>
      <c r="F3030" s="1" t="str">
        <f ca="1">IFERROR(__xludf.DUMMYFUNCTION("GOOGLETRANSLATE(English!F3030,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3030" s="1" t="str">
        <f ca="1">IFERROR(__xludf.DUMMYFUNCTION("GOOGLETRANSLATE(English!G3030, ""en"", ""bg"")"),"разговор")</f>
        <v>разговор</v>
      </c>
      <c r="H3030" s="1" t="str">
        <f ca="1">IFERROR(__xludf.DUMMYFUNCTION("GOOGLETRANSLATE(English!H3030, ""en"", ""bg"")"),"образователна_помощ")</f>
        <v>образователна_помощ</v>
      </c>
    </row>
    <row r="3031" spans="1:8" ht="13.2" x14ac:dyDescent="0.25">
      <c r="A3031" s="1" t="str">
        <f ca="1">IFERROR(__xludf.DUMMYFUNCTION("GOOGLETRANSLATE(English!A3031, ""en"", ""bg"")"),"conv_10838")</f>
        <v>conv_10838</v>
      </c>
      <c r="B3031" s="1" t="str">
        <f ca="1">IFERROR(__xludf.DUMMYFUNCTION("GOOGLETRANSLATE(English!B3031, ""en"", ""bg"")"),"биология")</f>
        <v>биология</v>
      </c>
      <c r="C3031" s="1" t="str">
        <f ca="1">IFERROR(__xludf.DUMMYFUNCTION("GOOGLETRANSLATE(English!C3031, ""en"", ""bg"")"),"елементарен")</f>
        <v>елементарен</v>
      </c>
      <c r="D3031" s="1" t="str">
        <f ca="1">IFERROR(__xludf.DUMMYFUNCTION("GOOGLETRANSLATE(English!D3031, ""en"", ""bg"")"),"местообитания")</f>
        <v>местообитания</v>
      </c>
      <c r="E3031" s="1" t="str">
        <f ca="1">IFERROR(__xludf.DUMMYFUNCTION("GOOGLETRANSLATE(English!E3031, ""en"", ""bg"")"),"Здравей, преподавателю! Как работят местообитанията?")</f>
        <v>Здравей, преподавателю! Как работят местообитанията?</v>
      </c>
      <c r="F3031" s="1" t="str">
        <f ca="1">IFERROR(__xludf.DUMMYFUNCTION("GOOGLETRANSLATE(English!F3031, ""en"", ""bg"")"),"Хабитатите функционират чрез естествени процеси, които учените изучават от много години.")</f>
        <v>Хабитатите функционират чрез естествени процеси, които учените изучават от много години.</v>
      </c>
      <c r="G3031" s="1" t="str">
        <f ca="1">IFERROR(__xludf.DUMMYFUNCTION("GOOGLETRANSLATE(English!G3031, ""en"", ""bg"")"),"разговор")</f>
        <v>разговор</v>
      </c>
      <c r="H3031" s="1" t="str">
        <f ca="1">IFERROR(__xludf.DUMMYFUNCTION("GOOGLETRANSLATE(English!H3031, ""en"", ""bg"")"),"образователна_помощ")</f>
        <v>образователна_помощ</v>
      </c>
    </row>
    <row r="3032" spans="1:8" ht="13.2" x14ac:dyDescent="0.25">
      <c r="A3032" s="1" t="str">
        <f ca="1">IFERROR(__xludf.DUMMYFUNCTION("GOOGLETRANSLATE(English!A3032, ""en"", ""bg"")"),"hw_05558")</f>
        <v>hw_05558</v>
      </c>
      <c r="B3032" s="1" t="str">
        <f ca="1">IFERROR(__xludf.DUMMYFUNCTION("GOOGLETRANSLATE(English!B3032, ""en"", ""bg"")"),"физика")</f>
        <v>физика</v>
      </c>
      <c r="C3032" s="1" t="str">
        <f ca="1">IFERROR(__xludf.DUMMYFUNCTION("GOOGLETRANSLATE(English!C3032, ""en"", ""bg"")"),"елементарен")</f>
        <v>елементарен</v>
      </c>
      <c r="D3032" s="1" t="str">
        <f ca="1">IFERROR(__xludf.DUMMYFUNCTION("GOOGLETRANSLATE(English!D3032, ""en"", ""bg"")"),"прости машини")</f>
        <v>прости машини</v>
      </c>
      <c r="E3032" s="1" t="str">
        <f ca="1">IFERROR(__xludf.DUMMYFUNCTION("GOOGLETRANSLATE(English!E3032, ""en"", ""bg"")"),"Трябва да разбирам прости машини за изпита си.")</f>
        <v>Трябва да разбирам прости машини за изпита си.</v>
      </c>
      <c r="F3032" s="1" t="str">
        <f ca="1">IFERROR(__xludf.DUMMYFUNCTION("GOOGLETRANSLATE(English!F3032,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3032" s="1" t="str">
        <f ca="1">IFERROR(__xludf.DUMMYFUNCTION("GOOGLETRANSLATE(English!G3032, ""en"", ""bg"")"),"помощ_за_домашно_изпълнение")</f>
        <v>помощ_за_домашно_изпълнение</v>
      </c>
      <c r="H3032" s="1" t="str">
        <f ca="1">IFERROR(__xludf.DUMMYFUNCTION("GOOGLETRANSLATE(English!H3032, ""en"", ""bg"")"),"помощ_за_домашно_задаване")</f>
        <v>помощ_за_домашно_задаване</v>
      </c>
    </row>
    <row r="3033" spans="1:8" ht="13.2" x14ac:dyDescent="0.25">
      <c r="A3033" s="1" t="str">
        <f ca="1">IFERROR(__xludf.DUMMYFUNCTION("GOOGLETRANSLATE(English!A3033, ""en"", ""bg"")"),"conv_05497")</f>
        <v>conv_05497</v>
      </c>
      <c r="B3033" s="1" t="str">
        <f ca="1">IFERROR(__xludf.DUMMYFUNCTION("GOOGLETRANSLATE(English!B3033, ""en"", ""bg"")"),"биология")</f>
        <v>биология</v>
      </c>
      <c r="C3033" s="1" t="str">
        <f ca="1">IFERROR(__xludf.DUMMYFUNCTION("GOOGLETRANSLATE(English!C3033, ""en"", ""bg"")"),"високо")</f>
        <v>високо</v>
      </c>
      <c r="D3033" s="1" t="str">
        <f ca="1">IFERROR(__xludf.DUMMYFUNCTION("GOOGLETRANSLATE(English!D3033, ""en"", ""bg"")"),"Структура на ДНК")</f>
        <v>Структура на ДНК</v>
      </c>
      <c r="E3033" s="1" t="str">
        <f ca="1">IFERROR(__xludf.DUMMYFUNCTION("GOOGLETRANSLATE(English!E3033, ""en"", ""bg"")"),"Можете ли да ми помогнете? Какво е важно да знаем за структурата на ДНК?")</f>
        <v>Можете ли да ми помогнете? Какво е важно да знаем за структурата на ДНК?</v>
      </c>
      <c r="F3033" s="1" t="str">
        <f ca="1">IFERROR(__xludf.DUMMYFUNCTION("GOOGLETRANSLATE(English!F3033,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3033" s="1" t="str">
        <f ca="1">IFERROR(__xludf.DUMMYFUNCTION("GOOGLETRANSLATE(English!G3033, ""en"", ""bg"")"),"разговор")</f>
        <v>разговор</v>
      </c>
      <c r="H3033" s="1" t="str">
        <f ca="1">IFERROR(__xludf.DUMMYFUNCTION("GOOGLETRANSLATE(English!H3033, ""en"", ""bg"")"),"образователна_помощ")</f>
        <v>образователна_помощ</v>
      </c>
    </row>
    <row r="3034" spans="1:8" ht="13.2" x14ac:dyDescent="0.25">
      <c r="A3034" s="1" t="str">
        <f ca="1">IFERROR(__xludf.DUMMYFUNCTION("GOOGLETRANSLATE(English!A3034, ""en"", ""bg"")"),"conv_03453")</f>
        <v>conv_03453</v>
      </c>
      <c r="B3034" s="1" t="str">
        <f ca="1">IFERROR(__xludf.DUMMYFUNCTION("GOOGLETRANSLATE(English!B3034, ""en"", ""bg"")"),"физика")</f>
        <v>физика</v>
      </c>
      <c r="C3034" s="1" t="str">
        <f ca="1">IFERROR(__xludf.DUMMYFUNCTION("GOOGLETRANSLATE(English!C3034, ""en"", ""bg"")"),"средата")</f>
        <v>средата</v>
      </c>
      <c r="D3034" s="1" t="str">
        <f ca="1">IFERROR(__xludf.DUMMYFUNCTION("GOOGLETRANSLATE(English!D3034, ""en"", ""bg"")"),"плътност")</f>
        <v>плътност</v>
      </c>
      <c r="E3034" s="1" t="str">
        <f ca="1">IFERROR(__xludf.DUMMYFUNCTION("GOOGLETRANSLATE(English!E3034, ""en"", ""bg"")"),"Имам нужда от помощ с домашното. Какво трябва да знам за плътността?")</f>
        <v>Имам нужда от помощ с домашното. Какво трябва да знам за плътността?</v>
      </c>
      <c r="F3034" s="1" t="str">
        <f ca="1">IFERROR(__xludf.DUMMYFUNCTION("GOOGLETRANSLATE(English!F3034,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3034" s="1" t="str">
        <f ca="1">IFERROR(__xludf.DUMMYFUNCTION("GOOGLETRANSLATE(English!G3034, ""en"", ""bg"")"),"разговор")</f>
        <v>разговор</v>
      </c>
      <c r="H3034" s="1" t="str">
        <f ca="1">IFERROR(__xludf.DUMMYFUNCTION("GOOGLETRANSLATE(English!H3034, ""en"", ""bg"")"),"образователна_помощ")</f>
        <v>образователна_помощ</v>
      </c>
    </row>
    <row r="3035" spans="1:8" ht="13.2" x14ac:dyDescent="0.25">
      <c r="A3035" s="1" t="str">
        <f ca="1">IFERROR(__xludf.DUMMYFUNCTION("GOOGLETRANSLATE(English!A3035, ""en"", ""bg"")"),"conv_12974")</f>
        <v>conv_12974</v>
      </c>
      <c r="B3035" s="1" t="str">
        <f ca="1">IFERROR(__xludf.DUMMYFUNCTION("GOOGLETRANSLATE(English!B3035, ""en"", ""bg"")"),"химия")</f>
        <v>химия</v>
      </c>
      <c r="C3035" s="1" t="str">
        <f ca="1">IFERROR(__xludf.DUMMYFUNCTION("GOOGLETRANSLATE(English!C3035, ""en"", ""bg"")"),"средата")</f>
        <v>средата</v>
      </c>
      <c r="D3035" s="1" t="str">
        <f ca="1">IFERROR(__xludf.DUMMYFUNCTION("GOOGLETRANSLATE(English!D3035, ""en"", ""bg"")"),"химични реакции")</f>
        <v>химични реакции</v>
      </c>
      <c r="E3035" s="1" t="str">
        <f ca="1">IFERROR(__xludf.DUMMYFUNCTION("GOOGLETRANSLATE(English!E3035, ""en"", ""bg"")"),"Можете ли да ми помогнете? Какво представляват реагентите и продуктите?")</f>
        <v>Можете ли да ми помогнете? Какво представляват реагентите и продуктите?</v>
      </c>
      <c r="F3035" s="1" t="str">
        <f ca="1">IFERROR(__xludf.DUMMYFUNCTION("GOOGLETRANSLATE(English!F3035,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3035" s="1" t="str">
        <f ca="1">IFERROR(__xludf.DUMMYFUNCTION("GOOGLETRANSLATE(English!G3035, ""en"", ""bg"")"),"разговор")</f>
        <v>разговор</v>
      </c>
      <c r="H3035" s="1" t="str">
        <f ca="1">IFERROR(__xludf.DUMMYFUNCTION("GOOGLETRANSLATE(English!H3035, ""en"", ""bg"")"),"образователна_помощ")</f>
        <v>образователна_помощ</v>
      </c>
    </row>
    <row r="3036" spans="1:8" ht="13.2" x14ac:dyDescent="0.25">
      <c r="A3036" s="1" t="str">
        <f ca="1">IFERROR(__xludf.DUMMYFUNCTION("GOOGLETRANSLATE(English!A3036, ""en"", ""bg"")"),"conv_09468")</f>
        <v>conv_09468</v>
      </c>
      <c r="B3036" s="1" t="str">
        <f ca="1">IFERROR(__xludf.DUMMYFUNCTION("GOOGLETRANSLATE(English!B3036, ""en"", ""bg"")"),"химия")</f>
        <v>химия</v>
      </c>
      <c r="C3036" s="1" t="str">
        <f ca="1">IFERROR(__xludf.DUMMYFUNCTION("GOOGLETRANSLATE(English!C3036, ""en"", ""bg"")"),"елементарен")</f>
        <v>елементарен</v>
      </c>
      <c r="D3036" s="1" t="str">
        <f ca="1">IFERROR(__xludf.DUMMYFUNCTION("GOOGLETRANSLATE(English!D3036, ""en"", ""bg"")"),"безопасност")</f>
        <v>безопасност</v>
      </c>
      <c r="E3036" s="1" t="str">
        <f ca="1">IFERROR(__xludf.DUMMYFUNCTION("GOOGLETRANSLATE(English!E3036, ""en"", ""bg"")"),"Имам нужда от помощ с домашното. Защо безопасността е важна за учене?")</f>
        <v>Имам нужда от помощ с домашното. Защо безопасността е важна за учене?</v>
      </c>
      <c r="F3036" s="1" t="str">
        <f ca="1">IFERROR(__xludf.DUMMYFUNCTION("GOOGLETRANSLATE(English!F3036,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3036" s="1" t="str">
        <f ca="1">IFERROR(__xludf.DUMMYFUNCTION("GOOGLETRANSLATE(English!G3036, ""en"", ""bg"")"),"разговор")</f>
        <v>разговор</v>
      </c>
      <c r="H3036" s="1" t="str">
        <f ca="1">IFERROR(__xludf.DUMMYFUNCTION("GOOGLETRANSLATE(English!H3036, ""en"", ""bg"")"),"образователна_помощ")</f>
        <v>образователна_помощ</v>
      </c>
    </row>
    <row r="3037" spans="1:8" ht="13.2" x14ac:dyDescent="0.25">
      <c r="A3037" s="1" t="str">
        <f ca="1">IFERROR(__xludf.DUMMYFUNCTION("GOOGLETRANSLATE(English!A3037, ""en"", ""bg"")"),"conv_09972")</f>
        <v>conv_09972</v>
      </c>
      <c r="B3037" s="1" t="str">
        <f ca="1">IFERROR(__xludf.DUMMYFUNCTION("GOOGLETRANSLATE(English!B3037, ""en"", ""bg"")"),"химия")</f>
        <v>химия</v>
      </c>
      <c r="C3037" s="1" t="str">
        <f ca="1">IFERROR(__xludf.DUMMYFUNCTION("GOOGLETRANSLATE(English!C3037, ""en"", ""bg"")"),"елементарен")</f>
        <v>елементарен</v>
      </c>
      <c r="D3037" s="1" t="str">
        <f ca="1">IFERROR(__xludf.DUMMYFUNCTION("GOOGLETRANSLATE(English!D3037, ""en"", ""bg"")"),"ежедневни химикали")</f>
        <v>ежедневни химикали</v>
      </c>
      <c r="E3037" s="1" t="str">
        <f ca="1">IFERROR(__xludf.DUMMYFUNCTION("GOOGLETRANSLATE(English!E3037, ""en"", ""bg"")"),"Можете ли да ми обясните това? Можете ли да ми помогнете да разбера ежедневните химикали?")</f>
        <v>Можете ли да ми обясните това? Можете ли да ми помогнете да разбера ежедневните химикали?</v>
      </c>
      <c r="F3037" s="1" t="str">
        <f ca="1">IFERROR(__xludf.DUMMYFUNCTION("GOOGLETRANSLATE(English!F3037,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3037" s="1" t="str">
        <f ca="1">IFERROR(__xludf.DUMMYFUNCTION("GOOGLETRANSLATE(English!G3037, ""en"", ""bg"")"),"разговор")</f>
        <v>разговор</v>
      </c>
      <c r="H3037" s="1" t="str">
        <f ca="1">IFERROR(__xludf.DUMMYFUNCTION("GOOGLETRANSLATE(English!H3037, ""en"", ""bg"")"),"образователна_помощ")</f>
        <v>образователна_помощ</v>
      </c>
    </row>
    <row r="3038" spans="1:8" ht="13.2" x14ac:dyDescent="0.25">
      <c r="A3038" s="1" t="str">
        <f ca="1">IFERROR(__xludf.DUMMYFUNCTION("GOOGLETRANSLATE(English!A3038, ""en"", ""bg"")"),"qa_10324")</f>
        <v>qa_10324</v>
      </c>
      <c r="B3038" s="1" t="str">
        <f ca="1">IFERROR(__xludf.DUMMYFUNCTION("GOOGLETRANSLATE(English!B3038, ""en"", ""bg"")"),"химия")</f>
        <v>химия</v>
      </c>
      <c r="C3038" s="1" t="str">
        <f ca="1">IFERROR(__xludf.DUMMYFUNCTION("GOOGLETRANSLATE(English!C3038, ""en"", ""bg"")"),"елементарен")</f>
        <v>елементарен</v>
      </c>
      <c r="D3038" s="1" t="str">
        <f ca="1">IFERROR(__xludf.DUMMYFUNCTION("GOOGLETRANSLATE(English!D3038, ""en"", ""bg"")"),"безопасност")</f>
        <v>безопасност</v>
      </c>
      <c r="E3038" s="1" t="str">
        <f ca="1">IFERROR(__xludf.DUMMYFUNCTION("GOOGLETRANSLATE(English!E3038, ""en"", ""bg"")"),"Какво е безопасността?")</f>
        <v>Какво е безопасността?</v>
      </c>
      <c r="F3038" s="1" t="str">
        <f ca="1">IFERROR(__xludf.DUMMYFUNCTION("GOOGLETRANSLATE(English!F3038,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3038" s="1" t="str">
        <f ca="1">IFERROR(__xludf.DUMMYFUNCTION("GOOGLETRANSLATE(English!G3038, ""en"", ""bg"")"),"direct_qa")</f>
        <v>direct_qa</v>
      </c>
      <c r="H3038" s="1" t="str">
        <f ca="1">IFERROR(__xludf.DUMMYFUNCTION("GOOGLETRANSLATE(English!H3038, ""en"", ""bg"")"),"заявка_за_знание")</f>
        <v>заявка_за_знание</v>
      </c>
    </row>
    <row r="3039" spans="1:8" ht="13.2" x14ac:dyDescent="0.25">
      <c r="A3039" s="1" t="str">
        <f ca="1">IFERROR(__xludf.DUMMYFUNCTION("GOOGLETRANSLATE(English!A3039, ""en"", ""bg"")"),"conv_17986")</f>
        <v>conv_17986</v>
      </c>
      <c r="B3039" s="1" t="str">
        <f ca="1">IFERROR(__xludf.DUMMYFUNCTION("GOOGLETRANSLATE(English!B3039, ""en"", ""bg"")"),"биология")</f>
        <v>биология</v>
      </c>
      <c r="C3039" s="1" t="str">
        <f ca="1">IFERROR(__xludf.DUMMYFUNCTION("GOOGLETRANSLATE(English!C3039, ""en"", ""bg"")"),"елементарен")</f>
        <v>елементарен</v>
      </c>
      <c r="D3039" s="1" t="str">
        <f ca="1">IFERROR(__xludf.DUMMYFUNCTION("GOOGLETRANSLATE(English!D3039, ""en"", ""bg"")"),"жизнени цикли")</f>
        <v>жизнени цикли</v>
      </c>
      <c r="E3039" s="1" t="str">
        <f ca="1">IFERROR(__xludf.DUMMYFUNCTION("GOOGLETRANSLATE(English!E3039, ""en"", ""bg"")"),"Имам нужда от помощ с домашното си. Как работят жизнените цикли?")</f>
        <v>Имам нужда от помощ с домашното си. Как работят жизнените цикли?</v>
      </c>
      <c r="F3039" s="1" t="str">
        <f ca="1">IFERROR(__xludf.DUMMYFUNCTION("GOOGLETRANSLATE(English!F3039,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3039" s="1" t="str">
        <f ca="1">IFERROR(__xludf.DUMMYFUNCTION("GOOGLETRANSLATE(English!G3039, ""en"", ""bg"")"),"разговор")</f>
        <v>разговор</v>
      </c>
      <c r="H3039" s="1" t="str">
        <f ca="1">IFERROR(__xludf.DUMMYFUNCTION("GOOGLETRANSLATE(English!H3039, ""en"", ""bg"")"),"образователна_помощ")</f>
        <v>образователна_помощ</v>
      </c>
    </row>
    <row r="3040" spans="1:8" ht="13.2" x14ac:dyDescent="0.25">
      <c r="A3040" s="1" t="str">
        <f ca="1">IFERROR(__xludf.DUMMYFUNCTION("GOOGLETRANSLATE(English!A3040, ""en"", ""bg"")"),"qa_01105")</f>
        <v>qa_01105</v>
      </c>
      <c r="B3040" s="1" t="str">
        <f ca="1">IFERROR(__xludf.DUMMYFUNCTION("GOOGLETRANSLATE(English!B3040, ""en"", ""bg"")"),"физика")</f>
        <v>физика</v>
      </c>
      <c r="C3040" s="1" t="str">
        <f ca="1">IFERROR(__xludf.DUMMYFUNCTION("GOOGLETRANSLATE(English!C3040, ""en"", ""bg"")"),"средата")</f>
        <v>средата</v>
      </c>
      <c r="D3040" s="1" t="str">
        <f ca="1">IFERROR(__xludf.DUMMYFUNCTION("GOOGLETRANSLATE(English!D3040, ""en"", ""bg"")"),"състояния на материята")</f>
        <v>състояния на материята</v>
      </c>
      <c r="E3040" s="1" t="str">
        <f ca="1">IFERROR(__xludf.DUMMYFUNCTION("GOOGLETRANSLATE(English!E3040, ""en"", ""bg"")"),"Защо състоянията на материята са важни?")</f>
        <v>Защо състоянията на материята са важни?</v>
      </c>
      <c r="F3040" s="1" t="str">
        <f ca="1">IFERROR(__xludf.DUMMYFUNCTION("GOOGLETRANSLATE(English!F3040,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3040" s="1" t="str">
        <f ca="1">IFERROR(__xludf.DUMMYFUNCTION("GOOGLETRANSLATE(English!G3040, ""en"", ""bg"")"),"direct_qa")</f>
        <v>direct_qa</v>
      </c>
      <c r="H3040" s="1" t="str">
        <f ca="1">IFERROR(__xludf.DUMMYFUNCTION("GOOGLETRANSLATE(English!H3040, ""en"", ""bg"")"),"заявка_за_знание")</f>
        <v>заявка_за_знание</v>
      </c>
    </row>
    <row r="3041" spans="1:8" ht="13.2" x14ac:dyDescent="0.25">
      <c r="A3041" s="1" t="str">
        <f ca="1">IFERROR(__xludf.DUMMYFUNCTION("GOOGLETRANSLATE(English!A3041, ""en"", ""bg"")"),"qa_13777")</f>
        <v>qa_13777</v>
      </c>
      <c r="B3041" s="1" t="str">
        <f ca="1">IFERROR(__xludf.DUMMYFUNCTION("GOOGLETRANSLATE(English!B3041, ""en"", ""bg"")"),"биология")</f>
        <v>биология</v>
      </c>
      <c r="C3041" s="1" t="str">
        <f ca="1">IFERROR(__xludf.DUMMYFUNCTION("GOOGLETRANSLATE(English!C3041, ""en"", ""bg"")"),"средата")</f>
        <v>средата</v>
      </c>
      <c r="D3041" s="1" t="str">
        <f ca="1">IFERROR(__xludf.DUMMYFUNCTION("GOOGLETRANSLATE(English!D3041, ""en"", ""bg"")"),"основи на еволюцията")</f>
        <v>основи на еволюцията</v>
      </c>
      <c r="E3041" s="1" t="str">
        <f ca="1">IFERROR(__xludf.DUMMYFUNCTION("GOOGLETRANSLATE(English!E3041, ""en"", ""bg"")"),"Как работят основите на еволюцията?")</f>
        <v>Как работят основите на еволюцията?</v>
      </c>
      <c r="F3041" s="1" t="str">
        <f ca="1">IFERROR(__xludf.DUMMYFUNCTION("GOOGLETRANSLATE(English!F3041,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3041" s="1" t="str">
        <f ca="1">IFERROR(__xludf.DUMMYFUNCTION("GOOGLETRANSLATE(English!G3041, ""en"", ""bg"")"),"direct_qa")</f>
        <v>direct_qa</v>
      </c>
      <c r="H3041" s="1" t="str">
        <f ca="1">IFERROR(__xludf.DUMMYFUNCTION("GOOGLETRANSLATE(English!H3041, ""en"", ""bg"")"),"заявка_за_знание")</f>
        <v>заявка_за_знание</v>
      </c>
    </row>
    <row r="3042" spans="1:8" ht="13.2" x14ac:dyDescent="0.25">
      <c r="A3042" s="1" t="str">
        <f ca="1">IFERROR(__xludf.DUMMYFUNCTION("GOOGLETRANSLATE(English!A3042, ""en"", ""bg"")"),"conv_03930")</f>
        <v>conv_03930</v>
      </c>
      <c r="B3042" s="1" t="str">
        <f ca="1">IFERROR(__xludf.DUMMYFUNCTION("GOOGLETRANSLATE(English!B3042, ""en"", ""bg"")"),"биология")</f>
        <v>биология</v>
      </c>
      <c r="C3042" s="1" t="str">
        <f ca="1">IFERROR(__xludf.DUMMYFUNCTION("GOOGLETRANSLATE(English!C3042, ""en"", ""bg"")"),"средата")</f>
        <v>средата</v>
      </c>
      <c r="D3042" s="1" t="str">
        <f ca="1">IFERROR(__xludf.DUMMYFUNCTION("GOOGLETRANSLATE(English!D3042, ""en"", ""bg"")"),"фотосинтеза")</f>
        <v>фотосинтеза</v>
      </c>
      <c r="E3042" s="1" t="str">
        <f ca="1">IFERROR(__xludf.DUMMYFUNCTION("GOOGLETRANSLATE(English!E3042, ""en"", ""bg"")"),"Здравей, преподавателю! Защо фотосинтезата е важна в биологията?")</f>
        <v>Здравей, преподавателю! Защо фотосинтезата е важна в биологията?</v>
      </c>
      <c r="F3042" s="1" t="str">
        <f ca="1">IFERROR(__xludf.DUMMYFUNCTION("GOOGLETRANSLATE(English!F3042,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3042" s="1" t="str">
        <f ca="1">IFERROR(__xludf.DUMMYFUNCTION("GOOGLETRANSLATE(English!G3042, ""en"", ""bg"")"),"разговор")</f>
        <v>разговор</v>
      </c>
      <c r="H3042" s="1" t="str">
        <f ca="1">IFERROR(__xludf.DUMMYFUNCTION("GOOGLETRANSLATE(English!H3042, ""en"", ""bg"")"),"образователна_помощ")</f>
        <v>образователна_помощ</v>
      </c>
    </row>
    <row r="3043" spans="1:8" ht="13.2" x14ac:dyDescent="0.25">
      <c r="A3043" s="1" t="str">
        <f ca="1">IFERROR(__xludf.DUMMYFUNCTION("GOOGLETRANSLATE(English!A3043, ""en"", ""bg"")"),"conv_02569")</f>
        <v>conv_02569</v>
      </c>
      <c r="B3043" s="1" t="str">
        <f ca="1">IFERROR(__xludf.DUMMYFUNCTION("GOOGLETRANSLATE(English!B3043, ""en"", ""bg"")"),"химия")</f>
        <v>химия</v>
      </c>
      <c r="C3043" s="1" t="str">
        <f ca="1">IFERROR(__xludf.DUMMYFUNCTION("GOOGLETRANSLATE(English!C3043, ""en"", ""bg"")"),"високо")</f>
        <v>високо</v>
      </c>
      <c r="D3043" s="1" t="str">
        <f ca="1">IFERROR(__xludf.DUMMYFUNCTION("GOOGLETRANSLATE(English!D3043, ""en"", ""bg"")"),"органична химия")</f>
        <v>органична химия</v>
      </c>
      <c r="E3043" s="1" t="str">
        <f ca="1">IFERROR(__xludf.DUMMYFUNCTION("GOOGLETRANSLATE(English!E3043, ""en"", ""bg"")"),"Можете ли да ми помогнете? Какво представлява органичната химия?")</f>
        <v>Можете ли да ми помогнете? Какво представлява органичната химия?</v>
      </c>
      <c r="F3043" s="1" t="str">
        <f ca="1">IFERROR(__xludf.DUMMYFUNCTION("GOOGLETRANSLATE(English!F3043,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3043" s="1" t="str">
        <f ca="1">IFERROR(__xludf.DUMMYFUNCTION("GOOGLETRANSLATE(English!G3043, ""en"", ""bg"")"),"разговор")</f>
        <v>разговор</v>
      </c>
      <c r="H3043" s="1" t="str">
        <f ca="1">IFERROR(__xludf.DUMMYFUNCTION("GOOGLETRANSLATE(English!H3043, ""en"", ""bg"")"),"образователна_помощ")</f>
        <v>образователна_помощ</v>
      </c>
    </row>
    <row r="3044" spans="1:8" ht="13.2" x14ac:dyDescent="0.25">
      <c r="A3044" s="1" t="str">
        <f ca="1">IFERROR(__xludf.DUMMYFUNCTION("GOOGLETRANSLATE(English!A3044, ""en"", ""bg"")"),"conv_00224")</f>
        <v>conv_00224</v>
      </c>
      <c r="B3044" s="1" t="str">
        <f ca="1">IFERROR(__xludf.DUMMYFUNCTION("GOOGLETRANSLATE(English!B3044, ""en"", ""bg"")"),"биология")</f>
        <v>биология</v>
      </c>
      <c r="C3044" s="1" t="str">
        <f ca="1">IFERROR(__xludf.DUMMYFUNCTION("GOOGLETRANSLATE(English!C3044, ""en"", ""bg"")"),"високо")</f>
        <v>високо</v>
      </c>
      <c r="D3044" s="1" t="str">
        <f ca="1">IFERROR(__xludf.DUMMYFUNCTION("GOOGLETRANSLATE(English!D3044, ""en"", ""bg"")"),"Структура на ДНК")</f>
        <v>Структура на ДНК</v>
      </c>
      <c r="E3044" s="1" t="str">
        <f ca="1">IFERROR(__xludf.DUMMYFUNCTION("GOOGLETRANSLATE(English!E3044, ""en"", ""bg"")"),"Помогни ми да уча за теста. Можеш ли да ми кажеш нещо за структурата на ДНК?")</f>
        <v>Помогни ми да уча за теста. Можеш ли да ми кажеш нещо за структурата на ДНК?</v>
      </c>
      <c r="F3044" s="1" t="str">
        <f ca="1">IFERROR(__xludf.DUMMYFUNCTION("GOOGLETRANSLATE(English!F3044,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3044" s="1" t="str">
        <f ca="1">IFERROR(__xludf.DUMMYFUNCTION("GOOGLETRANSLATE(English!G3044, ""en"", ""bg"")"),"разговор")</f>
        <v>разговор</v>
      </c>
      <c r="H3044" s="1" t="str">
        <f ca="1">IFERROR(__xludf.DUMMYFUNCTION("GOOGLETRANSLATE(English!H3044, ""en"", ""bg"")"),"образователна_помощ")</f>
        <v>образователна_помощ</v>
      </c>
    </row>
    <row r="3045" spans="1:8" ht="13.2" x14ac:dyDescent="0.25">
      <c r="A3045" s="1" t="str">
        <f ca="1">IFERROR(__xludf.DUMMYFUNCTION("GOOGLETRANSLATE(English!A3045, ""en"", ""bg"")"),"qa_02136")</f>
        <v>qa_02136</v>
      </c>
      <c r="B3045" s="1" t="str">
        <f ca="1">IFERROR(__xludf.DUMMYFUNCTION("GOOGLETRANSLATE(English!B3045, ""en"", ""bg"")"),"биология")</f>
        <v>биология</v>
      </c>
      <c r="C3045" s="1" t="str">
        <f ca="1">IFERROR(__xludf.DUMMYFUNCTION("GOOGLETRANSLATE(English!C3045, ""en"", ""bg"")"),"елементарен")</f>
        <v>елементарен</v>
      </c>
      <c r="D3045" s="1" t="str">
        <f ca="1">IFERROR(__xludf.DUMMYFUNCTION("GOOGLETRANSLATE(English!D3045, ""en"", ""bg"")"),"домашни любимци срещу диви животни")</f>
        <v>домашни любимци срещу диви животни</v>
      </c>
      <c r="E3045" s="1" t="str">
        <f ca="1">IFERROR(__xludf.DUMMYFUNCTION("GOOGLETRANSLATE(English!E3045, ""en"", ""bg"")"),"Как се различават домашните любимци от дивите животни?")</f>
        <v>Как се различават домашните любимци от дивите животни?</v>
      </c>
      <c r="F3045" s="1" t="str">
        <f ca="1">IFERROR(__xludf.DUMMYFUNCTION("GOOGLETRANSLATE(English!F3045,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3045" s="1" t="str">
        <f ca="1">IFERROR(__xludf.DUMMYFUNCTION("GOOGLETRANSLATE(English!G3045, ""en"", ""bg"")"),"direct_qa")</f>
        <v>direct_qa</v>
      </c>
      <c r="H3045" s="1" t="str">
        <f ca="1">IFERROR(__xludf.DUMMYFUNCTION("GOOGLETRANSLATE(English!H3045, ""en"", ""bg"")"),"заявка_за_знание")</f>
        <v>заявка_за_знание</v>
      </c>
    </row>
    <row r="3046" spans="1:8" ht="13.2" x14ac:dyDescent="0.25">
      <c r="A3046" s="1" t="str">
        <f ca="1">IFERROR(__xludf.DUMMYFUNCTION("GOOGLETRANSLATE(English!A3046, ""en"", ""bg"")"),"hw_03235")</f>
        <v>hw_03235</v>
      </c>
      <c r="B3046" s="1" t="str">
        <f ca="1">IFERROR(__xludf.DUMMYFUNCTION("GOOGLETRANSLATE(English!B3046, ""en"", ""bg"")"),"биология")</f>
        <v>биология</v>
      </c>
      <c r="C3046" s="1" t="str">
        <f ca="1">IFERROR(__xludf.DUMMYFUNCTION("GOOGLETRANSLATE(English!C3046, ""en"", ""bg"")"),"средата")</f>
        <v>средата</v>
      </c>
      <c r="D3046" s="1" t="str">
        <f ca="1">IFERROR(__xludf.DUMMYFUNCTION("GOOGLETRANSLATE(English!D3046, ""en"", ""bg"")"),"размножаване")</f>
        <v>размножаване</v>
      </c>
      <c r="E3046" s="1" t="str">
        <f ca="1">IFERROR(__xludf.DUMMYFUNCTION("GOOGLETRANSLATE(English!E3046, ""en"", ""bg"")"),"Можете ли да обясните размножаването за моя научен проект?")</f>
        <v>Можете ли да обясните размножаването за моя научен проект?</v>
      </c>
      <c r="F3046" s="1" t="str">
        <f ca="1">IFERROR(__xludf.DUMMYFUNCTION("GOOGLETRANSLATE(English!F3046,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046" s="1" t="str">
        <f ca="1">IFERROR(__xludf.DUMMYFUNCTION("GOOGLETRANSLATE(English!G3046, ""en"", ""bg"")"),"помощ_за_домашно_изпълнение")</f>
        <v>помощ_за_домашно_изпълнение</v>
      </c>
      <c r="H3046" s="1" t="str">
        <f ca="1">IFERROR(__xludf.DUMMYFUNCTION("GOOGLETRANSLATE(English!H3046, ""en"", ""bg"")"),"помощ_за_домашно_задаване")</f>
        <v>помощ_за_домашно_задаване</v>
      </c>
    </row>
    <row r="3047" spans="1:8" ht="13.2" x14ac:dyDescent="0.25">
      <c r="A3047" s="1" t="str">
        <f ca="1">IFERROR(__xludf.DUMMYFUNCTION("GOOGLETRANSLATE(English!A3047, ""en"", ""bg"")"),"hw_05449")</f>
        <v>hw_05449</v>
      </c>
      <c r="B3047" s="1" t="str">
        <f ca="1">IFERROR(__xludf.DUMMYFUNCTION("GOOGLETRANSLATE(English!B3047, ""en"", ""bg"")"),"физика")</f>
        <v>физика</v>
      </c>
      <c r="C3047" s="1" t="str">
        <f ca="1">IFERROR(__xludf.DUMMYFUNCTION("GOOGLETRANSLATE(English!C3047, ""en"", ""bg"")"),"средата")</f>
        <v>средата</v>
      </c>
      <c r="D3047" s="1" t="str">
        <f ca="1">IFERROR(__xludf.DUMMYFUNCTION("GOOGLETRANSLATE(English!D3047, ""en"", ""bg"")"),"състояния на материята")</f>
        <v>състояния на материята</v>
      </c>
      <c r="E3047" s="1" t="str">
        <f ca="1">IFERROR(__xludf.DUMMYFUNCTION("GOOGLETRANSLATE(English!E3047, ""en"", ""bg"")"),"Трябва да разбера състоянията на материята за изпита си.")</f>
        <v>Трябва да разбера състоянията на материята за изпита си.</v>
      </c>
      <c r="F3047" s="1" t="str">
        <f ca="1">IFERROR(__xludf.DUMMYFUNCTION("GOOGLETRANSLATE(English!F3047,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047" s="1" t="str">
        <f ca="1">IFERROR(__xludf.DUMMYFUNCTION("GOOGLETRANSLATE(English!G3047, ""en"", ""bg"")"),"помощ_за_домашно_изпълнение")</f>
        <v>помощ_за_домашно_изпълнение</v>
      </c>
      <c r="H3047" s="1" t="str">
        <f ca="1">IFERROR(__xludf.DUMMYFUNCTION("GOOGLETRANSLATE(English!H3047, ""en"", ""bg"")"),"помощ_за_домашно_задаване")</f>
        <v>помощ_за_домашно_задаване</v>
      </c>
    </row>
    <row r="3048" spans="1:8" ht="13.2" x14ac:dyDescent="0.25">
      <c r="A3048" s="1" t="str">
        <f ca="1">IFERROR(__xludf.DUMMYFUNCTION("GOOGLETRANSLATE(English!A3048, ""en"", ""bg"")"),"conv_12682")</f>
        <v>conv_12682</v>
      </c>
      <c r="B3048" s="1" t="str">
        <f ca="1">IFERROR(__xludf.DUMMYFUNCTION("GOOGLETRANSLATE(English!B3048, ""en"", ""bg"")"),"химия")</f>
        <v>химия</v>
      </c>
      <c r="C3048" s="1" t="str">
        <f ca="1">IFERROR(__xludf.DUMMYFUNCTION("GOOGLETRANSLATE(English!C3048, ""en"", ""bg"")"),"високо")</f>
        <v>високо</v>
      </c>
      <c r="D3048" s="1" t="str">
        <f ca="1">IFERROR(__xludf.DUMMYFUNCTION("GOOGLETRANSLATE(English!D3048, ""en"", ""bg"")"),"стехиометрия")</f>
        <v>стехиометрия</v>
      </c>
      <c r="E3048" s="1" t="str">
        <f ca="1">IFERROR(__xludf.DUMMYFUNCTION("GOOGLETRANSLATE(English!E3048, ""en"", ""bg"")"),"Можете ли да ми помогнете? Какво е стехиометрия?")</f>
        <v>Можете ли да ми помогнете? Какво е стехиометрия?</v>
      </c>
      <c r="F3048" s="1" t="str">
        <f ca="1">IFERROR(__xludf.DUMMYFUNCTION("GOOGLETRANSLATE(English!F3048,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3048" s="1" t="str">
        <f ca="1">IFERROR(__xludf.DUMMYFUNCTION("GOOGLETRANSLATE(English!G3048, ""en"", ""bg"")"),"разговор")</f>
        <v>разговор</v>
      </c>
      <c r="H3048" s="1" t="str">
        <f ca="1">IFERROR(__xludf.DUMMYFUNCTION("GOOGLETRANSLATE(English!H3048, ""en"", ""bg"")"),"образователна_помощ")</f>
        <v>образователна_помощ</v>
      </c>
    </row>
    <row r="3049" spans="1:8" ht="13.2" x14ac:dyDescent="0.25">
      <c r="A3049" s="1" t="str">
        <f ca="1">IFERROR(__xludf.DUMMYFUNCTION("GOOGLETRANSLATE(English!A3049, ""en"", ""bg"")"),"conv_14853")</f>
        <v>conv_14853</v>
      </c>
      <c r="B3049" s="1" t="str">
        <f ca="1">IFERROR(__xludf.DUMMYFUNCTION("GOOGLETRANSLATE(English!B3049, ""en"", ""bg"")"),"биология")</f>
        <v>биология</v>
      </c>
      <c r="C3049" s="1" t="str">
        <f ca="1">IFERROR(__xludf.DUMMYFUNCTION("GOOGLETRANSLATE(English!C3049, ""en"", ""bg"")"),"елементарен")</f>
        <v>елементарен</v>
      </c>
      <c r="D3049" s="1" t="str">
        <f ca="1">IFERROR(__xludf.DUMMYFUNCTION("GOOGLETRANSLATE(English!D3049, ""en"", ""bg"")"),"животни")</f>
        <v>животни</v>
      </c>
      <c r="E3049" s="1" t="str">
        <f ca="1">IFERROR(__xludf.DUMMYFUNCTION("GOOGLETRANSLATE(English!E3049, ""en"", ""bg"")"),"Можете ли да ми помогнете? Защо птиците мигрират?")</f>
        <v>Можете ли да ми помогнете? Защо птиците мигрират?</v>
      </c>
      <c r="F3049" s="1" t="str">
        <f ca="1">IFERROR(__xludf.DUMMYFUNCTION("GOOGLETRANSLATE(English!F3049, ""en"", ""bg"")"),"Птиците мигрират, за да намерят храна, по-добро време и безопасни места за раждане на малките си.")</f>
        <v>Птиците мигрират, за да намерят храна, по-добро време и безопасни места за раждане на малките си.</v>
      </c>
      <c r="G3049" s="1" t="str">
        <f ca="1">IFERROR(__xludf.DUMMYFUNCTION("GOOGLETRANSLATE(English!G3049, ""en"", ""bg"")"),"разговор")</f>
        <v>разговор</v>
      </c>
      <c r="H3049" s="1" t="str">
        <f ca="1">IFERROR(__xludf.DUMMYFUNCTION("GOOGLETRANSLATE(English!H3049, ""en"", ""bg"")"),"образователна_помощ")</f>
        <v>образователна_помощ</v>
      </c>
    </row>
    <row r="3050" spans="1:8" ht="13.2" x14ac:dyDescent="0.25">
      <c r="A3050" s="1" t="str">
        <f ca="1">IFERROR(__xludf.DUMMYFUNCTION("GOOGLETRANSLATE(English!A3050, ""en"", ""bg"")"),"qa_02623")</f>
        <v>qa_02623</v>
      </c>
      <c r="B3050" s="1" t="str">
        <f ca="1">IFERROR(__xludf.DUMMYFUNCTION("GOOGLETRANSLATE(English!B3050, ""en"", ""bg"")"),"биология")</f>
        <v>биология</v>
      </c>
      <c r="C3050" s="1" t="str">
        <f ca="1">IFERROR(__xludf.DUMMYFUNCTION("GOOGLETRANSLATE(English!C3050, ""en"", ""bg"")"),"високо")</f>
        <v>високо</v>
      </c>
      <c r="D3050" s="1" t="str">
        <f ca="1">IFERROR(__xludf.DUMMYFUNCTION("GOOGLETRANSLATE(English!D3050, ""en"", ""bg"")"),"синтез на протеини")</f>
        <v>синтез на протеини</v>
      </c>
      <c r="E3050" s="1" t="str">
        <f ca="1">IFERROR(__xludf.DUMMYFUNCTION("GOOGLETRANSLATE(English!E3050, ""en"", ""bg"")"),"Какво е важно да знаем за синтеза на протеини?")</f>
        <v>Какво е важно да знаем за синтеза на протеини?</v>
      </c>
      <c r="F3050" s="1" t="str">
        <f ca="1">IFERROR(__xludf.DUMMYFUNCTION("GOOGLETRANSLATE(English!F3050,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3050" s="1" t="str">
        <f ca="1">IFERROR(__xludf.DUMMYFUNCTION("GOOGLETRANSLATE(English!G3050, ""en"", ""bg"")"),"direct_qa")</f>
        <v>direct_qa</v>
      </c>
      <c r="H3050" s="1" t="str">
        <f ca="1">IFERROR(__xludf.DUMMYFUNCTION("GOOGLETRANSLATE(English!H3050, ""en"", ""bg"")"),"заявка_за_знание")</f>
        <v>заявка_за_знание</v>
      </c>
    </row>
    <row r="3051" spans="1:8" ht="13.2" x14ac:dyDescent="0.25">
      <c r="A3051" s="1" t="str">
        <f ca="1">IFERROR(__xludf.DUMMYFUNCTION("GOOGLETRANSLATE(English!A3051, ""en"", ""bg"")"),"qa_14981")</f>
        <v>qa_14981</v>
      </c>
      <c r="B3051" s="1" t="str">
        <f ca="1">IFERROR(__xludf.DUMMYFUNCTION("GOOGLETRANSLATE(English!B3051, ""en"", ""bg"")"),"биология")</f>
        <v>биология</v>
      </c>
      <c r="C3051" s="1" t="str">
        <f ca="1">IFERROR(__xludf.DUMMYFUNCTION("GOOGLETRANSLATE(English!C3051, ""en"", ""bg"")"),"средата")</f>
        <v>средата</v>
      </c>
      <c r="D3051" s="1" t="str">
        <f ca="1">IFERROR(__xludf.DUMMYFUNCTION("GOOGLETRANSLATE(English!D3051, ""en"", ""bg"")"),"клетки")</f>
        <v>клетки</v>
      </c>
      <c r="E3051" s="1" t="str">
        <f ca="1">IFERROR(__xludf.DUMMYFUNCTION("GOOGLETRANSLATE(English!E3051, ""en"", ""bg"")"),"Какво прави ядрото?")</f>
        <v>Какво прави ядрото?</v>
      </c>
      <c r="F3051" s="1" t="str">
        <f ca="1">IFERROR(__xludf.DUMMYFUNCTION("GOOGLETRANSLATE(English!F3051, ""en"", ""bg"")"),"Ядрото е като мозъка на клетката - то контролира какво прави клетката и съдържа ДНК.")</f>
        <v>Ядрото е като мозъка на клетката - то контролира какво прави клетката и съдържа ДНК.</v>
      </c>
      <c r="G3051" s="1" t="str">
        <f ca="1">IFERROR(__xludf.DUMMYFUNCTION("GOOGLETRANSLATE(English!G3051, ""en"", ""bg"")"),"direct_qa")</f>
        <v>direct_qa</v>
      </c>
      <c r="H3051" s="1" t="str">
        <f ca="1">IFERROR(__xludf.DUMMYFUNCTION("GOOGLETRANSLATE(English!H3051, ""en"", ""bg"")"),"заявка_за_знание")</f>
        <v>заявка_за_знание</v>
      </c>
    </row>
    <row r="3052" spans="1:8" ht="13.2" x14ac:dyDescent="0.25">
      <c r="A3052" s="1" t="str">
        <f ca="1">IFERROR(__xludf.DUMMYFUNCTION("GOOGLETRANSLATE(English!A3052, ""en"", ""bg"")"),"conv_12405")</f>
        <v>conv_12405</v>
      </c>
      <c r="B3052" s="1" t="str">
        <f ca="1">IFERROR(__xludf.DUMMYFUNCTION("GOOGLETRANSLATE(English!B3052, ""en"", ""bg"")"),"биология")</f>
        <v>биология</v>
      </c>
      <c r="C3052" s="1" t="str">
        <f ca="1">IFERROR(__xludf.DUMMYFUNCTION("GOOGLETRANSLATE(English!C3052, ""en"", ""bg"")"),"средата")</f>
        <v>средата</v>
      </c>
      <c r="D3052" s="1" t="str">
        <f ca="1">IFERROR(__xludf.DUMMYFUNCTION("GOOGLETRANSLATE(English!D3052, ""en"", ""bg"")"),"екосистеми")</f>
        <v>екосистеми</v>
      </c>
      <c r="E3052" s="1" t="str">
        <f ca="1">IFERROR(__xludf.DUMMYFUNCTION("GOOGLETRANSLATE(English!E3052, ""en"", ""bg"")"),"Можете ли да ми обясните това? Какво е важно да знаем за екосистемите?")</f>
        <v>Можете ли да ми обясните това? Какво е важно да знаем за екосистемите?</v>
      </c>
      <c r="F3052" s="1" t="str">
        <f ca="1">IFERROR(__xludf.DUMMYFUNCTION("GOOGLETRANSLATE(English!F3052,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3052" s="1" t="str">
        <f ca="1">IFERROR(__xludf.DUMMYFUNCTION("GOOGLETRANSLATE(English!G3052, ""en"", ""bg"")"),"разговор")</f>
        <v>разговор</v>
      </c>
      <c r="H3052" s="1" t="str">
        <f ca="1">IFERROR(__xludf.DUMMYFUNCTION("GOOGLETRANSLATE(English!H3052, ""en"", ""bg"")"),"образователна_помощ")</f>
        <v>образователна_помощ</v>
      </c>
    </row>
    <row r="3053" spans="1:8" ht="13.2" x14ac:dyDescent="0.25">
      <c r="A3053" s="1" t="str">
        <f ca="1">IFERROR(__xludf.DUMMYFUNCTION("GOOGLETRANSLATE(English!A3053, ""en"", ""bg"")"),"hw_12527")</f>
        <v>hw_12527</v>
      </c>
      <c r="B3053" s="1" t="str">
        <f ca="1">IFERROR(__xludf.DUMMYFUNCTION("GOOGLETRANSLATE(English!B3053, ""en"", ""bg"")"),"химия")</f>
        <v>химия</v>
      </c>
      <c r="C3053" s="1" t="str">
        <f ca="1">IFERROR(__xludf.DUMMYFUNCTION("GOOGLETRANSLATE(English!C3053, ""en"", ""bg"")"),"високо")</f>
        <v>високо</v>
      </c>
      <c r="D3053" s="1" t="str">
        <f ca="1">IFERROR(__xludf.DUMMYFUNCTION("GOOGLETRANSLATE(English!D3053, ""en"", ""bg"")"),"електрохимия")</f>
        <v>електрохимия</v>
      </c>
      <c r="E3053" s="1" t="str">
        <f ca="1">IFERROR(__xludf.DUMMYFUNCTION("GOOGLETRANSLATE(English!E3053, ""en"", ""bg"")"),"Можете ли да ми помогнете с електрохимични изчисления?")</f>
        <v>Можете ли да ми помогнете с електрохимични изчисления?</v>
      </c>
      <c r="F3053" s="1" t="str">
        <f ca="1">IFERROR(__xludf.DUMMYFUNCTION("GOOGLETRANSLATE(English!F3053,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053" s="1" t="str">
        <f ca="1">IFERROR(__xludf.DUMMYFUNCTION("GOOGLETRANSLATE(English!G3053, ""en"", ""bg"")"),"помощ_за_домашно_изпълнение")</f>
        <v>помощ_за_домашно_изпълнение</v>
      </c>
      <c r="H3053" s="1" t="str">
        <f ca="1">IFERROR(__xludf.DUMMYFUNCTION("GOOGLETRANSLATE(English!H3053, ""en"", ""bg"")"),"помощ_за_домашно_задаване")</f>
        <v>помощ_за_домашно_задаване</v>
      </c>
    </row>
    <row r="3054" spans="1:8" ht="13.2" x14ac:dyDescent="0.25">
      <c r="A3054" s="1" t="str">
        <f ca="1">IFERROR(__xludf.DUMMYFUNCTION("GOOGLETRANSLATE(English!A3054, ""en"", ""bg"")"),"conv_06120")</f>
        <v>conv_06120</v>
      </c>
      <c r="B3054" s="1" t="str">
        <f ca="1">IFERROR(__xludf.DUMMYFUNCTION("GOOGLETRANSLATE(English!B3054, ""en"", ""bg"")"),"химия")</f>
        <v>химия</v>
      </c>
      <c r="C3054" s="1" t="str">
        <f ca="1">IFERROR(__xludf.DUMMYFUNCTION("GOOGLETRANSLATE(English!C3054, ""en"", ""bg"")"),"елементарен")</f>
        <v>елементарен</v>
      </c>
      <c r="D3054" s="1" t="str">
        <f ca="1">IFERROR(__xludf.DUMMYFUNCTION("GOOGLETRANSLATE(English!D3054, ""en"", ""bg"")"),"разтваряне")</f>
        <v>разтваряне</v>
      </c>
      <c r="E3054" s="1" t="str">
        <f ca="1">IFERROR(__xludf.DUMMYFUNCTION("GOOGLETRANSLATE(English!E3054, ""en"", ""bg"")"),"Не разбирам тази тема. Какво е разтваряне?")</f>
        <v>Не разбирам тази тема. Какво е разтваряне?</v>
      </c>
      <c r="F3054" s="1" t="str">
        <f ca="1">IFERROR(__xludf.DUMMYFUNCTION("GOOGLETRANSLATE(English!F3054,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3054" s="1" t="str">
        <f ca="1">IFERROR(__xludf.DUMMYFUNCTION("GOOGLETRANSLATE(English!G3054, ""en"", ""bg"")"),"разговор")</f>
        <v>разговор</v>
      </c>
      <c r="H3054" s="1" t="str">
        <f ca="1">IFERROR(__xludf.DUMMYFUNCTION("GOOGLETRANSLATE(English!H3054, ""en"", ""bg"")"),"образователна_помощ")</f>
        <v>образователна_помощ</v>
      </c>
    </row>
    <row r="3055" spans="1:8" ht="13.2" x14ac:dyDescent="0.25">
      <c r="A3055" s="1" t="str">
        <f ca="1">IFERROR(__xludf.DUMMYFUNCTION("GOOGLETRANSLATE(English!A3055, ""en"", ""bg"")"),"qa_12767")</f>
        <v>qa_12767</v>
      </c>
      <c r="B3055" s="1" t="str">
        <f ca="1">IFERROR(__xludf.DUMMYFUNCTION("GOOGLETRANSLATE(English!B3055, ""en"", ""bg"")"),"физика")</f>
        <v>физика</v>
      </c>
      <c r="C3055" s="1" t="str">
        <f ca="1">IFERROR(__xludf.DUMMYFUNCTION("GOOGLETRANSLATE(English!C3055, ""en"", ""bg"")"),"средата")</f>
        <v>средата</v>
      </c>
      <c r="D3055" s="1" t="str">
        <f ca="1">IFERROR(__xludf.DUMMYFUNCTION("GOOGLETRANSLATE(English!D3055, ""en"", ""bg"")"),"прости схеми")</f>
        <v>прости схеми</v>
      </c>
      <c r="E3055" s="1" t="str">
        <f ca="1">IFERROR(__xludf.DUMMYFUNCTION("GOOGLETRANSLATE(English!E3055, ""en"", ""bg"")"),"Как работят прости електрически вериги във физиката?")</f>
        <v>Как работят прости електрически вериги във физиката?</v>
      </c>
      <c r="F3055" s="1" t="str">
        <f ca="1">IFERROR(__xludf.DUMMYFUNCTION("GOOGLETRANSLATE(English!F3055,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3055" s="1" t="str">
        <f ca="1">IFERROR(__xludf.DUMMYFUNCTION("GOOGLETRANSLATE(English!G3055, ""en"", ""bg"")"),"direct_qa")</f>
        <v>direct_qa</v>
      </c>
      <c r="H3055" s="1" t="str">
        <f ca="1">IFERROR(__xludf.DUMMYFUNCTION("GOOGLETRANSLATE(English!H3055, ""en"", ""bg"")"),"заявка_за_знание")</f>
        <v>заявка_за_знание</v>
      </c>
    </row>
    <row r="3056" spans="1:8" ht="13.2" x14ac:dyDescent="0.25">
      <c r="A3056" s="1" t="str">
        <f ca="1">IFERROR(__xludf.DUMMYFUNCTION("GOOGLETRANSLATE(English!A3056, ""en"", ""bg"")"),"qa_06151")</f>
        <v>qa_06151</v>
      </c>
      <c r="B3056" s="1" t="str">
        <f ca="1">IFERROR(__xludf.DUMMYFUNCTION("GOOGLETRANSLATE(English!B3056, ""en"", ""bg"")"),"химия")</f>
        <v>химия</v>
      </c>
      <c r="C3056" s="1" t="str">
        <f ca="1">IFERROR(__xludf.DUMMYFUNCTION("GOOGLETRANSLATE(English!C3056, ""en"", ""bg"")"),"средата")</f>
        <v>средата</v>
      </c>
      <c r="D3056" s="1" t="str">
        <f ca="1">IFERROR(__xludf.DUMMYFUNCTION("GOOGLETRANSLATE(English!D3056, ""en"", ""bg"")"),"основи на периодичната таблица")</f>
        <v>основи на периодичната таблица</v>
      </c>
      <c r="E3056" s="1" t="str">
        <f ca="1">IFERROR(__xludf.DUMMYFUNCTION("GOOGLETRANSLATE(English!E3056, ""en"", ""bg"")"),"Какво представляват основите на периодичната таблица?")</f>
        <v>Какво представляват основите на периодичната таблица?</v>
      </c>
      <c r="F3056" s="1" t="str">
        <f ca="1">IFERROR(__xludf.DUMMYFUNCTION("GOOGLETRANSLATE(English!F3056,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3056" s="1" t="str">
        <f ca="1">IFERROR(__xludf.DUMMYFUNCTION("GOOGLETRANSLATE(English!G3056, ""en"", ""bg"")"),"direct_qa")</f>
        <v>direct_qa</v>
      </c>
      <c r="H3056" s="1" t="str">
        <f ca="1">IFERROR(__xludf.DUMMYFUNCTION("GOOGLETRANSLATE(English!H3056, ""en"", ""bg"")"),"заявка_за_знание")</f>
        <v>заявка_за_знание</v>
      </c>
    </row>
    <row r="3057" spans="1:8" ht="13.2" x14ac:dyDescent="0.25">
      <c r="A3057" s="1" t="str">
        <f ca="1">IFERROR(__xludf.DUMMYFUNCTION("GOOGLETRANSLATE(English!A3057, ""en"", ""bg"")"),"qa_06905")</f>
        <v>qa_06905</v>
      </c>
      <c r="B3057" s="1" t="str">
        <f ca="1">IFERROR(__xludf.DUMMYFUNCTION("GOOGLETRANSLATE(English!B3057, ""en"", ""bg"")"),"физика")</f>
        <v>физика</v>
      </c>
      <c r="C3057" s="1" t="str">
        <f ca="1">IFERROR(__xludf.DUMMYFUNCTION("GOOGLETRANSLATE(English!C3057, ""en"", ""bg"")"),"елементарен")</f>
        <v>елементарен</v>
      </c>
      <c r="D3057" s="1" t="str">
        <f ca="1">IFERROR(__xludf.DUMMYFUNCTION("GOOGLETRANSLATE(English!D3057, ""en"", ""bg"")"),"бутане и дърпане")</f>
        <v>бутане и дърпане</v>
      </c>
      <c r="E3057" s="1" t="str">
        <f ca="1">IFERROR(__xludf.DUMMYFUNCTION("GOOGLETRANSLATE(English!E3057, ""en"", ""bg"")"),"Какво трябва да знам за бутането и дърпането?")</f>
        <v>Какво трябва да знам за бутането и дърпането?</v>
      </c>
      <c r="F3057" s="1" t="str">
        <f ca="1">IFERROR(__xludf.DUMMYFUNCTION("GOOGLETRANSLATE(English!F3057,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3057" s="1" t="str">
        <f ca="1">IFERROR(__xludf.DUMMYFUNCTION("GOOGLETRANSLATE(English!G3057, ""en"", ""bg"")"),"direct_qa")</f>
        <v>direct_qa</v>
      </c>
      <c r="H3057" s="1" t="str">
        <f ca="1">IFERROR(__xludf.DUMMYFUNCTION("GOOGLETRANSLATE(English!H3057, ""en"", ""bg"")"),"заявка_за_знание")</f>
        <v>заявка_за_знание</v>
      </c>
    </row>
    <row r="3058" spans="1:8" ht="13.2" x14ac:dyDescent="0.25">
      <c r="A3058" s="1" t="str">
        <f ca="1">IFERROR(__xludf.DUMMYFUNCTION("GOOGLETRANSLATE(English!A3058, ""en"", ""bg"")"),"hw_07304")</f>
        <v>hw_07304</v>
      </c>
      <c r="B3058" s="1" t="str">
        <f ca="1">IFERROR(__xludf.DUMMYFUNCTION("GOOGLETRANSLATE(English!B3058, ""en"", ""bg"")"),"химия")</f>
        <v>химия</v>
      </c>
      <c r="C3058" s="1" t="str">
        <f ca="1">IFERROR(__xludf.DUMMYFUNCTION("GOOGLETRANSLATE(English!C3058, ""en"", ""bg"")"),"средата")</f>
        <v>средата</v>
      </c>
      <c r="D3058" s="1" t="str">
        <f ca="1">IFERROR(__xludf.DUMMYFUNCTION("GOOGLETRANSLATE(English!D3058, ""en"", ""bg"")"),"химични промени")</f>
        <v>химични промени</v>
      </c>
      <c r="E3058" s="1" t="str">
        <f ca="1">IFERROR(__xludf.DUMMYFUNCTION("GOOGLETRANSLATE(English!E3058, ""en"", ""bg"")"),"Не разбирам тази концепция за химични промени. Моля, обяснете!")</f>
        <v>Не разбирам тази концепция за химични промени. Моля, обяснете!</v>
      </c>
      <c r="F3058" s="1" t="str">
        <f ca="1">IFERROR(__xludf.DUMMYFUNCTION("GOOGLETRANSLATE(English!F3058,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058" s="1" t="str">
        <f ca="1">IFERROR(__xludf.DUMMYFUNCTION("GOOGLETRANSLATE(English!G3058, ""en"", ""bg"")"),"помощ_за_домашно_изпълнение")</f>
        <v>помощ_за_домашно_изпълнение</v>
      </c>
      <c r="H3058" s="1" t="str">
        <f ca="1">IFERROR(__xludf.DUMMYFUNCTION("GOOGLETRANSLATE(English!H3058, ""en"", ""bg"")"),"помощ_за_домашно_задаване")</f>
        <v>помощ_за_домашно_задаване</v>
      </c>
    </row>
    <row r="3059" spans="1:8" ht="13.2" x14ac:dyDescent="0.25">
      <c r="A3059" s="1" t="str">
        <f ca="1">IFERROR(__xludf.DUMMYFUNCTION("GOOGLETRANSLATE(English!A3059, ""en"", ""bg"")"),"hw_09373")</f>
        <v>hw_09373</v>
      </c>
      <c r="B3059" s="1" t="str">
        <f ca="1">IFERROR(__xludf.DUMMYFUNCTION("GOOGLETRANSLATE(English!B3059, ""en"", ""bg"")"),"биология")</f>
        <v>биология</v>
      </c>
      <c r="C3059" s="1" t="str">
        <f ca="1">IFERROR(__xludf.DUMMYFUNCTION("GOOGLETRANSLATE(English!C3059, ""en"", ""bg"")"),"високо")</f>
        <v>високо</v>
      </c>
      <c r="D3059" s="1" t="str">
        <f ca="1">IFERROR(__xludf.DUMMYFUNCTION("GOOGLETRANSLATE(English!D3059, ""en"", ""bg"")"),"митоза и мейоза")</f>
        <v>митоза и мейоза</v>
      </c>
      <c r="E3059" s="1" t="str">
        <f ca="1">IFERROR(__xludf.DUMMYFUNCTION("GOOGLETRANSLATE(English!E3059, ""en"", ""bg"")"),"Можете ли да обясните митозата и мейозата за моя научен проект?")</f>
        <v>Можете ли да обясните митозата и мейозата за моя научен проект?</v>
      </c>
      <c r="F3059" s="1" t="str">
        <f ca="1">IFERROR(__xludf.DUMMYFUNCTION("GOOGLETRANSLATE(English!F3059,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3059" s="1" t="str">
        <f ca="1">IFERROR(__xludf.DUMMYFUNCTION("GOOGLETRANSLATE(English!G3059, ""en"", ""bg"")"),"помощ_за_домашно_изпълнение")</f>
        <v>помощ_за_домашно_изпълнение</v>
      </c>
      <c r="H3059" s="1" t="str">
        <f ca="1">IFERROR(__xludf.DUMMYFUNCTION("GOOGLETRANSLATE(English!H3059, ""en"", ""bg"")"),"помощ_за_домашно_задаване")</f>
        <v>помощ_за_домашно_задаване</v>
      </c>
    </row>
    <row r="3060" spans="1:8" ht="13.2" x14ac:dyDescent="0.25">
      <c r="A3060" s="1" t="str">
        <f ca="1">IFERROR(__xludf.DUMMYFUNCTION("GOOGLETRANSLATE(English!A3060, ""en"", ""bg"")"),"conv_04777")</f>
        <v>conv_04777</v>
      </c>
      <c r="B3060" s="1" t="str">
        <f ca="1">IFERROR(__xludf.DUMMYFUNCTION("GOOGLETRANSLATE(English!B3060, ""en"", ""bg"")"),"биология")</f>
        <v>биология</v>
      </c>
      <c r="C3060" s="1" t="str">
        <f ca="1">IFERROR(__xludf.DUMMYFUNCTION("GOOGLETRANSLATE(English!C3060, ""en"", ""bg"")"),"елементарен")</f>
        <v>елементарен</v>
      </c>
      <c r="D3060" s="1" t="str">
        <f ca="1">IFERROR(__xludf.DUMMYFUNCTION("GOOGLETRANSLATE(English!D3060, ""en"", ""bg"")"),"сетива")</f>
        <v>сетива</v>
      </c>
      <c r="E3060" s="1" t="str">
        <f ca="1">IFERROR(__xludf.DUMMYFUNCTION("GOOGLETRANSLATE(English!E3060, ""en"", ""bg"")"),"Имам научен въпрос. Как работят сетивата?")</f>
        <v>Имам научен въпрос. Как работят сетивата?</v>
      </c>
      <c r="F3060" s="1" t="str">
        <f ca="1">IFERROR(__xludf.DUMMYFUNCTION("GOOGLETRANSLATE(English!F3060,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3060" s="1" t="str">
        <f ca="1">IFERROR(__xludf.DUMMYFUNCTION("GOOGLETRANSLATE(English!G3060, ""en"", ""bg"")"),"разговор")</f>
        <v>разговор</v>
      </c>
      <c r="H3060" s="1" t="str">
        <f ca="1">IFERROR(__xludf.DUMMYFUNCTION("GOOGLETRANSLATE(English!H3060, ""en"", ""bg"")"),"образователна_помощ")</f>
        <v>образователна_помощ</v>
      </c>
    </row>
    <row r="3061" spans="1:8" ht="13.2" x14ac:dyDescent="0.25">
      <c r="A3061" s="1" t="str">
        <f ca="1">IFERROR(__xludf.DUMMYFUNCTION("GOOGLETRANSLATE(English!A3061, ""en"", ""bg"")"),"hw_07826")</f>
        <v>hw_07826</v>
      </c>
      <c r="B3061" s="1" t="str">
        <f ca="1">IFERROR(__xludf.DUMMYFUNCTION("GOOGLETRANSLATE(English!B3061, ""en"", ""bg"")"),"физика")</f>
        <v>физика</v>
      </c>
      <c r="C3061" s="1" t="str">
        <f ca="1">IFERROR(__xludf.DUMMYFUNCTION("GOOGLETRANSLATE(English!C3061, ""en"", ""bg"")"),"елементарен")</f>
        <v>елементарен</v>
      </c>
      <c r="D3061" s="1" t="str">
        <f ca="1">IFERROR(__xludf.DUMMYFUNCTION("GOOGLETRANSLATE(English!D3061, ""en"", ""bg"")"),"звук")</f>
        <v>звук</v>
      </c>
      <c r="E3061" s="1" t="str">
        <f ca="1">IFERROR(__xludf.DUMMYFUNCTION("GOOGLETRANSLATE(English!E3061, ""en"", ""bg"")"),"Домашното ми по физика е за звук. Объркващо е!")</f>
        <v>Домашното ми по физика е за звук. Объркващо е!</v>
      </c>
      <c r="F3061" s="1" t="str">
        <f ca="1">IFERROR(__xludf.DUMMYFUNCTION("GOOGLETRANSLATE(English!F3061,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3061" s="1" t="str">
        <f ca="1">IFERROR(__xludf.DUMMYFUNCTION("GOOGLETRANSLATE(English!G3061, ""en"", ""bg"")"),"помощ_за_домашно_изпълнение")</f>
        <v>помощ_за_домашно_изпълнение</v>
      </c>
      <c r="H3061" s="1" t="str">
        <f ca="1">IFERROR(__xludf.DUMMYFUNCTION("GOOGLETRANSLATE(English!H3061, ""en"", ""bg"")"),"помощ_за_домашно_задаване")</f>
        <v>помощ_за_домашно_задаване</v>
      </c>
    </row>
    <row r="3062" spans="1:8" ht="13.2" x14ac:dyDescent="0.25">
      <c r="A3062" s="1" t="str">
        <f ca="1">IFERROR(__xludf.DUMMYFUNCTION("GOOGLETRANSLATE(English!A3062, ""en"", ""bg"")"),"hw_14115")</f>
        <v>hw_14115</v>
      </c>
      <c r="B3062" s="1" t="str">
        <f ca="1">IFERROR(__xludf.DUMMYFUNCTION("GOOGLETRANSLATE(English!B3062, ""en"", ""bg"")"),"физика")</f>
        <v>физика</v>
      </c>
      <c r="C3062" s="1" t="str">
        <f ca="1">IFERROR(__xludf.DUMMYFUNCTION("GOOGLETRANSLATE(English!C3062, ""en"", ""bg"")"),"средата")</f>
        <v>средата</v>
      </c>
      <c r="D3062" s="1" t="str">
        <f ca="1">IFERROR(__xludf.DUMMYFUNCTION("GOOGLETRANSLATE(English!D3062, ""en"", ""bg"")"),"сили и движение")</f>
        <v>сили и движение</v>
      </c>
      <c r="E3062" s="1" t="str">
        <f ca="1">IFERROR(__xludf.DUMMYFUNCTION("GOOGLETRANSLATE(English!E3062, ""en"", ""bg"")"),"Домашното ми по физика е за сили и движение. Объркващо е!")</f>
        <v>Домашното ми по физика е за сили и движение. Объркващо е!</v>
      </c>
      <c r="F3062" s="1" t="str">
        <f ca="1">IFERROR(__xludf.DUMMYFUNCTION("GOOGLETRANSLATE(English!F3062,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3062" s="1" t="str">
        <f ca="1">IFERROR(__xludf.DUMMYFUNCTION("GOOGLETRANSLATE(English!G3062, ""en"", ""bg"")"),"помощ_за_домашно_изпълнение")</f>
        <v>помощ_за_домашно_изпълнение</v>
      </c>
      <c r="H3062" s="1" t="str">
        <f ca="1">IFERROR(__xludf.DUMMYFUNCTION("GOOGLETRANSLATE(English!H3062, ""en"", ""bg"")"),"помощ_за_домашно_задаване")</f>
        <v>помощ_за_домашно_задаване</v>
      </c>
    </row>
    <row r="3063" spans="1:8" ht="13.2" x14ac:dyDescent="0.25">
      <c r="A3063" s="1" t="str">
        <f ca="1">IFERROR(__xludf.DUMMYFUNCTION("GOOGLETRANSLATE(English!A3063, ""en"", ""bg"")"),"hw_11678")</f>
        <v>hw_11678</v>
      </c>
      <c r="B3063" s="1" t="str">
        <f ca="1">IFERROR(__xludf.DUMMYFUNCTION("GOOGLETRANSLATE(English!B3063, ""en"", ""bg"")"),"биология")</f>
        <v>биология</v>
      </c>
      <c r="C3063" s="1" t="str">
        <f ca="1">IFERROR(__xludf.DUMMYFUNCTION("GOOGLETRANSLATE(English!C3063, ""en"", ""bg"")"),"високо")</f>
        <v>високо</v>
      </c>
      <c r="D3063" s="1" t="str">
        <f ca="1">IFERROR(__xludf.DUMMYFUNCTION("GOOGLETRANSLATE(English!D3063, ""en"", ""bg"")"),"митоза и мейоза")</f>
        <v>митоза и мейоза</v>
      </c>
      <c r="E3063" s="1" t="str">
        <f ca="1">IFERROR(__xludf.DUMMYFUNCTION("GOOGLETRANSLATE(English!E3063, ""en"", ""bg"")"),"Можете ли да обясните митозата и мейозата за моя научен проект?")</f>
        <v>Можете ли да обясните митозата и мейозата за моя научен проект?</v>
      </c>
      <c r="F3063" s="1" t="str">
        <f ca="1">IFERROR(__xludf.DUMMYFUNCTION("GOOGLETRANSLATE(English!F3063,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3063" s="1" t="str">
        <f ca="1">IFERROR(__xludf.DUMMYFUNCTION("GOOGLETRANSLATE(English!G3063, ""en"", ""bg"")"),"помощ_за_домашно_изпълнение")</f>
        <v>помощ_за_домашно_изпълнение</v>
      </c>
      <c r="H3063" s="1" t="str">
        <f ca="1">IFERROR(__xludf.DUMMYFUNCTION("GOOGLETRANSLATE(English!H3063, ""en"", ""bg"")"),"помощ_за_домашно_задаване")</f>
        <v>помощ_за_домашно_задаване</v>
      </c>
    </row>
    <row r="3064" spans="1:8" ht="13.2" x14ac:dyDescent="0.25">
      <c r="A3064" s="1" t="str">
        <f ca="1">IFERROR(__xludf.DUMMYFUNCTION("GOOGLETRANSLATE(English!A3064, ""en"", ""bg"")"),"qa_11646")</f>
        <v>qa_11646</v>
      </c>
      <c r="B3064" s="1" t="str">
        <f ca="1">IFERROR(__xludf.DUMMYFUNCTION("GOOGLETRANSLATE(English!B3064, ""en"", ""bg"")"),"физика")</f>
        <v>физика</v>
      </c>
      <c r="C3064" s="1" t="str">
        <f ca="1">IFERROR(__xludf.DUMMYFUNCTION("GOOGLETRANSLATE(English!C3064, ""en"", ""bg"")"),"елементарен")</f>
        <v>елементарен</v>
      </c>
      <c r="D3064" s="1" t="str">
        <f ca="1">IFERROR(__xludf.DUMMYFUNCTION("GOOGLETRANSLATE(English!D3064, ""en"", ""bg"")"),"бутане и дърпане")</f>
        <v>бутане и дърпане</v>
      </c>
      <c r="E3064" s="1" t="str">
        <f ca="1">IFERROR(__xludf.DUMMYFUNCTION("GOOGLETRANSLATE(English!E3064, ""en"", ""bg"")"),"Защо е важно бутането и дърпането?")</f>
        <v>Защо е важно бутането и дърпането?</v>
      </c>
      <c r="F3064" s="1" t="str">
        <f ca="1">IFERROR(__xludf.DUMMYFUNCTION("GOOGLETRANSLATE(English!F3064,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3064" s="1" t="str">
        <f ca="1">IFERROR(__xludf.DUMMYFUNCTION("GOOGLETRANSLATE(English!G3064, ""en"", ""bg"")"),"direct_qa")</f>
        <v>direct_qa</v>
      </c>
      <c r="H3064" s="1" t="str">
        <f ca="1">IFERROR(__xludf.DUMMYFUNCTION("GOOGLETRANSLATE(English!H3064, ""en"", ""bg"")"),"заявка_за_знание")</f>
        <v>заявка_за_знание</v>
      </c>
    </row>
    <row r="3065" spans="1:8" ht="13.2" x14ac:dyDescent="0.25">
      <c r="A3065" s="1" t="str">
        <f ca="1">IFERROR(__xludf.DUMMYFUNCTION("GOOGLETRANSLATE(English!A3065, ""en"", ""bg"")"),"hw_12482")</f>
        <v>hw_12482</v>
      </c>
      <c r="B3065" s="1" t="str">
        <f ca="1">IFERROR(__xludf.DUMMYFUNCTION("GOOGLETRANSLATE(English!B3065, ""en"", ""bg"")"),"биология")</f>
        <v>биология</v>
      </c>
      <c r="C3065" s="1" t="str">
        <f ca="1">IFERROR(__xludf.DUMMYFUNCTION("GOOGLETRANSLATE(English!C3065, ""en"", ""bg"")"),"високо")</f>
        <v>високо</v>
      </c>
      <c r="D3065" s="1" t="str">
        <f ca="1">IFERROR(__xludf.DUMMYFUNCTION("GOOGLETRANSLATE(English!D3065, ""en"", ""bg"")"),"синтез на протеини")</f>
        <v>синтез на протеини</v>
      </c>
      <c r="E3065" s="1" t="str">
        <f ca="1">IFERROR(__xludf.DUMMYFUNCTION("GOOGLETRANSLATE(English!E3065, ""en"", ""bg"")"),"Домашното ми пита за синтеза на протеини. Не го разбирам.")</f>
        <v>Домашното ми пита за синтеза на протеини. Не го разбирам.</v>
      </c>
      <c r="F3065" s="1" t="str">
        <f ca="1">IFERROR(__xludf.DUMMYFUNCTION("GOOGLETRANSLATE(English!F3065,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3065" s="1" t="str">
        <f ca="1">IFERROR(__xludf.DUMMYFUNCTION("GOOGLETRANSLATE(English!G3065, ""en"", ""bg"")"),"помощ_за_домашно_изпълнение")</f>
        <v>помощ_за_домашно_изпълнение</v>
      </c>
      <c r="H3065" s="1" t="str">
        <f ca="1">IFERROR(__xludf.DUMMYFUNCTION("GOOGLETRANSLATE(English!H3065, ""en"", ""bg"")"),"помощ_за_домашно_задаване")</f>
        <v>помощ_за_домашно_задаване</v>
      </c>
    </row>
    <row r="3066" spans="1:8" ht="13.2" x14ac:dyDescent="0.25">
      <c r="A3066" s="1" t="str">
        <f ca="1">IFERROR(__xludf.DUMMYFUNCTION("GOOGLETRANSLATE(English!A3066, ""en"", ""bg"")"),"conv_11899")</f>
        <v>conv_11899</v>
      </c>
      <c r="B3066" s="1" t="str">
        <f ca="1">IFERROR(__xludf.DUMMYFUNCTION("GOOGLETRANSLATE(English!B3066, ""en"", ""bg"")"),"химия")</f>
        <v>химия</v>
      </c>
      <c r="C3066" s="1" t="str">
        <f ca="1">IFERROR(__xludf.DUMMYFUNCTION("GOOGLETRANSLATE(English!C3066, ""en"", ""bg"")"),"високо")</f>
        <v>високо</v>
      </c>
      <c r="D3066" s="1" t="str">
        <f ca="1">IFERROR(__xludf.DUMMYFUNCTION("GOOGLETRANSLATE(English!D3066, ""en"", ""bg"")"),"скорости на реакция")</f>
        <v>скорости на реакция</v>
      </c>
      <c r="E3066" s="1" t="str">
        <f ca="1">IFERROR(__xludf.DUMMYFUNCTION("GOOGLETRANSLATE(English!E3066, ""en"", ""bg"")"),"Имам научен въпрос. Какво представляват скоростите на реакциите?")</f>
        <v>Имам научен въпрос. Какво представляват скоростите на реакциите?</v>
      </c>
      <c r="F3066" s="1" t="str">
        <f ca="1">IFERROR(__xludf.DUMMYFUNCTION("GOOGLETRANSLATE(English!F3066,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3066" s="1" t="str">
        <f ca="1">IFERROR(__xludf.DUMMYFUNCTION("GOOGLETRANSLATE(English!G3066, ""en"", ""bg"")"),"разговор")</f>
        <v>разговор</v>
      </c>
      <c r="H3066" s="1" t="str">
        <f ca="1">IFERROR(__xludf.DUMMYFUNCTION("GOOGLETRANSLATE(English!H3066, ""en"", ""bg"")"),"образователна_помощ")</f>
        <v>образователна_помощ</v>
      </c>
    </row>
    <row r="3067" spans="1:8" ht="13.2" x14ac:dyDescent="0.25">
      <c r="A3067" s="1" t="str">
        <f ca="1">IFERROR(__xludf.DUMMYFUNCTION("GOOGLETRANSLATE(English!A3067, ""en"", ""bg"")"),"hw_10729")</f>
        <v>hw_10729</v>
      </c>
      <c r="B3067" s="1" t="str">
        <f ca="1">IFERROR(__xludf.DUMMYFUNCTION("GOOGLETRANSLATE(English!B3067, ""en"", ""bg"")"),"биология")</f>
        <v>биология</v>
      </c>
      <c r="C3067" s="1" t="str">
        <f ca="1">IFERROR(__xludf.DUMMYFUNCTION("GOOGLETRANSLATE(English!C3067, ""en"", ""bg"")"),"високо")</f>
        <v>високо</v>
      </c>
      <c r="D3067" s="1" t="str">
        <f ca="1">IFERROR(__xludf.DUMMYFUNCTION("GOOGLETRANSLATE(English!D3067, ""en"", ""bg"")"),"синтез на протеини")</f>
        <v>синтез на протеини</v>
      </c>
      <c r="E3067" s="1" t="str">
        <f ca="1">IFERROR(__xludf.DUMMYFUNCTION("GOOGLETRANSLATE(English!E3067, ""en"", ""bg"")"),"Домашното ми пита за синтеза на протеини. Не го разбирам.")</f>
        <v>Домашното ми пита за синтеза на протеини. Не го разбирам.</v>
      </c>
      <c r="F3067" s="1" t="str">
        <f ca="1">IFERROR(__xludf.DUMMYFUNCTION("GOOGLETRANSLATE(English!F3067,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3067" s="1" t="str">
        <f ca="1">IFERROR(__xludf.DUMMYFUNCTION("GOOGLETRANSLATE(English!G3067, ""en"", ""bg"")"),"помощ_за_домашно_изпълнение")</f>
        <v>помощ_за_домашно_изпълнение</v>
      </c>
      <c r="H3067" s="1" t="str">
        <f ca="1">IFERROR(__xludf.DUMMYFUNCTION("GOOGLETRANSLATE(English!H3067, ""en"", ""bg"")"),"помощ_за_домашно_задаване")</f>
        <v>помощ_за_домашно_задаване</v>
      </c>
    </row>
    <row r="3068" spans="1:8" ht="13.2" x14ac:dyDescent="0.25">
      <c r="A3068" s="1" t="str">
        <f ca="1">IFERROR(__xludf.DUMMYFUNCTION("GOOGLETRANSLATE(English!A3068, ""en"", ""bg"")"),"conv_16022")</f>
        <v>conv_16022</v>
      </c>
      <c r="B3068" s="1" t="str">
        <f ca="1">IFERROR(__xludf.DUMMYFUNCTION("GOOGLETRANSLATE(English!B3068, ""en"", ""bg"")"),"биология")</f>
        <v>биология</v>
      </c>
      <c r="C3068" s="1" t="str">
        <f ca="1">IFERROR(__xludf.DUMMYFUNCTION("GOOGLETRANSLATE(English!C3068, ""en"", ""bg"")"),"средата")</f>
        <v>средата</v>
      </c>
      <c r="D3068" s="1" t="str">
        <f ca="1">IFERROR(__xludf.DUMMYFUNCTION("GOOGLETRANSLATE(English!D3068, ""en"", ""bg"")"),"основи на генетиката")</f>
        <v>основи на генетиката</v>
      </c>
      <c r="E3068" s="1" t="str">
        <f ca="1">IFERROR(__xludf.DUMMYFUNCTION("GOOGLETRANSLATE(English!E3068, ""en"", ""bg"")"),"Помогнете ми да уча за теста. Как работят основите на генетиката?")</f>
        <v>Помогнете ми да уча за теста. Как работят основите на генетиката?</v>
      </c>
      <c r="F3068" s="1" t="str">
        <f ca="1">IFERROR(__xludf.DUMMYFUNCTION("GOOGLETRANSLATE(English!F3068,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3068" s="1" t="str">
        <f ca="1">IFERROR(__xludf.DUMMYFUNCTION("GOOGLETRANSLATE(English!G3068, ""en"", ""bg"")"),"разговор")</f>
        <v>разговор</v>
      </c>
      <c r="H3068" s="1" t="str">
        <f ca="1">IFERROR(__xludf.DUMMYFUNCTION("GOOGLETRANSLATE(English!H3068, ""en"", ""bg"")"),"образователна_помощ")</f>
        <v>образователна_помощ</v>
      </c>
    </row>
    <row r="3069" spans="1:8" ht="13.2" x14ac:dyDescent="0.25">
      <c r="A3069" s="1" t="str">
        <f ca="1">IFERROR(__xludf.DUMMYFUNCTION("GOOGLETRANSLATE(English!A3069, ""en"", ""bg"")"),"qa_04915")</f>
        <v>qa_04915</v>
      </c>
      <c r="B3069" s="1" t="str">
        <f ca="1">IFERROR(__xludf.DUMMYFUNCTION("GOOGLETRANSLATE(English!B3069, ""en"", ""bg"")"),"физика")</f>
        <v>физика</v>
      </c>
      <c r="C3069" s="1" t="str">
        <f ca="1">IFERROR(__xludf.DUMMYFUNCTION("GOOGLETRANSLATE(English!C3069, ""en"", ""bg"")"),"високо")</f>
        <v>високо</v>
      </c>
      <c r="D3069" s="1" t="str">
        <f ca="1">IFERROR(__xludf.DUMMYFUNCTION("GOOGLETRANSLATE(English!D3069, ""en"", ""bg"")"),"оптика")</f>
        <v>оптика</v>
      </c>
      <c r="E3069" s="1" t="str">
        <f ca="1">IFERROR(__xludf.DUMMYFUNCTION("GOOGLETRANSLATE(English!E3069, ""en"", ""bg"")"),"Можете ли да ми обясните оптиката?")</f>
        <v>Можете ли да ми обясните оптиката?</v>
      </c>
      <c r="F3069" s="1" t="str">
        <f ca="1">IFERROR(__xludf.DUMMYFUNCTION("GOOGLETRANSLATE(English!F3069,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3069" s="1" t="str">
        <f ca="1">IFERROR(__xludf.DUMMYFUNCTION("GOOGLETRANSLATE(English!G3069, ""en"", ""bg"")"),"direct_qa")</f>
        <v>direct_qa</v>
      </c>
      <c r="H3069" s="1" t="str">
        <f ca="1">IFERROR(__xludf.DUMMYFUNCTION("GOOGLETRANSLATE(English!H3069, ""en"", ""bg"")"),"заявка_за_знание")</f>
        <v>заявка_за_знание</v>
      </c>
    </row>
    <row r="3070" spans="1:8" ht="13.2" x14ac:dyDescent="0.25">
      <c r="A3070" s="1" t="str">
        <f ca="1">IFERROR(__xludf.DUMMYFUNCTION("GOOGLETRANSLATE(English!A3070, ""en"", ""bg"")"),"hw_05759")</f>
        <v>hw_05759</v>
      </c>
      <c r="B3070" s="1" t="str">
        <f ca="1">IFERROR(__xludf.DUMMYFUNCTION("GOOGLETRANSLATE(English!B3070, ""en"", ""bg"")"),"физика")</f>
        <v>физика</v>
      </c>
      <c r="C3070" s="1" t="str">
        <f ca="1">IFERROR(__xludf.DUMMYFUNCTION("GOOGLETRANSLATE(English!C3070, ""en"", ""bg"")"),"елементарен")</f>
        <v>елементарен</v>
      </c>
      <c r="D3070" s="1" t="str">
        <f ca="1">IFERROR(__xludf.DUMMYFUNCTION("GOOGLETRANSLATE(English!D3070, ""en"", ""bg"")"),"светлина и сянка")</f>
        <v>светлина и сянка</v>
      </c>
      <c r="E3070" s="1" t="str">
        <f ca="1">IFERROR(__xludf.DUMMYFUNCTION("GOOGLETRANSLATE(English!E3070, ""en"", ""bg"")"),"Трябва да разбера светлината и сянката за изпита си.")</f>
        <v>Трябва да разбера светлината и сянката за изпита си.</v>
      </c>
      <c r="F3070" s="1" t="str">
        <f ca="1">IFERROR(__xludf.DUMMYFUNCTION("GOOGLETRANSLATE(English!F3070,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3070" s="1" t="str">
        <f ca="1">IFERROR(__xludf.DUMMYFUNCTION("GOOGLETRANSLATE(English!G3070, ""en"", ""bg"")"),"помощ_за_домашно_изпълнение")</f>
        <v>помощ_за_домашно_изпълнение</v>
      </c>
      <c r="H3070" s="1" t="str">
        <f ca="1">IFERROR(__xludf.DUMMYFUNCTION("GOOGLETRANSLATE(English!H3070, ""en"", ""bg"")"),"помощ_за_домашно_задаване")</f>
        <v>помощ_за_домашно_задаване</v>
      </c>
    </row>
    <row r="3071" spans="1:8" ht="13.2" x14ac:dyDescent="0.25">
      <c r="A3071" s="1" t="str">
        <f ca="1">IFERROR(__xludf.DUMMYFUNCTION("GOOGLETRANSLATE(English!A3071, ""en"", ""bg"")"),"hw_14509")</f>
        <v>hw_14509</v>
      </c>
      <c r="B3071" s="1" t="str">
        <f ca="1">IFERROR(__xludf.DUMMYFUNCTION("GOOGLETRANSLATE(English!B3071, ""en"", ""bg"")"),"физика")</f>
        <v>физика</v>
      </c>
      <c r="C3071" s="1" t="str">
        <f ca="1">IFERROR(__xludf.DUMMYFUNCTION("GOOGLETRANSLATE(English!C3071, ""en"", ""bg"")"),"средата")</f>
        <v>средата</v>
      </c>
      <c r="D3071" s="1" t="str">
        <f ca="1">IFERROR(__xludf.DUMMYFUNCTION("GOOGLETRANSLATE(English!D3071, ""en"", ""bg"")"),"плътност")</f>
        <v>плътност</v>
      </c>
      <c r="E3071" s="1" t="str">
        <f ca="1">IFERROR(__xludf.DUMMYFUNCTION("GOOGLETRANSLATE(English!E3071, ""en"", ""bg"")"),"Трябва да разбера плътността за изпита си.")</f>
        <v>Трябва да разбера плътността за изпита си.</v>
      </c>
      <c r="F3071" s="1" t="str">
        <f ca="1">IFERROR(__xludf.DUMMYFUNCTION("GOOGLETRANSLATE(English!F3071,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3071" s="1" t="str">
        <f ca="1">IFERROR(__xludf.DUMMYFUNCTION("GOOGLETRANSLATE(English!G3071, ""en"", ""bg"")"),"помощ_за_домашно_изпълнение")</f>
        <v>помощ_за_домашно_изпълнение</v>
      </c>
      <c r="H3071" s="1" t="str">
        <f ca="1">IFERROR(__xludf.DUMMYFUNCTION("GOOGLETRANSLATE(English!H3071, ""en"", ""bg"")"),"помощ_за_домашно_задаване")</f>
        <v>помощ_за_домашно_задаване</v>
      </c>
    </row>
    <row r="3072" spans="1:8" ht="13.2" x14ac:dyDescent="0.25">
      <c r="A3072" s="1" t="str">
        <f ca="1">IFERROR(__xludf.DUMMYFUNCTION("GOOGLETRANSLATE(English!A3072, ""en"", ""bg"")"),"qa_09391")</f>
        <v>qa_09391</v>
      </c>
      <c r="B3072" s="1" t="str">
        <f ca="1">IFERROR(__xludf.DUMMYFUNCTION("GOOGLETRANSLATE(English!B3072, ""en"", ""bg"")"),"биология")</f>
        <v>биология</v>
      </c>
      <c r="C3072" s="1" t="str">
        <f ca="1">IFERROR(__xludf.DUMMYFUNCTION("GOOGLETRANSLATE(English!C3072, ""en"", ""bg"")"),"средата")</f>
        <v>средата</v>
      </c>
      <c r="D3072" s="1" t="str">
        <f ca="1">IFERROR(__xludf.DUMMYFUNCTION("GOOGLETRANSLATE(English!D3072, ""en"", ""bg"")"),"екосистеми")</f>
        <v>екосистеми</v>
      </c>
      <c r="E3072" s="1" t="str">
        <f ca="1">IFERROR(__xludf.DUMMYFUNCTION("GOOGLETRANSLATE(English!E3072, ""en"", ""bg"")"),"Защо екосистемите са важни в биологията?")</f>
        <v>Защо екосистемите са важни в биологията?</v>
      </c>
      <c r="F3072" s="1" t="str">
        <f ca="1">IFERROR(__xludf.DUMMYFUNCTION("GOOGLETRANSLATE(English!F3072,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3072" s="1" t="str">
        <f ca="1">IFERROR(__xludf.DUMMYFUNCTION("GOOGLETRANSLATE(English!G3072, ""en"", ""bg"")"),"direct_qa")</f>
        <v>direct_qa</v>
      </c>
      <c r="H3072" s="1" t="str">
        <f ca="1">IFERROR(__xludf.DUMMYFUNCTION("GOOGLETRANSLATE(English!H3072, ""en"", ""bg"")"),"заявка_за_знание")</f>
        <v>заявка_за_знание</v>
      </c>
    </row>
    <row r="3073" spans="1:8" ht="13.2" x14ac:dyDescent="0.25">
      <c r="A3073" s="1" t="str">
        <f ca="1">IFERROR(__xludf.DUMMYFUNCTION("GOOGLETRANSLATE(English!A3073, ""en"", ""bg"")"),"conv_00794")</f>
        <v>conv_00794</v>
      </c>
      <c r="B3073" s="1" t="str">
        <f ca="1">IFERROR(__xludf.DUMMYFUNCTION("GOOGLETRANSLATE(English!B3073, ""en"", ""bg"")"),"биология")</f>
        <v>биология</v>
      </c>
      <c r="C3073" s="1" t="str">
        <f ca="1">IFERROR(__xludf.DUMMYFUNCTION("GOOGLETRANSLATE(English!C3073, ""en"", ""bg"")"),"високо")</f>
        <v>високо</v>
      </c>
      <c r="D3073" s="1" t="str">
        <f ca="1">IFERROR(__xludf.DUMMYFUNCTION("GOOGLETRANSLATE(English!D3073, ""en"", ""bg"")"),"синтез на протеини")</f>
        <v>синтез на протеини</v>
      </c>
      <c r="E3073" s="1" t="str">
        <f ca="1">IFERROR(__xludf.DUMMYFUNCTION("GOOGLETRANSLATE(English!E3073, ""en"", ""bg"")"),"Можете ли да ми обясните това? Можете ли да ми разкажете за синтеза на протеини?")</f>
        <v>Можете ли да ми обясните това? Можете ли да ми разкажете за синтеза на протеини?</v>
      </c>
      <c r="F3073" s="1" t="str">
        <f ca="1">IFERROR(__xludf.DUMMYFUNCTION("GOOGLETRANSLATE(English!F3073,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073" s="1" t="str">
        <f ca="1">IFERROR(__xludf.DUMMYFUNCTION("GOOGLETRANSLATE(English!G3073, ""en"", ""bg"")"),"разговор")</f>
        <v>разговор</v>
      </c>
      <c r="H3073" s="1" t="str">
        <f ca="1">IFERROR(__xludf.DUMMYFUNCTION("GOOGLETRANSLATE(English!H3073, ""en"", ""bg"")"),"образователна_помощ")</f>
        <v>образователна_помощ</v>
      </c>
    </row>
    <row r="3074" spans="1:8" ht="13.2" x14ac:dyDescent="0.25">
      <c r="A3074" s="1" t="str">
        <f ca="1">IFERROR(__xludf.DUMMYFUNCTION("GOOGLETRANSLATE(English!A3074, ""en"", ""bg"")"),"conv_04373")</f>
        <v>conv_04373</v>
      </c>
      <c r="B3074" s="1" t="str">
        <f ca="1">IFERROR(__xludf.DUMMYFUNCTION("GOOGLETRANSLATE(English!B3074, ""en"", ""bg"")"),"биология")</f>
        <v>биология</v>
      </c>
      <c r="C3074" s="1" t="str">
        <f ca="1">IFERROR(__xludf.DUMMYFUNCTION("GOOGLETRANSLATE(English!C3074, ""en"", ""bg"")"),"средата")</f>
        <v>средата</v>
      </c>
      <c r="D3074" s="1" t="str">
        <f ca="1">IFERROR(__xludf.DUMMYFUNCTION("GOOGLETRANSLATE(English!D3074, ""en"", ""bg"")"),"фотосинтеза")</f>
        <v>фотосинтеза</v>
      </c>
      <c r="E3074" s="1" t="str">
        <f ca="1">IFERROR(__xludf.DUMMYFUNCTION("GOOGLETRANSLATE(English!E3074, ""en"", ""bg"")"),"Не разбирам тази тема. Защо фотосинтезата е важна в биологията?")</f>
        <v>Не разбирам тази тема. Защо фотосинтезата е важна в биологията?</v>
      </c>
      <c r="F3074" s="1" t="str">
        <f ca="1">IFERROR(__xludf.DUMMYFUNCTION("GOOGLETRANSLATE(English!F3074,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3074" s="1" t="str">
        <f ca="1">IFERROR(__xludf.DUMMYFUNCTION("GOOGLETRANSLATE(English!G3074, ""en"", ""bg"")"),"разговор")</f>
        <v>разговор</v>
      </c>
      <c r="H3074" s="1" t="str">
        <f ca="1">IFERROR(__xludf.DUMMYFUNCTION("GOOGLETRANSLATE(English!H3074, ""en"", ""bg"")"),"образователна_помощ")</f>
        <v>образователна_помощ</v>
      </c>
    </row>
    <row r="3075" spans="1:8" ht="13.2" x14ac:dyDescent="0.25">
      <c r="A3075" s="1" t="str">
        <f ca="1">IFERROR(__xludf.DUMMYFUNCTION("GOOGLETRANSLATE(English!A3075, ""en"", ""bg"")"),"hw_05778")</f>
        <v>hw_05778</v>
      </c>
      <c r="B3075" s="1" t="str">
        <f ca="1">IFERROR(__xludf.DUMMYFUNCTION("GOOGLETRANSLATE(English!B3075, ""en"", ""bg"")"),"физика")</f>
        <v>физика</v>
      </c>
      <c r="C3075" s="1" t="str">
        <f ca="1">IFERROR(__xludf.DUMMYFUNCTION("GOOGLETRANSLATE(English!C3075, ""en"", ""bg"")"),"средата")</f>
        <v>средата</v>
      </c>
      <c r="D3075" s="1" t="str">
        <f ca="1">IFERROR(__xludf.DUMMYFUNCTION("GOOGLETRANSLATE(English!D3075, ""en"", ""bg"")"),"прости схеми")</f>
        <v>прости схеми</v>
      </c>
      <c r="E3075" s="1" t="str">
        <f ca="1">IFERROR(__xludf.DUMMYFUNCTION("GOOGLETRANSLATE(English!E3075, ""en"", ""bg"")"),"Домашното ми по физика е за прости електрически вериги. Объркващо е!")</f>
        <v>Домашното ми по физика е за прости електрически вериги. Объркващо е!</v>
      </c>
      <c r="F3075" s="1" t="str">
        <f ca="1">IFERROR(__xludf.DUMMYFUNCTION("GOOGLETRANSLATE(English!F3075,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075" s="1" t="str">
        <f ca="1">IFERROR(__xludf.DUMMYFUNCTION("GOOGLETRANSLATE(English!G3075, ""en"", ""bg"")"),"помощ_за_домашно_изпълнение")</f>
        <v>помощ_за_домашно_изпълнение</v>
      </c>
      <c r="H3075" s="1" t="str">
        <f ca="1">IFERROR(__xludf.DUMMYFUNCTION("GOOGLETRANSLATE(English!H3075, ""en"", ""bg"")"),"помощ_за_домашно_задаване")</f>
        <v>помощ_за_домашно_задаване</v>
      </c>
    </row>
    <row r="3076" spans="1:8" ht="13.2" x14ac:dyDescent="0.25">
      <c r="A3076" s="1" t="str">
        <f ca="1">IFERROR(__xludf.DUMMYFUNCTION("GOOGLETRANSLATE(English!A3076, ""en"", ""bg"")"),"hw_10231")</f>
        <v>hw_10231</v>
      </c>
      <c r="B3076" s="1" t="str">
        <f ca="1">IFERROR(__xludf.DUMMYFUNCTION("GOOGLETRANSLATE(English!B3076, ""en"", ""bg"")"),"химия")</f>
        <v>химия</v>
      </c>
      <c r="C3076" s="1" t="str">
        <f ca="1">IFERROR(__xludf.DUMMYFUNCTION("GOOGLETRANSLATE(English!C3076, ""en"", ""bg"")"),"средата")</f>
        <v>средата</v>
      </c>
      <c r="D3076" s="1" t="str">
        <f ca="1">IFERROR(__xludf.DUMMYFUNCTION("GOOGLETRANSLATE(English!D3076, ""en"", ""bg"")"),"химични промени")</f>
        <v>химични промени</v>
      </c>
      <c r="E3076" s="1" t="str">
        <f ca="1">IFERROR(__xludf.DUMMYFUNCTION("GOOGLETRANSLATE(English!E3076,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3076" s="1" t="str">
        <f ca="1">IFERROR(__xludf.DUMMYFUNCTION("GOOGLETRANSLATE(English!F3076,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076" s="1" t="str">
        <f ca="1">IFERROR(__xludf.DUMMYFUNCTION("GOOGLETRANSLATE(English!G3076, ""en"", ""bg"")"),"помощ_за_домашно_изпълнение")</f>
        <v>помощ_за_домашно_изпълнение</v>
      </c>
      <c r="H3076" s="1" t="str">
        <f ca="1">IFERROR(__xludf.DUMMYFUNCTION("GOOGLETRANSLATE(English!H3076, ""en"", ""bg"")"),"помощ_за_домашно_задаване")</f>
        <v>помощ_за_домашно_задаване</v>
      </c>
    </row>
    <row r="3077" spans="1:8" ht="13.2" x14ac:dyDescent="0.25">
      <c r="A3077" s="1" t="str">
        <f ca="1">IFERROR(__xludf.DUMMYFUNCTION("GOOGLETRANSLATE(English!A3077, ""en"", ""bg"")"),"conv_00310")</f>
        <v>conv_00310</v>
      </c>
      <c r="B3077" s="1" t="str">
        <f ca="1">IFERROR(__xludf.DUMMYFUNCTION("GOOGLETRANSLATE(English!B3077, ""en"", ""bg"")"),"химия")</f>
        <v>химия</v>
      </c>
      <c r="C3077" s="1" t="str">
        <f ca="1">IFERROR(__xludf.DUMMYFUNCTION("GOOGLETRANSLATE(English!C3077, ""en"", ""bg"")"),"средата")</f>
        <v>средата</v>
      </c>
      <c r="D3077" s="1" t="str">
        <f ca="1">IFERROR(__xludf.DUMMYFUNCTION("GOOGLETRANSLATE(English!D3077, ""en"", ""bg"")"),"съединения срещу елементи")</f>
        <v>съединения срещу елементи</v>
      </c>
      <c r="E3077" s="1" t="str">
        <f ca="1">IFERROR(__xludf.DUMMYFUNCTION("GOOGLETRANSLATE(English!E3077, ""en"", ""bg"")"),"Имам нужда от помощ с домашното. Как взаимодействат съединенията и елементите в химията?")</f>
        <v>Имам нужда от помощ с домашното. Как взаимодействат съединенията и елементите в химията?</v>
      </c>
      <c r="F3077" s="1" t="str">
        <f ca="1">IFERROR(__xludf.DUMMYFUNCTION("GOOGLETRANSLATE(English!F3077,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077" s="1" t="str">
        <f ca="1">IFERROR(__xludf.DUMMYFUNCTION("GOOGLETRANSLATE(English!G3077, ""en"", ""bg"")"),"разговор")</f>
        <v>разговор</v>
      </c>
      <c r="H3077" s="1" t="str">
        <f ca="1">IFERROR(__xludf.DUMMYFUNCTION("GOOGLETRANSLATE(English!H3077, ""en"", ""bg"")"),"образователна_помощ")</f>
        <v>образователна_помощ</v>
      </c>
    </row>
    <row r="3078" spans="1:8" ht="13.2" x14ac:dyDescent="0.25">
      <c r="A3078" s="1" t="str">
        <f ca="1">IFERROR(__xludf.DUMMYFUNCTION("GOOGLETRANSLATE(English!A3078, ""en"", ""bg"")"),"conv_05296")</f>
        <v>conv_05296</v>
      </c>
      <c r="B3078" s="1" t="str">
        <f ca="1">IFERROR(__xludf.DUMMYFUNCTION("GOOGLETRANSLATE(English!B3078, ""en"", ""bg"")"),"химия")</f>
        <v>химия</v>
      </c>
      <c r="C3078" s="1" t="str">
        <f ca="1">IFERROR(__xludf.DUMMYFUNCTION("GOOGLETRANSLATE(English!C3078, ""en"", ""bg"")"),"елементарен")</f>
        <v>елементарен</v>
      </c>
      <c r="D3078" s="1" t="str">
        <f ca="1">IFERROR(__xludf.DUMMYFUNCTION("GOOGLETRANSLATE(English!D3078, ""en"", ""bg"")"),"ежедневни химикали")</f>
        <v>ежедневни химикали</v>
      </c>
      <c r="E3078" s="1" t="str">
        <f ca="1">IFERROR(__xludf.DUMMYFUNCTION("GOOGLETRANSLATE(English!E3078, ""en"", ""bg"")"),"Имам научен въпрос. Какво представляват ежедневните химикали?")</f>
        <v>Имам научен въпрос. Какво представляват ежедневните химикали?</v>
      </c>
      <c r="F3078" s="1" t="str">
        <f ca="1">IFERROR(__xludf.DUMMYFUNCTION("GOOGLETRANSLATE(English!F3078,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3078" s="1" t="str">
        <f ca="1">IFERROR(__xludf.DUMMYFUNCTION("GOOGLETRANSLATE(English!G3078, ""en"", ""bg"")"),"разговор")</f>
        <v>разговор</v>
      </c>
      <c r="H3078" s="1" t="str">
        <f ca="1">IFERROR(__xludf.DUMMYFUNCTION("GOOGLETRANSLATE(English!H3078, ""en"", ""bg"")"),"образователна_помощ")</f>
        <v>образователна_помощ</v>
      </c>
    </row>
    <row r="3079" spans="1:8" ht="13.2" x14ac:dyDescent="0.25">
      <c r="A3079" s="1" t="str">
        <f ca="1">IFERROR(__xludf.DUMMYFUNCTION("GOOGLETRANSLATE(English!A3079, ""en"", ""bg"")"),"conv_05123")</f>
        <v>conv_05123</v>
      </c>
      <c r="B3079" s="1" t="str">
        <f ca="1">IFERROR(__xludf.DUMMYFUNCTION("GOOGLETRANSLATE(English!B3079, ""en"", ""bg"")"),"химия")</f>
        <v>химия</v>
      </c>
      <c r="C3079" s="1" t="str">
        <f ca="1">IFERROR(__xludf.DUMMYFUNCTION("GOOGLETRANSLATE(English!C3079, ""en"", ""bg"")"),"високо")</f>
        <v>високо</v>
      </c>
      <c r="D3079" s="1" t="str">
        <f ca="1">IFERROR(__xludf.DUMMYFUNCTION("GOOGLETRANSLATE(English!D3079, ""en"", ""bg"")"),"скорости на реакция")</f>
        <v>скорости на реакция</v>
      </c>
      <c r="E3079" s="1" t="str">
        <f ca="1">IFERROR(__xludf.DUMMYFUNCTION("GOOGLETRANSLATE(English!E3079, ""en"", ""bg"")"),"Помогнете ми да уча за теста. Защо е важно да се учи скоростта на реакция?")</f>
        <v>Помогнете ми да уча за теста. Защо е важно да се учи скоростта на реакция?</v>
      </c>
      <c r="F3079" s="1" t="str">
        <f ca="1">IFERROR(__xludf.DUMMYFUNCTION("GOOGLETRANSLATE(English!F3079,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3079" s="1" t="str">
        <f ca="1">IFERROR(__xludf.DUMMYFUNCTION("GOOGLETRANSLATE(English!G3079, ""en"", ""bg"")"),"разговор")</f>
        <v>разговор</v>
      </c>
      <c r="H3079" s="1" t="str">
        <f ca="1">IFERROR(__xludf.DUMMYFUNCTION("GOOGLETRANSLATE(English!H3079, ""en"", ""bg"")"),"образователна_помощ")</f>
        <v>образователна_помощ</v>
      </c>
    </row>
    <row r="3080" spans="1:8" ht="13.2" x14ac:dyDescent="0.25">
      <c r="A3080" s="1" t="str">
        <f ca="1">IFERROR(__xludf.DUMMYFUNCTION("GOOGLETRANSLATE(English!A3080, ""en"", ""bg"")"),"hw_12731")</f>
        <v>hw_12731</v>
      </c>
      <c r="B3080" s="1" t="str">
        <f ca="1">IFERROR(__xludf.DUMMYFUNCTION("GOOGLETRANSLATE(English!B3080, ""en"", ""bg"")"),"биология")</f>
        <v>биология</v>
      </c>
      <c r="C3080" s="1" t="str">
        <f ca="1">IFERROR(__xludf.DUMMYFUNCTION("GOOGLETRANSLATE(English!C3080, ""en"", ""bg"")"),"високо")</f>
        <v>високо</v>
      </c>
      <c r="D3080" s="1" t="str">
        <f ca="1">IFERROR(__xludf.DUMMYFUNCTION("GOOGLETRANSLATE(English!D3080, ""en"", ""bg"")"),"митоза и мейоза")</f>
        <v>митоза и мейоза</v>
      </c>
      <c r="E3080" s="1" t="str">
        <f ca="1">IFERROR(__xludf.DUMMYFUNCTION("GOOGLETRANSLATE(English!E3080, ""en"", ""bg"")"),"Можете ли да обясните митозата и мейозата за моя научен проект?")</f>
        <v>Можете ли да обясните митозата и мейозата за моя научен проект?</v>
      </c>
      <c r="F3080" s="1" t="str">
        <f ca="1">IFERROR(__xludf.DUMMYFUNCTION("GOOGLETRANSLATE(English!F3080,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3080" s="1" t="str">
        <f ca="1">IFERROR(__xludf.DUMMYFUNCTION("GOOGLETRANSLATE(English!G3080, ""en"", ""bg"")"),"помощ_за_домашно_изпълнение")</f>
        <v>помощ_за_домашно_изпълнение</v>
      </c>
      <c r="H3080" s="1" t="str">
        <f ca="1">IFERROR(__xludf.DUMMYFUNCTION("GOOGLETRANSLATE(English!H3080, ""en"", ""bg"")"),"помощ_за_домашно_задаване")</f>
        <v>помощ_за_домашно_задаване</v>
      </c>
    </row>
    <row r="3081" spans="1:8" ht="13.2" x14ac:dyDescent="0.25">
      <c r="A3081" s="1" t="str">
        <f ca="1">IFERROR(__xludf.DUMMYFUNCTION("GOOGLETRANSLATE(English!A3081, ""en"", ""bg"")"),"conv_13013")</f>
        <v>conv_13013</v>
      </c>
      <c r="B3081" s="1" t="str">
        <f ca="1">IFERROR(__xludf.DUMMYFUNCTION("GOOGLETRANSLATE(English!B3081, ""en"", ""bg"")"),"химия")</f>
        <v>химия</v>
      </c>
      <c r="C3081" s="1" t="str">
        <f ca="1">IFERROR(__xludf.DUMMYFUNCTION("GOOGLETRANSLATE(English!C3081, ""en"", ""bg"")"),"средата")</f>
        <v>средата</v>
      </c>
      <c r="D3081" s="1" t="str">
        <f ca="1">IFERROR(__xludf.DUMMYFUNCTION("GOOGLETRANSLATE(English!D3081, ""en"", ""bg"")"),"химични промени")</f>
        <v>химични промени</v>
      </c>
      <c r="E3081" s="1" t="str">
        <f ca="1">IFERROR(__xludf.DUMMYFUNCTION("GOOGLETRANSLATE(English!E3081, ""en"", ""bg"")"),"Не разбирам тази тема. Какво представляват химичните промени?")</f>
        <v>Не разбирам тази тема. Какво представляват химичните промени?</v>
      </c>
      <c r="F3081" s="1" t="str">
        <f ca="1">IFERROR(__xludf.DUMMYFUNCTION("GOOGLETRANSLATE(English!F3081,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3081" s="1" t="str">
        <f ca="1">IFERROR(__xludf.DUMMYFUNCTION("GOOGLETRANSLATE(English!G3081, ""en"", ""bg"")"),"разговор")</f>
        <v>разговор</v>
      </c>
      <c r="H3081" s="1" t="str">
        <f ca="1">IFERROR(__xludf.DUMMYFUNCTION("GOOGLETRANSLATE(English!H3081, ""en"", ""bg"")"),"образователна_помощ")</f>
        <v>образователна_помощ</v>
      </c>
    </row>
    <row r="3082" spans="1:8" ht="13.2" x14ac:dyDescent="0.25">
      <c r="A3082" s="1" t="str">
        <f ca="1">IFERROR(__xludf.DUMMYFUNCTION("GOOGLETRANSLATE(English!A3082, ""en"", ""bg"")"),"qa_13077")</f>
        <v>qa_13077</v>
      </c>
      <c r="B3082" s="1" t="str">
        <f ca="1">IFERROR(__xludf.DUMMYFUNCTION("GOOGLETRANSLATE(English!B3082, ""en"", ""bg"")"),"биология")</f>
        <v>биология</v>
      </c>
      <c r="C3082" s="1" t="str">
        <f ca="1">IFERROR(__xludf.DUMMYFUNCTION("GOOGLETRANSLATE(English!C3082, ""en"", ""bg"")"),"високо")</f>
        <v>високо</v>
      </c>
      <c r="D3082" s="1" t="str">
        <f ca="1">IFERROR(__xludf.DUMMYFUNCTION("GOOGLETRANSLATE(English!D3082, ""en"", ""bg"")"),"митоза и мейоза")</f>
        <v>митоза и мейоза</v>
      </c>
      <c r="E3082" s="1" t="str">
        <f ca="1">IFERROR(__xludf.DUMMYFUNCTION("GOOGLETRANSLATE(English!E3082, ""en"", ""bg"")"),"Можете ли да ми разкажете за митозата и мейозата?")</f>
        <v>Можете ли да ми разкажете за митозата и мейозата?</v>
      </c>
      <c r="F3082" s="1" t="str">
        <f ca="1">IFERROR(__xludf.DUMMYFUNCTION("GOOGLETRANSLATE(English!F3082,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3082" s="1" t="str">
        <f ca="1">IFERROR(__xludf.DUMMYFUNCTION("GOOGLETRANSLATE(English!G3082, ""en"", ""bg"")"),"direct_qa")</f>
        <v>direct_qa</v>
      </c>
      <c r="H3082" s="1" t="str">
        <f ca="1">IFERROR(__xludf.DUMMYFUNCTION("GOOGLETRANSLATE(English!H3082, ""en"", ""bg"")"),"заявка_за_знание")</f>
        <v>заявка_за_знание</v>
      </c>
    </row>
    <row r="3083" spans="1:8" ht="13.2" x14ac:dyDescent="0.25">
      <c r="A3083" s="1" t="str">
        <f ca="1">IFERROR(__xludf.DUMMYFUNCTION("GOOGLETRANSLATE(English!A3083, ""en"", ""bg"")"),"conv_00227")</f>
        <v>conv_00227</v>
      </c>
      <c r="B3083" s="1" t="str">
        <f ca="1">IFERROR(__xludf.DUMMYFUNCTION("GOOGLETRANSLATE(English!B3083, ""en"", ""bg"")"),"химия")</f>
        <v>химия</v>
      </c>
      <c r="C3083" s="1" t="str">
        <f ca="1">IFERROR(__xludf.DUMMYFUNCTION("GOOGLETRANSLATE(English!C3083, ""en"", ""bg"")"),"високо")</f>
        <v>високо</v>
      </c>
      <c r="D3083" s="1" t="str">
        <f ca="1">IFERROR(__xludf.DUMMYFUNCTION("GOOGLETRANSLATE(English!D3083, ""en"", ""bg"")"),"органична химия")</f>
        <v>органична химия</v>
      </c>
      <c r="E3083" s="1" t="str">
        <f ca="1">IFERROR(__xludf.DUMMYFUNCTION("GOOGLETRANSLATE(English!E3083, ""en"", ""bg"")"),"Можете ли да ми обясните това? Защо е важно да се учи органичната химия?")</f>
        <v>Можете ли да ми обясните това? Защо е важно да се учи органичната химия?</v>
      </c>
      <c r="F3083" s="1" t="str">
        <f ca="1">IFERROR(__xludf.DUMMYFUNCTION("GOOGLETRANSLATE(English!F3083,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3083" s="1" t="str">
        <f ca="1">IFERROR(__xludf.DUMMYFUNCTION("GOOGLETRANSLATE(English!G3083, ""en"", ""bg"")"),"разговор")</f>
        <v>разговор</v>
      </c>
      <c r="H3083" s="1" t="str">
        <f ca="1">IFERROR(__xludf.DUMMYFUNCTION("GOOGLETRANSLATE(English!H3083, ""en"", ""bg"")"),"образователна_помощ")</f>
        <v>образователна_помощ</v>
      </c>
    </row>
    <row r="3084" spans="1:8" ht="13.2" x14ac:dyDescent="0.25">
      <c r="A3084" s="1" t="str">
        <f ca="1">IFERROR(__xludf.DUMMYFUNCTION("GOOGLETRANSLATE(English!A3084, ""en"", ""bg"")"),"conv_01797")</f>
        <v>conv_01797</v>
      </c>
      <c r="B3084" s="1" t="str">
        <f ca="1">IFERROR(__xludf.DUMMYFUNCTION("GOOGLETRANSLATE(English!B3084, ""en"", ""bg"")"),"физика")</f>
        <v>физика</v>
      </c>
      <c r="C3084" s="1" t="str">
        <f ca="1">IFERROR(__xludf.DUMMYFUNCTION("GOOGLETRANSLATE(English!C3084, ""en"", ""bg"")"),"средата")</f>
        <v>средата</v>
      </c>
      <c r="D3084" s="1" t="str">
        <f ca="1">IFERROR(__xludf.DUMMYFUNCTION("GOOGLETRANSLATE(English!D3084, ""en"", ""bg"")"),"състояния на материята")</f>
        <v>състояния на материята</v>
      </c>
      <c r="E3084" s="1" t="str">
        <f ca="1">IFERROR(__xludf.DUMMYFUNCTION("GOOGLETRANSLATE(English!E3084, ""en"", ""bg"")"),"Помогни ми да уча за теста. Можеш ли да ми обясниш състоянията на материята?")</f>
        <v>Помогни ми да уча за теста. Можеш ли да ми обясниш състоянията на материята?</v>
      </c>
      <c r="F3084" s="1" t="str">
        <f ca="1">IFERROR(__xludf.DUMMYFUNCTION("GOOGLETRANSLATE(English!F3084,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3084" s="1" t="str">
        <f ca="1">IFERROR(__xludf.DUMMYFUNCTION("GOOGLETRANSLATE(English!G3084, ""en"", ""bg"")"),"разговор")</f>
        <v>разговор</v>
      </c>
      <c r="H3084" s="1" t="str">
        <f ca="1">IFERROR(__xludf.DUMMYFUNCTION("GOOGLETRANSLATE(English!H3084, ""en"", ""bg"")"),"образователна_помощ")</f>
        <v>образователна_помощ</v>
      </c>
    </row>
    <row r="3085" spans="1:8" ht="13.2" x14ac:dyDescent="0.25">
      <c r="A3085" s="1" t="str">
        <f ca="1">IFERROR(__xludf.DUMMYFUNCTION("GOOGLETRANSLATE(English!A3085, ""en"", ""bg"")"),"conv_06142")</f>
        <v>conv_06142</v>
      </c>
      <c r="B3085" s="1" t="str">
        <f ca="1">IFERROR(__xludf.DUMMYFUNCTION("GOOGLETRANSLATE(English!B3085, ""en"", ""bg"")"),"биология")</f>
        <v>биология</v>
      </c>
      <c r="C3085" s="1" t="str">
        <f ca="1">IFERROR(__xludf.DUMMYFUNCTION("GOOGLETRANSLATE(English!C3085, ""en"", ""bg"")"),"елементарен")</f>
        <v>елементарен</v>
      </c>
      <c r="D3085" s="1" t="str">
        <f ca="1">IFERROR(__xludf.DUMMYFUNCTION("GOOGLETRANSLATE(English!D3085, ""en"", ""bg"")"),"сетива")</f>
        <v>сетива</v>
      </c>
      <c r="E3085" s="1" t="str">
        <f ca="1">IFERROR(__xludf.DUMMYFUNCTION("GOOGLETRANSLATE(English!E3085, ""en"", ""bg"")"),"Не разбирам тази тема. Какво е важно да знаем за сетивата?")</f>
        <v>Не разбирам тази тема. Какво е важно да знаем за сетивата?</v>
      </c>
      <c r="F3085" s="1" t="str">
        <f ca="1">IFERROR(__xludf.DUMMYFUNCTION("GOOGLETRANSLATE(English!F3085,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3085" s="1" t="str">
        <f ca="1">IFERROR(__xludf.DUMMYFUNCTION("GOOGLETRANSLATE(English!G3085, ""en"", ""bg"")"),"разговор")</f>
        <v>разговор</v>
      </c>
      <c r="H3085" s="1" t="str">
        <f ca="1">IFERROR(__xludf.DUMMYFUNCTION("GOOGLETRANSLATE(English!H3085, ""en"", ""bg"")"),"образователна_помощ")</f>
        <v>образователна_помощ</v>
      </c>
    </row>
    <row r="3086" spans="1:8" ht="13.2" x14ac:dyDescent="0.25">
      <c r="A3086" s="1" t="str">
        <f ca="1">IFERROR(__xludf.DUMMYFUNCTION("GOOGLETRANSLATE(English!A3086, ""en"", ""bg"")"),"hw_09696")</f>
        <v>hw_09696</v>
      </c>
      <c r="B3086" s="1" t="str">
        <f ca="1">IFERROR(__xludf.DUMMYFUNCTION("GOOGLETRANSLATE(English!B3086, ""en"", ""bg"")"),"физика")</f>
        <v>физика</v>
      </c>
      <c r="C3086" s="1" t="str">
        <f ca="1">IFERROR(__xludf.DUMMYFUNCTION("GOOGLETRANSLATE(English!C3086, ""en"", ""bg"")"),"елементарен")</f>
        <v>елементарен</v>
      </c>
      <c r="D3086" s="1" t="str">
        <f ca="1">IFERROR(__xludf.DUMMYFUNCTION("GOOGLETRANSLATE(English!D3086, ""en"", ""bg"")"),"горещо и студено")</f>
        <v>горещо и студено</v>
      </c>
      <c r="E3086" s="1" t="str">
        <f ca="1">IFERROR(__xludf.DUMMYFUNCTION("GOOGLETRANSLATE(English!E3086, ""en"", ""bg"")"),"Трябва да разбера какво е топло и студено за изпита си.")</f>
        <v>Трябва да разбера какво е топло и студено за изпита си.</v>
      </c>
      <c r="F3086" s="1" t="str">
        <f ca="1">IFERROR(__xludf.DUMMYFUNCTION("GOOGLETRANSLATE(English!F3086,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086" s="1" t="str">
        <f ca="1">IFERROR(__xludf.DUMMYFUNCTION("GOOGLETRANSLATE(English!G3086, ""en"", ""bg"")"),"помощ_за_домашно_изпълнение")</f>
        <v>помощ_за_домашно_изпълнение</v>
      </c>
      <c r="H3086" s="1" t="str">
        <f ca="1">IFERROR(__xludf.DUMMYFUNCTION("GOOGLETRANSLATE(English!H3086, ""en"", ""bg"")"),"помощ_за_домашно_задаване")</f>
        <v>помощ_за_домашно_задаване</v>
      </c>
    </row>
    <row r="3087" spans="1:8" ht="13.2" x14ac:dyDescent="0.25">
      <c r="A3087" s="1" t="str">
        <f ca="1">IFERROR(__xludf.DUMMYFUNCTION("GOOGLETRANSLATE(English!A3087, ""en"", ""bg"")"),"hw_10152")</f>
        <v>hw_10152</v>
      </c>
      <c r="B3087" s="1" t="str">
        <f ca="1">IFERROR(__xludf.DUMMYFUNCTION("GOOGLETRANSLATE(English!B3087, ""en"", ""bg"")"),"биология")</f>
        <v>биология</v>
      </c>
      <c r="C3087" s="1" t="str">
        <f ca="1">IFERROR(__xludf.DUMMYFUNCTION("GOOGLETRANSLATE(English!C3087, ""en"", ""bg"")"),"елементарен")</f>
        <v>елементарен</v>
      </c>
      <c r="D3087" s="1" t="str">
        <f ca="1">IFERROR(__xludf.DUMMYFUNCTION("GOOGLETRANSLATE(English!D3087, ""en"", ""bg"")"),"местообитания")</f>
        <v>местообитания</v>
      </c>
      <c r="E3087" s="1" t="str">
        <f ca="1">IFERROR(__xludf.DUMMYFUNCTION("GOOGLETRANSLATE(English!E3087, ""en"", ""bg"")"),"Домашното ми пита за местообитанията. Не го разбирам.")</f>
        <v>Домашното ми пита за местообитанията. Не го разбирам.</v>
      </c>
      <c r="F3087" s="1" t="str">
        <f ca="1">IFERROR(__xludf.DUMMYFUNCTION("GOOGLETRANSLATE(English!F3087,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3087" s="1" t="str">
        <f ca="1">IFERROR(__xludf.DUMMYFUNCTION("GOOGLETRANSLATE(English!G3087, ""en"", ""bg"")"),"помощ_за_домашно_изпълнение")</f>
        <v>помощ_за_домашно_изпълнение</v>
      </c>
      <c r="H3087" s="1" t="str">
        <f ca="1">IFERROR(__xludf.DUMMYFUNCTION("GOOGLETRANSLATE(English!H3087, ""en"", ""bg"")"),"помощ_за_домашно_задаване")</f>
        <v>помощ_за_домашно_задаване</v>
      </c>
    </row>
    <row r="3088" spans="1:8" ht="13.2" x14ac:dyDescent="0.25">
      <c r="A3088" s="1" t="str">
        <f ca="1">IFERROR(__xludf.DUMMYFUNCTION("GOOGLETRANSLATE(English!A3088, ""en"", ""bg"")"),"hw_04526")</f>
        <v>hw_04526</v>
      </c>
      <c r="B3088" s="1" t="str">
        <f ca="1">IFERROR(__xludf.DUMMYFUNCTION("GOOGLETRANSLATE(English!B3088, ""en"", ""bg"")"),"физика")</f>
        <v>физика</v>
      </c>
      <c r="C3088" s="1" t="str">
        <f ca="1">IFERROR(__xludf.DUMMYFUNCTION("GOOGLETRANSLATE(English!C3088, ""en"", ""bg"")"),"елементарен")</f>
        <v>елементарен</v>
      </c>
      <c r="D3088" s="1" t="str">
        <f ca="1">IFERROR(__xludf.DUMMYFUNCTION("GOOGLETRANSLATE(English!D3088, ""en"", ""bg"")"),"горещо и студено")</f>
        <v>горещо и студено</v>
      </c>
      <c r="E3088" s="1" t="str">
        <f ca="1">IFERROR(__xludf.DUMMYFUNCTION("GOOGLETRANSLATE(English!E3088, ""en"", ""bg"")"),"Домашното ми по физика е за горещо и студено. Объркващо е!")</f>
        <v>Домашното ми по физика е за горещо и студено. Объркващо е!</v>
      </c>
      <c r="F3088" s="1" t="str">
        <f ca="1">IFERROR(__xludf.DUMMYFUNCTION("GOOGLETRANSLATE(English!F3088,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088" s="1" t="str">
        <f ca="1">IFERROR(__xludf.DUMMYFUNCTION("GOOGLETRANSLATE(English!G3088, ""en"", ""bg"")"),"помощ_за_домашно_изпълнение")</f>
        <v>помощ_за_домашно_изпълнение</v>
      </c>
      <c r="H3088" s="1" t="str">
        <f ca="1">IFERROR(__xludf.DUMMYFUNCTION("GOOGLETRANSLATE(English!H3088, ""en"", ""bg"")"),"помощ_за_домашно_задаване")</f>
        <v>помощ_за_домашно_задаване</v>
      </c>
    </row>
    <row r="3089" spans="1:8" ht="13.2" x14ac:dyDescent="0.25">
      <c r="A3089" s="1" t="str">
        <f ca="1">IFERROR(__xludf.DUMMYFUNCTION("GOOGLETRANSLATE(English!A3089, ""en"", ""bg"")"),"hw_14391")</f>
        <v>hw_14391</v>
      </c>
      <c r="B3089" s="1" t="str">
        <f ca="1">IFERROR(__xludf.DUMMYFUNCTION("GOOGLETRANSLATE(English!B3089, ""en"", ""bg"")"),"химия")</f>
        <v>химия</v>
      </c>
      <c r="C3089" s="1" t="str">
        <f ca="1">IFERROR(__xludf.DUMMYFUNCTION("GOOGLETRANSLATE(English!C3089, ""en"", ""bg"")"),"високо")</f>
        <v>високо</v>
      </c>
      <c r="D3089" s="1" t="str">
        <f ca="1">IFERROR(__xludf.DUMMYFUNCTION("GOOGLETRANSLATE(English!D3089, ""en"", ""bg"")"),"стехиометрия")</f>
        <v>стехиометрия</v>
      </c>
      <c r="E3089" s="1" t="str">
        <f ca="1">IFERROR(__xludf.DUMMYFUNCTION("GOOGLETRANSLATE(English!E3089,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3089" s="1" t="str">
        <f ca="1">IFERROR(__xludf.DUMMYFUNCTION("GOOGLETRANSLATE(English!F3089,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3089" s="1" t="str">
        <f ca="1">IFERROR(__xludf.DUMMYFUNCTION("GOOGLETRANSLATE(English!G3089, ""en"", ""bg"")"),"помощ_за_домашно_изпълнение")</f>
        <v>помощ_за_домашно_изпълнение</v>
      </c>
      <c r="H3089" s="1" t="str">
        <f ca="1">IFERROR(__xludf.DUMMYFUNCTION("GOOGLETRANSLATE(English!H3089, ""en"", ""bg"")"),"помощ_за_домашно_задаване")</f>
        <v>помощ_за_домашно_задаване</v>
      </c>
    </row>
    <row r="3090" spans="1:8" ht="13.2" x14ac:dyDescent="0.25">
      <c r="A3090" s="1" t="str">
        <f ca="1">IFERROR(__xludf.DUMMYFUNCTION("GOOGLETRANSLATE(English!A3090, ""en"", ""bg"")"),"hw_13140")</f>
        <v>hw_13140</v>
      </c>
      <c r="B3090" s="1" t="str">
        <f ca="1">IFERROR(__xludf.DUMMYFUNCTION("GOOGLETRANSLATE(English!B3090, ""en"", ""bg"")"),"химия")</f>
        <v>химия</v>
      </c>
      <c r="C3090" s="1" t="str">
        <f ca="1">IFERROR(__xludf.DUMMYFUNCTION("GOOGLETRANSLATE(English!C3090, ""en"", ""bg"")"),"елементарен")</f>
        <v>елементарен</v>
      </c>
      <c r="D3090" s="1" t="str">
        <f ca="1">IFERROR(__xludf.DUMMYFUNCTION("GOOGLETRANSLATE(English!D3090, ""en"", ""bg"")"),"смесване на материали")</f>
        <v>смесване на материали</v>
      </c>
      <c r="E3090" s="1" t="str">
        <f ca="1">IFERROR(__xludf.DUMMYFUNCTION("GOOGLETRANSLATE(English!E3090, ""en"", ""bg"")"),"Можете ли да ми помогнете с изчисленията за смесване на материали?")</f>
        <v>Можете ли да ми помогнете с изчисленията за смесване на материали?</v>
      </c>
      <c r="F3090" s="1" t="str">
        <f ca="1">IFERROR(__xludf.DUMMYFUNCTION("GOOGLETRANSLATE(English!F3090,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090" s="1" t="str">
        <f ca="1">IFERROR(__xludf.DUMMYFUNCTION("GOOGLETRANSLATE(English!G3090, ""en"", ""bg"")"),"помощ_за_домашно_изпълнение")</f>
        <v>помощ_за_домашно_изпълнение</v>
      </c>
      <c r="H3090" s="1" t="str">
        <f ca="1">IFERROR(__xludf.DUMMYFUNCTION("GOOGLETRANSLATE(English!H3090, ""en"", ""bg"")"),"помощ_за_домашно_задаване")</f>
        <v>помощ_за_домашно_задаване</v>
      </c>
    </row>
    <row r="3091" spans="1:8" ht="13.2" x14ac:dyDescent="0.25">
      <c r="A3091" s="1" t="str">
        <f ca="1">IFERROR(__xludf.DUMMYFUNCTION("GOOGLETRANSLATE(English!A3091, ""en"", ""bg"")"),"conv_02178")</f>
        <v>conv_02178</v>
      </c>
      <c r="B3091" s="1" t="str">
        <f ca="1">IFERROR(__xludf.DUMMYFUNCTION("GOOGLETRANSLATE(English!B3091, ""en"", ""bg"")"),"химия")</f>
        <v>химия</v>
      </c>
      <c r="C3091" s="1" t="str">
        <f ca="1">IFERROR(__xludf.DUMMYFUNCTION("GOOGLETRANSLATE(English!C3091, ""en"", ""bg"")"),"високо")</f>
        <v>високо</v>
      </c>
      <c r="D3091" s="1" t="str">
        <f ca="1">IFERROR(__xludf.DUMMYFUNCTION("GOOGLETRANSLATE(English!D3091, ""en"", ""bg"")"),"електрохимия")</f>
        <v>електрохимия</v>
      </c>
      <c r="E3091" s="1" t="str">
        <f ca="1">IFERROR(__xludf.DUMMYFUNCTION("GOOGLETRANSLATE(English!E3091, ""en"", ""bg"")"),"Здравей, преподавателю! Можеш ли да ми помогнеш да разбера електрохимията?")</f>
        <v>Здравей, преподавателю! Можеш ли да ми помогнеш да разбера електрохимията?</v>
      </c>
      <c r="F3091" s="1" t="str">
        <f ca="1">IFERROR(__xludf.DUMMYFUNCTION("GOOGLETRANSLATE(English!F3091,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3091" s="1" t="str">
        <f ca="1">IFERROR(__xludf.DUMMYFUNCTION("GOOGLETRANSLATE(English!G3091, ""en"", ""bg"")"),"разговор")</f>
        <v>разговор</v>
      </c>
      <c r="H3091" s="1" t="str">
        <f ca="1">IFERROR(__xludf.DUMMYFUNCTION("GOOGLETRANSLATE(English!H3091, ""en"", ""bg"")"),"образователна_помощ")</f>
        <v>образователна_помощ</v>
      </c>
    </row>
    <row r="3092" spans="1:8" ht="13.2" x14ac:dyDescent="0.25">
      <c r="A3092" s="1" t="str">
        <f ca="1">IFERROR(__xludf.DUMMYFUNCTION("GOOGLETRANSLATE(English!A3092, ""en"", ""bg"")"),"hw_12759")</f>
        <v>hw_12759</v>
      </c>
      <c r="B3092" s="1" t="str">
        <f ca="1">IFERROR(__xludf.DUMMYFUNCTION("GOOGLETRANSLATE(English!B3092, ""en"", ""bg"")"),"физика")</f>
        <v>физика</v>
      </c>
      <c r="C3092" s="1" t="str">
        <f ca="1">IFERROR(__xludf.DUMMYFUNCTION("GOOGLETRANSLATE(English!C3092, ""en"", ""bg"")"),"средата")</f>
        <v>средата</v>
      </c>
      <c r="D3092" s="1" t="str">
        <f ca="1">IFERROR(__xludf.DUMMYFUNCTION("GOOGLETRANSLATE(English!D3092, ""en"", ""bg"")"),"сили и движение")</f>
        <v>сили и движение</v>
      </c>
      <c r="E3092" s="1" t="str">
        <f ca="1">IFERROR(__xludf.DUMMYFUNCTION("GOOGLETRANSLATE(English!E3092,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3092" s="1" t="str">
        <f ca="1">IFERROR(__xludf.DUMMYFUNCTION("GOOGLETRANSLATE(English!F3092,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3092" s="1" t="str">
        <f ca="1">IFERROR(__xludf.DUMMYFUNCTION("GOOGLETRANSLATE(English!G3092, ""en"", ""bg"")"),"помощ_за_домашно_изпълнение")</f>
        <v>помощ_за_домашно_изпълнение</v>
      </c>
      <c r="H3092" s="1" t="str">
        <f ca="1">IFERROR(__xludf.DUMMYFUNCTION("GOOGLETRANSLATE(English!H3092, ""en"", ""bg"")"),"помощ_за_домашно_задаване")</f>
        <v>помощ_за_домашно_задаване</v>
      </c>
    </row>
    <row r="3093" spans="1:8" ht="13.2" x14ac:dyDescent="0.25">
      <c r="A3093" s="1" t="str">
        <f ca="1">IFERROR(__xludf.DUMMYFUNCTION("GOOGLETRANSLATE(English!A3093, ""en"", ""bg"")"),"qa_02264")</f>
        <v>qa_02264</v>
      </c>
      <c r="B3093" s="1" t="str">
        <f ca="1">IFERROR(__xludf.DUMMYFUNCTION("GOOGLETRANSLATE(English!B3093, ""en"", ""bg"")"),"физика")</f>
        <v>физика</v>
      </c>
      <c r="C3093" s="1" t="str">
        <f ca="1">IFERROR(__xludf.DUMMYFUNCTION("GOOGLETRANSLATE(English!C3093, ""en"", ""bg"")"),"елементарен")</f>
        <v>елементарен</v>
      </c>
      <c r="D3093" s="1" t="str">
        <f ca="1">IFERROR(__xludf.DUMMYFUNCTION("GOOGLETRANSLATE(English!D3093, ""en"", ""bg"")"),"горещо и студено")</f>
        <v>горещо и студено</v>
      </c>
      <c r="E3093" s="1" t="str">
        <f ca="1">IFERROR(__xludf.DUMMYFUNCTION("GOOGLETRANSLATE(English!E3093, ""en"", ""bg"")"),"Как работят топлото и студеното във физиката?")</f>
        <v>Как работят топлото и студеното във физиката?</v>
      </c>
      <c r="F3093" s="1" t="str">
        <f ca="1">IFERROR(__xludf.DUMMYFUNCTION("GOOGLETRANSLATE(English!F3093,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3093" s="1" t="str">
        <f ca="1">IFERROR(__xludf.DUMMYFUNCTION("GOOGLETRANSLATE(English!G3093, ""en"", ""bg"")"),"direct_qa")</f>
        <v>direct_qa</v>
      </c>
      <c r="H3093" s="1" t="str">
        <f ca="1">IFERROR(__xludf.DUMMYFUNCTION("GOOGLETRANSLATE(English!H3093, ""en"", ""bg"")"),"заявка_за_знание")</f>
        <v>заявка_за_знание</v>
      </c>
    </row>
    <row r="3094" spans="1:8" ht="13.2" x14ac:dyDescent="0.25">
      <c r="A3094" s="1" t="str">
        <f ca="1">IFERROR(__xludf.DUMMYFUNCTION("GOOGLETRANSLATE(English!A3094, ""en"", ""bg"")"),"hw_10749")</f>
        <v>hw_10749</v>
      </c>
      <c r="B3094" s="1" t="str">
        <f ca="1">IFERROR(__xludf.DUMMYFUNCTION("GOOGLETRANSLATE(English!B3094, ""en"", ""bg"")"),"физика")</f>
        <v>физика</v>
      </c>
      <c r="C3094" s="1" t="str">
        <f ca="1">IFERROR(__xludf.DUMMYFUNCTION("GOOGLETRANSLATE(English!C3094, ""en"", ""bg"")"),"високо")</f>
        <v>високо</v>
      </c>
      <c r="D3094" s="1" t="str">
        <f ca="1">IFERROR(__xludf.DUMMYFUNCTION("GOOGLETRANSLATE(English!D3094, ""en"", ""bg"")"),"механика")</f>
        <v>механика</v>
      </c>
      <c r="E3094" s="1" t="str">
        <f ca="1">IFERROR(__xludf.DUMMYFUNCTION("GOOGLETRANSLATE(English!E3094, ""en"", ""bg"")"),"Можеш ли да решиш този механичен въпрос с мен?")</f>
        <v>Можеш ли да решиш този механичен въпрос с мен?</v>
      </c>
      <c r="F3094" s="1" t="str">
        <f ca="1">IFERROR(__xludf.DUMMYFUNCTION("GOOGLETRANSLATE(English!F3094,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094" s="1" t="str">
        <f ca="1">IFERROR(__xludf.DUMMYFUNCTION("GOOGLETRANSLATE(English!G3094, ""en"", ""bg"")"),"помощ_за_домашно_изпълнение")</f>
        <v>помощ_за_домашно_изпълнение</v>
      </c>
      <c r="H3094" s="1" t="str">
        <f ca="1">IFERROR(__xludf.DUMMYFUNCTION("GOOGLETRANSLATE(English!H3094, ""en"", ""bg"")"),"помощ_за_домашно_задаване")</f>
        <v>помощ_за_домашно_задаване</v>
      </c>
    </row>
    <row r="3095" spans="1:8" ht="13.2" x14ac:dyDescent="0.25">
      <c r="A3095" s="1" t="str">
        <f ca="1">IFERROR(__xludf.DUMMYFUNCTION("GOOGLETRANSLATE(English!A3095, ""en"", ""bg"")"),"hw_08437")</f>
        <v>hw_08437</v>
      </c>
      <c r="B3095" s="1" t="str">
        <f ca="1">IFERROR(__xludf.DUMMYFUNCTION("GOOGLETRANSLATE(English!B3095, ""en"", ""bg"")"),"физика")</f>
        <v>физика</v>
      </c>
      <c r="C3095" s="1" t="str">
        <f ca="1">IFERROR(__xludf.DUMMYFUNCTION("GOOGLETRANSLATE(English!C3095, ""en"", ""bg"")"),"средата")</f>
        <v>средата</v>
      </c>
      <c r="D3095" s="1" t="str">
        <f ca="1">IFERROR(__xludf.DUMMYFUNCTION("GOOGLETRANSLATE(English!D3095, ""en"", ""bg"")"),"основи на електричеството")</f>
        <v>основи на електричеството</v>
      </c>
      <c r="E3095" s="1" t="str">
        <f ca="1">IFERROR(__xludf.DUMMYFUNCTION("GOOGLETRANSLATE(English!E3095,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3095" s="1" t="str">
        <f ca="1">IFERROR(__xludf.DUMMYFUNCTION("GOOGLETRANSLATE(English!F3095,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3095" s="1" t="str">
        <f ca="1">IFERROR(__xludf.DUMMYFUNCTION("GOOGLETRANSLATE(English!G3095, ""en"", ""bg"")"),"помощ_за_домашно_изпълнение")</f>
        <v>помощ_за_домашно_изпълнение</v>
      </c>
      <c r="H3095" s="1" t="str">
        <f ca="1">IFERROR(__xludf.DUMMYFUNCTION("GOOGLETRANSLATE(English!H3095, ""en"", ""bg"")"),"помощ_за_домашно_задаване")</f>
        <v>помощ_за_домашно_задаване</v>
      </c>
    </row>
    <row r="3096" spans="1:8" ht="13.2" x14ac:dyDescent="0.25">
      <c r="A3096" s="1" t="str">
        <f ca="1">IFERROR(__xludf.DUMMYFUNCTION("GOOGLETRANSLATE(English!A3096, ""en"", ""bg"")"),"conv_07092")</f>
        <v>conv_07092</v>
      </c>
      <c r="B3096" s="1" t="str">
        <f ca="1">IFERROR(__xludf.DUMMYFUNCTION("GOOGLETRANSLATE(English!B3096, ""en"", ""bg"")"),"физика")</f>
        <v>физика</v>
      </c>
      <c r="C3096" s="1" t="str">
        <f ca="1">IFERROR(__xludf.DUMMYFUNCTION("GOOGLETRANSLATE(English!C3096, ""en"", ""bg"")"),"високо")</f>
        <v>високо</v>
      </c>
      <c r="D3096" s="1" t="str">
        <f ca="1">IFERROR(__xludf.DUMMYFUNCTION("GOOGLETRANSLATE(English!D3096, ""en"", ""bg"")"),"атомна структура")</f>
        <v>атомна структура</v>
      </c>
      <c r="E3096" s="1" t="str">
        <f ca="1">IFERROR(__xludf.DUMMYFUNCTION("GOOGLETRANSLATE(English!E3096, ""en"", ""bg"")"),"Помогни ми да уча за теста. Можеш ли да ми обясниш структурата на атома?")</f>
        <v>Помогни ми да уча за теста. Можеш ли да ми обясниш структурата на атома?</v>
      </c>
      <c r="F3096" s="1" t="str">
        <f ca="1">IFERROR(__xludf.DUMMYFUNCTION("GOOGLETRANSLATE(English!F3096,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3096" s="1" t="str">
        <f ca="1">IFERROR(__xludf.DUMMYFUNCTION("GOOGLETRANSLATE(English!G3096, ""en"", ""bg"")"),"разговор")</f>
        <v>разговор</v>
      </c>
      <c r="H3096" s="1" t="str">
        <f ca="1">IFERROR(__xludf.DUMMYFUNCTION("GOOGLETRANSLATE(English!H3096, ""en"", ""bg"")"),"образователна_помощ")</f>
        <v>образователна_помощ</v>
      </c>
    </row>
    <row r="3097" spans="1:8" ht="13.2" x14ac:dyDescent="0.25">
      <c r="A3097" s="1" t="str">
        <f ca="1">IFERROR(__xludf.DUMMYFUNCTION("GOOGLETRANSLATE(English!A3097, ""en"", ""bg"")"),"qa_08921")</f>
        <v>qa_08921</v>
      </c>
      <c r="B3097" s="1" t="str">
        <f ca="1">IFERROR(__xludf.DUMMYFUNCTION("GOOGLETRANSLATE(English!B3097, ""en"", ""bg"")"),"химия")</f>
        <v>химия</v>
      </c>
      <c r="C3097" s="1" t="str">
        <f ca="1">IFERROR(__xludf.DUMMYFUNCTION("GOOGLETRANSLATE(English!C3097, ""en"", ""bg"")"),"средата")</f>
        <v>средата</v>
      </c>
      <c r="D3097" s="1" t="str">
        <f ca="1">IFERROR(__xludf.DUMMYFUNCTION("GOOGLETRANSLATE(English!D3097, ""en"", ""bg"")"),"съединения срещу елементи")</f>
        <v>съединения срещу елементи</v>
      </c>
      <c r="E3097" s="1" t="str">
        <f ca="1">IFERROR(__xludf.DUMMYFUNCTION("GOOGLETRANSLATE(English!E3097, ""en"", ""bg"")"),"Можете ли да ми помогнете да разбера по-добре съединенията спрямо елементите?")</f>
        <v>Можете ли да ми помогнете да разбера по-добре съединенията спрямо елементите?</v>
      </c>
      <c r="F3097" s="1" t="str">
        <f ca="1">IFERROR(__xludf.DUMMYFUNCTION("GOOGLETRANSLATE(English!F3097,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3097" s="1" t="str">
        <f ca="1">IFERROR(__xludf.DUMMYFUNCTION("GOOGLETRANSLATE(English!G3097, ""en"", ""bg"")"),"direct_qa")</f>
        <v>direct_qa</v>
      </c>
      <c r="H3097" s="1" t="str">
        <f ca="1">IFERROR(__xludf.DUMMYFUNCTION("GOOGLETRANSLATE(English!H3097, ""en"", ""bg"")"),"заявка_за_знание")</f>
        <v>заявка_за_знание</v>
      </c>
    </row>
    <row r="3098" spans="1:8" ht="13.2" x14ac:dyDescent="0.25">
      <c r="A3098" s="1" t="str">
        <f ca="1">IFERROR(__xludf.DUMMYFUNCTION("GOOGLETRANSLATE(English!A3098, ""en"", ""bg"")"),"conv_18998")</f>
        <v>conv_18998</v>
      </c>
      <c r="B3098" s="1" t="str">
        <f ca="1">IFERROR(__xludf.DUMMYFUNCTION("GOOGLETRANSLATE(English!B3098, ""en"", ""bg"")"),"биология")</f>
        <v>биология</v>
      </c>
      <c r="C3098" s="1" t="str">
        <f ca="1">IFERROR(__xludf.DUMMYFUNCTION("GOOGLETRANSLATE(English!C3098, ""en"", ""bg"")"),"високо")</f>
        <v>високо</v>
      </c>
      <c r="D3098" s="1" t="str">
        <f ca="1">IFERROR(__xludf.DUMMYFUNCTION("GOOGLETRANSLATE(English!D3098, ""en"", ""bg"")"),"синтез на протеини")</f>
        <v>синтез на протеини</v>
      </c>
      <c r="E3098" s="1" t="str">
        <f ca="1">IFERROR(__xludf.DUMMYFUNCTION("GOOGLETRANSLATE(English!E3098, ""en"", ""bg"")"),"Имам нужда от помощ с домашното си. Как работи синтезът на протеини?")</f>
        <v>Имам нужда от помощ с домашното си. Как работи синтезът на протеини?</v>
      </c>
      <c r="F3098" s="1" t="str">
        <f ca="1">IFERROR(__xludf.DUMMYFUNCTION("GOOGLETRANSLATE(English!F3098,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3098" s="1" t="str">
        <f ca="1">IFERROR(__xludf.DUMMYFUNCTION("GOOGLETRANSLATE(English!G3098, ""en"", ""bg"")"),"разговор")</f>
        <v>разговор</v>
      </c>
      <c r="H3098" s="1" t="str">
        <f ca="1">IFERROR(__xludf.DUMMYFUNCTION("GOOGLETRANSLATE(English!H3098, ""en"", ""bg"")"),"образователна_помощ")</f>
        <v>образователна_помощ</v>
      </c>
    </row>
    <row r="3099" spans="1:8" ht="13.2" x14ac:dyDescent="0.25">
      <c r="A3099" s="1" t="str">
        <f ca="1">IFERROR(__xludf.DUMMYFUNCTION("GOOGLETRANSLATE(English!A3099, ""en"", ""bg"")"),"qa_09098")</f>
        <v>qa_09098</v>
      </c>
      <c r="B3099" s="1" t="str">
        <f ca="1">IFERROR(__xludf.DUMMYFUNCTION("GOOGLETRANSLATE(English!B3099, ""en"", ""bg"")"),"физика")</f>
        <v>физика</v>
      </c>
      <c r="C3099" s="1" t="str">
        <f ca="1">IFERROR(__xludf.DUMMYFUNCTION("GOOGLETRANSLATE(English!C3099, ""en"", ""bg"")"),"средата")</f>
        <v>средата</v>
      </c>
      <c r="D3099" s="1" t="str">
        <f ca="1">IFERROR(__xludf.DUMMYFUNCTION("GOOGLETRANSLATE(English!D3099, ""en"", ""bg"")"),"състояния на материята")</f>
        <v>състояния на материята</v>
      </c>
      <c r="E3099" s="1" t="str">
        <f ca="1">IFERROR(__xludf.DUMMYFUNCTION("GOOGLETRANSLATE(English!E3099, ""en"", ""bg"")"),"Защо състоянията на материята са важни?")</f>
        <v>Защо състоянията на материята са важни?</v>
      </c>
      <c r="F3099" s="1" t="str">
        <f ca="1">IFERROR(__xludf.DUMMYFUNCTION("GOOGLETRANSLATE(English!F3099,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3099" s="1" t="str">
        <f ca="1">IFERROR(__xludf.DUMMYFUNCTION("GOOGLETRANSLATE(English!G3099, ""en"", ""bg"")"),"direct_qa")</f>
        <v>direct_qa</v>
      </c>
      <c r="H3099" s="1" t="str">
        <f ca="1">IFERROR(__xludf.DUMMYFUNCTION("GOOGLETRANSLATE(English!H3099, ""en"", ""bg"")"),"заявка_за_знание")</f>
        <v>заявка_за_знание</v>
      </c>
    </row>
    <row r="3100" spans="1:8" ht="13.2" x14ac:dyDescent="0.25">
      <c r="A3100" s="1" t="str">
        <f ca="1">IFERROR(__xludf.DUMMYFUNCTION("GOOGLETRANSLATE(English!A3100, ""en"", ""bg"")"),"conv_17815")</f>
        <v>conv_17815</v>
      </c>
      <c r="B3100" s="1" t="str">
        <f ca="1">IFERROR(__xludf.DUMMYFUNCTION("GOOGLETRANSLATE(English!B3100, ""en"", ""bg"")"),"физика")</f>
        <v>физика</v>
      </c>
      <c r="C3100" s="1" t="str">
        <f ca="1">IFERROR(__xludf.DUMMYFUNCTION("GOOGLETRANSLATE(English!C3100, ""en"", ""bg"")"),"високо")</f>
        <v>високо</v>
      </c>
      <c r="D3100" s="1" t="str">
        <f ca="1">IFERROR(__xludf.DUMMYFUNCTION("GOOGLETRANSLATE(English!D3100, ""en"", ""bg"")"),"радиоактивност")</f>
        <v>радиоактивност</v>
      </c>
      <c r="E3100" s="1" t="str">
        <f ca="1">IFERROR(__xludf.DUMMYFUNCTION("GOOGLETRANSLATE(English!E3100, ""en"", ""bg"")"),"Можете ли да ми обясните това? Защо радиоактивността е важна?")</f>
        <v>Можете ли да ми обясните това? Защо радиоактивността е важна?</v>
      </c>
      <c r="F3100" s="1" t="str">
        <f ca="1">IFERROR(__xludf.DUMMYFUNCTION("GOOGLETRANSLATE(English!F3100,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3100" s="1" t="str">
        <f ca="1">IFERROR(__xludf.DUMMYFUNCTION("GOOGLETRANSLATE(English!G3100, ""en"", ""bg"")"),"разговор")</f>
        <v>разговор</v>
      </c>
      <c r="H3100" s="1" t="str">
        <f ca="1">IFERROR(__xludf.DUMMYFUNCTION("GOOGLETRANSLATE(English!H3100, ""en"", ""bg"")"),"образователна_помощ")</f>
        <v>образователна_помощ</v>
      </c>
    </row>
    <row r="3101" spans="1:8" ht="13.2" x14ac:dyDescent="0.25">
      <c r="A3101" s="1" t="str">
        <f ca="1">IFERROR(__xludf.DUMMYFUNCTION("GOOGLETRANSLATE(English!A3101, ""en"", ""bg"")"),"qa_02907")</f>
        <v>qa_02907</v>
      </c>
      <c r="B3101" s="1" t="str">
        <f ca="1">IFERROR(__xludf.DUMMYFUNCTION("GOOGLETRANSLATE(English!B3101, ""en"", ""bg"")"),"биология")</f>
        <v>биология</v>
      </c>
      <c r="C3101" s="1" t="str">
        <f ca="1">IFERROR(__xludf.DUMMYFUNCTION("GOOGLETRANSLATE(English!C3101, ""en"", ""bg"")"),"средата")</f>
        <v>средата</v>
      </c>
      <c r="D3101" s="1" t="str">
        <f ca="1">IFERROR(__xludf.DUMMYFUNCTION("GOOGLETRANSLATE(English!D3101, ""en"", ""bg"")"),"размножаване")</f>
        <v>размножаване</v>
      </c>
      <c r="E3101" s="1" t="str">
        <f ca="1">IFERROR(__xludf.DUMMYFUNCTION("GOOGLETRANSLATE(English!E3101, ""en"", ""bg"")"),"Какво е важно да знаем за размножаването?")</f>
        <v>Какво е важно да знаем за размножаването?</v>
      </c>
      <c r="F3101" s="1" t="str">
        <f ca="1">IFERROR(__xludf.DUMMYFUNCTION("GOOGLETRANSLATE(English!F3101,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3101" s="1" t="str">
        <f ca="1">IFERROR(__xludf.DUMMYFUNCTION("GOOGLETRANSLATE(English!G3101, ""en"", ""bg"")"),"direct_qa")</f>
        <v>direct_qa</v>
      </c>
      <c r="H3101" s="1" t="str">
        <f ca="1">IFERROR(__xludf.DUMMYFUNCTION("GOOGLETRANSLATE(English!H3101, ""en"", ""bg"")"),"заявка_за_знание")</f>
        <v>заявка_за_знание</v>
      </c>
    </row>
    <row r="3102" spans="1:8" ht="13.2" x14ac:dyDescent="0.25">
      <c r="A3102" s="1" t="str">
        <f ca="1">IFERROR(__xludf.DUMMYFUNCTION("GOOGLETRANSLATE(English!A3102, ""en"", ""bg"")"),"qa_11172")</f>
        <v>qa_11172</v>
      </c>
      <c r="B3102" s="1" t="str">
        <f ca="1">IFERROR(__xludf.DUMMYFUNCTION("GOOGLETRANSLATE(English!B3102, ""en"", ""bg"")"),"физика")</f>
        <v>физика</v>
      </c>
      <c r="C3102" s="1" t="str">
        <f ca="1">IFERROR(__xludf.DUMMYFUNCTION("GOOGLETRANSLATE(English!C3102, ""en"", ""bg"")"),"елементарен")</f>
        <v>елементарен</v>
      </c>
      <c r="D3102" s="1" t="str">
        <f ca="1">IFERROR(__xludf.DUMMYFUNCTION("GOOGLETRANSLATE(English!D3102, ""en"", ""bg"")"),"горещо и студено")</f>
        <v>горещо и студено</v>
      </c>
      <c r="E3102" s="1" t="str">
        <f ca="1">IFERROR(__xludf.DUMMYFUNCTION("GOOGLETRANSLATE(English!E3102, ""en"", ""bg"")"),"Можете ли да ми обясните какво е топло и студено?")</f>
        <v>Можете ли да ми обясните какво е топло и студено?</v>
      </c>
      <c r="F3102" s="1" t="str">
        <f ca="1">IFERROR(__xludf.DUMMYFUNCTION("GOOGLETRANSLATE(English!F3102,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3102" s="1" t="str">
        <f ca="1">IFERROR(__xludf.DUMMYFUNCTION("GOOGLETRANSLATE(English!G3102, ""en"", ""bg"")"),"direct_qa")</f>
        <v>direct_qa</v>
      </c>
      <c r="H3102" s="1" t="str">
        <f ca="1">IFERROR(__xludf.DUMMYFUNCTION("GOOGLETRANSLATE(English!H3102, ""en"", ""bg"")"),"заявка_за_знание")</f>
        <v>заявка_за_знание</v>
      </c>
    </row>
    <row r="3103" spans="1:8" ht="13.2" x14ac:dyDescent="0.25">
      <c r="A3103" s="1" t="str">
        <f ca="1">IFERROR(__xludf.DUMMYFUNCTION("GOOGLETRANSLATE(English!A3103, ""en"", ""bg"")"),"hw_02446")</f>
        <v>hw_02446</v>
      </c>
      <c r="B3103" s="1" t="str">
        <f ca="1">IFERROR(__xludf.DUMMYFUNCTION("GOOGLETRANSLATE(English!B3103, ""en"", ""bg"")"),"биология")</f>
        <v>биология</v>
      </c>
      <c r="C3103" s="1" t="str">
        <f ca="1">IFERROR(__xludf.DUMMYFUNCTION("GOOGLETRANSLATE(English!C3103, ""en"", ""bg"")"),"елементарен")</f>
        <v>елементарен</v>
      </c>
      <c r="D3103" s="1" t="str">
        <f ca="1">IFERROR(__xludf.DUMMYFUNCTION("GOOGLETRANSLATE(English!D3103, ""en"", ""bg"")"),"растения")</f>
        <v>растения</v>
      </c>
      <c r="E3103" s="1" t="str">
        <f ca="1">IFERROR(__xludf.DUMMYFUNCTION("GOOGLETRANSLATE(English!E3103, ""en"", ""bg"")"),"Домашното ми пита за растенията. Не го разбирам.")</f>
        <v>Домашното ми пита за растенията. Не го разбирам.</v>
      </c>
      <c r="F3103" s="1" t="str">
        <f ca="1">IFERROR(__xludf.DUMMYFUNCTION("GOOGLETRANSLATE(English!F3103,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3103" s="1" t="str">
        <f ca="1">IFERROR(__xludf.DUMMYFUNCTION("GOOGLETRANSLATE(English!G3103, ""en"", ""bg"")"),"помощ_за_домашно_изпълнение")</f>
        <v>помощ_за_домашно_изпълнение</v>
      </c>
      <c r="H3103" s="1" t="str">
        <f ca="1">IFERROR(__xludf.DUMMYFUNCTION("GOOGLETRANSLATE(English!H3103, ""en"", ""bg"")"),"помощ_за_домашно_задаване")</f>
        <v>помощ_за_домашно_задаване</v>
      </c>
    </row>
    <row r="3104" spans="1:8" ht="13.2" x14ac:dyDescent="0.25">
      <c r="A3104" s="1" t="str">
        <f ca="1">IFERROR(__xludf.DUMMYFUNCTION("GOOGLETRANSLATE(English!A3104, ""en"", ""bg"")"),"conv_19171")</f>
        <v>conv_19171</v>
      </c>
      <c r="B3104" s="1" t="str">
        <f ca="1">IFERROR(__xludf.DUMMYFUNCTION("GOOGLETRANSLATE(English!B3104, ""en"", ""bg"")"),"биология")</f>
        <v>биология</v>
      </c>
      <c r="C3104" s="1" t="str">
        <f ca="1">IFERROR(__xludf.DUMMYFUNCTION("GOOGLETRANSLATE(English!C3104, ""en"", ""bg"")"),"средата")</f>
        <v>средата</v>
      </c>
      <c r="D3104" s="1" t="str">
        <f ca="1">IFERROR(__xludf.DUMMYFUNCTION("GOOGLETRANSLATE(English!D3104, ""en"", ""bg"")"),"класификация")</f>
        <v>класификация</v>
      </c>
      <c r="E3104" s="1" t="str">
        <f ca="1">IFERROR(__xludf.DUMMYFUNCTION("GOOGLETRANSLATE(English!E3104, ""en"", ""bg"")"),"Можете ли да ми помогнете? Как работи класификацията?")</f>
        <v>Можете ли да ми помогнете? Как работи класификацията?</v>
      </c>
      <c r="F3104" s="1" t="str">
        <f ca="1">IFERROR(__xludf.DUMMYFUNCTION("GOOGLETRANSLATE(English!F3104,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3104" s="1" t="str">
        <f ca="1">IFERROR(__xludf.DUMMYFUNCTION("GOOGLETRANSLATE(English!G3104, ""en"", ""bg"")"),"разговор")</f>
        <v>разговор</v>
      </c>
      <c r="H3104" s="1" t="str">
        <f ca="1">IFERROR(__xludf.DUMMYFUNCTION("GOOGLETRANSLATE(English!H3104, ""en"", ""bg"")"),"образователна_помощ")</f>
        <v>образователна_помощ</v>
      </c>
    </row>
    <row r="3105" spans="1:8" ht="13.2" x14ac:dyDescent="0.25">
      <c r="A3105" s="1" t="str">
        <f ca="1">IFERROR(__xludf.DUMMYFUNCTION("GOOGLETRANSLATE(English!A3105, ""en"", ""bg"")"),"conv_16122")</f>
        <v>conv_16122</v>
      </c>
      <c r="B3105" s="1" t="str">
        <f ca="1">IFERROR(__xludf.DUMMYFUNCTION("GOOGLETRANSLATE(English!B3105, ""en"", ""bg"")"),"биология")</f>
        <v>биология</v>
      </c>
      <c r="C3105" s="1" t="str">
        <f ca="1">IFERROR(__xludf.DUMMYFUNCTION("GOOGLETRANSLATE(English!C3105, ""en"", ""bg"")"),"високо")</f>
        <v>високо</v>
      </c>
      <c r="D3105" s="1" t="str">
        <f ca="1">IFERROR(__xludf.DUMMYFUNCTION("GOOGLETRANSLATE(English!D3105, ""en"", ""bg"")"),"клетъчно дишане")</f>
        <v>клетъчно дишане</v>
      </c>
      <c r="E3105" s="1" t="str">
        <f ca="1">IFERROR(__xludf.DUMMYFUNCTION("GOOGLETRANSLATE(English!E3105, ""en"", ""bg"")"),"Имам нужда от помощ с домашното си. Какво е важно да знаем за клетъчното дишане?")</f>
        <v>Имам нужда от помощ с домашното си. Какво е важно да знаем за клетъчното дишане?</v>
      </c>
      <c r="F3105" s="1" t="str">
        <f ca="1">IFERROR(__xludf.DUMMYFUNCTION("GOOGLETRANSLATE(English!F3105,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3105" s="1" t="str">
        <f ca="1">IFERROR(__xludf.DUMMYFUNCTION("GOOGLETRANSLATE(English!G3105, ""en"", ""bg"")"),"разговор")</f>
        <v>разговор</v>
      </c>
      <c r="H3105" s="1" t="str">
        <f ca="1">IFERROR(__xludf.DUMMYFUNCTION("GOOGLETRANSLATE(English!H3105, ""en"", ""bg"")"),"образователна_помощ")</f>
        <v>образователна_помощ</v>
      </c>
    </row>
    <row r="3106" spans="1:8" ht="13.2" x14ac:dyDescent="0.25">
      <c r="A3106" s="1" t="str">
        <f ca="1">IFERROR(__xludf.DUMMYFUNCTION("GOOGLETRANSLATE(English!A3106, ""en"", ""bg"")"),"hw_12047")</f>
        <v>hw_12047</v>
      </c>
      <c r="B3106" s="1" t="str">
        <f ca="1">IFERROR(__xludf.DUMMYFUNCTION("GOOGLETRANSLATE(English!B3106, ""en"", ""bg"")"),"химия")</f>
        <v>химия</v>
      </c>
      <c r="C3106" s="1" t="str">
        <f ca="1">IFERROR(__xludf.DUMMYFUNCTION("GOOGLETRANSLATE(English!C3106, ""en"", ""bg"")"),"високо")</f>
        <v>високо</v>
      </c>
      <c r="D3106" s="1" t="str">
        <f ca="1">IFERROR(__xludf.DUMMYFUNCTION("GOOGLETRANSLATE(English!D3106, ""en"", ""bg"")"),"равновесие")</f>
        <v>равновесие</v>
      </c>
      <c r="E3106" s="1" t="str">
        <f ca="1">IFERROR(__xludf.DUMMYFUNCTION("GOOGLETRANSLATE(English!E3106, ""en"", ""bg"")"),"Не разбирам тази концепция за равновесие. Моля, обяснете!")</f>
        <v>Не разбирам тази концепция за равновесие. Моля, обяснете!</v>
      </c>
      <c r="F3106" s="1" t="str">
        <f ca="1">IFERROR(__xludf.DUMMYFUNCTION("GOOGLETRANSLATE(English!F3106,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106" s="1" t="str">
        <f ca="1">IFERROR(__xludf.DUMMYFUNCTION("GOOGLETRANSLATE(English!G3106, ""en"", ""bg"")"),"помощ_за_домашно_изпълнение")</f>
        <v>помощ_за_домашно_изпълнение</v>
      </c>
      <c r="H3106" s="1" t="str">
        <f ca="1">IFERROR(__xludf.DUMMYFUNCTION("GOOGLETRANSLATE(English!H3106, ""en"", ""bg"")"),"помощ_за_домашно_задаване")</f>
        <v>помощ_за_домашно_задаване</v>
      </c>
    </row>
    <row r="3107" spans="1:8" ht="13.2" x14ac:dyDescent="0.25">
      <c r="A3107" s="1" t="str">
        <f ca="1">IFERROR(__xludf.DUMMYFUNCTION("GOOGLETRANSLATE(English!A3107, ""en"", ""bg"")"),"hw_04515")</f>
        <v>hw_04515</v>
      </c>
      <c r="B3107" s="1" t="str">
        <f ca="1">IFERROR(__xludf.DUMMYFUNCTION("GOOGLETRANSLATE(English!B3107, ""en"", ""bg"")"),"химия")</f>
        <v>химия</v>
      </c>
      <c r="C3107" s="1" t="str">
        <f ca="1">IFERROR(__xludf.DUMMYFUNCTION("GOOGLETRANSLATE(English!C3107, ""en"", ""bg"")"),"средата")</f>
        <v>средата</v>
      </c>
      <c r="D3107" s="1" t="str">
        <f ca="1">IFERROR(__xludf.DUMMYFUNCTION("GOOGLETRANSLATE(English!D3107, ""en"", ""bg"")"),"основи на периодичната таблица")</f>
        <v>основи на периодичната таблица</v>
      </c>
      <c r="E3107" s="1" t="str">
        <f ca="1">IFERROR(__xludf.DUMMYFUNCTION("GOOGLETRANSLATE(English!E3107, ""en"", ""bg"")"),"Моят доклад по химия е за основите на периодичната таблица. Помогнете ми да разбера.")</f>
        <v>Моят доклад по химия е за основите на периодичната таблица. Помогнете ми да разбера.</v>
      </c>
      <c r="F3107" s="1" t="str">
        <f ca="1">IFERROR(__xludf.DUMMYFUNCTION("GOOGLETRANSLATE(English!F3107,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3107" s="1" t="str">
        <f ca="1">IFERROR(__xludf.DUMMYFUNCTION("GOOGLETRANSLATE(English!G3107, ""en"", ""bg"")"),"помощ_за_домашно_изпълнение")</f>
        <v>помощ_за_домашно_изпълнение</v>
      </c>
      <c r="H3107" s="1" t="str">
        <f ca="1">IFERROR(__xludf.DUMMYFUNCTION("GOOGLETRANSLATE(English!H3107, ""en"", ""bg"")"),"помощ_за_домашно_задаване")</f>
        <v>помощ_за_домашно_задаване</v>
      </c>
    </row>
    <row r="3108" spans="1:8" ht="13.2" x14ac:dyDescent="0.25">
      <c r="A3108" s="1" t="str">
        <f ca="1">IFERROR(__xludf.DUMMYFUNCTION("GOOGLETRANSLATE(English!A3108, ""en"", ""bg"")"),"qa_01752")</f>
        <v>qa_01752</v>
      </c>
      <c r="B3108" s="1" t="str">
        <f ca="1">IFERROR(__xludf.DUMMYFUNCTION("GOOGLETRANSLATE(English!B3108, ""en"", ""bg"")"),"биология")</f>
        <v>биология</v>
      </c>
      <c r="C3108" s="1" t="str">
        <f ca="1">IFERROR(__xludf.DUMMYFUNCTION("GOOGLETRANSLATE(English!C3108, ""en"", ""bg"")"),"високо")</f>
        <v>високо</v>
      </c>
      <c r="D3108" s="1" t="str">
        <f ca="1">IFERROR(__xludf.DUMMYFUNCTION("GOOGLETRANSLATE(English!D3108, ""en"", ""bg"")"),"молекулярна биология")</f>
        <v>молекулярна биология</v>
      </c>
      <c r="E3108" s="1" t="str">
        <f ca="1">IFERROR(__xludf.DUMMYFUNCTION("GOOGLETRANSLATE(English!E3108, ""en"", ""bg"")"),"Как работи молекулярната биология?")</f>
        <v>Как работи молекулярната биология?</v>
      </c>
      <c r="F3108" s="1" t="str">
        <f ca="1">IFERROR(__xludf.DUMMYFUNCTION("GOOGLETRANSLATE(English!F3108,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3108" s="1" t="str">
        <f ca="1">IFERROR(__xludf.DUMMYFUNCTION("GOOGLETRANSLATE(English!G3108, ""en"", ""bg"")"),"direct_qa")</f>
        <v>direct_qa</v>
      </c>
      <c r="H3108" s="1" t="str">
        <f ca="1">IFERROR(__xludf.DUMMYFUNCTION("GOOGLETRANSLATE(English!H3108, ""en"", ""bg"")"),"заявка_за_знание")</f>
        <v>заявка_за_знание</v>
      </c>
    </row>
    <row r="3109" spans="1:8" ht="13.2" x14ac:dyDescent="0.25">
      <c r="A3109" s="1" t="str">
        <f ca="1">IFERROR(__xludf.DUMMYFUNCTION("GOOGLETRANSLATE(English!A3109, ""en"", ""bg"")"),"conv_18398")</f>
        <v>conv_18398</v>
      </c>
      <c r="B3109" s="1" t="str">
        <f ca="1">IFERROR(__xludf.DUMMYFUNCTION("GOOGLETRANSLATE(English!B3109, ""en"", ""bg"")"),"физика")</f>
        <v>физика</v>
      </c>
      <c r="C3109" s="1" t="str">
        <f ca="1">IFERROR(__xludf.DUMMYFUNCTION("GOOGLETRANSLATE(English!C3109, ""en"", ""bg"")"),"средата")</f>
        <v>средата</v>
      </c>
      <c r="D3109" s="1" t="str">
        <f ca="1">IFERROR(__xludf.DUMMYFUNCTION("GOOGLETRANSLATE(English!D3109, ""en"", ""bg"")"),"прости схеми")</f>
        <v>прости схеми</v>
      </c>
      <c r="E3109" s="1" t="str">
        <f ca="1">IFERROR(__xludf.DUMMYFUNCTION("GOOGLETRANSLATE(English!E3109, ""en"", ""bg"")"),"Здравей, преподавателю! Какво трябва да знам за простите електрически вериги?")</f>
        <v>Здравей, преподавателю! Какво трябва да знам за простите електрически вериги?</v>
      </c>
      <c r="F3109" s="1" t="str">
        <f ca="1">IFERROR(__xludf.DUMMYFUNCTION("GOOGLETRANSLATE(English!F3109,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3109" s="1" t="str">
        <f ca="1">IFERROR(__xludf.DUMMYFUNCTION("GOOGLETRANSLATE(English!G3109, ""en"", ""bg"")"),"разговор")</f>
        <v>разговор</v>
      </c>
      <c r="H3109" s="1" t="str">
        <f ca="1">IFERROR(__xludf.DUMMYFUNCTION("GOOGLETRANSLATE(English!H3109, ""en"", ""bg"")"),"образователна_помощ")</f>
        <v>образователна_помощ</v>
      </c>
    </row>
    <row r="3110" spans="1:8" ht="13.2" x14ac:dyDescent="0.25">
      <c r="A3110" s="1" t="str">
        <f ca="1">IFERROR(__xludf.DUMMYFUNCTION("GOOGLETRANSLATE(English!A3110, ""en"", ""bg"")"),"qa_13840")</f>
        <v>qa_13840</v>
      </c>
      <c r="B3110" s="1" t="str">
        <f ca="1">IFERROR(__xludf.DUMMYFUNCTION("GOOGLETRANSLATE(English!B3110, ""en"", ""bg"")"),"физика")</f>
        <v>физика</v>
      </c>
      <c r="C3110" s="1" t="str">
        <f ca="1">IFERROR(__xludf.DUMMYFUNCTION("GOOGLETRANSLATE(English!C3110, ""en"", ""bg"")"),"средата")</f>
        <v>средата</v>
      </c>
      <c r="D3110" s="1" t="str">
        <f ca="1">IFERROR(__xludf.DUMMYFUNCTION("GOOGLETRANSLATE(English!D3110, ""en"", ""bg"")"),"вълни")</f>
        <v>вълни</v>
      </c>
      <c r="E3110" s="1" t="str">
        <f ca="1">IFERROR(__xludf.DUMMYFUNCTION("GOOGLETRANSLATE(English!E3110, ""en"", ""bg"")"),"Можете ли да ми обясните какво представляват вълните?")</f>
        <v>Можете ли да ми обясните какво представляват вълните?</v>
      </c>
      <c r="F3110" s="1" t="str">
        <f ca="1">IFERROR(__xludf.DUMMYFUNCTION("GOOGLETRANSLATE(English!F3110,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3110" s="1" t="str">
        <f ca="1">IFERROR(__xludf.DUMMYFUNCTION("GOOGLETRANSLATE(English!G3110, ""en"", ""bg"")"),"direct_qa")</f>
        <v>direct_qa</v>
      </c>
      <c r="H3110" s="1" t="str">
        <f ca="1">IFERROR(__xludf.DUMMYFUNCTION("GOOGLETRANSLATE(English!H3110, ""en"", ""bg"")"),"заявка_за_знание")</f>
        <v>заявка_за_знание</v>
      </c>
    </row>
    <row r="3111" spans="1:8" ht="13.2" x14ac:dyDescent="0.25">
      <c r="A3111" s="1" t="str">
        <f ca="1">IFERROR(__xludf.DUMMYFUNCTION("GOOGLETRANSLATE(English!A3111, ""en"", ""bg"")"),"hw_10551")</f>
        <v>hw_10551</v>
      </c>
      <c r="B3111" s="1" t="str">
        <f ca="1">IFERROR(__xludf.DUMMYFUNCTION("GOOGLETRANSLATE(English!B3111, ""en"", ""bg"")"),"физика")</f>
        <v>физика</v>
      </c>
      <c r="C3111" s="1" t="str">
        <f ca="1">IFERROR(__xludf.DUMMYFUNCTION("GOOGLETRANSLATE(English!C3111, ""en"", ""bg"")"),"елементарен")</f>
        <v>елементарен</v>
      </c>
      <c r="D3111" s="1" t="str">
        <f ca="1">IFERROR(__xludf.DUMMYFUNCTION("GOOGLETRANSLATE(English!D3111, ""en"", ""bg"")"),"светлина и сянка")</f>
        <v>светлина и сянка</v>
      </c>
      <c r="E3111" s="1" t="str">
        <f ca="1">IFERROR(__xludf.DUMMYFUNCTION("GOOGLETRANSLATE(English!E3111,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3111" s="1" t="str">
        <f ca="1">IFERROR(__xludf.DUMMYFUNCTION("GOOGLETRANSLATE(English!F3111,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3111" s="1" t="str">
        <f ca="1">IFERROR(__xludf.DUMMYFUNCTION("GOOGLETRANSLATE(English!G3111, ""en"", ""bg"")"),"помощ_за_домашно_изпълнение")</f>
        <v>помощ_за_домашно_изпълнение</v>
      </c>
      <c r="H3111" s="1" t="str">
        <f ca="1">IFERROR(__xludf.DUMMYFUNCTION("GOOGLETRANSLATE(English!H3111, ""en"", ""bg"")"),"помощ_за_домашно_задаване")</f>
        <v>помощ_за_домашно_задаване</v>
      </c>
    </row>
    <row r="3112" spans="1:8" ht="13.2" x14ac:dyDescent="0.25">
      <c r="A3112" s="1" t="str">
        <f ca="1">IFERROR(__xludf.DUMMYFUNCTION("GOOGLETRANSLATE(English!A3112, ""en"", ""bg"")"),"qa_05179")</f>
        <v>qa_05179</v>
      </c>
      <c r="B3112" s="1" t="str">
        <f ca="1">IFERROR(__xludf.DUMMYFUNCTION("GOOGLETRANSLATE(English!B3112, ""en"", ""bg"")"),"химия")</f>
        <v>химия</v>
      </c>
      <c r="C3112" s="1" t="str">
        <f ca="1">IFERROR(__xludf.DUMMYFUNCTION("GOOGLETRANSLATE(English!C3112, ""en"", ""bg"")"),"високо")</f>
        <v>високо</v>
      </c>
      <c r="D3112" s="1" t="str">
        <f ca="1">IFERROR(__xludf.DUMMYFUNCTION("GOOGLETRANSLATE(English!D3112, ""en"", ""bg"")"),"химическо свързване")</f>
        <v>химическо свързване</v>
      </c>
      <c r="E3112" s="1" t="str">
        <f ca="1">IFERROR(__xludf.DUMMYFUNCTION("GOOGLETRANSLATE(English!E3112, ""en"", ""bg"")"),"Защо е важно да се учи химичното свързване?")</f>
        <v>Защо е важно да се учи химичното свързване?</v>
      </c>
      <c r="F3112" s="1" t="str">
        <f ca="1">IFERROR(__xludf.DUMMYFUNCTION("GOOGLETRANSLATE(English!F3112,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3112" s="1" t="str">
        <f ca="1">IFERROR(__xludf.DUMMYFUNCTION("GOOGLETRANSLATE(English!G3112, ""en"", ""bg"")"),"direct_qa")</f>
        <v>direct_qa</v>
      </c>
      <c r="H3112" s="1" t="str">
        <f ca="1">IFERROR(__xludf.DUMMYFUNCTION("GOOGLETRANSLATE(English!H3112, ""en"", ""bg"")"),"заявка_за_знание")</f>
        <v>заявка_за_знание</v>
      </c>
    </row>
    <row r="3113" spans="1:8" ht="13.2" x14ac:dyDescent="0.25">
      <c r="A3113" s="1" t="str">
        <f ca="1">IFERROR(__xludf.DUMMYFUNCTION("GOOGLETRANSLATE(English!A3113, ""en"", ""bg"")"),"qa_14918")</f>
        <v>qa_14918</v>
      </c>
      <c r="B3113" s="1" t="str">
        <f ca="1">IFERROR(__xludf.DUMMYFUNCTION("GOOGLETRANSLATE(English!B3113, ""en"", ""bg"")"),"физика")</f>
        <v>физика</v>
      </c>
      <c r="C3113" s="1" t="str">
        <f ca="1">IFERROR(__xludf.DUMMYFUNCTION("GOOGLETRANSLATE(English!C3113, ""en"", ""bg"")"),"елементарен")</f>
        <v>елементарен</v>
      </c>
      <c r="D3113" s="1" t="str">
        <f ca="1">IFERROR(__xludf.DUMMYFUNCTION("GOOGLETRANSLATE(English!D3113, ""en"", ""bg"")"),"магнити")</f>
        <v>магнити</v>
      </c>
      <c r="E3113" s="1" t="str">
        <f ca="1">IFERROR(__xludf.DUMMYFUNCTION("GOOGLETRANSLATE(English!E3113, ""en"", ""bg"")"),"Какви са полюсите на магнита?")</f>
        <v>Какви са полюсите на магнита?</v>
      </c>
      <c r="F3113" s="1" t="str">
        <f ca="1">IFERROR(__xludf.DUMMYFUNCTION("GOOGLETRANSLATE(English!F3113,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3113" s="1" t="str">
        <f ca="1">IFERROR(__xludf.DUMMYFUNCTION("GOOGLETRANSLATE(English!G3113, ""en"", ""bg"")"),"direct_qa")</f>
        <v>direct_qa</v>
      </c>
      <c r="H3113" s="1" t="str">
        <f ca="1">IFERROR(__xludf.DUMMYFUNCTION("GOOGLETRANSLATE(English!H3113, ""en"", ""bg"")"),"заявка_за_знание")</f>
        <v>заявка_за_знание</v>
      </c>
    </row>
    <row r="3114" spans="1:8" ht="13.2" x14ac:dyDescent="0.25">
      <c r="A3114" s="1" t="str">
        <f ca="1">IFERROR(__xludf.DUMMYFUNCTION("GOOGLETRANSLATE(English!A3114, ""en"", ""bg"")"),"conv_11378")</f>
        <v>conv_11378</v>
      </c>
      <c r="B3114" s="1" t="str">
        <f ca="1">IFERROR(__xludf.DUMMYFUNCTION("GOOGLETRANSLATE(English!B3114, ""en"", ""bg"")"),"биология")</f>
        <v>биология</v>
      </c>
      <c r="C3114" s="1" t="str">
        <f ca="1">IFERROR(__xludf.DUMMYFUNCTION("GOOGLETRANSLATE(English!C3114, ""en"", ""bg"")"),"високо")</f>
        <v>високо</v>
      </c>
      <c r="D3114" s="1" t="str">
        <f ca="1">IFERROR(__xludf.DUMMYFUNCTION("GOOGLETRANSLATE(English!D3114, ""en"", ""bg"")"),"Структура на ДНК")</f>
        <v>Структура на ДНК</v>
      </c>
      <c r="E3114" s="1" t="str">
        <f ca="1">IFERROR(__xludf.DUMMYFUNCTION("GOOGLETRANSLATE(English!E3114, ""en"", ""bg"")"),"Имам нужда от помощ с домашното си. Защо структурата на ДНК е важна в биологията?")</f>
        <v>Имам нужда от помощ с домашното си. Защо структурата на ДНК е важна в биологията?</v>
      </c>
      <c r="F3114" s="1" t="str">
        <f ca="1">IFERROR(__xludf.DUMMYFUNCTION("GOOGLETRANSLATE(English!F3114,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3114" s="1" t="str">
        <f ca="1">IFERROR(__xludf.DUMMYFUNCTION("GOOGLETRANSLATE(English!G3114, ""en"", ""bg"")"),"разговор")</f>
        <v>разговор</v>
      </c>
      <c r="H3114" s="1" t="str">
        <f ca="1">IFERROR(__xludf.DUMMYFUNCTION("GOOGLETRANSLATE(English!H3114, ""en"", ""bg"")"),"образователна_помощ")</f>
        <v>образователна_помощ</v>
      </c>
    </row>
    <row r="3115" spans="1:8" ht="13.2" x14ac:dyDescent="0.25">
      <c r="A3115" s="1" t="str">
        <f ca="1">IFERROR(__xludf.DUMMYFUNCTION("GOOGLETRANSLATE(English!A3115, ""en"", ""bg"")"),"qa_12759")</f>
        <v>qa_12759</v>
      </c>
      <c r="B3115" s="1" t="str">
        <f ca="1">IFERROR(__xludf.DUMMYFUNCTION("GOOGLETRANSLATE(English!B3115, ""en"", ""bg"")"),"химия")</f>
        <v>химия</v>
      </c>
      <c r="C3115" s="1" t="str">
        <f ca="1">IFERROR(__xludf.DUMMYFUNCTION("GOOGLETRANSLATE(English!C3115, ""en"", ""bg"")"),"високо")</f>
        <v>високо</v>
      </c>
      <c r="D3115" s="1" t="str">
        <f ca="1">IFERROR(__xludf.DUMMYFUNCTION("GOOGLETRANSLATE(English!D3115, ""en"", ""bg"")"),"химическо свързване")</f>
        <v>химическо свързване</v>
      </c>
      <c r="E3115" s="1" t="str">
        <f ca="1">IFERROR(__xludf.DUMMYFUNCTION("GOOGLETRANSLATE(English!E3115, ""en"", ""bg"")"),"Как работи химическата връзка в химията?")</f>
        <v>Как работи химическата връзка в химията?</v>
      </c>
      <c r="F3115" s="1" t="str">
        <f ca="1">IFERROR(__xludf.DUMMYFUNCTION("GOOGLETRANSLATE(English!F3115,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3115" s="1" t="str">
        <f ca="1">IFERROR(__xludf.DUMMYFUNCTION("GOOGLETRANSLATE(English!G3115, ""en"", ""bg"")"),"direct_qa")</f>
        <v>direct_qa</v>
      </c>
      <c r="H3115" s="1" t="str">
        <f ca="1">IFERROR(__xludf.DUMMYFUNCTION("GOOGLETRANSLATE(English!H3115, ""en"", ""bg"")"),"заявка_за_знание")</f>
        <v>заявка_за_знание</v>
      </c>
    </row>
    <row r="3116" spans="1:8" ht="13.2" x14ac:dyDescent="0.25">
      <c r="A3116" s="1" t="str">
        <f ca="1">IFERROR(__xludf.DUMMYFUNCTION("GOOGLETRANSLATE(English!A3116, ""en"", ""bg"")"),"conv_02840")</f>
        <v>conv_02840</v>
      </c>
      <c r="B3116" s="1" t="str">
        <f ca="1">IFERROR(__xludf.DUMMYFUNCTION("GOOGLETRANSLATE(English!B3116, ""en"", ""bg"")"),"химия")</f>
        <v>химия</v>
      </c>
      <c r="C3116" s="1" t="str">
        <f ca="1">IFERROR(__xludf.DUMMYFUNCTION("GOOGLETRANSLATE(English!C3116, ""en"", ""bg"")"),"средата")</f>
        <v>средата</v>
      </c>
      <c r="D3116" s="1" t="str">
        <f ca="1">IFERROR(__xludf.DUMMYFUNCTION("GOOGLETRANSLATE(English!D3116, ""en"", ""bg"")"),"киселини и основи")</f>
        <v>киселини и основи</v>
      </c>
      <c r="E3116" s="1" t="str">
        <f ca="1">IFERROR(__xludf.DUMMYFUNCTION("GOOGLETRANSLATE(English!E3116, ""en"", ""bg"")"),"Не разбирам тази тема. Какво представляват киселините и основите?")</f>
        <v>Не разбирам тази тема. Какво представляват киселините и основите?</v>
      </c>
      <c r="F3116" s="1" t="str">
        <f ca="1">IFERROR(__xludf.DUMMYFUNCTION("GOOGLETRANSLATE(English!F3116,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3116" s="1" t="str">
        <f ca="1">IFERROR(__xludf.DUMMYFUNCTION("GOOGLETRANSLATE(English!G3116, ""en"", ""bg"")"),"разговор")</f>
        <v>разговор</v>
      </c>
      <c r="H3116" s="1" t="str">
        <f ca="1">IFERROR(__xludf.DUMMYFUNCTION("GOOGLETRANSLATE(English!H3116, ""en"", ""bg"")"),"образователна_помощ")</f>
        <v>образователна_помощ</v>
      </c>
    </row>
    <row r="3117" spans="1:8" ht="13.2" x14ac:dyDescent="0.25">
      <c r="A3117" s="1" t="str">
        <f ca="1">IFERROR(__xludf.DUMMYFUNCTION("GOOGLETRANSLATE(English!A3117, ""en"", ""bg"")"),"qa_08520")</f>
        <v>qa_08520</v>
      </c>
      <c r="B3117" s="1" t="str">
        <f ca="1">IFERROR(__xludf.DUMMYFUNCTION("GOOGLETRANSLATE(English!B3117, ""en"", ""bg"")"),"химия")</f>
        <v>химия</v>
      </c>
      <c r="C3117" s="1" t="str">
        <f ca="1">IFERROR(__xludf.DUMMYFUNCTION("GOOGLETRANSLATE(English!C3117, ""en"", ""bg"")"),"високо")</f>
        <v>високо</v>
      </c>
      <c r="D3117" s="1" t="str">
        <f ca="1">IFERROR(__xludf.DUMMYFUNCTION("GOOGLETRANSLATE(English!D3117, ""en"", ""bg"")"),"равновесие")</f>
        <v>равновесие</v>
      </c>
      <c r="E3117" s="1" t="str">
        <f ca="1">IFERROR(__xludf.DUMMYFUNCTION("GOOGLETRANSLATE(English!E3117, ""en"", ""bg"")"),"Защо е важно да се учи равновесие?")</f>
        <v>Защо е важно да се учи равновесие?</v>
      </c>
      <c r="F3117" s="1" t="str">
        <f ca="1">IFERROR(__xludf.DUMMYFUNCTION("GOOGLETRANSLATE(English!F3117,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3117" s="1" t="str">
        <f ca="1">IFERROR(__xludf.DUMMYFUNCTION("GOOGLETRANSLATE(English!G3117, ""en"", ""bg"")"),"direct_qa")</f>
        <v>direct_qa</v>
      </c>
      <c r="H3117" s="1" t="str">
        <f ca="1">IFERROR(__xludf.DUMMYFUNCTION("GOOGLETRANSLATE(English!H3117, ""en"", ""bg"")"),"заявка_за_знание")</f>
        <v>заявка_за_знание</v>
      </c>
    </row>
    <row r="3118" spans="1:8" ht="13.2" x14ac:dyDescent="0.25">
      <c r="A3118" s="1" t="str">
        <f ca="1">IFERROR(__xludf.DUMMYFUNCTION("GOOGLETRANSLATE(English!A3118, ""en"", ""bg"")"),"hw_06722")</f>
        <v>hw_06722</v>
      </c>
      <c r="B3118" s="1" t="str">
        <f ca="1">IFERROR(__xludf.DUMMYFUNCTION("GOOGLETRANSLATE(English!B3118, ""en"", ""bg"")"),"биология")</f>
        <v>биология</v>
      </c>
      <c r="C3118" s="1" t="str">
        <f ca="1">IFERROR(__xludf.DUMMYFUNCTION("GOOGLETRANSLATE(English!C3118, ""en"", ""bg"")"),"високо")</f>
        <v>високо</v>
      </c>
      <c r="D3118" s="1" t="str">
        <f ca="1">IFERROR(__xludf.DUMMYFUNCTION("GOOGLETRANSLATE(English!D3118, ""en"", ""bg"")"),"молекулярна биология")</f>
        <v>молекулярна биология</v>
      </c>
      <c r="E3118" s="1" t="str">
        <f ca="1">IFERROR(__xludf.DUMMYFUNCTION("GOOGLETRANSLATE(English!E3118, ""en"", ""bg"")"),"Утре имам тест по молекулярна биология. Помогни ми да уча!")</f>
        <v>Утре имам тест по молекулярна биология. Помогни ми да уча!</v>
      </c>
      <c r="F3118" s="1" t="str">
        <f ca="1">IFERROR(__xludf.DUMMYFUNCTION("GOOGLETRANSLATE(English!F3118,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3118" s="1" t="str">
        <f ca="1">IFERROR(__xludf.DUMMYFUNCTION("GOOGLETRANSLATE(English!G3118, ""en"", ""bg"")"),"помощ_за_домашно_изпълнение")</f>
        <v>помощ_за_домашно_изпълнение</v>
      </c>
      <c r="H3118" s="1" t="str">
        <f ca="1">IFERROR(__xludf.DUMMYFUNCTION("GOOGLETRANSLATE(English!H3118, ""en"", ""bg"")"),"помощ_за_домашно_задаване")</f>
        <v>помощ_за_домашно_задаване</v>
      </c>
    </row>
    <row r="3119" spans="1:8" ht="13.2" x14ac:dyDescent="0.25">
      <c r="A3119" s="1" t="str">
        <f ca="1">IFERROR(__xludf.DUMMYFUNCTION("GOOGLETRANSLATE(English!A3119, ""en"", ""bg"")"),"conv_18167")</f>
        <v>conv_18167</v>
      </c>
      <c r="B3119" s="1" t="str">
        <f ca="1">IFERROR(__xludf.DUMMYFUNCTION("GOOGLETRANSLATE(English!B3119, ""en"", ""bg"")"),"биология")</f>
        <v>биология</v>
      </c>
      <c r="C3119" s="1" t="str">
        <f ca="1">IFERROR(__xludf.DUMMYFUNCTION("GOOGLETRANSLATE(English!C3119, ""en"", ""bg"")"),"средата")</f>
        <v>средата</v>
      </c>
      <c r="D3119" s="1" t="str">
        <f ca="1">IFERROR(__xludf.DUMMYFUNCTION("GOOGLETRANSLATE(English!D3119, ""en"", ""bg"")"),"дишане")</f>
        <v>дишане</v>
      </c>
      <c r="E3119" s="1" t="str">
        <f ca="1">IFERROR(__xludf.DUMMYFUNCTION("GOOGLETRANSLATE(English!E3119, ""en"", ""bg"")"),"Можете ли да ми помогнете? Какво е важно да знаем за дишането?")</f>
        <v>Можете ли да ми помогнете? Какво е важно да знаем за дишането?</v>
      </c>
      <c r="F3119" s="1" t="str">
        <f ca="1">IFERROR(__xludf.DUMMYFUNCTION("GOOGLETRANSLATE(English!F3119,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3119" s="1" t="str">
        <f ca="1">IFERROR(__xludf.DUMMYFUNCTION("GOOGLETRANSLATE(English!G3119, ""en"", ""bg"")"),"разговор")</f>
        <v>разговор</v>
      </c>
      <c r="H3119" s="1" t="str">
        <f ca="1">IFERROR(__xludf.DUMMYFUNCTION("GOOGLETRANSLATE(English!H3119, ""en"", ""bg"")"),"образователна_помощ")</f>
        <v>образователна_помощ</v>
      </c>
    </row>
    <row r="3120" spans="1:8" ht="13.2" x14ac:dyDescent="0.25">
      <c r="A3120" s="1" t="str">
        <f ca="1">IFERROR(__xludf.DUMMYFUNCTION("GOOGLETRANSLATE(English!A3120, ""en"", ""bg"")"),"qa_13817")</f>
        <v>qa_13817</v>
      </c>
      <c r="B3120" s="1" t="str">
        <f ca="1">IFERROR(__xludf.DUMMYFUNCTION("GOOGLETRANSLATE(English!B3120, ""en"", ""bg"")"),"физика")</f>
        <v>физика</v>
      </c>
      <c r="C3120" s="1" t="str">
        <f ca="1">IFERROR(__xludf.DUMMYFUNCTION("GOOGLETRANSLATE(English!C3120, ""en"", ""bg"")"),"елементарен")</f>
        <v>елементарен</v>
      </c>
      <c r="D3120" s="1" t="str">
        <f ca="1">IFERROR(__xludf.DUMMYFUNCTION("GOOGLETRANSLATE(English!D3120, ""en"", ""bg"")"),"прости машини")</f>
        <v>прости машини</v>
      </c>
      <c r="E3120" s="1" t="str">
        <f ca="1">IFERROR(__xludf.DUMMYFUNCTION("GOOGLETRANSLATE(English!E3120, ""en"", ""bg"")"),"Можете ли да ми обясните какво представляват прости машини?")</f>
        <v>Можете ли да ми обясните какво представляват прости машини?</v>
      </c>
      <c r="F3120" s="1" t="str">
        <f ca="1">IFERROR(__xludf.DUMMYFUNCTION("GOOGLETRANSLATE(English!F3120,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3120" s="1" t="str">
        <f ca="1">IFERROR(__xludf.DUMMYFUNCTION("GOOGLETRANSLATE(English!G3120, ""en"", ""bg"")"),"direct_qa")</f>
        <v>direct_qa</v>
      </c>
      <c r="H3120" s="1" t="str">
        <f ca="1">IFERROR(__xludf.DUMMYFUNCTION("GOOGLETRANSLATE(English!H3120, ""en"", ""bg"")"),"заявка_за_знание")</f>
        <v>заявка_за_знание</v>
      </c>
    </row>
    <row r="3121" spans="1:8" ht="13.2" x14ac:dyDescent="0.25">
      <c r="A3121" s="1" t="str">
        <f ca="1">IFERROR(__xludf.DUMMYFUNCTION("GOOGLETRANSLATE(English!A3121, ""en"", ""bg"")"),"conv_07545")</f>
        <v>conv_07545</v>
      </c>
      <c r="B3121" s="1" t="str">
        <f ca="1">IFERROR(__xludf.DUMMYFUNCTION("GOOGLETRANSLATE(English!B3121, ""en"", ""bg"")"),"физика")</f>
        <v>физика</v>
      </c>
      <c r="C3121" s="1" t="str">
        <f ca="1">IFERROR(__xludf.DUMMYFUNCTION("GOOGLETRANSLATE(English!C3121, ""en"", ""bg"")"),"средата")</f>
        <v>средата</v>
      </c>
      <c r="D3121" s="1" t="str">
        <f ca="1">IFERROR(__xludf.DUMMYFUNCTION("GOOGLETRANSLATE(English!D3121, ""en"", ""bg"")"),"плътност")</f>
        <v>плътност</v>
      </c>
      <c r="E3121" s="1" t="str">
        <f ca="1">IFERROR(__xludf.DUMMYFUNCTION("GOOGLETRANSLATE(English!E3121, ""en"", ""bg"")"),"Имам нужда от помощ с домашното. Защо плътността е важна?")</f>
        <v>Имам нужда от помощ с домашното. Защо плътността е важна?</v>
      </c>
      <c r="F3121" s="1" t="str">
        <f ca="1">IFERROR(__xludf.DUMMYFUNCTION("GOOGLETRANSLATE(English!F3121,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3121" s="1" t="str">
        <f ca="1">IFERROR(__xludf.DUMMYFUNCTION("GOOGLETRANSLATE(English!G3121, ""en"", ""bg"")"),"разговор")</f>
        <v>разговор</v>
      </c>
      <c r="H3121" s="1" t="str">
        <f ca="1">IFERROR(__xludf.DUMMYFUNCTION("GOOGLETRANSLATE(English!H3121, ""en"", ""bg"")"),"образователна_помощ")</f>
        <v>образователна_помощ</v>
      </c>
    </row>
    <row r="3122" spans="1:8" ht="13.2" x14ac:dyDescent="0.25">
      <c r="A3122" s="1" t="str">
        <f ca="1">IFERROR(__xludf.DUMMYFUNCTION("GOOGLETRANSLATE(English!A3122, ""en"", ""bg"")"),"hw_11881")</f>
        <v>hw_11881</v>
      </c>
      <c r="B3122" s="1" t="str">
        <f ca="1">IFERROR(__xludf.DUMMYFUNCTION("GOOGLETRANSLATE(English!B3122, ""en"", ""bg"")"),"физика")</f>
        <v>физика</v>
      </c>
      <c r="C3122" s="1" t="str">
        <f ca="1">IFERROR(__xludf.DUMMYFUNCTION("GOOGLETRANSLATE(English!C3122, ""en"", ""bg"")"),"високо")</f>
        <v>високо</v>
      </c>
      <c r="D3122" s="1" t="str">
        <f ca="1">IFERROR(__xludf.DUMMYFUNCTION("GOOGLETRANSLATE(English!D3122, ""en"", ""bg"")"),"термодинамика")</f>
        <v>термодинамика</v>
      </c>
      <c r="E3122" s="1" t="str">
        <f ca="1">IFERROR(__xludf.DUMMYFUNCTION("GOOGLETRANSLATE(English!E3122, ""en"", ""bg"")"),"Домашното ми по физика е за термодинамика. Объркващо е!")</f>
        <v>Домашното ми по физика е за термодинамика. Объркващо е!</v>
      </c>
      <c r="F3122" s="1" t="str">
        <f ca="1">IFERROR(__xludf.DUMMYFUNCTION("GOOGLETRANSLATE(English!F3122,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3122" s="1" t="str">
        <f ca="1">IFERROR(__xludf.DUMMYFUNCTION("GOOGLETRANSLATE(English!G3122, ""en"", ""bg"")"),"помощ_за_домашно_изпълнение")</f>
        <v>помощ_за_домашно_изпълнение</v>
      </c>
      <c r="H3122" s="1" t="str">
        <f ca="1">IFERROR(__xludf.DUMMYFUNCTION("GOOGLETRANSLATE(English!H3122, ""en"", ""bg"")"),"помощ_за_домашно_задаване")</f>
        <v>помощ_за_домашно_задаване</v>
      </c>
    </row>
    <row r="3123" spans="1:8" ht="13.2" x14ac:dyDescent="0.25">
      <c r="A3123" s="1" t="str">
        <f ca="1">IFERROR(__xludf.DUMMYFUNCTION("GOOGLETRANSLATE(English!A3123, ""en"", ""bg"")"),"qa_12350")</f>
        <v>qa_12350</v>
      </c>
      <c r="B3123" s="1" t="str">
        <f ca="1">IFERROR(__xludf.DUMMYFUNCTION("GOOGLETRANSLATE(English!B3123, ""en"", ""bg"")"),"физика")</f>
        <v>физика</v>
      </c>
      <c r="C3123" s="1" t="str">
        <f ca="1">IFERROR(__xludf.DUMMYFUNCTION("GOOGLETRANSLATE(English!C3123, ""en"", ""bg"")"),"елементарен")</f>
        <v>елементарен</v>
      </c>
      <c r="D3123" s="1" t="str">
        <f ca="1">IFERROR(__xludf.DUMMYFUNCTION("GOOGLETRANSLATE(English!D3123, ""en"", ""bg"")"),"бутане и дърпане")</f>
        <v>бутане и дърпане</v>
      </c>
      <c r="E3123" s="1" t="str">
        <f ca="1">IFERROR(__xludf.DUMMYFUNCTION("GOOGLETRANSLATE(English!E3123, ""en"", ""bg"")"),"Какво трябва да знам за бутането и дърпането?")</f>
        <v>Какво трябва да знам за бутането и дърпането?</v>
      </c>
      <c r="F3123" s="1" t="str">
        <f ca="1">IFERROR(__xludf.DUMMYFUNCTION("GOOGLETRANSLATE(English!F3123,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3123" s="1" t="str">
        <f ca="1">IFERROR(__xludf.DUMMYFUNCTION("GOOGLETRANSLATE(English!G3123, ""en"", ""bg"")"),"direct_qa")</f>
        <v>direct_qa</v>
      </c>
      <c r="H3123" s="1" t="str">
        <f ca="1">IFERROR(__xludf.DUMMYFUNCTION("GOOGLETRANSLATE(English!H3123, ""en"", ""bg"")"),"заявка_за_знание")</f>
        <v>заявка_за_знание</v>
      </c>
    </row>
    <row r="3124" spans="1:8" ht="13.2" x14ac:dyDescent="0.25">
      <c r="A3124" s="1" t="str">
        <f ca="1">IFERROR(__xludf.DUMMYFUNCTION("GOOGLETRANSLATE(English!A3124, ""en"", ""bg"")"),"hw_12480")</f>
        <v>hw_12480</v>
      </c>
      <c r="B3124" s="1" t="str">
        <f ca="1">IFERROR(__xludf.DUMMYFUNCTION("GOOGLETRANSLATE(English!B3124, ""en"", ""bg"")"),"физика")</f>
        <v>физика</v>
      </c>
      <c r="C3124" s="1" t="str">
        <f ca="1">IFERROR(__xludf.DUMMYFUNCTION("GOOGLETRANSLATE(English!C3124, ""en"", ""bg"")"),"средата")</f>
        <v>средата</v>
      </c>
      <c r="D3124" s="1" t="str">
        <f ca="1">IFERROR(__xludf.DUMMYFUNCTION("GOOGLETRANSLATE(English!D3124, ""en"", ""bg"")"),"състояния на материята")</f>
        <v>състояния на материята</v>
      </c>
      <c r="E3124" s="1" t="str">
        <f ca="1">IFERROR(__xludf.DUMMYFUNCTION("GOOGLETRANSLATE(English!E3124, ""en"", ""bg"")"),"Можете ли да решите този въпрос с мен?")</f>
        <v>Можете ли да решите този въпрос с мен?</v>
      </c>
      <c r="F3124" s="1" t="str">
        <f ca="1">IFERROR(__xludf.DUMMYFUNCTION("GOOGLETRANSLATE(English!F3124,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124" s="1" t="str">
        <f ca="1">IFERROR(__xludf.DUMMYFUNCTION("GOOGLETRANSLATE(English!G3124, ""en"", ""bg"")"),"помощ_за_домашно_изпълнение")</f>
        <v>помощ_за_домашно_изпълнение</v>
      </c>
      <c r="H3124" s="1" t="str">
        <f ca="1">IFERROR(__xludf.DUMMYFUNCTION("GOOGLETRANSLATE(English!H3124, ""en"", ""bg"")"),"помощ_за_домашно_задаване")</f>
        <v>помощ_за_домашно_задаване</v>
      </c>
    </row>
    <row r="3125" spans="1:8" ht="13.2" x14ac:dyDescent="0.25">
      <c r="A3125" s="1" t="str">
        <f ca="1">IFERROR(__xludf.DUMMYFUNCTION("GOOGLETRANSLATE(English!A3125, ""en"", ""bg"")"),"qa_13049")</f>
        <v>qa_13049</v>
      </c>
      <c r="B3125" s="1" t="str">
        <f ca="1">IFERROR(__xludf.DUMMYFUNCTION("GOOGLETRANSLATE(English!B3125, ""en"", ""bg"")"),"химия")</f>
        <v>химия</v>
      </c>
      <c r="C3125" s="1" t="str">
        <f ca="1">IFERROR(__xludf.DUMMYFUNCTION("GOOGLETRANSLATE(English!C3125, ""en"", ""bg"")"),"високо")</f>
        <v>високо</v>
      </c>
      <c r="D3125" s="1" t="str">
        <f ca="1">IFERROR(__xludf.DUMMYFUNCTION("GOOGLETRANSLATE(English!D3125, ""en"", ""bg"")"),"равновесие")</f>
        <v>равновесие</v>
      </c>
      <c r="E3125" s="1" t="str">
        <f ca="1">IFERROR(__xludf.DUMMYFUNCTION("GOOGLETRANSLATE(English!E3125, ""en"", ""bg"")"),"Можете ли да ми помогнете да разбера какво е равновесие?")</f>
        <v>Можете ли да ми помогнете да разбера какво е равновесие?</v>
      </c>
      <c r="F3125" s="1" t="str">
        <f ca="1">IFERROR(__xludf.DUMMYFUNCTION("GOOGLETRANSLATE(English!F3125,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3125" s="1" t="str">
        <f ca="1">IFERROR(__xludf.DUMMYFUNCTION("GOOGLETRANSLATE(English!G3125, ""en"", ""bg"")"),"direct_qa")</f>
        <v>direct_qa</v>
      </c>
      <c r="H3125" s="1" t="str">
        <f ca="1">IFERROR(__xludf.DUMMYFUNCTION("GOOGLETRANSLATE(English!H3125, ""en"", ""bg"")"),"заявка_за_знание")</f>
        <v>заявка_за_знание</v>
      </c>
    </row>
    <row r="3126" spans="1:8" ht="13.2" x14ac:dyDescent="0.25">
      <c r="A3126" s="1" t="str">
        <f ca="1">IFERROR(__xludf.DUMMYFUNCTION("GOOGLETRANSLATE(English!A3126, ""en"", ""bg"")"),"conv_06760")</f>
        <v>conv_06760</v>
      </c>
      <c r="B3126" s="1" t="str">
        <f ca="1">IFERROR(__xludf.DUMMYFUNCTION("GOOGLETRANSLATE(English!B3126, ""en"", ""bg"")"),"биология")</f>
        <v>биология</v>
      </c>
      <c r="C3126" s="1" t="str">
        <f ca="1">IFERROR(__xludf.DUMMYFUNCTION("GOOGLETRANSLATE(English!C3126, ""en"", ""bg"")"),"средата")</f>
        <v>средата</v>
      </c>
      <c r="D3126" s="1" t="str">
        <f ca="1">IFERROR(__xludf.DUMMYFUNCTION("GOOGLETRANSLATE(English!D3126, ""en"", ""bg"")"),"основи на еволюцията")</f>
        <v>основи на еволюцията</v>
      </c>
      <c r="E3126" s="1" t="str">
        <f ca="1">IFERROR(__xludf.DUMMYFUNCTION("GOOGLETRANSLATE(English!E3126, ""en"", ""bg"")"),"Можете ли да ми помогнете? Можете ли да ми разкажете за основите на еволюцията?")</f>
        <v>Можете ли да ми помогнете? Можете ли да ми разкажете за основите на еволюцията?</v>
      </c>
      <c r="F3126" s="1" t="str">
        <f ca="1">IFERROR(__xludf.DUMMYFUNCTION("GOOGLETRANSLATE(English!F3126,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3126" s="1" t="str">
        <f ca="1">IFERROR(__xludf.DUMMYFUNCTION("GOOGLETRANSLATE(English!G3126, ""en"", ""bg"")"),"разговор")</f>
        <v>разговор</v>
      </c>
      <c r="H3126" s="1" t="str">
        <f ca="1">IFERROR(__xludf.DUMMYFUNCTION("GOOGLETRANSLATE(English!H3126, ""en"", ""bg"")"),"образователна_помощ")</f>
        <v>образователна_помощ</v>
      </c>
    </row>
    <row r="3127" spans="1:8" ht="13.2" x14ac:dyDescent="0.25">
      <c r="A3127" s="1" t="str">
        <f ca="1">IFERROR(__xludf.DUMMYFUNCTION("GOOGLETRANSLATE(English!A3127, ""en"", ""bg"")"),"hw_08839")</f>
        <v>hw_08839</v>
      </c>
      <c r="B3127" s="1" t="str">
        <f ca="1">IFERROR(__xludf.DUMMYFUNCTION("GOOGLETRANSLATE(English!B3127, ""en"", ""bg"")"),"химия")</f>
        <v>химия</v>
      </c>
      <c r="C3127" s="1" t="str">
        <f ca="1">IFERROR(__xludf.DUMMYFUNCTION("GOOGLETRANSLATE(English!C3127, ""en"", ""bg"")"),"средата")</f>
        <v>средата</v>
      </c>
      <c r="D3127" s="1" t="str">
        <f ca="1">IFERROR(__xludf.DUMMYFUNCTION("GOOGLETRANSLATE(English!D3127, ""en"", ""bg"")"),"атоми и молекули")</f>
        <v>атоми и молекули</v>
      </c>
      <c r="E3127" s="1" t="str">
        <f ca="1">IFERROR(__xludf.DUMMYFUNCTION("GOOGLETRANSLATE(English!E3127, ""en"", ""bg"")"),"Затруднявам се с атомите и молекулите в домашното си.")</f>
        <v>Затруднявам се с атомите и молекулите в домашното си.</v>
      </c>
      <c r="F3127" s="1" t="str">
        <f ca="1">IFERROR(__xludf.DUMMYFUNCTION("GOOGLETRANSLATE(English!F3127,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127" s="1" t="str">
        <f ca="1">IFERROR(__xludf.DUMMYFUNCTION("GOOGLETRANSLATE(English!G3127, ""en"", ""bg"")"),"помощ_за_домашно_изпълнение")</f>
        <v>помощ_за_домашно_изпълнение</v>
      </c>
      <c r="H3127" s="1" t="str">
        <f ca="1">IFERROR(__xludf.DUMMYFUNCTION("GOOGLETRANSLATE(English!H3127, ""en"", ""bg"")"),"помощ_за_домашно_задаване")</f>
        <v>помощ_за_домашно_задаване</v>
      </c>
    </row>
    <row r="3128" spans="1:8" ht="13.2" x14ac:dyDescent="0.25">
      <c r="A3128" s="1" t="str">
        <f ca="1">IFERROR(__xludf.DUMMYFUNCTION("GOOGLETRANSLATE(English!A3128, ""en"", ""bg"")"),"conv_18925")</f>
        <v>conv_18925</v>
      </c>
      <c r="B3128" s="1" t="str">
        <f ca="1">IFERROR(__xludf.DUMMYFUNCTION("GOOGLETRANSLATE(English!B3128, ""en"", ""bg"")"),"физика")</f>
        <v>физика</v>
      </c>
      <c r="C3128" s="1" t="str">
        <f ca="1">IFERROR(__xludf.DUMMYFUNCTION("GOOGLETRANSLATE(English!C3128, ""en"", ""bg"")"),"елементарен")</f>
        <v>елементарен</v>
      </c>
      <c r="D3128" s="1" t="str">
        <f ca="1">IFERROR(__xludf.DUMMYFUNCTION("GOOGLETRANSLATE(English!D3128, ""en"", ""bg"")"),"прости машини")</f>
        <v>прости машини</v>
      </c>
      <c r="E3128" s="1" t="str">
        <f ca="1">IFERROR(__xludf.DUMMYFUNCTION("GOOGLETRANSLATE(English!E3128, ""en"", ""bg"")"),"Здравей, преподавателю! Можеш ли да ми обясниш прости машини?")</f>
        <v>Здравей, преподавателю! Можеш ли да ми обясниш прости машини?</v>
      </c>
      <c r="F3128" s="1" t="str">
        <f ca="1">IFERROR(__xludf.DUMMYFUNCTION("GOOGLETRANSLATE(English!F3128,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3128" s="1" t="str">
        <f ca="1">IFERROR(__xludf.DUMMYFUNCTION("GOOGLETRANSLATE(English!G3128, ""en"", ""bg"")"),"разговор")</f>
        <v>разговор</v>
      </c>
      <c r="H3128" s="1" t="str">
        <f ca="1">IFERROR(__xludf.DUMMYFUNCTION("GOOGLETRANSLATE(English!H3128, ""en"", ""bg"")"),"образователна_помощ")</f>
        <v>образователна_помощ</v>
      </c>
    </row>
    <row r="3129" spans="1:8" ht="13.2" x14ac:dyDescent="0.25">
      <c r="A3129" s="1" t="str">
        <f ca="1">IFERROR(__xludf.DUMMYFUNCTION("GOOGLETRANSLATE(English!A3129, ""en"", ""bg"")"),"qa_07391")</f>
        <v>qa_07391</v>
      </c>
      <c r="B3129" s="1" t="str">
        <f ca="1">IFERROR(__xludf.DUMMYFUNCTION("GOOGLETRANSLATE(English!B3129, ""en"", ""bg"")"),"физика")</f>
        <v>физика</v>
      </c>
      <c r="C3129" s="1" t="str">
        <f ca="1">IFERROR(__xludf.DUMMYFUNCTION("GOOGLETRANSLATE(English!C3129, ""en"", ""bg"")"),"средата")</f>
        <v>средата</v>
      </c>
      <c r="D3129" s="1" t="str">
        <f ca="1">IFERROR(__xludf.DUMMYFUNCTION("GOOGLETRANSLATE(English!D3129, ""en"", ""bg"")"),"състояния на материята")</f>
        <v>състояния на материята</v>
      </c>
      <c r="E3129" s="1" t="str">
        <f ca="1">IFERROR(__xludf.DUMMYFUNCTION("GOOGLETRANSLATE(English!E3129, ""en"", ""bg"")"),"Какво трябва да знам за състоянията на материята?")</f>
        <v>Какво трябва да знам за състоянията на материята?</v>
      </c>
      <c r="F3129" s="1" t="str">
        <f ca="1">IFERROR(__xludf.DUMMYFUNCTION("GOOGLETRANSLATE(English!F3129,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3129" s="1" t="str">
        <f ca="1">IFERROR(__xludf.DUMMYFUNCTION("GOOGLETRANSLATE(English!G3129, ""en"", ""bg"")"),"direct_qa")</f>
        <v>direct_qa</v>
      </c>
      <c r="H3129" s="1" t="str">
        <f ca="1">IFERROR(__xludf.DUMMYFUNCTION("GOOGLETRANSLATE(English!H3129, ""en"", ""bg"")"),"заявка_за_знание")</f>
        <v>заявка_за_знание</v>
      </c>
    </row>
    <row r="3130" spans="1:8" ht="13.2" x14ac:dyDescent="0.25">
      <c r="A3130" s="1" t="str">
        <f ca="1">IFERROR(__xludf.DUMMYFUNCTION("GOOGLETRANSLATE(English!A3130, ""en"", ""bg"")"),"conv_18078")</f>
        <v>conv_18078</v>
      </c>
      <c r="B3130" s="1" t="str">
        <f ca="1">IFERROR(__xludf.DUMMYFUNCTION("GOOGLETRANSLATE(English!B3130, ""en"", ""bg"")"),"биология")</f>
        <v>биология</v>
      </c>
      <c r="C3130" s="1" t="str">
        <f ca="1">IFERROR(__xludf.DUMMYFUNCTION("GOOGLETRANSLATE(English!C3130, ""en"", ""bg"")"),"високо")</f>
        <v>високо</v>
      </c>
      <c r="D3130" s="1" t="str">
        <f ca="1">IFERROR(__xludf.DUMMYFUNCTION("GOOGLETRANSLATE(English!D3130, ""en"", ""bg"")"),"клетъчно дишане")</f>
        <v>клетъчно дишане</v>
      </c>
      <c r="E3130" s="1" t="str">
        <f ca="1">IFERROR(__xludf.DUMMYFUNCTION("GOOGLETRANSLATE(English!E3130, ""en"", ""bg"")"),"Не разбирам тази тема. Какво е важно да знаем за клетъчното дишане?")</f>
        <v>Не разбирам тази тема. Какво е важно да знаем за клетъчното дишане?</v>
      </c>
      <c r="F3130" s="1" t="str">
        <f ca="1">IFERROR(__xludf.DUMMYFUNCTION("GOOGLETRANSLATE(English!F3130,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3130" s="1" t="str">
        <f ca="1">IFERROR(__xludf.DUMMYFUNCTION("GOOGLETRANSLATE(English!G3130, ""en"", ""bg"")"),"разговор")</f>
        <v>разговор</v>
      </c>
      <c r="H3130" s="1" t="str">
        <f ca="1">IFERROR(__xludf.DUMMYFUNCTION("GOOGLETRANSLATE(English!H3130, ""en"", ""bg"")"),"образователна_помощ")</f>
        <v>образователна_помощ</v>
      </c>
    </row>
    <row r="3131" spans="1:8" ht="13.2" x14ac:dyDescent="0.25">
      <c r="A3131" s="1" t="str">
        <f ca="1">IFERROR(__xludf.DUMMYFUNCTION("GOOGLETRANSLATE(English!A3131, ""en"", ""bg"")"),"qa_09861")</f>
        <v>qa_09861</v>
      </c>
      <c r="B3131" s="1" t="str">
        <f ca="1">IFERROR(__xludf.DUMMYFUNCTION("GOOGLETRANSLATE(English!B3131, ""en"", ""bg"")"),"физика")</f>
        <v>физика</v>
      </c>
      <c r="C3131" s="1" t="str">
        <f ca="1">IFERROR(__xludf.DUMMYFUNCTION("GOOGLETRANSLATE(English!C3131, ""en"", ""bg"")"),"високо")</f>
        <v>високо</v>
      </c>
      <c r="D3131" s="1" t="str">
        <f ca="1">IFERROR(__xludf.DUMMYFUNCTION("GOOGLETRANSLATE(English!D3131, ""en"", ""bg"")"),"оптика")</f>
        <v>оптика</v>
      </c>
      <c r="E3131" s="1" t="str">
        <f ca="1">IFERROR(__xludf.DUMMYFUNCTION("GOOGLETRANSLATE(English!E3131, ""en"", ""bg"")"),"Можете ли да ми обясните оптиката?")</f>
        <v>Можете ли да ми обясните оптиката?</v>
      </c>
      <c r="F3131" s="1" t="str">
        <f ca="1">IFERROR(__xludf.DUMMYFUNCTION("GOOGLETRANSLATE(English!F3131,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3131" s="1" t="str">
        <f ca="1">IFERROR(__xludf.DUMMYFUNCTION("GOOGLETRANSLATE(English!G3131, ""en"", ""bg"")"),"direct_qa")</f>
        <v>direct_qa</v>
      </c>
      <c r="H3131" s="1" t="str">
        <f ca="1">IFERROR(__xludf.DUMMYFUNCTION("GOOGLETRANSLATE(English!H3131, ""en"", ""bg"")"),"заявка_за_знание")</f>
        <v>заявка_за_знание</v>
      </c>
    </row>
    <row r="3132" spans="1:8" ht="13.2" x14ac:dyDescent="0.25">
      <c r="A3132" s="1" t="str">
        <f ca="1">IFERROR(__xludf.DUMMYFUNCTION("GOOGLETRANSLATE(English!A3132, ""en"", ""bg"")"),"hw_08249")</f>
        <v>hw_08249</v>
      </c>
      <c r="B3132" s="1" t="str">
        <f ca="1">IFERROR(__xludf.DUMMYFUNCTION("GOOGLETRANSLATE(English!B3132, ""en"", ""bg"")"),"биология")</f>
        <v>биология</v>
      </c>
      <c r="C3132" s="1" t="str">
        <f ca="1">IFERROR(__xludf.DUMMYFUNCTION("GOOGLETRANSLATE(English!C3132, ""en"", ""bg"")"),"високо")</f>
        <v>високо</v>
      </c>
      <c r="D3132" s="1" t="str">
        <f ca="1">IFERROR(__xludf.DUMMYFUNCTION("GOOGLETRANSLATE(English!D3132, ""en"", ""bg"")"),"Структура на ДНК")</f>
        <v>Структура на ДНК</v>
      </c>
      <c r="E3132" s="1" t="str">
        <f ca="1">IFERROR(__xludf.DUMMYFUNCTION("GOOGLETRANSLATE(English!E3132,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3132" s="1" t="str">
        <f ca="1">IFERROR(__xludf.DUMMYFUNCTION("GOOGLETRANSLATE(English!F3132,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3132" s="1" t="str">
        <f ca="1">IFERROR(__xludf.DUMMYFUNCTION("GOOGLETRANSLATE(English!G3132, ""en"", ""bg"")"),"помощ_за_домашно_изпълнение")</f>
        <v>помощ_за_домашно_изпълнение</v>
      </c>
      <c r="H3132" s="1" t="str">
        <f ca="1">IFERROR(__xludf.DUMMYFUNCTION("GOOGLETRANSLATE(English!H3132, ""en"", ""bg"")"),"помощ_за_домашно_задаване")</f>
        <v>помощ_за_домашно_задаване</v>
      </c>
    </row>
    <row r="3133" spans="1:8" ht="13.2" x14ac:dyDescent="0.25">
      <c r="A3133" s="1" t="str">
        <f ca="1">IFERROR(__xludf.DUMMYFUNCTION("GOOGLETRANSLATE(English!A3133, ""en"", ""bg"")"),"conv_15862")</f>
        <v>conv_15862</v>
      </c>
      <c r="B3133" s="1" t="str">
        <f ca="1">IFERROR(__xludf.DUMMYFUNCTION("GOOGLETRANSLATE(English!B3133, ""en"", ""bg"")"),"физика")</f>
        <v>физика</v>
      </c>
      <c r="C3133" s="1" t="str">
        <f ca="1">IFERROR(__xludf.DUMMYFUNCTION("GOOGLETRANSLATE(English!C3133, ""en"", ""bg"")"),"високо")</f>
        <v>високо</v>
      </c>
      <c r="D3133" s="1" t="str">
        <f ca="1">IFERROR(__xludf.DUMMYFUNCTION("GOOGLETRANSLATE(English!D3133, ""en"", ""bg"")"),"радиоактивност")</f>
        <v>радиоактивност</v>
      </c>
      <c r="E3133" s="1" t="str">
        <f ca="1">IFERROR(__xludf.DUMMYFUNCTION("GOOGLETRANSLATE(English!E3133, ""en"", ""bg"")"),"Не разбирам тази тема. Какво трябва да знам за радиоактивността?")</f>
        <v>Не разбирам тази тема. Какво трябва да знам за радиоактивността?</v>
      </c>
      <c r="F3133" s="1" t="str">
        <f ca="1">IFERROR(__xludf.DUMMYFUNCTION("GOOGLETRANSLATE(English!F3133,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3133" s="1" t="str">
        <f ca="1">IFERROR(__xludf.DUMMYFUNCTION("GOOGLETRANSLATE(English!G3133, ""en"", ""bg"")"),"разговор")</f>
        <v>разговор</v>
      </c>
      <c r="H3133" s="1" t="str">
        <f ca="1">IFERROR(__xludf.DUMMYFUNCTION("GOOGLETRANSLATE(English!H3133, ""en"", ""bg"")"),"образователна_помощ")</f>
        <v>образователна_помощ</v>
      </c>
    </row>
    <row r="3134" spans="1:8" ht="13.2" x14ac:dyDescent="0.25">
      <c r="A3134" s="1" t="str">
        <f ca="1">IFERROR(__xludf.DUMMYFUNCTION("GOOGLETRANSLATE(English!A3134, ""en"", ""bg"")"),"conv_14412")</f>
        <v>conv_14412</v>
      </c>
      <c r="B3134" s="1" t="str">
        <f ca="1">IFERROR(__xludf.DUMMYFUNCTION("GOOGLETRANSLATE(English!B3134, ""en"", ""bg"")"),"биология")</f>
        <v>биология</v>
      </c>
      <c r="C3134" s="1" t="str">
        <f ca="1">IFERROR(__xludf.DUMMYFUNCTION("GOOGLETRANSLATE(English!C3134, ""en"", ""bg"")"),"елементарен")</f>
        <v>елементарен</v>
      </c>
      <c r="D3134" s="1" t="str">
        <f ca="1">IFERROR(__xludf.DUMMYFUNCTION("GOOGLETRANSLATE(English!D3134, ""en"", ""bg"")"),"хранителни вериги")</f>
        <v>хранителни вериги</v>
      </c>
      <c r="E3134" s="1" t="str">
        <f ca="1">IFERROR(__xludf.DUMMYFUNCTION("GOOGLETRANSLATE(English!E3134, ""en"", ""bg"")"),"Здравей, преподавателю! Защо хранителните вериги са важни в биологията?")</f>
        <v>Здравей, преподавателю! Защо хранителните вериги са важни в биологията?</v>
      </c>
      <c r="F3134" s="1" t="str">
        <f ca="1">IFERROR(__xludf.DUMMYFUNCTION("GOOGLETRANSLATE(English!F3134, ""en"", ""bg"")"),"Хранителните вериги са важни, защото ни помагат да разберем живота и как живите същества оцеляват.")</f>
        <v>Хранителните вериги са важни, защото ни помагат да разберем живота и как живите същества оцеляват.</v>
      </c>
      <c r="G3134" s="1" t="str">
        <f ca="1">IFERROR(__xludf.DUMMYFUNCTION("GOOGLETRANSLATE(English!G3134, ""en"", ""bg"")"),"разговор")</f>
        <v>разговор</v>
      </c>
      <c r="H3134" s="1" t="str">
        <f ca="1">IFERROR(__xludf.DUMMYFUNCTION("GOOGLETRANSLATE(English!H3134, ""en"", ""bg"")"),"образователна_помощ")</f>
        <v>образователна_помощ</v>
      </c>
    </row>
    <row r="3135" spans="1:8" ht="13.2" x14ac:dyDescent="0.25">
      <c r="A3135" s="1" t="str">
        <f ca="1">IFERROR(__xludf.DUMMYFUNCTION("GOOGLETRANSLATE(English!A3135, ""en"", ""bg"")"),"conv_15248")</f>
        <v>conv_15248</v>
      </c>
      <c r="B3135" s="1" t="str">
        <f ca="1">IFERROR(__xludf.DUMMYFUNCTION("GOOGLETRANSLATE(English!B3135, ""en"", ""bg"")"),"химия")</f>
        <v>химия</v>
      </c>
      <c r="C3135" s="1" t="str">
        <f ca="1">IFERROR(__xludf.DUMMYFUNCTION("GOOGLETRANSLATE(English!C3135, ""en"", ""bg"")"),"елементарен")</f>
        <v>елементарен</v>
      </c>
      <c r="D3135" s="1" t="str">
        <f ca="1">IFERROR(__xludf.DUMMYFUNCTION("GOOGLETRANSLATE(English!D3135, ""en"", ""bg"")"),"промени в материалите")</f>
        <v>промени в материалите</v>
      </c>
      <c r="E3135" s="1" t="str">
        <f ca="1">IFERROR(__xludf.DUMMYFUNCTION("GOOGLETRANSLATE(English!E3135, ""en"", ""bg"")"),"Здравей, преподавателю! Как протичат промените в материалите в химията?")</f>
        <v>Здравей, преподавателю! Как протичат промените в материалите в химията?</v>
      </c>
      <c r="F3135" s="1" t="str">
        <f ca="1">IFERROR(__xludf.DUMMYFUNCTION("GOOGLETRANSLATE(English!F3135,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3135" s="1" t="str">
        <f ca="1">IFERROR(__xludf.DUMMYFUNCTION("GOOGLETRANSLATE(English!G3135, ""en"", ""bg"")"),"разговор")</f>
        <v>разговор</v>
      </c>
      <c r="H3135" s="1" t="str">
        <f ca="1">IFERROR(__xludf.DUMMYFUNCTION("GOOGLETRANSLATE(English!H3135, ""en"", ""bg"")"),"образователна_помощ")</f>
        <v>образователна_помощ</v>
      </c>
    </row>
    <row r="3136" spans="1:8" ht="13.2" x14ac:dyDescent="0.25">
      <c r="A3136" s="1" t="str">
        <f ca="1">IFERROR(__xludf.DUMMYFUNCTION("GOOGLETRANSLATE(English!A3136, ""en"", ""bg"")"),"hw_09175")</f>
        <v>hw_09175</v>
      </c>
      <c r="B3136" s="1" t="str">
        <f ca="1">IFERROR(__xludf.DUMMYFUNCTION("GOOGLETRANSLATE(English!B3136, ""en"", ""bg"")"),"биология")</f>
        <v>биология</v>
      </c>
      <c r="C3136" s="1" t="str">
        <f ca="1">IFERROR(__xludf.DUMMYFUNCTION("GOOGLETRANSLATE(English!C3136, ""en"", ""bg"")"),"средата")</f>
        <v>средата</v>
      </c>
      <c r="D3136" s="1" t="str">
        <f ca="1">IFERROR(__xludf.DUMMYFUNCTION("GOOGLETRANSLATE(English!D3136, ""en"", ""bg"")"),"фотосинтеза")</f>
        <v>фотосинтеза</v>
      </c>
      <c r="E3136" s="1" t="str">
        <f ca="1">IFERROR(__xludf.DUMMYFUNCTION("GOOGLETRANSLATE(English!E3136, ""en"", ""bg"")"),"Трябва да напиша доклад за фотосинтезата. Можете ли да ми помогнете да започна?")</f>
        <v>Трябва да напиша доклад за фотосинтезата. Можете ли да ми помогнете да започна?</v>
      </c>
      <c r="F3136" s="1" t="str">
        <f ca="1">IFERROR(__xludf.DUMMYFUNCTION("GOOGLETRANSLATE(English!F3136,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3136" s="1" t="str">
        <f ca="1">IFERROR(__xludf.DUMMYFUNCTION("GOOGLETRANSLATE(English!G3136, ""en"", ""bg"")"),"помощ_за_домашно_изпълнение")</f>
        <v>помощ_за_домашно_изпълнение</v>
      </c>
      <c r="H3136" s="1" t="str">
        <f ca="1">IFERROR(__xludf.DUMMYFUNCTION("GOOGLETRANSLATE(English!H3136, ""en"", ""bg"")"),"помощ_за_домашно_задаване")</f>
        <v>помощ_за_домашно_задаване</v>
      </c>
    </row>
    <row r="3137" spans="1:8" ht="13.2" x14ac:dyDescent="0.25">
      <c r="A3137" s="1" t="str">
        <f ca="1">IFERROR(__xludf.DUMMYFUNCTION("GOOGLETRANSLATE(English!A3137, ""en"", ""bg"")"),"hw_08586")</f>
        <v>hw_08586</v>
      </c>
      <c r="B3137" s="1" t="str">
        <f ca="1">IFERROR(__xludf.DUMMYFUNCTION("GOOGLETRANSLATE(English!B3137, ""en"", ""bg"")"),"физика")</f>
        <v>физика</v>
      </c>
      <c r="C3137" s="1" t="str">
        <f ca="1">IFERROR(__xludf.DUMMYFUNCTION("GOOGLETRANSLATE(English!C3137, ""en"", ""bg"")"),"средата")</f>
        <v>средата</v>
      </c>
      <c r="D3137" s="1" t="str">
        <f ca="1">IFERROR(__xludf.DUMMYFUNCTION("GOOGLETRANSLATE(English!D3137, ""en"", ""bg"")"),"състояния на материята")</f>
        <v>състояния на материята</v>
      </c>
      <c r="E3137" s="1" t="str">
        <f ca="1">IFERROR(__xludf.DUMMYFUNCTION("GOOGLETRANSLATE(English!E3137,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3137" s="1" t="str">
        <f ca="1">IFERROR(__xludf.DUMMYFUNCTION("GOOGLETRANSLATE(English!F3137,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137" s="1" t="str">
        <f ca="1">IFERROR(__xludf.DUMMYFUNCTION("GOOGLETRANSLATE(English!G3137, ""en"", ""bg"")"),"помощ_за_домашно_изпълнение")</f>
        <v>помощ_за_домашно_изпълнение</v>
      </c>
      <c r="H3137" s="1" t="str">
        <f ca="1">IFERROR(__xludf.DUMMYFUNCTION("GOOGLETRANSLATE(English!H3137, ""en"", ""bg"")"),"помощ_за_домашно_задаване")</f>
        <v>помощ_за_домашно_задаване</v>
      </c>
    </row>
    <row r="3138" spans="1:8" ht="13.2" x14ac:dyDescent="0.25">
      <c r="A3138" s="1" t="str">
        <f ca="1">IFERROR(__xludf.DUMMYFUNCTION("GOOGLETRANSLATE(English!A3138, ""en"", ""bg"")"),"qa_13555")</f>
        <v>qa_13555</v>
      </c>
      <c r="B3138" s="1" t="str">
        <f ca="1">IFERROR(__xludf.DUMMYFUNCTION("GOOGLETRANSLATE(English!B3138, ""en"", ""bg"")"),"биология")</f>
        <v>биология</v>
      </c>
      <c r="C3138" s="1" t="str">
        <f ca="1">IFERROR(__xludf.DUMMYFUNCTION("GOOGLETRANSLATE(English!C3138, ""en"", ""bg"")"),"средата")</f>
        <v>средата</v>
      </c>
      <c r="D3138" s="1" t="str">
        <f ca="1">IFERROR(__xludf.DUMMYFUNCTION("GOOGLETRANSLATE(English!D3138, ""en"", ""bg"")"),"основи на генетиката")</f>
        <v>основи на генетиката</v>
      </c>
      <c r="E3138" s="1" t="str">
        <f ca="1">IFERROR(__xludf.DUMMYFUNCTION("GOOGLETRANSLATE(English!E3138, ""en"", ""bg"")"),"Какво е важно да знаем за основите на генетиката?")</f>
        <v>Какво е важно да знаем за основите на генетиката?</v>
      </c>
      <c r="F3138" s="1" t="str">
        <f ca="1">IFERROR(__xludf.DUMMYFUNCTION("GOOGLETRANSLATE(English!F3138,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3138" s="1" t="str">
        <f ca="1">IFERROR(__xludf.DUMMYFUNCTION("GOOGLETRANSLATE(English!G3138, ""en"", ""bg"")"),"direct_qa")</f>
        <v>direct_qa</v>
      </c>
      <c r="H3138" s="1" t="str">
        <f ca="1">IFERROR(__xludf.DUMMYFUNCTION("GOOGLETRANSLATE(English!H3138, ""en"", ""bg"")"),"заявка_за_знание")</f>
        <v>заявка_за_знание</v>
      </c>
    </row>
    <row r="3139" spans="1:8" ht="13.2" x14ac:dyDescent="0.25">
      <c r="A3139" s="1" t="str">
        <f ca="1">IFERROR(__xludf.DUMMYFUNCTION("GOOGLETRANSLATE(English!A3139, ""en"", ""bg"")"),"qa_12751")</f>
        <v>qa_12751</v>
      </c>
      <c r="B3139" s="1" t="str">
        <f ca="1">IFERROR(__xludf.DUMMYFUNCTION("GOOGLETRANSLATE(English!B3139, ""en"", ""bg"")"),"физика")</f>
        <v>физика</v>
      </c>
      <c r="C3139" s="1" t="str">
        <f ca="1">IFERROR(__xludf.DUMMYFUNCTION("GOOGLETRANSLATE(English!C3139, ""en"", ""bg"")"),"средата")</f>
        <v>средата</v>
      </c>
      <c r="D3139" s="1" t="str">
        <f ca="1">IFERROR(__xludf.DUMMYFUNCTION("GOOGLETRANSLATE(English!D3139, ""en"", ""bg"")"),"видове енергия")</f>
        <v>видове енергия</v>
      </c>
      <c r="E3139" s="1" t="str">
        <f ca="1">IFERROR(__xludf.DUMMYFUNCTION("GOOGLETRANSLATE(English!E3139, ""en"", ""bg"")"),"Какво е кинетична енергия?")</f>
        <v>Какво е кинетична енергия?</v>
      </c>
      <c r="F3139" s="1" t="str">
        <f ca="1">IFERROR(__xludf.DUMMYFUNCTION("GOOGLETRANSLATE(English!F3139,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3139" s="1" t="str">
        <f ca="1">IFERROR(__xludf.DUMMYFUNCTION("GOOGLETRANSLATE(English!G3139, ""en"", ""bg"")"),"direct_qa")</f>
        <v>direct_qa</v>
      </c>
      <c r="H3139" s="1" t="str">
        <f ca="1">IFERROR(__xludf.DUMMYFUNCTION("GOOGLETRANSLATE(English!H3139, ""en"", ""bg"")"),"заявка_за_знание")</f>
        <v>заявка_за_знание</v>
      </c>
    </row>
    <row r="3140" spans="1:8" ht="13.2" x14ac:dyDescent="0.25">
      <c r="A3140" s="1" t="str">
        <f ca="1">IFERROR(__xludf.DUMMYFUNCTION("GOOGLETRANSLATE(English!A3140, ""en"", ""bg"")"),"qa_11821")</f>
        <v>qa_11821</v>
      </c>
      <c r="B3140" s="1" t="str">
        <f ca="1">IFERROR(__xludf.DUMMYFUNCTION("GOOGLETRANSLATE(English!B3140, ""en"", ""bg"")"),"физика")</f>
        <v>физика</v>
      </c>
      <c r="C3140" s="1" t="str">
        <f ca="1">IFERROR(__xludf.DUMMYFUNCTION("GOOGLETRANSLATE(English!C3140, ""en"", ""bg"")"),"елементарен")</f>
        <v>елементарен</v>
      </c>
      <c r="D3140" s="1" t="str">
        <f ca="1">IFERROR(__xludf.DUMMYFUNCTION("GOOGLETRANSLATE(English!D3140, ""en"", ""bg"")"),"прости машини")</f>
        <v>прости машини</v>
      </c>
      <c r="E3140" s="1" t="str">
        <f ca="1">IFERROR(__xludf.DUMMYFUNCTION("GOOGLETRANSLATE(English!E3140, ""en"", ""bg"")"),"Можете ли да ми обясните какво представляват прости машини?")</f>
        <v>Можете ли да ми обясните какво представляват прости машини?</v>
      </c>
      <c r="F3140" s="1" t="str">
        <f ca="1">IFERROR(__xludf.DUMMYFUNCTION("GOOGLETRANSLATE(English!F3140,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3140" s="1" t="str">
        <f ca="1">IFERROR(__xludf.DUMMYFUNCTION("GOOGLETRANSLATE(English!G3140, ""en"", ""bg"")"),"direct_qa")</f>
        <v>direct_qa</v>
      </c>
      <c r="H3140" s="1" t="str">
        <f ca="1">IFERROR(__xludf.DUMMYFUNCTION("GOOGLETRANSLATE(English!H3140, ""en"", ""bg"")"),"заявка_за_знание")</f>
        <v>заявка_за_знание</v>
      </c>
    </row>
    <row r="3141" spans="1:8" ht="13.2" x14ac:dyDescent="0.25">
      <c r="A3141" s="1" t="str">
        <f ca="1">IFERROR(__xludf.DUMMYFUNCTION("GOOGLETRANSLATE(English!A3141, ""en"", ""bg"")"),"hw_11005")</f>
        <v>hw_11005</v>
      </c>
      <c r="B3141" s="1" t="str">
        <f ca="1">IFERROR(__xludf.DUMMYFUNCTION("GOOGLETRANSLATE(English!B3141, ""en"", ""bg"")"),"химия")</f>
        <v>химия</v>
      </c>
      <c r="C3141" s="1" t="str">
        <f ca="1">IFERROR(__xludf.DUMMYFUNCTION("GOOGLETRANSLATE(English!C3141, ""en"", ""bg"")"),"средата")</f>
        <v>средата</v>
      </c>
      <c r="D3141" s="1" t="str">
        <f ca="1">IFERROR(__xludf.DUMMYFUNCTION("GOOGLETRANSLATE(English!D3141, ""en"", ""bg"")"),"киселини и основи")</f>
        <v>киселини и основи</v>
      </c>
      <c r="E3141" s="1" t="str">
        <f ca="1">IFERROR(__xludf.DUMMYFUNCTION("GOOGLETRANSLATE(English!E3141,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3141" s="1" t="str">
        <f ca="1">IFERROR(__xludf.DUMMYFUNCTION("GOOGLETRANSLATE(English!F3141,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3141" s="1" t="str">
        <f ca="1">IFERROR(__xludf.DUMMYFUNCTION("GOOGLETRANSLATE(English!G3141, ""en"", ""bg"")"),"помощ_за_домашно_изпълнение")</f>
        <v>помощ_за_домашно_изпълнение</v>
      </c>
      <c r="H3141" s="1" t="str">
        <f ca="1">IFERROR(__xludf.DUMMYFUNCTION("GOOGLETRANSLATE(English!H3141, ""en"", ""bg"")"),"помощ_за_домашно_задаване")</f>
        <v>помощ_за_домашно_задаване</v>
      </c>
    </row>
    <row r="3142" spans="1:8" ht="13.2" x14ac:dyDescent="0.25">
      <c r="A3142" s="1" t="str">
        <f ca="1">IFERROR(__xludf.DUMMYFUNCTION("GOOGLETRANSLATE(English!A3142, ""en"", ""bg"")"),"conv_02444")</f>
        <v>conv_02444</v>
      </c>
      <c r="B3142" s="1" t="str">
        <f ca="1">IFERROR(__xludf.DUMMYFUNCTION("GOOGLETRANSLATE(English!B3142, ""en"", ""bg"")"),"физика")</f>
        <v>физика</v>
      </c>
      <c r="C3142" s="1" t="str">
        <f ca="1">IFERROR(__xludf.DUMMYFUNCTION("GOOGLETRANSLATE(English!C3142, ""en"", ""bg"")"),"високо")</f>
        <v>високо</v>
      </c>
      <c r="D3142" s="1" t="str">
        <f ca="1">IFERROR(__xludf.DUMMYFUNCTION("GOOGLETRANSLATE(English!D3142, ""en"", ""bg"")"),"радиоактивност")</f>
        <v>радиоактивност</v>
      </c>
      <c r="E3142" s="1" t="str">
        <f ca="1">IFERROR(__xludf.DUMMYFUNCTION("GOOGLETRANSLATE(English!E3142, ""en"", ""bg"")"),"Можете ли да ми обясните това? Как работи радиоактивността във физиката?")</f>
        <v>Можете ли да ми обясните това? Как работи радиоактивността във физиката?</v>
      </c>
      <c r="F3142" s="1" t="str">
        <f ca="1">IFERROR(__xludf.DUMMYFUNCTION("GOOGLETRANSLATE(English!F3142,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3142" s="1" t="str">
        <f ca="1">IFERROR(__xludf.DUMMYFUNCTION("GOOGLETRANSLATE(English!G3142, ""en"", ""bg"")"),"разговор")</f>
        <v>разговор</v>
      </c>
      <c r="H3142" s="1" t="str">
        <f ca="1">IFERROR(__xludf.DUMMYFUNCTION("GOOGLETRANSLATE(English!H3142, ""en"", ""bg"")"),"образователна_помощ")</f>
        <v>образователна_помощ</v>
      </c>
    </row>
    <row r="3143" spans="1:8" ht="13.2" x14ac:dyDescent="0.25">
      <c r="A3143" s="1" t="str">
        <f ca="1">IFERROR(__xludf.DUMMYFUNCTION("GOOGLETRANSLATE(English!A3143, ""en"", ""bg"")"),"hw_07529")</f>
        <v>hw_07529</v>
      </c>
      <c r="B3143" s="1" t="str">
        <f ca="1">IFERROR(__xludf.DUMMYFUNCTION("GOOGLETRANSLATE(English!B3143, ""en"", ""bg"")"),"физика")</f>
        <v>физика</v>
      </c>
      <c r="C3143" s="1" t="str">
        <f ca="1">IFERROR(__xludf.DUMMYFUNCTION("GOOGLETRANSLATE(English!C3143, ""en"", ""bg"")"),"средата")</f>
        <v>средата</v>
      </c>
      <c r="D3143" s="1" t="str">
        <f ca="1">IFERROR(__xludf.DUMMYFUNCTION("GOOGLETRANSLATE(English!D3143, ""en"", ""bg"")"),"сили и движение")</f>
        <v>сили и движение</v>
      </c>
      <c r="E3143" s="1" t="str">
        <f ca="1">IFERROR(__xludf.DUMMYFUNCTION("GOOGLETRANSLATE(English!E3143,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3143" s="1" t="str">
        <f ca="1">IFERROR(__xludf.DUMMYFUNCTION("GOOGLETRANSLATE(English!F3143,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3143" s="1" t="str">
        <f ca="1">IFERROR(__xludf.DUMMYFUNCTION("GOOGLETRANSLATE(English!G3143, ""en"", ""bg"")"),"помощ_за_домашно_изпълнение")</f>
        <v>помощ_за_домашно_изпълнение</v>
      </c>
      <c r="H3143" s="1" t="str">
        <f ca="1">IFERROR(__xludf.DUMMYFUNCTION("GOOGLETRANSLATE(English!H3143, ""en"", ""bg"")"),"помощ_за_домашно_задаване")</f>
        <v>помощ_за_домашно_задаване</v>
      </c>
    </row>
    <row r="3144" spans="1:8" ht="13.2" x14ac:dyDescent="0.25">
      <c r="A3144" s="1" t="str">
        <f ca="1">IFERROR(__xludf.DUMMYFUNCTION("GOOGLETRANSLATE(English!A3144, ""en"", ""bg"")"),"hw_04514")</f>
        <v>hw_04514</v>
      </c>
      <c r="B3144" s="1" t="str">
        <f ca="1">IFERROR(__xludf.DUMMYFUNCTION("GOOGLETRANSLATE(English!B3144, ""en"", ""bg"")"),"физика")</f>
        <v>физика</v>
      </c>
      <c r="C3144" s="1" t="str">
        <f ca="1">IFERROR(__xludf.DUMMYFUNCTION("GOOGLETRANSLATE(English!C3144, ""en"", ""bg"")"),"високо")</f>
        <v>високо</v>
      </c>
      <c r="D3144" s="1" t="str">
        <f ca="1">IFERROR(__xludf.DUMMYFUNCTION("GOOGLETRANSLATE(English!D3144, ""en"", ""bg"")"),"механика")</f>
        <v>механика</v>
      </c>
      <c r="E3144" s="1" t="str">
        <f ca="1">IFERROR(__xludf.DUMMYFUNCTION("GOOGLETRANSLATE(English!E3144, ""en"", ""bg"")"),"Можеш ли да решиш този механичен въпрос с мен?")</f>
        <v>Можеш ли да решиш този механичен въпрос с мен?</v>
      </c>
      <c r="F3144" s="1" t="str">
        <f ca="1">IFERROR(__xludf.DUMMYFUNCTION("GOOGLETRANSLATE(English!F3144,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144" s="1" t="str">
        <f ca="1">IFERROR(__xludf.DUMMYFUNCTION("GOOGLETRANSLATE(English!G3144, ""en"", ""bg"")"),"помощ_за_домашно_изпълнение")</f>
        <v>помощ_за_домашно_изпълнение</v>
      </c>
      <c r="H3144" s="1" t="str">
        <f ca="1">IFERROR(__xludf.DUMMYFUNCTION("GOOGLETRANSLATE(English!H3144, ""en"", ""bg"")"),"помощ_за_домашно_задаване")</f>
        <v>помощ_за_домашно_задаване</v>
      </c>
    </row>
    <row r="3145" spans="1:8" ht="13.2" x14ac:dyDescent="0.25">
      <c r="A3145" s="1" t="str">
        <f ca="1">IFERROR(__xludf.DUMMYFUNCTION("GOOGLETRANSLATE(English!A3145, ""en"", ""bg"")"),"qa_02176")</f>
        <v>qa_02176</v>
      </c>
      <c r="B3145" s="1" t="str">
        <f ca="1">IFERROR(__xludf.DUMMYFUNCTION("GOOGLETRANSLATE(English!B3145, ""en"", ""bg"")"),"химия")</f>
        <v>химия</v>
      </c>
      <c r="C3145" s="1" t="str">
        <f ca="1">IFERROR(__xludf.DUMMYFUNCTION("GOOGLETRANSLATE(English!C3145, ""en"", ""bg"")"),"средата")</f>
        <v>средата</v>
      </c>
      <c r="D3145" s="1" t="str">
        <f ca="1">IFERROR(__xludf.DUMMYFUNCTION("GOOGLETRANSLATE(English!D3145, ""en"", ""bg"")"),"съединения срещу елементи")</f>
        <v>съединения срещу елементи</v>
      </c>
      <c r="E3145" s="1" t="str">
        <f ca="1">IFERROR(__xludf.DUMMYFUNCTION("GOOGLETRANSLATE(English!E3145, ""en"", ""bg"")"),"Можете ли да ми помогнете да разбера по-добре съединенията спрямо елементите?")</f>
        <v>Можете ли да ми помогнете да разбера по-добре съединенията спрямо елементите?</v>
      </c>
      <c r="F3145" s="1" t="str">
        <f ca="1">IFERROR(__xludf.DUMMYFUNCTION("GOOGLETRANSLATE(English!F3145,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3145" s="1" t="str">
        <f ca="1">IFERROR(__xludf.DUMMYFUNCTION("GOOGLETRANSLATE(English!G3145, ""en"", ""bg"")"),"direct_qa")</f>
        <v>direct_qa</v>
      </c>
      <c r="H3145" s="1" t="str">
        <f ca="1">IFERROR(__xludf.DUMMYFUNCTION("GOOGLETRANSLATE(English!H3145, ""en"", ""bg"")"),"заявка_за_знание")</f>
        <v>заявка_за_знание</v>
      </c>
    </row>
    <row r="3146" spans="1:8" ht="13.2" x14ac:dyDescent="0.25">
      <c r="A3146" s="1" t="str">
        <f ca="1">IFERROR(__xludf.DUMMYFUNCTION("GOOGLETRANSLATE(English!A3146, ""en"", ""bg"")"),"conv_16227")</f>
        <v>conv_16227</v>
      </c>
      <c r="B3146" s="1" t="str">
        <f ca="1">IFERROR(__xludf.DUMMYFUNCTION("GOOGLETRANSLATE(English!B3146, ""en"", ""bg"")"),"физика")</f>
        <v>физика</v>
      </c>
      <c r="C3146" s="1" t="str">
        <f ca="1">IFERROR(__xludf.DUMMYFUNCTION("GOOGLETRANSLATE(English!C3146, ""en"", ""bg"")"),"средата")</f>
        <v>средата</v>
      </c>
      <c r="D3146" s="1" t="str">
        <f ca="1">IFERROR(__xludf.DUMMYFUNCTION("GOOGLETRANSLATE(English!D3146, ""en"", ""bg"")"),"основи на електричеството")</f>
        <v>основи на електричеството</v>
      </c>
      <c r="E3146" s="1" t="str">
        <f ca="1">IFERROR(__xludf.DUMMYFUNCTION("GOOGLETRANSLATE(English!E3146, ""en"", ""bg"")"),"Здравей, преподавателю! Как се прилагат основите на електричеството във физиката?")</f>
        <v>Здравей, преподавателю! Как се прилагат основите на електричеството във физиката?</v>
      </c>
      <c r="F3146" s="1" t="str">
        <f ca="1">IFERROR(__xludf.DUMMYFUNCTION("GOOGLETRANSLATE(English!F3146,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3146" s="1" t="str">
        <f ca="1">IFERROR(__xludf.DUMMYFUNCTION("GOOGLETRANSLATE(English!G3146, ""en"", ""bg"")"),"разговор")</f>
        <v>разговор</v>
      </c>
      <c r="H3146" s="1" t="str">
        <f ca="1">IFERROR(__xludf.DUMMYFUNCTION("GOOGLETRANSLATE(English!H3146, ""en"", ""bg"")"),"образователна_помощ")</f>
        <v>образователна_помощ</v>
      </c>
    </row>
    <row r="3147" spans="1:8" ht="13.2" x14ac:dyDescent="0.25">
      <c r="A3147" s="1" t="str">
        <f ca="1">IFERROR(__xludf.DUMMYFUNCTION("GOOGLETRANSLATE(English!A3147, ""en"", ""bg"")"),"qa_14623")</f>
        <v>qa_14623</v>
      </c>
      <c r="B3147" s="1" t="str">
        <f ca="1">IFERROR(__xludf.DUMMYFUNCTION("GOOGLETRANSLATE(English!B3147, ""en"", ""bg"")"),"физика")</f>
        <v>физика</v>
      </c>
      <c r="C3147" s="1" t="str">
        <f ca="1">IFERROR(__xludf.DUMMYFUNCTION("GOOGLETRANSLATE(English!C3147, ""en"", ""bg"")"),"средата")</f>
        <v>средата</v>
      </c>
      <c r="D3147" s="1" t="str">
        <f ca="1">IFERROR(__xludf.DUMMYFUNCTION("GOOGLETRANSLATE(English!D3147, ""en"", ""bg"")"),"прости схеми")</f>
        <v>прости схеми</v>
      </c>
      <c r="E3147" s="1" t="str">
        <f ca="1">IFERROR(__xludf.DUMMYFUNCTION("GOOGLETRANSLATE(English!E3147, ""en"", ""bg"")"),"Защо простите електрически вериги са важни?")</f>
        <v>Защо простите електрически вериги са важни?</v>
      </c>
      <c r="F3147" s="1" t="str">
        <f ca="1">IFERROR(__xludf.DUMMYFUNCTION("GOOGLETRANSLATE(English!F3147,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3147" s="1" t="str">
        <f ca="1">IFERROR(__xludf.DUMMYFUNCTION("GOOGLETRANSLATE(English!G3147, ""en"", ""bg"")"),"direct_qa")</f>
        <v>direct_qa</v>
      </c>
      <c r="H3147" s="1" t="str">
        <f ca="1">IFERROR(__xludf.DUMMYFUNCTION("GOOGLETRANSLATE(English!H3147, ""en"", ""bg"")"),"заявка_за_знание")</f>
        <v>заявка_за_знание</v>
      </c>
    </row>
    <row r="3148" spans="1:8" ht="13.2" x14ac:dyDescent="0.25">
      <c r="A3148" s="1" t="str">
        <f ca="1">IFERROR(__xludf.DUMMYFUNCTION("GOOGLETRANSLATE(English!A3148, ""en"", ""bg"")"),"qa_09221")</f>
        <v>qa_09221</v>
      </c>
      <c r="B3148" s="1" t="str">
        <f ca="1">IFERROR(__xludf.DUMMYFUNCTION("GOOGLETRANSLATE(English!B3148, ""en"", ""bg"")"),"химия")</f>
        <v>химия</v>
      </c>
      <c r="C3148" s="1" t="str">
        <f ca="1">IFERROR(__xludf.DUMMYFUNCTION("GOOGLETRANSLATE(English!C3148, ""en"", ""bg"")"),"елементарен")</f>
        <v>елементарен</v>
      </c>
      <c r="D3148" s="1" t="str">
        <f ca="1">IFERROR(__xludf.DUMMYFUNCTION("GOOGLETRANSLATE(English!D3148, ""en"", ""bg"")"),"разтваряне")</f>
        <v>разтваряне</v>
      </c>
      <c r="E3148" s="1" t="str">
        <f ca="1">IFERROR(__xludf.DUMMYFUNCTION("GOOGLETRANSLATE(English!E3148, ""en"", ""bg"")"),"Какво е разтварянето?")</f>
        <v>Какво е разтварянето?</v>
      </c>
      <c r="F3148" s="1" t="str">
        <f ca="1">IFERROR(__xludf.DUMMYFUNCTION("GOOGLETRANSLATE(English!F3148,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3148" s="1" t="str">
        <f ca="1">IFERROR(__xludf.DUMMYFUNCTION("GOOGLETRANSLATE(English!G3148, ""en"", ""bg"")"),"direct_qa")</f>
        <v>direct_qa</v>
      </c>
      <c r="H3148" s="1" t="str">
        <f ca="1">IFERROR(__xludf.DUMMYFUNCTION("GOOGLETRANSLATE(English!H3148, ""en"", ""bg"")"),"заявка_за_знание")</f>
        <v>заявка_за_знание</v>
      </c>
    </row>
    <row r="3149" spans="1:8" ht="13.2" x14ac:dyDescent="0.25">
      <c r="A3149" s="1" t="str">
        <f ca="1">IFERROR(__xludf.DUMMYFUNCTION("GOOGLETRANSLATE(English!A3149, ""en"", ""bg"")"),"conv_13208")</f>
        <v>conv_13208</v>
      </c>
      <c r="B3149" s="1" t="str">
        <f ca="1">IFERROR(__xludf.DUMMYFUNCTION("GOOGLETRANSLATE(English!B3149, ""en"", ""bg"")"),"химия")</f>
        <v>химия</v>
      </c>
      <c r="C3149" s="1" t="str">
        <f ca="1">IFERROR(__xludf.DUMMYFUNCTION("GOOGLETRANSLATE(English!C3149, ""en"", ""bg"")"),"високо")</f>
        <v>високо</v>
      </c>
      <c r="D3149" s="1" t="str">
        <f ca="1">IFERROR(__xludf.DUMMYFUNCTION("GOOGLETRANSLATE(English!D3149, ""en"", ""bg"")"),"скорости на реакция")</f>
        <v>скорости на реакция</v>
      </c>
      <c r="E3149" s="1" t="str">
        <f ca="1">IFERROR(__xludf.DUMMYFUNCTION("GOOGLETRANSLATE(English!E3149,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3149" s="1" t="str">
        <f ca="1">IFERROR(__xludf.DUMMYFUNCTION("GOOGLETRANSLATE(English!F3149,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3149" s="1" t="str">
        <f ca="1">IFERROR(__xludf.DUMMYFUNCTION("GOOGLETRANSLATE(English!G3149, ""en"", ""bg"")"),"разговор")</f>
        <v>разговор</v>
      </c>
      <c r="H3149" s="1" t="str">
        <f ca="1">IFERROR(__xludf.DUMMYFUNCTION("GOOGLETRANSLATE(English!H3149, ""en"", ""bg"")"),"образователна_помощ")</f>
        <v>образователна_помощ</v>
      </c>
    </row>
    <row r="3150" spans="1:8" ht="13.2" x14ac:dyDescent="0.25">
      <c r="A3150" s="1" t="str">
        <f ca="1">IFERROR(__xludf.DUMMYFUNCTION("GOOGLETRANSLATE(English!A3150, ""en"", ""bg"")"),"hw_04240")</f>
        <v>hw_04240</v>
      </c>
      <c r="B3150" s="1" t="str">
        <f ca="1">IFERROR(__xludf.DUMMYFUNCTION("GOOGLETRANSLATE(English!B3150, ""en"", ""bg"")"),"биология")</f>
        <v>биология</v>
      </c>
      <c r="C3150" s="1" t="str">
        <f ca="1">IFERROR(__xludf.DUMMYFUNCTION("GOOGLETRANSLATE(English!C3150, ""en"", ""bg"")"),"средата")</f>
        <v>средата</v>
      </c>
      <c r="D3150" s="1" t="str">
        <f ca="1">IFERROR(__xludf.DUMMYFUNCTION("GOOGLETRANSLATE(English!D3150, ""en"", ""bg"")"),"дишане")</f>
        <v>дишане</v>
      </c>
      <c r="E3150" s="1" t="str">
        <f ca="1">IFERROR(__xludf.DUMMYFUNCTION("GOOGLETRANSLATE(English!E3150, ""en"", ""bg"")"),"Можете ли да обясните дишането за моя научен проект?")</f>
        <v>Можете ли да обясните дишането за моя научен проект?</v>
      </c>
      <c r="F3150" s="1" t="str">
        <f ca="1">IFERROR(__xludf.DUMMYFUNCTION("GOOGLETRANSLATE(English!F3150,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3150" s="1" t="str">
        <f ca="1">IFERROR(__xludf.DUMMYFUNCTION("GOOGLETRANSLATE(English!G3150, ""en"", ""bg"")"),"помощ_за_домашно_изпълнение")</f>
        <v>помощ_за_домашно_изпълнение</v>
      </c>
      <c r="H3150" s="1" t="str">
        <f ca="1">IFERROR(__xludf.DUMMYFUNCTION("GOOGLETRANSLATE(English!H3150, ""en"", ""bg"")"),"помощ_за_домашно_задаване")</f>
        <v>помощ_за_домашно_задаване</v>
      </c>
    </row>
    <row r="3151" spans="1:8" ht="13.2" x14ac:dyDescent="0.25">
      <c r="A3151" s="1" t="str">
        <f ca="1">IFERROR(__xludf.DUMMYFUNCTION("GOOGLETRANSLATE(English!A3151, ""en"", ""bg"")"),"hw_01942")</f>
        <v>hw_01942</v>
      </c>
      <c r="B3151" s="1" t="str">
        <f ca="1">IFERROR(__xludf.DUMMYFUNCTION("GOOGLETRANSLATE(English!B3151, ""en"", ""bg"")"),"физика")</f>
        <v>физика</v>
      </c>
      <c r="C3151" s="1" t="str">
        <f ca="1">IFERROR(__xludf.DUMMYFUNCTION("GOOGLETRANSLATE(English!C3151, ""en"", ""bg"")"),"средата")</f>
        <v>средата</v>
      </c>
      <c r="D3151" s="1" t="str">
        <f ca="1">IFERROR(__xludf.DUMMYFUNCTION("GOOGLETRANSLATE(English!D3151, ""en"", ""bg"")"),"състояния на материята")</f>
        <v>състояния на материята</v>
      </c>
      <c r="E3151" s="1" t="str">
        <f ca="1">IFERROR(__xludf.DUMMYFUNCTION("GOOGLETRANSLATE(English!E3151, ""en"", ""bg"")"),"Можете ли да решите този въпрос с мен?")</f>
        <v>Можете ли да решите този въпрос с мен?</v>
      </c>
      <c r="F3151" s="1" t="str">
        <f ca="1">IFERROR(__xludf.DUMMYFUNCTION("GOOGLETRANSLATE(English!F3151,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151" s="1" t="str">
        <f ca="1">IFERROR(__xludf.DUMMYFUNCTION("GOOGLETRANSLATE(English!G3151, ""en"", ""bg"")"),"помощ_за_домашно_изпълнение")</f>
        <v>помощ_за_домашно_изпълнение</v>
      </c>
      <c r="H3151" s="1" t="str">
        <f ca="1">IFERROR(__xludf.DUMMYFUNCTION("GOOGLETRANSLATE(English!H3151, ""en"", ""bg"")"),"помощ_за_домашно_задаване")</f>
        <v>помощ_за_домашно_задаване</v>
      </c>
    </row>
    <row r="3152" spans="1:8" ht="13.2" x14ac:dyDescent="0.25">
      <c r="A3152" s="1" t="str">
        <f ca="1">IFERROR(__xludf.DUMMYFUNCTION("GOOGLETRANSLATE(English!A3152, ""en"", ""bg"")"),"qa_05966")</f>
        <v>qa_05966</v>
      </c>
      <c r="B3152" s="1" t="str">
        <f ca="1">IFERROR(__xludf.DUMMYFUNCTION("GOOGLETRANSLATE(English!B3152, ""en"", ""bg"")"),"физика")</f>
        <v>физика</v>
      </c>
      <c r="C3152" s="1" t="str">
        <f ca="1">IFERROR(__xludf.DUMMYFUNCTION("GOOGLETRANSLATE(English!C3152, ""en"", ""bg"")"),"високо")</f>
        <v>високо</v>
      </c>
      <c r="D3152" s="1" t="str">
        <f ca="1">IFERROR(__xludf.DUMMYFUNCTION("GOOGLETRANSLATE(English!D3152, ""en"", ""bg"")"),"електромагнетизъм")</f>
        <v>електромагнетизъм</v>
      </c>
      <c r="E3152" s="1" t="str">
        <f ca="1">IFERROR(__xludf.DUMMYFUNCTION("GOOGLETRANSLATE(English!E3152, ""en"", ""bg"")"),"Какво трябва да знам за електромагнетизма?")</f>
        <v>Какво трябва да знам за електромагнетизма?</v>
      </c>
      <c r="F3152" s="1" t="str">
        <f ca="1">IFERROR(__xludf.DUMMYFUNCTION("GOOGLETRANSLATE(English!F3152,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3152" s="1" t="str">
        <f ca="1">IFERROR(__xludf.DUMMYFUNCTION("GOOGLETRANSLATE(English!G3152, ""en"", ""bg"")"),"direct_qa")</f>
        <v>direct_qa</v>
      </c>
      <c r="H3152" s="1" t="str">
        <f ca="1">IFERROR(__xludf.DUMMYFUNCTION("GOOGLETRANSLATE(English!H3152, ""en"", ""bg"")"),"заявка_за_знание")</f>
        <v>заявка_за_знание</v>
      </c>
    </row>
    <row r="3153" spans="1:8" ht="13.2" x14ac:dyDescent="0.25">
      <c r="A3153" s="1" t="str">
        <f ca="1">IFERROR(__xludf.DUMMYFUNCTION("GOOGLETRANSLATE(English!A3153, ""en"", ""bg"")"),"conv_12345")</f>
        <v>conv_12345</v>
      </c>
      <c r="B3153" s="1" t="str">
        <f ca="1">IFERROR(__xludf.DUMMYFUNCTION("GOOGLETRANSLATE(English!B3153, ""en"", ""bg"")"),"химия")</f>
        <v>химия</v>
      </c>
      <c r="C3153" s="1" t="str">
        <f ca="1">IFERROR(__xludf.DUMMYFUNCTION("GOOGLETRANSLATE(English!C3153, ""en"", ""bg"")"),"средата")</f>
        <v>средата</v>
      </c>
      <c r="D3153" s="1" t="str">
        <f ca="1">IFERROR(__xludf.DUMMYFUNCTION("GOOGLETRANSLATE(English!D3153, ""en"", ""bg"")"),"атоми и молекули")</f>
        <v>атоми и молекули</v>
      </c>
      <c r="E3153" s="1" t="str">
        <f ca="1">IFERROR(__xludf.DUMMYFUNCTION("GOOGLETRANSLATE(English!E3153, ""en"", ""bg"")"),"Не разбирам тази тема. По какво се различават атомите и молекулите?")</f>
        <v>Не разбирам тази тема. По какво се различават атомите и молекулите?</v>
      </c>
      <c r="F3153" s="1" t="str">
        <f ca="1">IFERROR(__xludf.DUMMYFUNCTION("GOOGLETRANSLATE(English!F3153,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3153" s="1" t="str">
        <f ca="1">IFERROR(__xludf.DUMMYFUNCTION("GOOGLETRANSLATE(English!G3153, ""en"", ""bg"")"),"разговор")</f>
        <v>разговор</v>
      </c>
      <c r="H3153" s="1" t="str">
        <f ca="1">IFERROR(__xludf.DUMMYFUNCTION("GOOGLETRANSLATE(English!H3153, ""en"", ""bg"")"),"образователна_помощ")</f>
        <v>образователна_помощ</v>
      </c>
    </row>
    <row r="3154" spans="1:8" ht="13.2" x14ac:dyDescent="0.25">
      <c r="A3154" s="1" t="str">
        <f ca="1">IFERROR(__xludf.DUMMYFUNCTION("GOOGLETRANSLATE(English!A3154, ""en"", ""bg"")"),"hw_07241")</f>
        <v>hw_07241</v>
      </c>
      <c r="B3154" s="1" t="str">
        <f ca="1">IFERROR(__xludf.DUMMYFUNCTION("GOOGLETRANSLATE(English!B3154, ""en"", ""bg"")"),"физика")</f>
        <v>физика</v>
      </c>
      <c r="C3154" s="1" t="str">
        <f ca="1">IFERROR(__xludf.DUMMYFUNCTION("GOOGLETRANSLATE(English!C3154, ""en"", ""bg"")"),"средата")</f>
        <v>средата</v>
      </c>
      <c r="D3154" s="1" t="str">
        <f ca="1">IFERROR(__xludf.DUMMYFUNCTION("GOOGLETRANSLATE(English!D3154, ""en"", ""bg"")"),"основи на електричеството")</f>
        <v>основи на електричеството</v>
      </c>
      <c r="E3154" s="1" t="str">
        <f ca="1">IFERROR(__xludf.DUMMYFUNCTION("GOOGLETRANSLATE(English!E3154, ""en"", ""bg"")"),"Можете ли да решите този въпрос по основи на електричеството с мен?")</f>
        <v>Можете ли да решите този въпрос по основи на електричеството с мен?</v>
      </c>
      <c r="F3154" s="1" t="str">
        <f ca="1">IFERROR(__xludf.DUMMYFUNCTION("GOOGLETRANSLATE(English!F3154,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3154" s="1" t="str">
        <f ca="1">IFERROR(__xludf.DUMMYFUNCTION("GOOGLETRANSLATE(English!G3154, ""en"", ""bg"")"),"помощ_за_домашно_изпълнение")</f>
        <v>помощ_за_домашно_изпълнение</v>
      </c>
      <c r="H3154" s="1" t="str">
        <f ca="1">IFERROR(__xludf.DUMMYFUNCTION("GOOGLETRANSLATE(English!H3154, ""en"", ""bg"")"),"помощ_за_домашно_задаване")</f>
        <v>помощ_за_домашно_задаване</v>
      </c>
    </row>
    <row r="3155" spans="1:8" ht="13.2" x14ac:dyDescent="0.25">
      <c r="A3155" s="1" t="str">
        <f ca="1">IFERROR(__xludf.DUMMYFUNCTION("GOOGLETRANSLATE(English!A3155, ""en"", ""bg"")"),"conv_05261")</f>
        <v>conv_05261</v>
      </c>
      <c r="B3155" s="1" t="str">
        <f ca="1">IFERROR(__xludf.DUMMYFUNCTION("GOOGLETRANSLATE(English!B3155, ""en"", ""bg"")"),"химия")</f>
        <v>химия</v>
      </c>
      <c r="C3155" s="1" t="str">
        <f ca="1">IFERROR(__xludf.DUMMYFUNCTION("GOOGLETRANSLATE(English!C3155, ""en"", ""bg"")"),"елементарен")</f>
        <v>елементарен</v>
      </c>
      <c r="D3155" s="1" t="str">
        <f ca="1">IFERROR(__xludf.DUMMYFUNCTION("GOOGLETRANSLATE(English!D3155, ""en"", ""bg"")"),"твърди вещества, течности, газове")</f>
        <v>твърди вещества, течности, газове</v>
      </c>
      <c r="E3155" s="1" t="str">
        <f ca="1">IFERROR(__xludf.DUMMYFUNCTION("GOOGLETRANSLATE(English!E3155, ""en"", ""bg"")"),"Имам научен въпрос. Какво се случва, когато нагреете твърдо вещество?")</f>
        <v>Имам научен въпрос. Какво се случва, когато нагреете твърдо вещество?</v>
      </c>
      <c r="F3155" s="1" t="str">
        <f ca="1">IFERROR(__xludf.DUMMYFUNCTION("GOOGLETRANSLATE(English!F3155,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3155" s="1" t="str">
        <f ca="1">IFERROR(__xludf.DUMMYFUNCTION("GOOGLETRANSLATE(English!G3155, ""en"", ""bg"")"),"разговор")</f>
        <v>разговор</v>
      </c>
      <c r="H3155" s="1" t="str">
        <f ca="1">IFERROR(__xludf.DUMMYFUNCTION("GOOGLETRANSLATE(English!H3155, ""en"", ""bg"")"),"образователна_помощ")</f>
        <v>образователна_помощ</v>
      </c>
    </row>
    <row r="3156" spans="1:8" ht="13.2" x14ac:dyDescent="0.25">
      <c r="A3156" s="1" t="str">
        <f ca="1">IFERROR(__xludf.DUMMYFUNCTION("GOOGLETRANSLATE(English!A3156, ""en"", ""bg"")"),"hw_03613")</f>
        <v>hw_03613</v>
      </c>
      <c r="B3156" s="1" t="str">
        <f ca="1">IFERROR(__xludf.DUMMYFUNCTION("GOOGLETRANSLATE(English!B3156, ""en"", ""bg"")"),"химия")</f>
        <v>химия</v>
      </c>
      <c r="C3156" s="1" t="str">
        <f ca="1">IFERROR(__xludf.DUMMYFUNCTION("GOOGLETRANSLATE(English!C3156, ""en"", ""bg"")"),"високо")</f>
        <v>високо</v>
      </c>
      <c r="D3156" s="1" t="str">
        <f ca="1">IFERROR(__xludf.DUMMYFUNCTION("GOOGLETRANSLATE(English!D3156, ""en"", ""bg"")"),"електрохимия")</f>
        <v>електрохимия</v>
      </c>
      <c r="E3156" s="1" t="str">
        <f ca="1">IFERROR(__xludf.DUMMYFUNCTION("GOOGLETRANSLATE(English!E3156, ""en"", ""bg"")"),"Не разбирам тази концепция за електрохимия. Моля, обяснете!")</f>
        <v>Не разбирам тази концепция за електрохимия. Моля, обяснете!</v>
      </c>
      <c r="F3156" s="1" t="str">
        <f ca="1">IFERROR(__xludf.DUMMYFUNCTION("GOOGLETRANSLATE(English!F3156,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156" s="1" t="str">
        <f ca="1">IFERROR(__xludf.DUMMYFUNCTION("GOOGLETRANSLATE(English!G3156, ""en"", ""bg"")"),"помощ_за_домашно_изпълнение")</f>
        <v>помощ_за_домашно_изпълнение</v>
      </c>
      <c r="H3156" s="1" t="str">
        <f ca="1">IFERROR(__xludf.DUMMYFUNCTION("GOOGLETRANSLATE(English!H3156, ""en"", ""bg"")"),"помощ_за_домашно_задаване")</f>
        <v>помощ_за_домашно_задаване</v>
      </c>
    </row>
    <row r="3157" spans="1:8" ht="13.2" x14ac:dyDescent="0.25">
      <c r="A3157" s="1" t="str">
        <f ca="1">IFERROR(__xludf.DUMMYFUNCTION("GOOGLETRANSLATE(English!A3157, ""en"", ""bg"")"),"conv_19966")</f>
        <v>conv_19966</v>
      </c>
      <c r="B3157" s="1" t="str">
        <f ca="1">IFERROR(__xludf.DUMMYFUNCTION("GOOGLETRANSLATE(English!B3157, ""en"", ""bg"")"),"физика")</f>
        <v>физика</v>
      </c>
      <c r="C3157" s="1" t="str">
        <f ca="1">IFERROR(__xludf.DUMMYFUNCTION("GOOGLETRANSLATE(English!C3157, ""en"", ""bg"")"),"високо")</f>
        <v>високо</v>
      </c>
      <c r="D3157" s="1" t="str">
        <f ca="1">IFERROR(__xludf.DUMMYFUNCTION("GOOGLETRANSLATE(English!D3157, ""en"", ""bg"")"),"атомна структура")</f>
        <v>атомна структура</v>
      </c>
      <c r="E3157" s="1" t="str">
        <f ca="1">IFERROR(__xludf.DUMMYFUNCTION("GOOGLETRANSLATE(English!E3157, ""en"", ""bg"")"),"Можете ли да ми обясните това? Защо атомната структура е важна?")</f>
        <v>Можете ли да ми обясните това? Защо атомната структура е важна?</v>
      </c>
      <c r="F3157" s="1" t="str">
        <f ca="1">IFERROR(__xludf.DUMMYFUNCTION("GOOGLETRANSLATE(English!F3157,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3157" s="1" t="str">
        <f ca="1">IFERROR(__xludf.DUMMYFUNCTION("GOOGLETRANSLATE(English!G3157, ""en"", ""bg"")"),"разговор")</f>
        <v>разговор</v>
      </c>
      <c r="H3157" s="1" t="str">
        <f ca="1">IFERROR(__xludf.DUMMYFUNCTION("GOOGLETRANSLATE(English!H3157, ""en"", ""bg"")"),"образователна_помощ")</f>
        <v>образователна_помощ</v>
      </c>
    </row>
    <row r="3158" spans="1:8" ht="13.2" x14ac:dyDescent="0.25">
      <c r="A3158" s="1" t="str">
        <f ca="1">IFERROR(__xludf.DUMMYFUNCTION("GOOGLETRANSLATE(English!A3158, ""en"", ""bg"")"),"conv_15138")</f>
        <v>conv_15138</v>
      </c>
      <c r="B3158" s="1" t="str">
        <f ca="1">IFERROR(__xludf.DUMMYFUNCTION("GOOGLETRANSLATE(English!B3158, ""en"", ""bg"")"),"химия")</f>
        <v>химия</v>
      </c>
      <c r="C3158" s="1" t="str">
        <f ca="1">IFERROR(__xludf.DUMMYFUNCTION("GOOGLETRANSLATE(English!C3158, ""en"", ""bg"")"),"елементарен")</f>
        <v>елементарен</v>
      </c>
      <c r="D3158" s="1" t="str">
        <f ca="1">IFERROR(__xludf.DUMMYFUNCTION("GOOGLETRANSLATE(English!D3158, ""en"", ""bg"")"),"смесване на материали")</f>
        <v>смесване на материали</v>
      </c>
      <c r="E3158" s="1" t="str">
        <f ca="1">IFERROR(__xludf.DUMMYFUNCTION("GOOGLETRANSLATE(English!E3158, ""en"", ""bg"")"),"Можете ли да ми помогнете? Как може да се отдели солта от водата?")</f>
        <v>Можете ли да ми помогнете? Как може да се отдели солта от водата?</v>
      </c>
      <c r="F3158" s="1" t="str">
        <f ca="1">IFERROR(__xludf.DUMMYFUNCTION("GOOGLETRANSLATE(English!F3158,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3158" s="1" t="str">
        <f ca="1">IFERROR(__xludf.DUMMYFUNCTION("GOOGLETRANSLATE(English!G3158, ""en"", ""bg"")"),"разговор")</f>
        <v>разговор</v>
      </c>
      <c r="H3158" s="1" t="str">
        <f ca="1">IFERROR(__xludf.DUMMYFUNCTION("GOOGLETRANSLATE(English!H3158, ""en"", ""bg"")"),"образователна_помощ")</f>
        <v>образователна_помощ</v>
      </c>
    </row>
    <row r="3159" spans="1:8" ht="13.2" x14ac:dyDescent="0.25">
      <c r="A3159" s="1" t="str">
        <f ca="1">IFERROR(__xludf.DUMMYFUNCTION("GOOGLETRANSLATE(English!A3159, ""en"", ""bg"")"),"conv_01270")</f>
        <v>conv_01270</v>
      </c>
      <c r="B3159" s="1" t="str">
        <f ca="1">IFERROR(__xludf.DUMMYFUNCTION("GOOGLETRANSLATE(English!B3159, ""en"", ""bg"")"),"физика")</f>
        <v>физика</v>
      </c>
      <c r="C3159" s="1" t="str">
        <f ca="1">IFERROR(__xludf.DUMMYFUNCTION("GOOGLETRANSLATE(English!C3159, ""en"", ""bg"")"),"елементарен")</f>
        <v>елементарен</v>
      </c>
      <c r="D3159" s="1" t="str">
        <f ca="1">IFERROR(__xludf.DUMMYFUNCTION("GOOGLETRANSLATE(English!D3159, ""en"", ""bg"")"),"прости машини")</f>
        <v>прости машини</v>
      </c>
      <c r="E3159" s="1" t="str">
        <f ca="1">IFERROR(__xludf.DUMMYFUNCTION("GOOGLETRANSLATE(English!E3159, ""en"", ""bg"")"),"Помогнете ми да уча за теста. Можете ли да ми обясните прости машини?")</f>
        <v>Помогнете ми да уча за теста. Можете ли да ми обясните прости машини?</v>
      </c>
      <c r="F3159" s="1" t="str">
        <f ca="1">IFERROR(__xludf.DUMMYFUNCTION("GOOGLETRANSLATE(English!F3159,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3159" s="1" t="str">
        <f ca="1">IFERROR(__xludf.DUMMYFUNCTION("GOOGLETRANSLATE(English!G3159, ""en"", ""bg"")"),"разговор")</f>
        <v>разговор</v>
      </c>
      <c r="H3159" s="1" t="str">
        <f ca="1">IFERROR(__xludf.DUMMYFUNCTION("GOOGLETRANSLATE(English!H3159, ""en"", ""bg"")"),"образователна_помощ")</f>
        <v>образователна_помощ</v>
      </c>
    </row>
    <row r="3160" spans="1:8" ht="13.2" x14ac:dyDescent="0.25">
      <c r="A3160" s="1" t="str">
        <f ca="1">IFERROR(__xludf.DUMMYFUNCTION("GOOGLETRANSLATE(English!A3160, ""en"", ""bg"")"),"hw_00969")</f>
        <v>hw_00969</v>
      </c>
      <c r="B3160" s="1" t="str">
        <f ca="1">IFERROR(__xludf.DUMMYFUNCTION("GOOGLETRANSLATE(English!B3160, ""en"", ""bg"")"),"физика")</f>
        <v>физика</v>
      </c>
      <c r="C3160" s="1" t="str">
        <f ca="1">IFERROR(__xludf.DUMMYFUNCTION("GOOGLETRANSLATE(English!C3160, ""en"", ""bg"")"),"елементарен")</f>
        <v>елементарен</v>
      </c>
      <c r="D3160" s="1" t="str">
        <f ca="1">IFERROR(__xludf.DUMMYFUNCTION("GOOGLETRANSLATE(English!D3160, ""en"", ""bg"")"),"магнити")</f>
        <v>магнити</v>
      </c>
      <c r="E3160" s="1" t="str">
        <f ca="1">IFERROR(__xludf.DUMMYFUNCTION("GOOGLETRANSLATE(English!E3160, ""en"", ""bg"")"),"Домашното ми по физика е за магнити. Объркващо е!")</f>
        <v>Домашното ми по физика е за магнити. Объркващо е!</v>
      </c>
      <c r="F3160" s="1" t="str">
        <f ca="1">IFERROR(__xludf.DUMMYFUNCTION("GOOGLETRANSLATE(English!F3160,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3160" s="1" t="str">
        <f ca="1">IFERROR(__xludf.DUMMYFUNCTION("GOOGLETRANSLATE(English!G3160, ""en"", ""bg"")"),"помощ_за_домашно_изпълнение")</f>
        <v>помощ_за_домашно_изпълнение</v>
      </c>
      <c r="H3160" s="1" t="str">
        <f ca="1">IFERROR(__xludf.DUMMYFUNCTION("GOOGLETRANSLATE(English!H3160, ""en"", ""bg"")"),"помощ_за_домашно_задаване")</f>
        <v>помощ_за_домашно_задаване</v>
      </c>
    </row>
    <row r="3161" spans="1:8" ht="13.2" x14ac:dyDescent="0.25">
      <c r="A3161" s="1" t="str">
        <f ca="1">IFERROR(__xludf.DUMMYFUNCTION("GOOGLETRANSLATE(English!A3161, ""en"", ""bg"")"),"qa_01686")</f>
        <v>qa_01686</v>
      </c>
      <c r="B3161" s="1" t="str">
        <f ca="1">IFERROR(__xludf.DUMMYFUNCTION("GOOGLETRANSLATE(English!B3161, ""en"", ""bg"")"),"физика")</f>
        <v>физика</v>
      </c>
      <c r="C3161" s="1" t="str">
        <f ca="1">IFERROR(__xludf.DUMMYFUNCTION("GOOGLETRANSLATE(English!C3161, ""en"", ""bg"")"),"средата")</f>
        <v>средата</v>
      </c>
      <c r="D3161" s="1" t="str">
        <f ca="1">IFERROR(__xludf.DUMMYFUNCTION("GOOGLETRANSLATE(English!D3161, ""en"", ""bg"")"),"плътност")</f>
        <v>плътност</v>
      </c>
      <c r="E3161" s="1" t="str">
        <f ca="1">IFERROR(__xludf.DUMMYFUNCTION("GOOGLETRANSLATE(English!E3161, ""en"", ""bg"")"),"Защо плътността е важна?")</f>
        <v>Защо плътността е важна?</v>
      </c>
      <c r="F3161" s="1" t="str">
        <f ca="1">IFERROR(__xludf.DUMMYFUNCTION("GOOGLETRANSLATE(English!F3161,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3161" s="1" t="str">
        <f ca="1">IFERROR(__xludf.DUMMYFUNCTION("GOOGLETRANSLATE(English!G3161, ""en"", ""bg"")"),"direct_qa")</f>
        <v>direct_qa</v>
      </c>
      <c r="H3161" s="1" t="str">
        <f ca="1">IFERROR(__xludf.DUMMYFUNCTION("GOOGLETRANSLATE(English!H3161, ""en"", ""bg"")"),"заявка_за_знание")</f>
        <v>заявка_за_знание</v>
      </c>
    </row>
    <row r="3162" spans="1:8" ht="13.2" x14ac:dyDescent="0.25">
      <c r="A3162" s="1" t="str">
        <f ca="1">IFERROR(__xludf.DUMMYFUNCTION("GOOGLETRANSLATE(English!A3162, ""en"", ""bg"")"),"conv_16146")</f>
        <v>conv_16146</v>
      </c>
      <c r="B3162" s="1" t="str">
        <f ca="1">IFERROR(__xludf.DUMMYFUNCTION("GOOGLETRANSLATE(English!B3162, ""en"", ""bg"")"),"физика")</f>
        <v>физика</v>
      </c>
      <c r="C3162" s="1" t="str">
        <f ca="1">IFERROR(__xludf.DUMMYFUNCTION("GOOGLETRANSLATE(English!C3162, ""en"", ""bg"")"),"елементарен")</f>
        <v>елементарен</v>
      </c>
      <c r="D3162" s="1" t="str">
        <f ca="1">IFERROR(__xludf.DUMMYFUNCTION("GOOGLETRANSLATE(English!D3162, ""en"", ""bg"")"),"прости машини")</f>
        <v>прости машини</v>
      </c>
      <c r="E3162" s="1" t="str">
        <f ca="1">IFERROR(__xludf.DUMMYFUNCTION("GOOGLETRANSLATE(English!E3162, ""en"", ""bg"")"),"Имам научен въпрос. Можете ли да ми обясните прости машини?")</f>
        <v>Имам научен въпрос. Можете ли да ми обясните прости машини?</v>
      </c>
      <c r="F3162" s="1" t="str">
        <f ca="1">IFERROR(__xludf.DUMMYFUNCTION("GOOGLETRANSLATE(English!F3162,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3162" s="1" t="str">
        <f ca="1">IFERROR(__xludf.DUMMYFUNCTION("GOOGLETRANSLATE(English!G3162, ""en"", ""bg"")"),"разговор")</f>
        <v>разговор</v>
      </c>
      <c r="H3162" s="1" t="str">
        <f ca="1">IFERROR(__xludf.DUMMYFUNCTION("GOOGLETRANSLATE(English!H3162, ""en"", ""bg"")"),"образователна_помощ")</f>
        <v>образователна_помощ</v>
      </c>
    </row>
    <row r="3163" spans="1:8" ht="13.2" x14ac:dyDescent="0.25">
      <c r="A3163" s="1" t="str">
        <f ca="1">IFERROR(__xludf.DUMMYFUNCTION("GOOGLETRANSLATE(English!A3163, ""en"", ""bg"")"),"hw_03976")</f>
        <v>hw_03976</v>
      </c>
      <c r="B3163" s="1" t="str">
        <f ca="1">IFERROR(__xludf.DUMMYFUNCTION("GOOGLETRANSLATE(English!B3163, ""en"", ""bg"")"),"биология")</f>
        <v>биология</v>
      </c>
      <c r="C3163" s="1" t="str">
        <f ca="1">IFERROR(__xludf.DUMMYFUNCTION("GOOGLETRANSLATE(English!C3163, ""en"", ""bg"")"),"елементарен")</f>
        <v>елементарен</v>
      </c>
      <c r="D3163" s="1" t="str">
        <f ca="1">IFERROR(__xludf.DUMMYFUNCTION("GOOGLETRANSLATE(English!D3163, ""en"", ""bg"")"),"сетива")</f>
        <v>сетива</v>
      </c>
      <c r="E3163" s="1" t="str">
        <f ca="1">IFERROR(__xludf.DUMMYFUNCTION("GOOGLETRANSLATE(English!E3163, ""en"", ""bg"")"),"Домашното ми пита за сетивата. Не го разбирам.")</f>
        <v>Домашното ми пита за сетивата. Не го разбирам.</v>
      </c>
      <c r="F3163" s="1" t="str">
        <f ca="1">IFERROR(__xludf.DUMMYFUNCTION("GOOGLETRANSLATE(English!F3163,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3163" s="1" t="str">
        <f ca="1">IFERROR(__xludf.DUMMYFUNCTION("GOOGLETRANSLATE(English!G3163, ""en"", ""bg"")"),"помощ_за_домашно_изпълнение")</f>
        <v>помощ_за_домашно_изпълнение</v>
      </c>
      <c r="H3163" s="1" t="str">
        <f ca="1">IFERROR(__xludf.DUMMYFUNCTION("GOOGLETRANSLATE(English!H3163, ""en"", ""bg"")"),"помощ_за_домашно_задаване")</f>
        <v>помощ_за_домашно_задаване</v>
      </c>
    </row>
    <row r="3164" spans="1:8" ht="13.2" x14ac:dyDescent="0.25">
      <c r="A3164" s="1" t="str">
        <f ca="1">IFERROR(__xludf.DUMMYFUNCTION("GOOGLETRANSLATE(English!A3164, ""en"", ""bg"")"),"conv_18295")</f>
        <v>conv_18295</v>
      </c>
      <c r="B3164" s="1" t="str">
        <f ca="1">IFERROR(__xludf.DUMMYFUNCTION("GOOGLETRANSLATE(English!B3164, ""en"", ""bg"")"),"биология")</f>
        <v>биология</v>
      </c>
      <c r="C3164" s="1" t="str">
        <f ca="1">IFERROR(__xludf.DUMMYFUNCTION("GOOGLETRANSLATE(English!C3164, ""en"", ""bg"")"),"високо")</f>
        <v>високо</v>
      </c>
      <c r="D3164" s="1" t="str">
        <f ca="1">IFERROR(__xludf.DUMMYFUNCTION("GOOGLETRANSLATE(English!D3164, ""en"", ""bg"")"),"молекулярна биология")</f>
        <v>молекулярна биология</v>
      </c>
      <c r="E3164" s="1" t="str">
        <f ca="1">IFERROR(__xludf.DUMMYFUNCTION("GOOGLETRANSLATE(English!E3164, ""en"", ""bg"")"),"Имам нужда от помощ с домашното. Можете ли да ми разкажете за молекулярната биология?")</f>
        <v>Имам нужда от помощ с домашното. Можете ли да ми разкажете за молекулярната биология?</v>
      </c>
      <c r="F3164" s="1" t="str">
        <f ca="1">IFERROR(__xludf.DUMMYFUNCTION("GOOGLETRANSLATE(English!F3164,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3164" s="1" t="str">
        <f ca="1">IFERROR(__xludf.DUMMYFUNCTION("GOOGLETRANSLATE(English!G3164, ""en"", ""bg"")"),"разговор")</f>
        <v>разговор</v>
      </c>
      <c r="H3164" s="1" t="str">
        <f ca="1">IFERROR(__xludf.DUMMYFUNCTION("GOOGLETRANSLATE(English!H3164, ""en"", ""bg"")"),"образователна_помощ")</f>
        <v>образователна_помощ</v>
      </c>
    </row>
    <row r="3165" spans="1:8" ht="13.2" x14ac:dyDescent="0.25">
      <c r="A3165" s="1" t="str">
        <f ca="1">IFERROR(__xludf.DUMMYFUNCTION("GOOGLETRANSLATE(English!A3165, ""en"", ""bg"")"),"conv_16298")</f>
        <v>conv_16298</v>
      </c>
      <c r="B3165" s="1" t="str">
        <f ca="1">IFERROR(__xludf.DUMMYFUNCTION("GOOGLETRANSLATE(English!B3165, ""en"", ""bg"")"),"биология")</f>
        <v>биология</v>
      </c>
      <c r="C3165" s="1" t="str">
        <f ca="1">IFERROR(__xludf.DUMMYFUNCTION("GOOGLETRANSLATE(English!C3165, ""en"", ""bg"")"),"елементарен")</f>
        <v>елементарен</v>
      </c>
      <c r="D3165" s="1" t="str">
        <f ca="1">IFERROR(__xludf.DUMMYFUNCTION("GOOGLETRANSLATE(English!D3165, ""en"", ""bg"")"),"животни")</f>
        <v>животни</v>
      </c>
      <c r="E3165" s="1" t="str">
        <f ca="1">IFERROR(__xludf.DUMMYFUNCTION("GOOGLETRANSLATE(English!E3165, ""en"", ""bg"")"),"Здравей, учителю! С какво се хранят птиците?")</f>
        <v>Здравей, учителю! С какво се хранят птиците?</v>
      </c>
      <c r="F3165" s="1" t="str">
        <f ca="1">IFERROR(__xludf.DUMMYFUNCTION("GOOGLETRANSLATE(English!F3165,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3165" s="1" t="str">
        <f ca="1">IFERROR(__xludf.DUMMYFUNCTION("GOOGLETRANSLATE(English!G3165, ""en"", ""bg"")"),"разговор")</f>
        <v>разговор</v>
      </c>
      <c r="H3165" s="1" t="str">
        <f ca="1">IFERROR(__xludf.DUMMYFUNCTION("GOOGLETRANSLATE(English!H3165, ""en"", ""bg"")"),"образователна_помощ")</f>
        <v>образователна_помощ</v>
      </c>
    </row>
    <row r="3166" spans="1:8" ht="13.2" x14ac:dyDescent="0.25">
      <c r="A3166" s="1" t="str">
        <f ca="1">IFERROR(__xludf.DUMMYFUNCTION("GOOGLETRANSLATE(English!A3166, ""en"", ""bg"")"),"conv_09895")</f>
        <v>conv_09895</v>
      </c>
      <c r="B3166" s="1" t="str">
        <f ca="1">IFERROR(__xludf.DUMMYFUNCTION("GOOGLETRANSLATE(English!B3166, ""en"", ""bg"")"),"химия")</f>
        <v>химия</v>
      </c>
      <c r="C3166" s="1" t="str">
        <f ca="1">IFERROR(__xludf.DUMMYFUNCTION("GOOGLETRANSLATE(English!C3166, ""en"", ""bg"")"),"високо")</f>
        <v>високо</v>
      </c>
      <c r="D3166" s="1" t="str">
        <f ca="1">IFERROR(__xludf.DUMMYFUNCTION("GOOGLETRANSLATE(English!D3166, ""en"", ""bg"")"),"скорости на реакция")</f>
        <v>скорости на реакция</v>
      </c>
      <c r="E3166" s="1" t="str">
        <f ca="1">IFERROR(__xludf.DUMMYFUNCTION("GOOGLETRANSLATE(English!E3166, ""en"", ""bg"")"),"Помогнете ми да уча за теста. Какво представляват скоростите на реакция?")</f>
        <v>Помогнете ми да уча за теста. Какво представляват скоростите на реакция?</v>
      </c>
      <c r="F3166" s="1" t="str">
        <f ca="1">IFERROR(__xludf.DUMMYFUNCTION("GOOGLETRANSLATE(English!F3166,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3166" s="1" t="str">
        <f ca="1">IFERROR(__xludf.DUMMYFUNCTION("GOOGLETRANSLATE(English!G3166, ""en"", ""bg"")"),"разговор")</f>
        <v>разговор</v>
      </c>
      <c r="H3166" s="1" t="str">
        <f ca="1">IFERROR(__xludf.DUMMYFUNCTION("GOOGLETRANSLATE(English!H3166, ""en"", ""bg"")"),"образователна_помощ")</f>
        <v>образователна_помощ</v>
      </c>
    </row>
    <row r="3167" spans="1:8" ht="13.2" x14ac:dyDescent="0.25">
      <c r="A3167" s="1" t="str">
        <f ca="1">IFERROR(__xludf.DUMMYFUNCTION("GOOGLETRANSLATE(English!A3167, ""en"", ""bg"")"),"hw_00132")</f>
        <v>hw_00132</v>
      </c>
      <c r="B3167" s="1" t="str">
        <f ca="1">IFERROR(__xludf.DUMMYFUNCTION("GOOGLETRANSLATE(English!B3167, ""en"", ""bg"")"),"биология")</f>
        <v>биология</v>
      </c>
      <c r="C3167" s="1" t="str">
        <f ca="1">IFERROR(__xludf.DUMMYFUNCTION("GOOGLETRANSLATE(English!C3167, ""en"", ""bg"")"),"високо")</f>
        <v>високо</v>
      </c>
      <c r="D3167" s="1" t="str">
        <f ca="1">IFERROR(__xludf.DUMMYFUNCTION("GOOGLETRANSLATE(English!D3167, ""en"", ""bg"")"),"синтез на протеини")</f>
        <v>синтез на протеини</v>
      </c>
      <c r="E3167" s="1" t="str">
        <f ca="1">IFERROR(__xludf.DUMMYFUNCTION("GOOGLETRANSLATE(English!E3167, ""en"", ""bg"")"),"Утре имам тест по протеинов синтез. Помогни ми да уча!")</f>
        <v>Утре имам тест по протеинов синтез. Помогни ми да уча!</v>
      </c>
      <c r="F3167" s="1" t="str">
        <f ca="1">IFERROR(__xludf.DUMMYFUNCTION("GOOGLETRANSLATE(English!F3167,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3167" s="1" t="str">
        <f ca="1">IFERROR(__xludf.DUMMYFUNCTION("GOOGLETRANSLATE(English!G3167, ""en"", ""bg"")"),"помощ_за_домашно_изпълнение")</f>
        <v>помощ_за_домашно_изпълнение</v>
      </c>
      <c r="H3167" s="1" t="str">
        <f ca="1">IFERROR(__xludf.DUMMYFUNCTION("GOOGLETRANSLATE(English!H3167, ""en"", ""bg"")"),"помощ_за_домашно_задаване")</f>
        <v>помощ_за_домашно_задаване</v>
      </c>
    </row>
    <row r="3168" spans="1:8" ht="13.2" x14ac:dyDescent="0.25">
      <c r="A3168" s="1" t="str">
        <f ca="1">IFERROR(__xludf.DUMMYFUNCTION("GOOGLETRANSLATE(English!A3168, ""en"", ""bg"")"),"qa_05328")</f>
        <v>qa_05328</v>
      </c>
      <c r="B3168" s="1" t="str">
        <f ca="1">IFERROR(__xludf.DUMMYFUNCTION("GOOGLETRANSLATE(English!B3168, ""en"", ""bg"")"),"химия")</f>
        <v>химия</v>
      </c>
      <c r="C3168" s="1" t="str">
        <f ca="1">IFERROR(__xludf.DUMMYFUNCTION("GOOGLETRANSLATE(English!C3168, ""en"", ""bg"")"),"елементарен")</f>
        <v>елементарен</v>
      </c>
      <c r="D3168" s="1" t="str">
        <f ca="1">IFERROR(__xludf.DUMMYFUNCTION("GOOGLETRANSLATE(English!D3168, ""en"", ""bg"")"),"твърди вещества, течности, газове")</f>
        <v>твърди вещества, течности, газове</v>
      </c>
      <c r="E3168" s="1" t="str">
        <f ca="1">IFERROR(__xludf.DUMMYFUNCTION("GOOGLETRANSLATE(English!E3168, ""en"", ""bg"")"),"Защо ледът плава по водата?")</f>
        <v>Защо ледът плава по водата?</v>
      </c>
      <c r="F3168" s="1" t="str">
        <f ca="1">IFERROR(__xludf.DUMMYFUNCTION("GOOGLETRANSLATE(English!F3168,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3168" s="1" t="str">
        <f ca="1">IFERROR(__xludf.DUMMYFUNCTION("GOOGLETRANSLATE(English!G3168, ""en"", ""bg"")"),"direct_qa")</f>
        <v>direct_qa</v>
      </c>
      <c r="H3168" s="1" t="str">
        <f ca="1">IFERROR(__xludf.DUMMYFUNCTION("GOOGLETRANSLATE(English!H3168, ""en"", ""bg"")"),"заявка_за_знание")</f>
        <v>заявка_за_знание</v>
      </c>
    </row>
    <row r="3169" spans="1:8" ht="13.2" x14ac:dyDescent="0.25">
      <c r="A3169" s="1" t="str">
        <f ca="1">IFERROR(__xludf.DUMMYFUNCTION("GOOGLETRANSLATE(English!A3169, ""en"", ""bg"")"),"qa_10717")</f>
        <v>qa_10717</v>
      </c>
      <c r="B3169" s="1" t="str">
        <f ca="1">IFERROR(__xludf.DUMMYFUNCTION("GOOGLETRANSLATE(English!B3169, ""en"", ""bg"")"),"химия")</f>
        <v>химия</v>
      </c>
      <c r="C3169" s="1" t="str">
        <f ca="1">IFERROR(__xludf.DUMMYFUNCTION("GOOGLETRANSLATE(English!C3169, ""en"", ""bg"")"),"високо")</f>
        <v>високо</v>
      </c>
      <c r="D3169" s="1" t="str">
        <f ca="1">IFERROR(__xludf.DUMMYFUNCTION("GOOGLETRANSLATE(English!D3169, ""en"", ""bg"")"),"равновесие")</f>
        <v>равновесие</v>
      </c>
      <c r="E3169" s="1" t="str">
        <f ca="1">IFERROR(__xludf.DUMMYFUNCTION("GOOGLETRANSLATE(English!E3169, ""en"", ""bg"")"),"Какво е равновесието изобщо?")</f>
        <v>Какво е равновесието изобщо?</v>
      </c>
      <c r="F3169" s="1" t="str">
        <f ca="1">IFERROR(__xludf.DUMMYFUNCTION("GOOGLETRANSLATE(English!F3169,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3169" s="1" t="str">
        <f ca="1">IFERROR(__xludf.DUMMYFUNCTION("GOOGLETRANSLATE(English!G3169, ""en"", ""bg"")"),"direct_qa")</f>
        <v>direct_qa</v>
      </c>
      <c r="H3169" s="1" t="str">
        <f ca="1">IFERROR(__xludf.DUMMYFUNCTION("GOOGLETRANSLATE(English!H3169, ""en"", ""bg"")"),"заявка_за_знание")</f>
        <v>заявка_за_знание</v>
      </c>
    </row>
    <row r="3170" spans="1:8" ht="13.2" x14ac:dyDescent="0.25">
      <c r="A3170" s="1" t="str">
        <f ca="1">IFERROR(__xludf.DUMMYFUNCTION("GOOGLETRANSLATE(English!A3170, ""en"", ""bg"")"),"qa_08285")</f>
        <v>qa_08285</v>
      </c>
      <c r="B3170" s="1" t="str">
        <f ca="1">IFERROR(__xludf.DUMMYFUNCTION("GOOGLETRANSLATE(English!B3170, ""en"", ""bg"")"),"физика")</f>
        <v>физика</v>
      </c>
      <c r="C3170" s="1" t="str">
        <f ca="1">IFERROR(__xludf.DUMMYFUNCTION("GOOGLETRANSLATE(English!C3170, ""en"", ""bg"")"),"високо")</f>
        <v>високо</v>
      </c>
      <c r="D3170" s="1" t="str">
        <f ca="1">IFERROR(__xludf.DUMMYFUNCTION("GOOGLETRANSLATE(English!D3170, ""en"", ""bg"")"),"оптика")</f>
        <v>оптика</v>
      </c>
      <c r="E3170" s="1" t="str">
        <f ca="1">IFERROR(__xludf.DUMMYFUNCTION("GOOGLETRANSLATE(English!E3170, ""en"", ""bg"")"),"Какво трябва да знам за оптиката?")</f>
        <v>Какво трябва да знам за оптиката?</v>
      </c>
      <c r="F3170" s="1" t="str">
        <f ca="1">IFERROR(__xludf.DUMMYFUNCTION("GOOGLETRANSLATE(English!F3170,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3170" s="1" t="str">
        <f ca="1">IFERROR(__xludf.DUMMYFUNCTION("GOOGLETRANSLATE(English!G3170, ""en"", ""bg"")"),"direct_qa")</f>
        <v>direct_qa</v>
      </c>
      <c r="H3170" s="1" t="str">
        <f ca="1">IFERROR(__xludf.DUMMYFUNCTION("GOOGLETRANSLATE(English!H3170, ""en"", ""bg"")"),"заявка_за_знание")</f>
        <v>заявка_за_знание</v>
      </c>
    </row>
    <row r="3171" spans="1:8" ht="13.2" x14ac:dyDescent="0.25">
      <c r="A3171" s="1" t="str">
        <f ca="1">IFERROR(__xludf.DUMMYFUNCTION("GOOGLETRANSLATE(English!A3171, ""en"", ""bg"")"),"qa_01612")</f>
        <v>qa_01612</v>
      </c>
      <c r="B3171" s="1" t="str">
        <f ca="1">IFERROR(__xludf.DUMMYFUNCTION("GOOGLETRANSLATE(English!B3171, ""en"", ""bg"")"),"физика")</f>
        <v>физика</v>
      </c>
      <c r="C3171" s="1" t="str">
        <f ca="1">IFERROR(__xludf.DUMMYFUNCTION("GOOGLETRANSLATE(English!C3171, ""en"", ""bg"")"),"високо")</f>
        <v>високо</v>
      </c>
      <c r="D3171" s="1" t="str">
        <f ca="1">IFERROR(__xludf.DUMMYFUNCTION("GOOGLETRANSLATE(English!D3171, ""en"", ""bg"")"),"електромагнетизъм")</f>
        <v>електромагнетизъм</v>
      </c>
      <c r="E3171" s="1" t="str">
        <f ca="1">IFERROR(__xludf.DUMMYFUNCTION("GOOGLETRANSLATE(English!E3171, ""en"", ""bg"")"),"Какво трябва да знам за електромагнетизма?")</f>
        <v>Какво трябва да знам за електромагнетизма?</v>
      </c>
      <c r="F3171" s="1" t="str">
        <f ca="1">IFERROR(__xludf.DUMMYFUNCTION("GOOGLETRANSLATE(English!F3171,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3171" s="1" t="str">
        <f ca="1">IFERROR(__xludf.DUMMYFUNCTION("GOOGLETRANSLATE(English!G3171, ""en"", ""bg"")"),"direct_qa")</f>
        <v>direct_qa</v>
      </c>
      <c r="H3171" s="1" t="str">
        <f ca="1">IFERROR(__xludf.DUMMYFUNCTION("GOOGLETRANSLATE(English!H3171, ""en"", ""bg"")"),"заявка_за_знание")</f>
        <v>заявка_за_знание</v>
      </c>
    </row>
    <row r="3172" spans="1:8" ht="13.2" x14ac:dyDescent="0.25">
      <c r="A3172" s="1" t="str">
        <f ca="1">IFERROR(__xludf.DUMMYFUNCTION("GOOGLETRANSLATE(English!A3172, ""en"", ""bg"")"),"qa_00739")</f>
        <v>qa_00739</v>
      </c>
      <c r="B3172" s="1" t="str">
        <f ca="1">IFERROR(__xludf.DUMMYFUNCTION("GOOGLETRANSLATE(English!B3172, ""en"", ""bg"")"),"биология")</f>
        <v>биология</v>
      </c>
      <c r="C3172" s="1" t="str">
        <f ca="1">IFERROR(__xludf.DUMMYFUNCTION("GOOGLETRANSLATE(English!C3172, ""en"", ""bg"")"),"средата")</f>
        <v>средата</v>
      </c>
      <c r="D3172" s="1" t="str">
        <f ca="1">IFERROR(__xludf.DUMMYFUNCTION("GOOGLETRANSLATE(English!D3172, ""en"", ""bg"")"),"основи на еволюцията")</f>
        <v>основи на еволюцията</v>
      </c>
      <c r="E3172" s="1" t="str">
        <f ca="1">IFERROR(__xludf.DUMMYFUNCTION("GOOGLETRANSLATE(English!E3172, ""en"", ""bg"")"),"Какво е важно да знаем за основите на еволюцията?")</f>
        <v>Какво е важно да знаем за основите на еволюцията?</v>
      </c>
      <c r="F3172" s="1" t="str">
        <f ca="1">IFERROR(__xludf.DUMMYFUNCTION("GOOGLETRANSLATE(English!F3172,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3172" s="1" t="str">
        <f ca="1">IFERROR(__xludf.DUMMYFUNCTION("GOOGLETRANSLATE(English!G3172, ""en"", ""bg"")"),"direct_qa")</f>
        <v>direct_qa</v>
      </c>
      <c r="H3172" s="1" t="str">
        <f ca="1">IFERROR(__xludf.DUMMYFUNCTION("GOOGLETRANSLATE(English!H3172, ""en"", ""bg"")"),"заявка_за_знание")</f>
        <v>заявка_за_знание</v>
      </c>
    </row>
    <row r="3173" spans="1:8" ht="13.2" x14ac:dyDescent="0.25">
      <c r="A3173" s="1" t="str">
        <f ca="1">IFERROR(__xludf.DUMMYFUNCTION("GOOGLETRANSLATE(English!A3173, ""en"", ""bg"")"),"conv_11462")</f>
        <v>conv_11462</v>
      </c>
      <c r="B3173" s="1" t="str">
        <f ca="1">IFERROR(__xludf.DUMMYFUNCTION("GOOGLETRANSLATE(English!B3173, ""en"", ""bg"")"),"физика")</f>
        <v>физика</v>
      </c>
      <c r="C3173" s="1" t="str">
        <f ca="1">IFERROR(__xludf.DUMMYFUNCTION("GOOGLETRANSLATE(English!C3173, ""en"", ""bg"")"),"елементарен")</f>
        <v>елементарен</v>
      </c>
      <c r="D3173" s="1" t="str">
        <f ca="1">IFERROR(__xludf.DUMMYFUNCTION("GOOGLETRANSLATE(English!D3173, ""en"", ""bg"")"),"светлина и сянка")</f>
        <v>светлина и сянка</v>
      </c>
      <c r="E3173" s="1" t="str">
        <f ca="1">IFERROR(__xludf.DUMMYFUNCTION("GOOGLETRANSLATE(English!E3173, ""en"", ""bg"")"),"Имам научен въпрос. Как се образуват сенките?")</f>
        <v>Имам научен въпрос. Как се образуват сенките?</v>
      </c>
      <c r="F3173" s="1" t="str">
        <f ca="1">IFERROR(__xludf.DUMMYFUNCTION("GOOGLETRANSLATE(English!F3173,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3173" s="1" t="str">
        <f ca="1">IFERROR(__xludf.DUMMYFUNCTION("GOOGLETRANSLATE(English!G3173, ""en"", ""bg"")"),"разговор")</f>
        <v>разговор</v>
      </c>
      <c r="H3173" s="1" t="str">
        <f ca="1">IFERROR(__xludf.DUMMYFUNCTION("GOOGLETRANSLATE(English!H3173, ""en"", ""bg"")"),"образователна_помощ")</f>
        <v>образователна_помощ</v>
      </c>
    </row>
    <row r="3174" spans="1:8" ht="13.2" x14ac:dyDescent="0.25">
      <c r="A3174" s="1" t="str">
        <f ca="1">IFERROR(__xludf.DUMMYFUNCTION("GOOGLETRANSLATE(English!A3174, ""en"", ""bg"")"),"hw_03644")</f>
        <v>hw_03644</v>
      </c>
      <c r="B3174" s="1" t="str">
        <f ca="1">IFERROR(__xludf.DUMMYFUNCTION("GOOGLETRANSLATE(English!B3174, ""en"", ""bg"")"),"физика")</f>
        <v>физика</v>
      </c>
      <c r="C3174" s="1" t="str">
        <f ca="1">IFERROR(__xludf.DUMMYFUNCTION("GOOGLETRANSLATE(English!C3174, ""en"", ""bg"")"),"средата")</f>
        <v>средата</v>
      </c>
      <c r="D3174" s="1" t="str">
        <f ca="1">IFERROR(__xludf.DUMMYFUNCTION("GOOGLETRANSLATE(English!D3174, ""en"", ""bg"")"),"прости схеми")</f>
        <v>прости схеми</v>
      </c>
      <c r="E3174" s="1" t="str">
        <f ca="1">IFERROR(__xludf.DUMMYFUNCTION("GOOGLETRANSLATE(English!E3174, ""en"", ""bg"")"),"Трябва да разбирам прости електрически схеми за изпита си.")</f>
        <v>Трябва да разбирам прости електрически схеми за изпита си.</v>
      </c>
      <c r="F3174" s="1" t="str">
        <f ca="1">IFERROR(__xludf.DUMMYFUNCTION("GOOGLETRANSLATE(English!F3174,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174" s="1" t="str">
        <f ca="1">IFERROR(__xludf.DUMMYFUNCTION("GOOGLETRANSLATE(English!G3174, ""en"", ""bg"")"),"помощ_за_домашно_изпълнение")</f>
        <v>помощ_за_домашно_изпълнение</v>
      </c>
      <c r="H3174" s="1" t="str">
        <f ca="1">IFERROR(__xludf.DUMMYFUNCTION("GOOGLETRANSLATE(English!H3174, ""en"", ""bg"")"),"помощ_за_домашно_задаване")</f>
        <v>помощ_за_домашно_задаване</v>
      </c>
    </row>
    <row r="3175" spans="1:8" ht="13.2" x14ac:dyDescent="0.25">
      <c r="A3175" s="1" t="str">
        <f ca="1">IFERROR(__xludf.DUMMYFUNCTION("GOOGLETRANSLATE(English!A3175, ""en"", ""bg"")"),"conv_14317")</f>
        <v>conv_14317</v>
      </c>
      <c r="B3175" s="1" t="str">
        <f ca="1">IFERROR(__xludf.DUMMYFUNCTION("GOOGLETRANSLATE(English!B3175, ""en"", ""bg"")"),"химия")</f>
        <v>химия</v>
      </c>
      <c r="C3175" s="1" t="str">
        <f ca="1">IFERROR(__xludf.DUMMYFUNCTION("GOOGLETRANSLATE(English!C3175, ""en"", ""bg"")"),"елементарен")</f>
        <v>елементарен</v>
      </c>
      <c r="D3175" s="1" t="str">
        <f ca="1">IFERROR(__xludf.DUMMYFUNCTION("GOOGLETRANSLATE(English!D3175, ""en"", ""bg"")"),"смесване на материали")</f>
        <v>смесване на материали</v>
      </c>
      <c r="E3175" s="1" t="str">
        <f ca="1">IFERROR(__xludf.DUMMYFUNCTION("GOOGLETRANSLATE(English!E3175, ""en"", ""bg"")"),"Можете ли да ми обясните това? Как можете да отделите солта от водата?")</f>
        <v>Можете ли да ми обясните това? Как можете да отделите солта от водата?</v>
      </c>
      <c r="F3175" s="1" t="str">
        <f ca="1">IFERROR(__xludf.DUMMYFUNCTION("GOOGLETRANSLATE(English!F3175,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3175" s="1" t="str">
        <f ca="1">IFERROR(__xludf.DUMMYFUNCTION("GOOGLETRANSLATE(English!G3175, ""en"", ""bg"")"),"разговор")</f>
        <v>разговор</v>
      </c>
      <c r="H3175" s="1" t="str">
        <f ca="1">IFERROR(__xludf.DUMMYFUNCTION("GOOGLETRANSLATE(English!H3175, ""en"", ""bg"")"),"образователна_помощ")</f>
        <v>образователна_помощ</v>
      </c>
    </row>
    <row r="3176" spans="1:8" ht="13.2" x14ac:dyDescent="0.25">
      <c r="A3176" s="1" t="str">
        <f ca="1">IFERROR(__xludf.DUMMYFUNCTION("GOOGLETRANSLATE(English!A3176, ""en"", ""bg"")"),"hw_12976")</f>
        <v>hw_12976</v>
      </c>
      <c r="B3176" s="1" t="str">
        <f ca="1">IFERROR(__xludf.DUMMYFUNCTION("GOOGLETRANSLATE(English!B3176, ""en"", ""bg"")"),"физика")</f>
        <v>физика</v>
      </c>
      <c r="C3176" s="1" t="str">
        <f ca="1">IFERROR(__xludf.DUMMYFUNCTION("GOOGLETRANSLATE(English!C3176, ""en"", ""bg"")"),"високо")</f>
        <v>високо</v>
      </c>
      <c r="D3176" s="1" t="str">
        <f ca="1">IFERROR(__xludf.DUMMYFUNCTION("GOOGLETRANSLATE(English!D3176, ""en"", ""bg"")"),"термодинамика")</f>
        <v>термодинамика</v>
      </c>
      <c r="E3176" s="1" t="str">
        <f ca="1">IFERROR(__xludf.DUMMYFUNCTION("GOOGLETRANSLATE(English!E3176, ""en"", ""bg"")"),"Домашното ми по физика е за термодинамика. Объркващо е!")</f>
        <v>Домашното ми по физика е за термодинамика. Объркващо е!</v>
      </c>
      <c r="F3176" s="1" t="str">
        <f ca="1">IFERROR(__xludf.DUMMYFUNCTION("GOOGLETRANSLATE(English!F3176,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3176" s="1" t="str">
        <f ca="1">IFERROR(__xludf.DUMMYFUNCTION("GOOGLETRANSLATE(English!G3176, ""en"", ""bg"")"),"помощ_за_домашно_изпълнение")</f>
        <v>помощ_за_домашно_изпълнение</v>
      </c>
      <c r="H3176" s="1" t="str">
        <f ca="1">IFERROR(__xludf.DUMMYFUNCTION("GOOGLETRANSLATE(English!H3176, ""en"", ""bg"")"),"помощ_за_домашно_задаване")</f>
        <v>помощ_за_домашно_задаване</v>
      </c>
    </row>
    <row r="3177" spans="1:8" ht="13.2" x14ac:dyDescent="0.25">
      <c r="A3177" s="1" t="str">
        <f ca="1">IFERROR(__xludf.DUMMYFUNCTION("GOOGLETRANSLATE(English!A3177, ""en"", ""bg"")"),"conv_10443")</f>
        <v>conv_10443</v>
      </c>
      <c r="B3177" s="1" t="str">
        <f ca="1">IFERROR(__xludf.DUMMYFUNCTION("GOOGLETRANSLATE(English!B3177, ""en"", ""bg"")"),"физика")</f>
        <v>физика</v>
      </c>
      <c r="C3177" s="1" t="str">
        <f ca="1">IFERROR(__xludf.DUMMYFUNCTION("GOOGLETRANSLATE(English!C3177, ""en"", ""bg"")"),"средата")</f>
        <v>средата</v>
      </c>
      <c r="D3177" s="1" t="str">
        <f ca="1">IFERROR(__xludf.DUMMYFUNCTION("GOOGLETRANSLATE(English!D3177, ""en"", ""bg"")"),"вълни")</f>
        <v>вълни</v>
      </c>
      <c r="E3177" s="1" t="str">
        <f ca="1">IFERROR(__xludf.DUMMYFUNCTION("GOOGLETRANSLATE(English!E3177, ""en"", ""bg"")"),"Можете ли да ми обясните това? Как работят вълните във физиката?")</f>
        <v>Можете ли да ми обясните това? Как работят вълните във физиката?</v>
      </c>
      <c r="F3177" s="1" t="str">
        <f ca="1">IFERROR(__xludf.DUMMYFUNCTION("GOOGLETRANSLATE(English!F3177,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3177" s="1" t="str">
        <f ca="1">IFERROR(__xludf.DUMMYFUNCTION("GOOGLETRANSLATE(English!G3177, ""en"", ""bg"")"),"разговор")</f>
        <v>разговор</v>
      </c>
      <c r="H3177" s="1" t="str">
        <f ca="1">IFERROR(__xludf.DUMMYFUNCTION("GOOGLETRANSLATE(English!H3177, ""en"", ""bg"")"),"образователна_помощ")</f>
        <v>образователна_помощ</v>
      </c>
    </row>
    <row r="3178" spans="1:8" ht="13.2" x14ac:dyDescent="0.25">
      <c r="A3178" s="1" t="str">
        <f ca="1">IFERROR(__xludf.DUMMYFUNCTION("GOOGLETRANSLATE(English!A3178, ""en"", ""bg"")"),"hw_07579")</f>
        <v>hw_07579</v>
      </c>
      <c r="B3178" s="1" t="str">
        <f ca="1">IFERROR(__xludf.DUMMYFUNCTION("GOOGLETRANSLATE(English!B3178, ""en"", ""bg"")"),"физика")</f>
        <v>физика</v>
      </c>
      <c r="C3178" s="1" t="str">
        <f ca="1">IFERROR(__xludf.DUMMYFUNCTION("GOOGLETRANSLATE(English!C3178, ""en"", ""bg"")"),"елементарен")</f>
        <v>елементарен</v>
      </c>
      <c r="D3178" s="1" t="str">
        <f ca="1">IFERROR(__xludf.DUMMYFUNCTION("GOOGLETRANSLATE(English!D3178, ""en"", ""bg"")"),"плаващ и потъващ")</f>
        <v>плаващ и потъващ</v>
      </c>
      <c r="E3178" s="1" t="str">
        <f ca="1">IFERROR(__xludf.DUMMYFUNCTION("GOOGLETRANSLATE(English!E3178,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3178" s="1" t="str">
        <f ca="1">IFERROR(__xludf.DUMMYFUNCTION("GOOGLETRANSLATE(English!F3178,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178" s="1" t="str">
        <f ca="1">IFERROR(__xludf.DUMMYFUNCTION("GOOGLETRANSLATE(English!G3178, ""en"", ""bg"")"),"помощ_за_домашно_изпълнение")</f>
        <v>помощ_за_домашно_изпълнение</v>
      </c>
      <c r="H3178" s="1" t="str">
        <f ca="1">IFERROR(__xludf.DUMMYFUNCTION("GOOGLETRANSLATE(English!H3178, ""en"", ""bg"")"),"помощ_за_домашно_задаване")</f>
        <v>помощ_за_домашно_задаване</v>
      </c>
    </row>
    <row r="3179" spans="1:8" ht="13.2" x14ac:dyDescent="0.25">
      <c r="A3179" s="1" t="str">
        <f ca="1">IFERROR(__xludf.DUMMYFUNCTION("GOOGLETRANSLATE(English!A3179, ""en"", ""bg"")"),"conv_04907")</f>
        <v>conv_04907</v>
      </c>
      <c r="B3179" s="1" t="str">
        <f ca="1">IFERROR(__xludf.DUMMYFUNCTION("GOOGLETRANSLATE(English!B3179, ""en"", ""bg"")"),"физика")</f>
        <v>физика</v>
      </c>
      <c r="C3179" s="1" t="str">
        <f ca="1">IFERROR(__xludf.DUMMYFUNCTION("GOOGLETRANSLATE(English!C3179, ""en"", ""bg"")"),"високо")</f>
        <v>високо</v>
      </c>
      <c r="D3179" s="1" t="str">
        <f ca="1">IFERROR(__xludf.DUMMYFUNCTION("GOOGLETRANSLATE(English!D3179, ""en"", ""bg"")"),"електромагнетизъм")</f>
        <v>електромагнетизъм</v>
      </c>
      <c r="E3179" s="1" t="str">
        <f ca="1">IFERROR(__xludf.DUMMYFUNCTION("GOOGLETRANSLATE(English!E3179, ""en"", ""bg"")"),"Можете ли да ми помогнете? Какво трябва да знам за електромагнетизма?")</f>
        <v>Можете ли да ми помогнете? Какво трябва да знам за електромагнетизма?</v>
      </c>
      <c r="F3179" s="1" t="str">
        <f ca="1">IFERROR(__xludf.DUMMYFUNCTION("GOOGLETRANSLATE(English!F3179,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3179" s="1" t="str">
        <f ca="1">IFERROR(__xludf.DUMMYFUNCTION("GOOGLETRANSLATE(English!G3179, ""en"", ""bg"")"),"разговор")</f>
        <v>разговор</v>
      </c>
      <c r="H3179" s="1" t="str">
        <f ca="1">IFERROR(__xludf.DUMMYFUNCTION("GOOGLETRANSLATE(English!H3179, ""en"", ""bg"")"),"образователна_помощ")</f>
        <v>образователна_помощ</v>
      </c>
    </row>
    <row r="3180" spans="1:8" ht="13.2" x14ac:dyDescent="0.25">
      <c r="A3180" s="1" t="str">
        <f ca="1">IFERROR(__xludf.DUMMYFUNCTION("GOOGLETRANSLATE(English!A3180, ""en"", ""bg"")"),"conv_19066")</f>
        <v>conv_19066</v>
      </c>
      <c r="B3180" s="1" t="str">
        <f ca="1">IFERROR(__xludf.DUMMYFUNCTION("GOOGLETRANSLATE(English!B3180, ""en"", ""bg"")"),"физика")</f>
        <v>физика</v>
      </c>
      <c r="C3180" s="1" t="str">
        <f ca="1">IFERROR(__xludf.DUMMYFUNCTION("GOOGLETRANSLATE(English!C3180, ""en"", ""bg"")"),"средата")</f>
        <v>средата</v>
      </c>
      <c r="D3180" s="1" t="str">
        <f ca="1">IFERROR(__xludf.DUMMYFUNCTION("GOOGLETRANSLATE(English!D3180, ""en"", ""bg"")"),"видове енергия")</f>
        <v>видове енергия</v>
      </c>
      <c r="E3180" s="1" t="str">
        <f ca="1">IFERROR(__xludf.DUMMYFUNCTION("GOOGLETRANSLATE(English!E3180, ""en"", ""bg"")"),"Можете ли да ми обясните това? Какви са различните видове енергия?")</f>
        <v>Можете ли да ми обясните това? Какви са различните видове енергия?</v>
      </c>
      <c r="F3180" s="1" t="str">
        <f ca="1">IFERROR(__xludf.DUMMYFUNCTION("GOOGLETRANSLATE(English!F3180,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3180" s="1" t="str">
        <f ca="1">IFERROR(__xludf.DUMMYFUNCTION("GOOGLETRANSLATE(English!G3180, ""en"", ""bg"")"),"разговор")</f>
        <v>разговор</v>
      </c>
      <c r="H3180" s="1" t="str">
        <f ca="1">IFERROR(__xludf.DUMMYFUNCTION("GOOGLETRANSLATE(English!H3180, ""en"", ""bg"")"),"образователна_помощ")</f>
        <v>образователна_помощ</v>
      </c>
    </row>
    <row r="3181" spans="1:8" ht="13.2" x14ac:dyDescent="0.25">
      <c r="A3181" s="1" t="str">
        <f ca="1">IFERROR(__xludf.DUMMYFUNCTION("GOOGLETRANSLATE(English!A3181, ""en"", ""bg"")"),"qa_14347")</f>
        <v>qa_14347</v>
      </c>
      <c r="B3181" s="1" t="str">
        <f ca="1">IFERROR(__xludf.DUMMYFUNCTION("GOOGLETRANSLATE(English!B3181, ""en"", ""bg"")"),"физика")</f>
        <v>физика</v>
      </c>
      <c r="C3181" s="1" t="str">
        <f ca="1">IFERROR(__xludf.DUMMYFUNCTION("GOOGLETRANSLATE(English!C3181, ""en"", ""bg"")"),"средата")</f>
        <v>средата</v>
      </c>
      <c r="D3181" s="1" t="str">
        <f ca="1">IFERROR(__xludf.DUMMYFUNCTION("GOOGLETRANSLATE(English!D3181, ""en"", ""bg"")"),"прости схеми")</f>
        <v>прости схеми</v>
      </c>
      <c r="E3181" s="1" t="str">
        <f ca="1">IFERROR(__xludf.DUMMYFUNCTION("GOOGLETRANSLATE(English!E3181, ""en"", ""bg"")"),"Можете ли да ми обясните прости схеми?")</f>
        <v>Можете ли да ми обясните прости схеми?</v>
      </c>
      <c r="F3181" s="1" t="str">
        <f ca="1">IFERROR(__xludf.DUMMYFUNCTION("GOOGLETRANSLATE(English!F3181, ""en"", ""bg"")"),"Простите електрически вериги са интересна физическа концепция, която ни помага да разберем как работят нещата в нашия свят!")</f>
        <v>Простите електрически вериги са интересна физическа концепция, която ни помага да разберем как работят нещата в нашия свят!</v>
      </c>
      <c r="G3181" s="1" t="str">
        <f ca="1">IFERROR(__xludf.DUMMYFUNCTION("GOOGLETRANSLATE(English!G3181, ""en"", ""bg"")"),"direct_qa")</f>
        <v>direct_qa</v>
      </c>
      <c r="H3181" s="1" t="str">
        <f ca="1">IFERROR(__xludf.DUMMYFUNCTION("GOOGLETRANSLATE(English!H3181, ""en"", ""bg"")"),"заявка_за_знание")</f>
        <v>заявка_за_знание</v>
      </c>
    </row>
    <row r="3182" spans="1:8" ht="13.2" x14ac:dyDescent="0.25">
      <c r="A3182" s="1" t="str">
        <f ca="1">IFERROR(__xludf.DUMMYFUNCTION("GOOGLETRANSLATE(English!A3182, ""en"", ""bg"")"),"conv_01005")</f>
        <v>conv_01005</v>
      </c>
      <c r="B3182" s="1" t="str">
        <f ca="1">IFERROR(__xludf.DUMMYFUNCTION("GOOGLETRANSLATE(English!B3182, ""en"", ""bg"")"),"физика")</f>
        <v>физика</v>
      </c>
      <c r="C3182" s="1" t="str">
        <f ca="1">IFERROR(__xludf.DUMMYFUNCTION("GOOGLETRANSLATE(English!C3182, ""en"", ""bg"")"),"елементарен")</f>
        <v>елементарен</v>
      </c>
      <c r="D3182" s="1" t="str">
        <f ca="1">IFERROR(__xludf.DUMMYFUNCTION("GOOGLETRANSLATE(English!D3182, ""en"", ""bg"")"),"прости машини")</f>
        <v>прости машини</v>
      </c>
      <c r="E3182" s="1" t="str">
        <f ca="1">IFERROR(__xludf.DUMMYFUNCTION("GOOGLETRANSLATE(English!E3182, ""en"", ""bg"")"),"Здравей, преподавателю! Защо простите машини са важни?")</f>
        <v>Здравей, преподавателю! Защо простите машини са важни?</v>
      </c>
      <c r="F3182" s="1" t="str">
        <f ca="1">IFERROR(__xludf.DUMMYFUNCTION("GOOGLETRANSLATE(English!F3182,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3182" s="1" t="str">
        <f ca="1">IFERROR(__xludf.DUMMYFUNCTION("GOOGLETRANSLATE(English!G3182, ""en"", ""bg"")"),"разговор")</f>
        <v>разговор</v>
      </c>
      <c r="H3182" s="1" t="str">
        <f ca="1">IFERROR(__xludf.DUMMYFUNCTION("GOOGLETRANSLATE(English!H3182, ""en"", ""bg"")"),"образователна_помощ")</f>
        <v>образователна_помощ</v>
      </c>
    </row>
    <row r="3183" spans="1:8" ht="13.2" x14ac:dyDescent="0.25">
      <c r="A3183" s="1" t="str">
        <f ca="1">IFERROR(__xludf.DUMMYFUNCTION("GOOGLETRANSLATE(English!A3183, ""en"", ""bg"")"),"qa_13893")</f>
        <v>qa_13893</v>
      </c>
      <c r="B3183" s="1" t="str">
        <f ca="1">IFERROR(__xludf.DUMMYFUNCTION("GOOGLETRANSLATE(English!B3183, ""en"", ""bg"")"),"физика")</f>
        <v>физика</v>
      </c>
      <c r="C3183" s="1" t="str">
        <f ca="1">IFERROR(__xludf.DUMMYFUNCTION("GOOGLETRANSLATE(English!C3183, ""en"", ""bg"")"),"високо")</f>
        <v>високо</v>
      </c>
      <c r="D3183" s="1" t="str">
        <f ca="1">IFERROR(__xludf.DUMMYFUNCTION("GOOGLETRANSLATE(English!D3183, ""en"", ""bg"")"),"атомна структура")</f>
        <v>атомна структура</v>
      </c>
      <c r="E3183" s="1" t="str">
        <f ca="1">IFERROR(__xludf.DUMMYFUNCTION("GOOGLETRANSLATE(English!E3183, ""en"", ""bg"")"),"Как работи атомната структура във физиката?")</f>
        <v>Как работи атомната структура във физиката?</v>
      </c>
      <c r="F3183" s="1" t="str">
        <f ca="1">IFERROR(__xludf.DUMMYFUNCTION("GOOGLETRANSLATE(English!F3183,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3183" s="1" t="str">
        <f ca="1">IFERROR(__xludf.DUMMYFUNCTION("GOOGLETRANSLATE(English!G3183, ""en"", ""bg"")"),"direct_qa")</f>
        <v>direct_qa</v>
      </c>
      <c r="H3183" s="1" t="str">
        <f ca="1">IFERROR(__xludf.DUMMYFUNCTION("GOOGLETRANSLATE(English!H3183, ""en"", ""bg"")"),"заявка_за_знание")</f>
        <v>заявка_за_знание</v>
      </c>
    </row>
    <row r="3184" spans="1:8" ht="13.2" x14ac:dyDescent="0.25">
      <c r="A3184" s="1" t="str">
        <f ca="1">IFERROR(__xludf.DUMMYFUNCTION("GOOGLETRANSLATE(English!A3184, ""en"", ""bg"")"),"hw_10831")</f>
        <v>hw_10831</v>
      </c>
      <c r="B3184" s="1" t="str">
        <f ca="1">IFERROR(__xludf.DUMMYFUNCTION("GOOGLETRANSLATE(English!B3184, ""en"", ""bg"")"),"биология")</f>
        <v>биология</v>
      </c>
      <c r="C3184" s="1" t="str">
        <f ca="1">IFERROR(__xludf.DUMMYFUNCTION("GOOGLETRANSLATE(English!C3184, ""en"", ""bg"")"),"средата")</f>
        <v>средата</v>
      </c>
      <c r="D3184" s="1" t="str">
        <f ca="1">IFERROR(__xludf.DUMMYFUNCTION("GOOGLETRANSLATE(English!D3184, ""en"", ""bg"")"),"дишане")</f>
        <v>дишане</v>
      </c>
      <c r="E3184" s="1" t="str">
        <f ca="1">IFERROR(__xludf.DUMMYFUNCTION("GOOGLETRANSLATE(English!E3184, ""en"", ""bg"")"),"Утре имам тест по дишане. Помогни ми да уча!")</f>
        <v>Утре имам тест по дишане. Помогни ми да уча!</v>
      </c>
      <c r="F3184" s="1" t="str">
        <f ca="1">IFERROR(__xludf.DUMMYFUNCTION("GOOGLETRANSLATE(English!F3184,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3184" s="1" t="str">
        <f ca="1">IFERROR(__xludf.DUMMYFUNCTION("GOOGLETRANSLATE(English!G3184, ""en"", ""bg"")"),"помощ_за_домашно_изпълнение")</f>
        <v>помощ_за_домашно_изпълнение</v>
      </c>
      <c r="H3184" s="1" t="str">
        <f ca="1">IFERROR(__xludf.DUMMYFUNCTION("GOOGLETRANSLATE(English!H3184, ""en"", ""bg"")"),"помощ_за_домашно_задаване")</f>
        <v>помощ_за_домашно_задаване</v>
      </c>
    </row>
    <row r="3185" spans="1:8" ht="13.2" x14ac:dyDescent="0.25">
      <c r="A3185" s="1" t="str">
        <f ca="1">IFERROR(__xludf.DUMMYFUNCTION("GOOGLETRANSLATE(English!A3185, ""en"", ""bg"")"),"qa_07051")</f>
        <v>qa_07051</v>
      </c>
      <c r="B3185" s="1" t="str">
        <f ca="1">IFERROR(__xludf.DUMMYFUNCTION("GOOGLETRANSLATE(English!B3185, ""en"", ""bg"")"),"химия")</f>
        <v>химия</v>
      </c>
      <c r="C3185" s="1" t="str">
        <f ca="1">IFERROR(__xludf.DUMMYFUNCTION("GOOGLETRANSLATE(English!C3185, ""en"", ""bg"")"),"средата")</f>
        <v>средата</v>
      </c>
      <c r="D3185" s="1" t="str">
        <f ca="1">IFERROR(__xludf.DUMMYFUNCTION("GOOGLETRANSLATE(English!D3185, ""en"", ""bg"")"),"химични промени")</f>
        <v>химични промени</v>
      </c>
      <c r="E3185" s="1" t="str">
        <f ca="1">IFERROR(__xludf.DUMMYFUNCTION("GOOGLETRANSLATE(English!E3185, ""en"", ""bg"")"),"Какво представляват химичните промени?")</f>
        <v>Какво представляват химичните промени?</v>
      </c>
      <c r="F3185" s="1" t="str">
        <f ca="1">IFERROR(__xludf.DUMMYFUNCTION("GOOGLETRANSLATE(English!F3185,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3185" s="1" t="str">
        <f ca="1">IFERROR(__xludf.DUMMYFUNCTION("GOOGLETRANSLATE(English!G3185, ""en"", ""bg"")"),"direct_qa")</f>
        <v>direct_qa</v>
      </c>
      <c r="H3185" s="1" t="str">
        <f ca="1">IFERROR(__xludf.DUMMYFUNCTION("GOOGLETRANSLATE(English!H3185, ""en"", ""bg"")"),"заявка_за_знание")</f>
        <v>заявка_за_знание</v>
      </c>
    </row>
    <row r="3186" spans="1:8" ht="13.2" x14ac:dyDescent="0.25">
      <c r="A3186" s="1" t="str">
        <f ca="1">IFERROR(__xludf.DUMMYFUNCTION("GOOGLETRANSLATE(English!A3186, ""en"", ""bg"")"),"qa_00748")</f>
        <v>qa_00748</v>
      </c>
      <c r="B3186" s="1" t="str">
        <f ca="1">IFERROR(__xludf.DUMMYFUNCTION("GOOGLETRANSLATE(English!B3186, ""en"", ""bg"")"),"химия")</f>
        <v>химия</v>
      </c>
      <c r="C3186" s="1" t="str">
        <f ca="1">IFERROR(__xludf.DUMMYFUNCTION("GOOGLETRANSLATE(English!C3186, ""en"", ""bg"")"),"елементарен")</f>
        <v>елементарен</v>
      </c>
      <c r="D3186" s="1" t="str">
        <f ca="1">IFERROR(__xludf.DUMMYFUNCTION("GOOGLETRANSLATE(English!D3186, ""en"", ""bg"")"),"смесване на материали")</f>
        <v>смесване на материали</v>
      </c>
      <c r="E3186" s="1" t="str">
        <f ca="1">IFERROR(__xludf.DUMMYFUNCTION("GOOGLETRANSLATE(English!E3186, ""en"", ""bg"")"),"Какво се случва, когато смесите масло и вода?")</f>
        <v>Какво се случва, когато смесите масло и вода?</v>
      </c>
      <c r="F3186" s="1" t="str">
        <f ca="1">IFERROR(__xludf.DUMMYFUNCTION("GOOGLETRANSLATE(English!F3186,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3186" s="1" t="str">
        <f ca="1">IFERROR(__xludf.DUMMYFUNCTION("GOOGLETRANSLATE(English!G3186, ""en"", ""bg"")"),"direct_qa")</f>
        <v>direct_qa</v>
      </c>
      <c r="H3186" s="1" t="str">
        <f ca="1">IFERROR(__xludf.DUMMYFUNCTION("GOOGLETRANSLATE(English!H3186, ""en"", ""bg"")"),"заявка_за_знание")</f>
        <v>заявка_за_знание</v>
      </c>
    </row>
    <row r="3187" spans="1:8" ht="13.2" x14ac:dyDescent="0.25">
      <c r="A3187" s="1" t="str">
        <f ca="1">IFERROR(__xludf.DUMMYFUNCTION("GOOGLETRANSLATE(English!A3187, ""en"", ""bg"")"),"conv_00510")</f>
        <v>conv_00510</v>
      </c>
      <c r="B3187" s="1" t="str">
        <f ca="1">IFERROR(__xludf.DUMMYFUNCTION("GOOGLETRANSLATE(English!B3187, ""en"", ""bg"")"),"физика")</f>
        <v>физика</v>
      </c>
      <c r="C3187" s="1" t="str">
        <f ca="1">IFERROR(__xludf.DUMMYFUNCTION("GOOGLETRANSLATE(English!C3187, ""en"", ""bg"")"),"средата")</f>
        <v>средата</v>
      </c>
      <c r="D3187" s="1" t="str">
        <f ca="1">IFERROR(__xludf.DUMMYFUNCTION("GOOGLETRANSLATE(English!D3187, ""en"", ""bg"")"),"плътност")</f>
        <v>плътност</v>
      </c>
      <c r="E3187" s="1" t="str">
        <f ca="1">IFERROR(__xludf.DUMMYFUNCTION("GOOGLETRANSLATE(English!E3187, ""en"", ""bg"")"),"Помогни ми да уча за теста. Можеш ли да ми обясниш плътността?")</f>
        <v>Помогни ми да уча за теста. Можеш ли да ми обясниш плътността?</v>
      </c>
      <c r="F3187" s="1" t="str">
        <f ca="1">IFERROR(__xludf.DUMMYFUNCTION("GOOGLETRANSLATE(English!F3187,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3187" s="1" t="str">
        <f ca="1">IFERROR(__xludf.DUMMYFUNCTION("GOOGLETRANSLATE(English!G3187, ""en"", ""bg"")"),"разговор")</f>
        <v>разговор</v>
      </c>
      <c r="H3187" s="1" t="str">
        <f ca="1">IFERROR(__xludf.DUMMYFUNCTION("GOOGLETRANSLATE(English!H3187, ""en"", ""bg"")"),"образователна_помощ")</f>
        <v>образователна_помощ</v>
      </c>
    </row>
    <row r="3188" spans="1:8" ht="13.2" x14ac:dyDescent="0.25">
      <c r="A3188" s="1" t="str">
        <f ca="1">IFERROR(__xludf.DUMMYFUNCTION("GOOGLETRANSLATE(English!A3188, ""en"", ""bg"")"),"conv_17342")</f>
        <v>conv_17342</v>
      </c>
      <c r="B3188" s="1" t="str">
        <f ca="1">IFERROR(__xludf.DUMMYFUNCTION("GOOGLETRANSLATE(English!B3188, ""en"", ""bg"")"),"биология")</f>
        <v>биология</v>
      </c>
      <c r="C3188" s="1" t="str">
        <f ca="1">IFERROR(__xludf.DUMMYFUNCTION("GOOGLETRANSLATE(English!C3188, ""en"", ""bg"")"),"елементарен")</f>
        <v>елементарен</v>
      </c>
      <c r="D3188" s="1" t="str">
        <f ca="1">IFERROR(__xludf.DUMMYFUNCTION("GOOGLETRANSLATE(English!D3188, ""en"", ""bg"")"),"човешкото тяло")</f>
        <v>човешкото тяло</v>
      </c>
      <c r="E3188" s="1" t="str">
        <f ca="1">IFERROR(__xludf.DUMMYFUNCTION("GOOGLETRANSLATE(English!E3188, ""en"", ""bg"")"),"Не разбирам тази тема. Как работи човешкото тяло?")</f>
        <v>Не разбирам тази тема. Как работи човешкото тяло?</v>
      </c>
      <c r="F3188" s="1" t="str">
        <f ca="1">IFERROR(__xludf.DUMMYFUNCTION("GOOGLETRANSLATE(English!F3188,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3188" s="1" t="str">
        <f ca="1">IFERROR(__xludf.DUMMYFUNCTION("GOOGLETRANSLATE(English!G3188, ""en"", ""bg"")"),"разговор")</f>
        <v>разговор</v>
      </c>
      <c r="H3188" s="1" t="str">
        <f ca="1">IFERROR(__xludf.DUMMYFUNCTION("GOOGLETRANSLATE(English!H3188, ""en"", ""bg"")"),"образователна_помощ")</f>
        <v>образователна_помощ</v>
      </c>
    </row>
    <row r="3189" spans="1:8" ht="13.2" x14ac:dyDescent="0.25">
      <c r="A3189" s="1" t="str">
        <f ca="1">IFERROR(__xludf.DUMMYFUNCTION("GOOGLETRANSLATE(English!A3189, ""en"", ""bg"")"),"qa_05722")</f>
        <v>qa_05722</v>
      </c>
      <c r="B3189" s="1" t="str">
        <f ca="1">IFERROR(__xludf.DUMMYFUNCTION("GOOGLETRANSLATE(English!B3189, ""en"", ""bg"")"),"биология")</f>
        <v>биология</v>
      </c>
      <c r="C3189" s="1" t="str">
        <f ca="1">IFERROR(__xludf.DUMMYFUNCTION("GOOGLETRANSLATE(English!C3189, ""en"", ""bg"")"),"елементарен")</f>
        <v>елементарен</v>
      </c>
      <c r="D3189" s="1" t="str">
        <f ca="1">IFERROR(__xludf.DUMMYFUNCTION("GOOGLETRANSLATE(English!D3189, ""en"", ""bg"")"),"жизнени цикли")</f>
        <v>жизнени цикли</v>
      </c>
      <c r="E3189" s="1" t="str">
        <f ca="1">IFERROR(__xludf.DUMMYFUNCTION("GOOGLETRANSLATE(English!E3189, ""en"", ""bg"")"),"Можете ли да ми разкажете за жизнените цикли?")</f>
        <v>Можете ли да ми разкажете за жизнените цикли?</v>
      </c>
      <c r="F3189" s="1" t="str">
        <f ca="1">IFERROR(__xludf.DUMMYFUNCTION("GOOGLETRANSLATE(English!F3189,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3189" s="1" t="str">
        <f ca="1">IFERROR(__xludf.DUMMYFUNCTION("GOOGLETRANSLATE(English!G3189, ""en"", ""bg"")"),"direct_qa")</f>
        <v>direct_qa</v>
      </c>
      <c r="H3189" s="1" t="str">
        <f ca="1">IFERROR(__xludf.DUMMYFUNCTION("GOOGLETRANSLATE(English!H3189, ""en"", ""bg"")"),"заявка_за_знание")</f>
        <v>заявка_за_знание</v>
      </c>
    </row>
    <row r="3190" spans="1:8" ht="13.2" x14ac:dyDescent="0.25">
      <c r="A3190" s="1" t="str">
        <f ca="1">IFERROR(__xludf.DUMMYFUNCTION("GOOGLETRANSLATE(English!A3190, ""en"", ""bg"")"),"qa_14539")</f>
        <v>qa_14539</v>
      </c>
      <c r="B3190" s="1" t="str">
        <f ca="1">IFERROR(__xludf.DUMMYFUNCTION("GOOGLETRANSLATE(English!B3190, ""en"", ""bg"")"),"биология")</f>
        <v>биология</v>
      </c>
      <c r="C3190" s="1" t="str">
        <f ca="1">IFERROR(__xludf.DUMMYFUNCTION("GOOGLETRANSLATE(English!C3190, ""en"", ""bg"")"),"средата")</f>
        <v>средата</v>
      </c>
      <c r="D3190" s="1" t="str">
        <f ca="1">IFERROR(__xludf.DUMMYFUNCTION("GOOGLETRANSLATE(English!D3190, ""en"", ""bg"")"),"фотосинтеза")</f>
        <v>фотосинтеза</v>
      </c>
      <c r="E3190" s="1" t="str">
        <f ca="1">IFERROR(__xludf.DUMMYFUNCTION("GOOGLETRANSLATE(English!E3190, ""en"", ""bg"")"),"Защо фотосинтезата е важна в биологията?")</f>
        <v>Защо фотосинтезата е важна в биологията?</v>
      </c>
      <c r="F3190" s="1" t="str">
        <f ca="1">IFERROR(__xludf.DUMMYFUNCTION("GOOGLETRANSLATE(English!F3190,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3190" s="1" t="str">
        <f ca="1">IFERROR(__xludf.DUMMYFUNCTION("GOOGLETRANSLATE(English!G3190, ""en"", ""bg"")"),"direct_qa")</f>
        <v>direct_qa</v>
      </c>
      <c r="H3190" s="1" t="str">
        <f ca="1">IFERROR(__xludf.DUMMYFUNCTION("GOOGLETRANSLATE(English!H3190, ""en"", ""bg"")"),"заявка_за_знание")</f>
        <v>заявка_за_знание</v>
      </c>
    </row>
    <row r="3191" spans="1:8" ht="13.2" x14ac:dyDescent="0.25">
      <c r="A3191" s="1" t="str">
        <f ca="1">IFERROR(__xludf.DUMMYFUNCTION("GOOGLETRANSLATE(English!A3191, ""en"", ""bg"")"),"conv_13784")</f>
        <v>conv_13784</v>
      </c>
      <c r="B3191" s="1" t="str">
        <f ca="1">IFERROR(__xludf.DUMMYFUNCTION("GOOGLETRANSLATE(English!B3191, ""en"", ""bg"")"),"химия")</f>
        <v>химия</v>
      </c>
      <c r="C3191" s="1" t="str">
        <f ca="1">IFERROR(__xludf.DUMMYFUNCTION("GOOGLETRANSLATE(English!C3191, ""en"", ""bg"")"),"средата")</f>
        <v>средата</v>
      </c>
      <c r="D3191" s="1" t="str">
        <f ca="1">IFERROR(__xludf.DUMMYFUNCTION("GOOGLETRANSLATE(English!D3191, ""en"", ""bg"")"),"химични реакции")</f>
        <v>химични реакции</v>
      </c>
      <c r="E3191" s="1" t="str">
        <f ca="1">IFERROR(__xludf.DUMMYFUNCTION("GOOGLETRANSLATE(English!E3191, ""en"", ""bg"")"),"Помогнете ми да уча за теста. Могат ли химичните реакции да бъдат обратими?")</f>
        <v>Помогнете ми да уча за теста. Могат ли химичните реакции да бъдат обратими?</v>
      </c>
      <c r="F3191" s="1" t="str">
        <f ca="1">IFERROR(__xludf.DUMMYFUNCTION("GOOGLETRANSLATE(English!F3191,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3191" s="1" t="str">
        <f ca="1">IFERROR(__xludf.DUMMYFUNCTION("GOOGLETRANSLATE(English!G3191, ""en"", ""bg"")"),"разговор")</f>
        <v>разговор</v>
      </c>
      <c r="H3191" s="1" t="str">
        <f ca="1">IFERROR(__xludf.DUMMYFUNCTION("GOOGLETRANSLATE(English!H3191, ""en"", ""bg"")"),"образователна_помощ")</f>
        <v>образователна_помощ</v>
      </c>
    </row>
    <row r="3192" spans="1:8" ht="13.2" x14ac:dyDescent="0.25">
      <c r="A3192" s="1" t="str">
        <f ca="1">IFERROR(__xludf.DUMMYFUNCTION("GOOGLETRANSLATE(English!A3192, ""en"", ""bg"")"),"hw_00964")</f>
        <v>hw_00964</v>
      </c>
      <c r="B3192" s="1" t="str">
        <f ca="1">IFERROR(__xludf.DUMMYFUNCTION("GOOGLETRANSLATE(English!B3192, ""en"", ""bg"")"),"биология")</f>
        <v>биология</v>
      </c>
      <c r="C3192" s="1" t="str">
        <f ca="1">IFERROR(__xludf.DUMMYFUNCTION("GOOGLETRANSLATE(English!C3192, ""en"", ""bg"")"),"средата")</f>
        <v>средата</v>
      </c>
      <c r="D3192" s="1" t="str">
        <f ca="1">IFERROR(__xludf.DUMMYFUNCTION("GOOGLETRANSLATE(English!D3192, ""en"", ""bg"")"),"клетки")</f>
        <v>клетки</v>
      </c>
      <c r="E3192" s="1" t="str">
        <f ca="1">IFERROR(__xludf.DUMMYFUNCTION("GOOGLETRANSLATE(English!E3192, ""en"", ""bg"")"),"Можете ли да обясните какво представляват клетките за моя научен проект?")</f>
        <v>Можете ли да обясните какво представляват клетките за моя научен проект?</v>
      </c>
      <c r="F3192" s="1" t="str">
        <f ca="1">IFERROR(__xludf.DUMMYFUNCTION("GOOGLETRANSLATE(English!F3192,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3192" s="1" t="str">
        <f ca="1">IFERROR(__xludf.DUMMYFUNCTION("GOOGLETRANSLATE(English!G3192, ""en"", ""bg"")"),"помощ_за_домашно_изпълнение")</f>
        <v>помощ_за_домашно_изпълнение</v>
      </c>
      <c r="H3192" s="1" t="str">
        <f ca="1">IFERROR(__xludf.DUMMYFUNCTION("GOOGLETRANSLATE(English!H3192, ""en"", ""bg"")"),"помощ_за_домашно_задаване")</f>
        <v>помощ_за_домашно_задаване</v>
      </c>
    </row>
    <row r="3193" spans="1:8" ht="13.2" x14ac:dyDescent="0.25">
      <c r="A3193" s="1" t="str">
        <f ca="1">IFERROR(__xludf.DUMMYFUNCTION("GOOGLETRANSLATE(English!A3193, ""en"", ""bg"")"),"hw_06239")</f>
        <v>hw_06239</v>
      </c>
      <c r="B3193" s="1" t="str">
        <f ca="1">IFERROR(__xludf.DUMMYFUNCTION("GOOGLETRANSLATE(English!B3193, ""en"", ""bg"")"),"химия")</f>
        <v>химия</v>
      </c>
      <c r="C3193" s="1" t="str">
        <f ca="1">IFERROR(__xludf.DUMMYFUNCTION("GOOGLETRANSLATE(English!C3193, ""en"", ""bg"")"),"високо")</f>
        <v>високо</v>
      </c>
      <c r="D3193" s="1" t="str">
        <f ca="1">IFERROR(__xludf.DUMMYFUNCTION("GOOGLETRANSLATE(English!D3193, ""en"", ""bg"")"),"електрохимия")</f>
        <v>електрохимия</v>
      </c>
      <c r="E3193" s="1" t="str">
        <f ca="1">IFERROR(__xludf.DUMMYFUNCTION("GOOGLETRANSLATE(English!E3193, ""en"", ""bg"")"),"Имам затруднения с електрохимията в домашното си.")</f>
        <v>Имам затруднения с електрохимията в домашното си.</v>
      </c>
      <c r="F3193" s="1" t="str">
        <f ca="1">IFERROR(__xludf.DUMMYFUNCTION("GOOGLETRANSLATE(English!F3193,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193" s="1" t="str">
        <f ca="1">IFERROR(__xludf.DUMMYFUNCTION("GOOGLETRANSLATE(English!G3193, ""en"", ""bg"")"),"помощ_за_домашно_изпълнение")</f>
        <v>помощ_за_домашно_изпълнение</v>
      </c>
      <c r="H3193" s="1" t="str">
        <f ca="1">IFERROR(__xludf.DUMMYFUNCTION("GOOGLETRANSLATE(English!H3193, ""en"", ""bg"")"),"помощ_за_домашно_задаване")</f>
        <v>помощ_за_домашно_задаване</v>
      </c>
    </row>
    <row r="3194" spans="1:8" ht="13.2" x14ac:dyDescent="0.25">
      <c r="A3194" s="1" t="str">
        <f ca="1">IFERROR(__xludf.DUMMYFUNCTION("GOOGLETRANSLATE(English!A3194, ""en"", ""bg"")"),"conv_06411")</f>
        <v>conv_06411</v>
      </c>
      <c r="B3194" s="1" t="str">
        <f ca="1">IFERROR(__xludf.DUMMYFUNCTION("GOOGLETRANSLATE(English!B3194, ""en"", ""bg"")"),"биология")</f>
        <v>биология</v>
      </c>
      <c r="C3194" s="1" t="str">
        <f ca="1">IFERROR(__xludf.DUMMYFUNCTION("GOOGLETRANSLATE(English!C3194, ""en"", ""bg"")"),"елементарен")</f>
        <v>елементарен</v>
      </c>
      <c r="D3194" s="1" t="str">
        <f ca="1">IFERROR(__xludf.DUMMYFUNCTION("GOOGLETRANSLATE(English!D3194, ""en"", ""bg"")"),"животни")</f>
        <v>животни</v>
      </c>
      <c r="E3194" s="1" t="str">
        <f ca="1">IFERROR(__xludf.DUMMYFUNCTION("GOOGLETRANSLATE(English!E3194, ""en"", ""bg"")"),"Имам нужда от помощ с домашното. Как зайците се грижат за малките си?")</f>
        <v>Имам нужда от помощ с домашното. Как зайците се грижат за малките си?</v>
      </c>
      <c r="F3194" s="1" t="str">
        <f ca="1">IFERROR(__xludf.DUMMYFUNCTION("GOOGLETRANSLATE(English!F3194,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3194" s="1" t="str">
        <f ca="1">IFERROR(__xludf.DUMMYFUNCTION("GOOGLETRANSLATE(English!G3194, ""en"", ""bg"")"),"разговор")</f>
        <v>разговор</v>
      </c>
      <c r="H3194" s="1" t="str">
        <f ca="1">IFERROR(__xludf.DUMMYFUNCTION("GOOGLETRANSLATE(English!H3194, ""en"", ""bg"")"),"образователна_помощ")</f>
        <v>образователна_помощ</v>
      </c>
    </row>
    <row r="3195" spans="1:8" ht="13.2" x14ac:dyDescent="0.25">
      <c r="A3195" s="1" t="str">
        <f ca="1">IFERROR(__xludf.DUMMYFUNCTION("GOOGLETRANSLATE(English!A3195, ""en"", ""bg"")"),"conv_12981")</f>
        <v>conv_12981</v>
      </c>
      <c r="B3195" s="1" t="str">
        <f ca="1">IFERROR(__xludf.DUMMYFUNCTION("GOOGLETRANSLATE(English!B3195, ""en"", ""bg"")"),"биология")</f>
        <v>биология</v>
      </c>
      <c r="C3195" s="1" t="str">
        <f ca="1">IFERROR(__xludf.DUMMYFUNCTION("GOOGLETRANSLATE(English!C3195, ""en"", ""bg"")"),"средата")</f>
        <v>средата</v>
      </c>
      <c r="D3195" s="1" t="str">
        <f ca="1">IFERROR(__xludf.DUMMYFUNCTION("GOOGLETRANSLATE(English!D3195, ""en"", ""bg"")"),"основи на генетиката")</f>
        <v>основи на генетиката</v>
      </c>
      <c r="E3195" s="1" t="str">
        <f ca="1">IFERROR(__xludf.DUMMYFUNCTION("GOOGLETRANSLATE(English!E3195, ""en"", ""bg"")"),"Помогнете ми да уча за теста си. Защо основите на генетиката са важни в биологията?")</f>
        <v>Помогнете ми да уча за теста си. Защо основите на генетиката са важни в биологията?</v>
      </c>
      <c r="F3195" s="1" t="str">
        <f ca="1">IFERROR(__xludf.DUMMYFUNCTION("GOOGLETRANSLATE(English!F3195,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3195" s="1" t="str">
        <f ca="1">IFERROR(__xludf.DUMMYFUNCTION("GOOGLETRANSLATE(English!G3195, ""en"", ""bg"")"),"разговор")</f>
        <v>разговор</v>
      </c>
      <c r="H3195" s="1" t="str">
        <f ca="1">IFERROR(__xludf.DUMMYFUNCTION("GOOGLETRANSLATE(English!H3195, ""en"", ""bg"")"),"образователна_помощ")</f>
        <v>образователна_помощ</v>
      </c>
    </row>
    <row r="3196" spans="1:8" ht="13.2" x14ac:dyDescent="0.25">
      <c r="A3196" s="1" t="str">
        <f ca="1">IFERROR(__xludf.DUMMYFUNCTION("GOOGLETRANSLATE(English!A3196, ""en"", ""bg"")"),"conv_00777")</f>
        <v>conv_00777</v>
      </c>
      <c r="B3196" s="1" t="str">
        <f ca="1">IFERROR(__xludf.DUMMYFUNCTION("GOOGLETRANSLATE(English!B3196, ""en"", ""bg"")"),"физика")</f>
        <v>физика</v>
      </c>
      <c r="C3196" s="1" t="str">
        <f ca="1">IFERROR(__xludf.DUMMYFUNCTION("GOOGLETRANSLATE(English!C3196, ""en"", ""bg"")"),"високо")</f>
        <v>високо</v>
      </c>
      <c r="D3196" s="1" t="str">
        <f ca="1">IFERROR(__xludf.DUMMYFUNCTION("GOOGLETRANSLATE(English!D3196, ""en"", ""bg"")"),"атомна структура")</f>
        <v>атомна структура</v>
      </c>
      <c r="E3196" s="1" t="str">
        <f ca="1">IFERROR(__xludf.DUMMYFUNCTION("GOOGLETRANSLATE(English!E3196, ""en"", ""bg"")"),"Можете ли да ми помогнете? Защо атомната структура е важна?")</f>
        <v>Можете ли да ми помогнете? Защо атомната структура е важна?</v>
      </c>
      <c r="F3196" s="1" t="str">
        <f ca="1">IFERROR(__xludf.DUMMYFUNCTION("GOOGLETRANSLATE(English!F3196,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3196" s="1" t="str">
        <f ca="1">IFERROR(__xludf.DUMMYFUNCTION("GOOGLETRANSLATE(English!G3196, ""en"", ""bg"")"),"разговор")</f>
        <v>разговор</v>
      </c>
      <c r="H3196" s="1" t="str">
        <f ca="1">IFERROR(__xludf.DUMMYFUNCTION("GOOGLETRANSLATE(English!H3196, ""en"", ""bg"")"),"образователна_помощ")</f>
        <v>образователна_помощ</v>
      </c>
    </row>
    <row r="3197" spans="1:8" ht="13.2" x14ac:dyDescent="0.25">
      <c r="A3197" s="1" t="str">
        <f ca="1">IFERROR(__xludf.DUMMYFUNCTION("GOOGLETRANSLATE(English!A3197, ""en"", ""bg"")"),"conv_03531")</f>
        <v>conv_03531</v>
      </c>
      <c r="B3197" s="1" t="str">
        <f ca="1">IFERROR(__xludf.DUMMYFUNCTION("GOOGLETRANSLATE(English!B3197, ""en"", ""bg"")"),"биология")</f>
        <v>биология</v>
      </c>
      <c r="C3197" s="1" t="str">
        <f ca="1">IFERROR(__xludf.DUMMYFUNCTION("GOOGLETRANSLATE(English!C3197, ""en"", ""bg"")"),"средата")</f>
        <v>средата</v>
      </c>
      <c r="D3197" s="1" t="str">
        <f ca="1">IFERROR(__xludf.DUMMYFUNCTION("GOOGLETRANSLATE(English!D3197, ""en"", ""bg"")"),"основи на генетиката")</f>
        <v>основи на генетиката</v>
      </c>
      <c r="E3197" s="1" t="str">
        <f ca="1">IFERROR(__xludf.DUMMYFUNCTION("GOOGLETRANSLATE(English!E3197, ""en"", ""bg"")"),"Здравей, преподавателю! Как работят основите на генетиката?")</f>
        <v>Здравей, преподавателю! Как работят основите на генетиката?</v>
      </c>
      <c r="F3197" s="1" t="str">
        <f ca="1">IFERROR(__xludf.DUMMYFUNCTION("GOOGLETRANSLATE(English!F3197,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3197" s="1" t="str">
        <f ca="1">IFERROR(__xludf.DUMMYFUNCTION("GOOGLETRANSLATE(English!G3197, ""en"", ""bg"")"),"разговор")</f>
        <v>разговор</v>
      </c>
      <c r="H3197" s="1" t="str">
        <f ca="1">IFERROR(__xludf.DUMMYFUNCTION("GOOGLETRANSLATE(English!H3197, ""en"", ""bg"")"),"образователна_помощ")</f>
        <v>образователна_помощ</v>
      </c>
    </row>
    <row r="3198" spans="1:8" ht="13.2" x14ac:dyDescent="0.25">
      <c r="A3198" s="1" t="str">
        <f ca="1">IFERROR(__xludf.DUMMYFUNCTION("GOOGLETRANSLATE(English!A3198, ""en"", ""bg"")"),"qa_08774")</f>
        <v>qa_08774</v>
      </c>
      <c r="B3198" s="1" t="str">
        <f ca="1">IFERROR(__xludf.DUMMYFUNCTION("GOOGLETRANSLATE(English!B3198, ""en"", ""bg"")"),"химия")</f>
        <v>химия</v>
      </c>
      <c r="C3198" s="1" t="str">
        <f ca="1">IFERROR(__xludf.DUMMYFUNCTION("GOOGLETRANSLATE(English!C3198, ""en"", ""bg"")"),"високо")</f>
        <v>високо</v>
      </c>
      <c r="D3198" s="1" t="str">
        <f ca="1">IFERROR(__xludf.DUMMYFUNCTION("GOOGLETRANSLATE(English!D3198, ""en"", ""bg"")"),"равновесие")</f>
        <v>равновесие</v>
      </c>
      <c r="E3198" s="1" t="str">
        <f ca="1">IFERROR(__xludf.DUMMYFUNCTION("GOOGLETRANSLATE(English!E3198, ""en"", ""bg"")"),"Как работи равновесието в химията?")</f>
        <v>Как работи равновесието в химията?</v>
      </c>
      <c r="F3198" s="1" t="str">
        <f ca="1">IFERROR(__xludf.DUMMYFUNCTION("GOOGLETRANSLATE(English!F3198,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3198" s="1" t="str">
        <f ca="1">IFERROR(__xludf.DUMMYFUNCTION("GOOGLETRANSLATE(English!G3198, ""en"", ""bg"")"),"direct_qa")</f>
        <v>direct_qa</v>
      </c>
      <c r="H3198" s="1" t="str">
        <f ca="1">IFERROR(__xludf.DUMMYFUNCTION("GOOGLETRANSLATE(English!H3198, ""en"", ""bg"")"),"заявка_за_знание")</f>
        <v>заявка_за_знание</v>
      </c>
    </row>
    <row r="3199" spans="1:8" ht="13.2" x14ac:dyDescent="0.25">
      <c r="A3199" s="1" t="str">
        <f ca="1">IFERROR(__xludf.DUMMYFUNCTION("GOOGLETRANSLATE(English!A3199, ""en"", ""bg"")"),"conv_16378")</f>
        <v>conv_16378</v>
      </c>
      <c r="B3199" s="1" t="str">
        <f ca="1">IFERROR(__xludf.DUMMYFUNCTION("GOOGLETRANSLATE(English!B3199, ""en"", ""bg"")"),"физика")</f>
        <v>физика</v>
      </c>
      <c r="C3199" s="1" t="str">
        <f ca="1">IFERROR(__xludf.DUMMYFUNCTION("GOOGLETRANSLATE(English!C3199, ""en"", ""bg"")"),"елементарен")</f>
        <v>елементарен</v>
      </c>
      <c r="D3199" s="1" t="str">
        <f ca="1">IFERROR(__xludf.DUMMYFUNCTION("GOOGLETRANSLATE(English!D3199, ""en"", ""bg"")"),"магнити")</f>
        <v>магнити</v>
      </c>
      <c r="E3199" s="1" t="str">
        <f ca="1">IFERROR(__xludf.DUMMYFUNCTION("GOOGLETRANSLATE(English!E3199, ""en"", ""bg"")"),"Не разбирам тази тема. Може ли да се направи магнит по-силен?")</f>
        <v>Не разбирам тази тема. Може ли да се направи магнит по-силен?</v>
      </c>
      <c r="F3199" s="1" t="str">
        <f ca="1">IFERROR(__xludf.DUMMYFUNCTION("GOOGLETRANSLATE(English!F3199,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3199" s="1" t="str">
        <f ca="1">IFERROR(__xludf.DUMMYFUNCTION("GOOGLETRANSLATE(English!G3199, ""en"", ""bg"")"),"разговор")</f>
        <v>разговор</v>
      </c>
      <c r="H3199" s="1" t="str">
        <f ca="1">IFERROR(__xludf.DUMMYFUNCTION("GOOGLETRANSLATE(English!H3199, ""en"", ""bg"")"),"образователна_помощ")</f>
        <v>образователна_помощ</v>
      </c>
    </row>
    <row r="3200" spans="1:8" ht="13.2" x14ac:dyDescent="0.25">
      <c r="A3200" s="1" t="str">
        <f ca="1">IFERROR(__xludf.DUMMYFUNCTION("GOOGLETRANSLATE(English!A3200, ""en"", ""bg"")"),"conv_03088")</f>
        <v>conv_03088</v>
      </c>
      <c r="B3200" s="1" t="str">
        <f ca="1">IFERROR(__xludf.DUMMYFUNCTION("GOOGLETRANSLATE(English!B3200, ""en"", ""bg"")"),"химия")</f>
        <v>химия</v>
      </c>
      <c r="C3200" s="1" t="str">
        <f ca="1">IFERROR(__xludf.DUMMYFUNCTION("GOOGLETRANSLATE(English!C3200, ""en"", ""bg"")"),"високо")</f>
        <v>високо</v>
      </c>
      <c r="D3200" s="1" t="str">
        <f ca="1">IFERROR(__xludf.DUMMYFUNCTION("GOOGLETRANSLATE(English!D3200, ""en"", ""bg"")"),"електрохимия")</f>
        <v>електрохимия</v>
      </c>
      <c r="E3200" s="1" t="str">
        <f ca="1">IFERROR(__xludf.DUMMYFUNCTION("GOOGLETRANSLATE(English!E3200, ""en"", ""bg"")"),"Не разбирам тази тема. Как работи електрохимията в химията?")</f>
        <v>Не разбирам тази тема. Как работи електрохимията в химията?</v>
      </c>
      <c r="F3200" s="1" t="str">
        <f ca="1">IFERROR(__xludf.DUMMYFUNCTION("GOOGLETRANSLATE(English!F3200,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3200" s="1" t="str">
        <f ca="1">IFERROR(__xludf.DUMMYFUNCTION("GOOGLETRANSLATE(English!G3200, ""en"", ""bg"")"),"разговор")</f>
        <v>разговор</v>
      </c>
      <c r="H3200" s="1" t="str">
        <f ca="1">IFERROR(__xludf.DUMMYFUNCTION("GOOGLETRANSLATE(English!H3200, ""en"", ""bg"")"),"образователна_помощ")</f>
        <v>образователна_помощ</v>
      </c>
    </row>
    <row r="3201" spans="1:8" ht="13.2" x14ac:dyDescent="0.25">
      <c r="A3201" s="1" t="str">
        <f ca="1">IFERROR(__xludf.DUMMYFUNCTION("GOOGLETRANSLATE(English!A3201, ""en"", ""bg"")"),"qa_00120")</f>
        <v>qa_00120</v>
      </c>
      <c r="B3201" s="1" t="str">
        <f ca="1">IFERROR(__xludf.DUMMYFUNCTION("GOOGLETRANSLATE(English!B3201, ""en"", ""bg"")"),"физика")</f>
        <v>физика</v>
      </c>
      <c r="C3201" s="1" t="str">
        <f ca="1">IFERROR(__xludf.DUMMYFUNCTION("GOOGLETRANSLATE(English!C3201, ""en"", ""bg"")"),"елементарен")</f>
        <v>елементарен</v>
      </c>
      <c r="D3201" s="1" t="str">
        <f ca="1">IFERROR(__xludf.DUMMYFUNCTION("GOOGLETRANSLATE(English!D3201, ""en"", ""bg"")"),"плаващ и потъващ")</f>
        <v>плаващ и потъващ</v>
      </c>
      <c r="E3201" s="1" t="str">
        <f ca="1">IFERROR(__xludf.DUMMYFUNCTION("GOOGLETRANSLATE(English!E3201, ""en"", ""bg"")"),"Какво трябва да знам за плаването и потъването?")</f>
        <v>Какво трябва да знам за плаването и потъването?</v>
      </c>
      <c r="F3201" s="1" t="str">
        <f ca="1">IFERROR(__xludf.DUMMYFUNCTION("GOOGLETRANSLATE(English!F3201,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3201" s="1" t="str">
        <f ca="1">IFERROR(__xludf.DUMMYFUNCTION("GOOGLETRANSLATE(English!G3201, ""en"", ""bg"")"),"direct_qa")</f>
        <v>direct_qa</v>
      </c>
      <c r="H3201" s="1" t="str">
        <f ca="1">IFERROR(__xludf.DUMMYFUNCTION("GOOGLETRANSLATE(English!H3201, ""en"", ""bg"")"),"заявка_за_знание")</f>
        <v>заявка_за_знание</v>
      </c>
    </row>
    <row r="3202" spans="1:8" ht="13.2" x14ac:dyDescent="0.25">
      <c r="A3202" s="1" t="str">
        <f ca="1">IFERROR(__xludf.DUMMYFUNCTION("GOOGLETRANSLATE(English!A3202, ""en"", ""bg"")"),"conv_06490")</f>
        <v>conv_06490</v>
      </c>
      <c r="B3202" s="1" t="str">
        <f ca="1">IFERROR(__xludf.DUMMYFUNCTION("GOOGLETRANSLATE(English!B3202, ""en"", ""bg"")"),"химия")</f>
        <v>химия</v>
      </c>
      <c r="C3202" s="1" t="str">
        <f ca="1">IFERROR(__xludf.DUMMYFUNCTION("GOOGLETRANSLATE(English!C3202, ""en"", ""bg"")"),"средата")</f>
        <v>средата</v>
      </c>
      <c r="D3202" s="1" t="str">
        <f ca="1">IFERROR(__xludf.DUMMYFUNCTION("GOOGLETRANSLATE(English!D3202, ""en"", ""bg"")"),"съединения срещу елементи")</f>
        <v>съединения срещу елементи</v>
      </c>
      <c r="E3202" s="1" t="str">
        <f ca="1">IFERROR(__xludf.DUMMYFUNCTION("GOOGLETRANSLATE(English!E3202, ""en"", ""bg"")"),"Не разбирам тази тема. Можете ли да ми помогнете да разбера какво представляват съединенията спрямо елементите?")</f>
        <v>Не разбирам тази тема. Можете ли да ми помогнете да разбера какво представляват съединенията спрямо елементите?</v>
      </c>
      <c r="F3202" s="1" t="str">
        <f ca="1">IFERROR(__xludf.DUMMYFUNCTION("GOOGLETRANSLATE(English!F3202,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3202" s="1" t="str">
        <f ca="1">IFERROR(__xludf.DUMMYFUNCTION("GOOGLETRANSLATE(English!G3202, ""en"", ""bg"")"),"разговор")</f>
        <v>разговор</v>
      </c>
      <c r="H3202" s="1" t="str">
        <f ca="1">IFERROR(__xludf.DUMMYFUNCTION("GOOGLETRANSLATE(English!H3202, ""en"", ""bg"")"),"образователна_помощ")</f>
        <v>образователна_помощ</v>
      </c>
    </row>
    <row r="3203" spans="1:8" ht="13.2" x14ac:dyDescent="0.25">
      <c r="A3203" s="1" t="str">
        <f ca="1">IFERROR(__xludf.DUMMYFUNCTION("GOOGLETRANSLATE(English!A3203, ""en"", ""bg"")"),"conv_05723")</f>
        <v>conv_05723</v>
      </c>
      <c r="B3203" s="1" t="str">
        <f ca="1">IFERROR(__xludf.DUMMYFUNCTION("GOOGLETRANSLATE(English!B3203, ""en"", ""bg"")"),"физика")</f>
        <v>физика</v>
      </c>
      <c r="C3203" s="1" t="str">
        <f ca="1">IFERROR(__xludf.DUMMYFUNCTION("GOOGLETRANSLATE(English!C3203, ""en"", ""bg"")"),"високо")</f>
        <v>високо</v>
      </c>
      <c r="D3203" s="1" t="str">
        <f ca="1">IFERROR(__xludf.DUMMYFUNCTION("GOOGLETRANSLATE(English!D3203, ""en"", ""bg"")"),"електромагнетизъм")</f>
        <v>електромагнетизъм</v>
      </c>
      <c r="E3203" s="1" t="str">
        <f ca="1">IFERROR(__xludf.DUMMYFUNCTION("GOOGLETRANSLATE(English!E3203, ""en"", ""bg"")"),"Можете ли да ми обясните това? Защо електромагнетизмът е важен?")</f>
        <v>Можете ли да ми обясните това? Защо електромагнетизмът е важен?</v>
      </c>
      <c r="F3203" s="1" t="str">
        <f ca="1">IFERROR(__xludf.DUMMYFUNCTION("GOOGLETRANSLATE(English!F3203,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3203" s="1" t="str">
        <f ca="1">IFERROR(__xludf.DUMMYFUNCTION("GOOGLETRANSLATE(English!G3203, ""en"", ""bg"")"),"разговор")</f>
        <v>разговор</v>
      </c>
      <c r="H3203" s="1" t="str">
        <f ca="1">IFERROR(__xludf.DUMMYFUNCTION("GOOGLETRANSLATE(English!H3203, ""en"", ""bg"")"),"образователна_помощ")</f>
        <v>образователна_помощ</v>
      </c>
    </row>
    <row r="3204" spans="1:8" ht="13.2" x14ac:dyDescent="0.25">
      <c r="A3204" s="1" t="str">
        <f ca="1">IFERROR(__xludf.DUMMYFUNCTION("GOOGLETRANSLATE(English!A3204, ""en"", ""bg"")"),"conv_08011")</f>
        <v>conv_08011</v>
      </c>
      <c r="B3204" s="1" t="str">
        <f ca="1">IFERROR(__xludf.DUMMYFUNCTION("GOOGLETRANSLATE(English!B3204, ""en"", ""bg"")"),"химия")</f>
        <v>химия</v>
      </c>
      <c r="C3204" s="1" t="str">
        <f ca="1">IFERROR(__xludf.DUMMYFUNCTION("GOOGLETRANSLATE(English!C3204, ""en"", ""bg"")"),"елементарен")</f>
        <v>елементарен</v>
      </c>
      <c r="D3204" s="1" t="str">
        <f ca="1">IFERROR(__xludf.DUMMYFUNCTION("GOOGLETRANSLATE(English!D3204, ""en"", ""bg"")"),"разтваряне")</f>
        <v>разтваряне</v>
      </c>
      <c r="E3204" s="1" t="str">
        <f ca="1">IFERROR(__xludf.DUMMYFUNCTION("GOOGLETRANSLATE(English!E3204, ""en"", ""bg"")"),"Имам научен въпрос. Какво представлява разтварянето?")</f>
        <v>Имам научен въпрос. Какво представлява разтварянето?</v>
      </c>
      <c r="F3204" s="1" t="str">
        <f ca="1">IFERROR(__xludf.DUMMYFUNCTION("GOOGLETRANSLATE(English!F3204,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3204" s="1" t="str">
        <f ca="1">IFERROR(__xludf.DUMMYFUNCTION("GOOGLETRANSLATE(English!G3204, ""en"", ""bg"")"),"разговор")</f>
        <v>разговор</v>
      </c>
      <c r="H3204" s="1" t="str">
        <f ca="1">IFERROR(__xludf.DUMMYFUNCTION("GOOGLETRANSLATE(English!H3204, ""en"", ""bg"")"),"образователна_помощ")</f>
        <v>образователна_помощ</v>
      </c>
    </row>
    <row r="3205" spans="1:8" ht="13.2" x14ac:dyDescent="0.25">
      <c r="A3205" s="1" t="str">
        <f ca="1">IFERROR(__xludf.DUMMYFUNCTION("GOOGLETRANSLATE(English!A3205, ""en"", ""bg"")"),"qa_14210")</f>
        <v>qa_14210</v>
      </c>
      <c r="B3205" s="1" t="str">
        <f ca="1">IFERROR(__xludf.DUMMYFUNCTION("GOOGLETRANSLATE(English!B3205, ""en"", ""bg"")"),"химия")</f>
        <v>химия</v>
      </c>
      <c r="C3205" s="1" t="str">
        <f ca="1">IFERROR(__xludf.DUMMYFUNCTION("GOOGLETRANSLATE(English!C3205, ""en"", ""bg"")"),"средата")</f>
        <v>средата</v>
      </c>
      <c r="D3205" s="1" t="str">
        <f ca="1">IFERROR(__xludf.DUMMYFUNCTION("GOOGLETRANSLATE(English!D3205, ""en"", ""bg"")"),"съединения срещу елементи")</f>
        <v>съединения срещу елементи</v>
      </c>
      <c r="E3205" s="1" t="str">
        <f ca="1">IFERROR(__xludf.DUMMYFUNCTION("GOOGLETRANSLATE(English!E3205, ""en"", ""bg"")"),"Как работят съединенията срещу елементите в химията?")</f>
        <v>Как работят съединенията срещу елементите в химията?</v>
      </c>
      <c r="F3205" s="1" t="str">
        <f ca="1">IFERROR(__xludf.DUMMYFUNCTION("GOOGLETRANSLATE(English!F3205,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205" s="1" t="str">
        <f ca="1">IFERROR(__xludf.DUMMYFUNCTION("GOOGLETRANSLATE(English!G3205, ""en"", ""bg"")"),"direct_qa")</f>
        <v>direct_qa</v>
      </c>
      <c r="H3205" s="1" t="str">
        <f ca="1">IFERROR(__xludf.DUMMYFUNCTION("GOOGLETRANSLATE(English!H3205, ""en"", ""bg"")"),"заявка_за_знание")</f>
        <v>заявка_за_знание</v>
      </c>
    </row>
    <row r="3206" spans="1:8" ht="13.2" x14ac:dyDescent="0.25">
      <c r="A3206" s="1" t="str">
        <f ca="1">IFERROR(__xludf.DUMMYFUNCTION("GOOGLETRANSLATE(English!A3206, ""en"", ""bg"")"),"hw_06464")</f>
        <v>hw_06464</v>
      </c>
      <c r="B3206" s="1" t="str">
        <f ca="1">IFERROR(__xludf.DUMMYFUNCTION("GOOGLETRANSLATE(English!B3206, ""en"", ""bg"")"),"биология")</f>
        <v>биология</v>
      </c>
      <c r="C3206" s="1" t="str">
        <f ca="1">IFERROR(__xludf.DUMMYFUNCTION("GOOGLETRANSLATE(English!C3206, ""en"", ""bg"")"),"високо")</f>
        <v>високо</v>
      </c>
      <c r="D3206" s="1" t="str">
        <f ca="1">IFERROR(__xludf.DUMMYFUNCTION("GOOGLETRANSLATE(English!D3206, ""en"", ""bg"")"),"модели на наследяване")</f>
        <v>модели на наследяване</v>
      </c>
      <c r="E3206" s="1" t="str">
        <f ca="1">IFERROR(__xludf.DUMMYFUNCTION("GOOGLETRANSLATE(English!E3206,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3206" s="1" t="str">
        <f ca="1">IFERROR(__xludf.DUMMYFUNCTION("GOOGLETRANSLATE(English!F3206,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206" s="1" t="str">
        <f ca="1">IFERROR(__xludf.DUMMYFUNCTION("GOOGLETRANSLATE(English!G3206, ""en"", ""bg"")"),"помощ_за_домашно_изпълнение")</f>
        <v>помощ_за_домашно_изпълнение</v>
      </c>
      <c r="H3206" s="1" t="str">
        <f ca="1">IFERROR(__xludf.DUMMYFUNCTION("GOOGLETRANSLATE(English!H3206, ""en"", ""bg"")"),"помощ_за_домашно_задаване")</f>
        <v>помощ_за_домашно_задаване</v>
      </c>
    </row>
    <row r="3207" spans="1:8" ht="13.2" x14ac:dyDescent="0.25">
      <c r="A3207" s="1" t="str">
        <f ca="1">IFERROR(__xludf.DUMMYFUNCTION("GOOGLETRANSLATE(English!A3207, ""en"", ""bg"")"),"hw_14246")</f>
        <v>hw_14246</v>
      </c>
      <c r="B3207" s="1" t="str">
        <f ca="1">IFERROR(__xludf.DUMMYFUNCTION("GOOGLETRANSLATE(English!B3207, ""en"", ""bg"")"),"физика")</f>
        <v>физика</v>
      </c>
      <c r="C3207" s="1" t="str">
        <f ca="1">IFERROR(__xludf.DUMMYFUNCTION("GOOGLETRANSLATE(English!C3207, ""en"", ""bg"")"),"средата")</f>
        <v>средата</v>
      </c>
      <c r="D3207" s="1" t="str">
        <f ca="1">IFERROR(__xludf.DUMMYFUNCTION("GOOGLETRANSLATE(English!D3207, ""en"", ""bg"")"),"вълни")</f>
        <v>вълни</v>
      </c>
      <c r="E3207" s="1" t="str">
        <f ca="1">IFERROR(__xludf.DUMMYFUNCTION("GOOGLETRANSLATE(English!E3207, ""en"", ""bg"")"),"Можеш ли да решиш тази задача за вълните с мен?")</f>
        <v>Можеш ли да решиш тази задача за вълните с мен?</v>
      </c>
      <c r="F3207" s="1" t="str">
        <f ca="1">IFERROR(__xludf.DUMMYFUNCTION("GOOGLETRANSLATE(English!F3207,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3207" s="1" t="str">
        <f ca="1">IFERROR(__xludf.DUMMYFUNCTION("GOOGLETRANSLATE(English!G3207, ""en"", ""bg"")"),"помощ_за_домашно_изпълнение")</f>
        <v>помощ_за_домашно_изпълнение</v>
      </c>
      <c r="H3207" s="1" t="str">
        <f ca="1">IFERROR(__xludf.DUMMYFUNCTION("GOOGLETRANSLATE(English!H3207, ""en"", ""bg"")"),"помощ_за_домашно_задаване")</f>
        <v>помощ_за_домашно_задаване</v>
      </c>
    </row>
    <row r="3208" spans="1:8" ht="13.2" x14ac:dyDescent="0.25">
      <c r="A3208" s="1" t="str">
        <f ca="1">IFERROR(__xludf.DUMMYFUNCTION("GOOGLETRANSLATE(English!A3208, ""en"", ""bg"")"),"qa_03321")</f>
        <v>qa_03321</v>
      </c>
      <c r="B3208" s="1" t="str">
        <f ca="1">IFERROR(__xludf.DUMMYFUNCTION("GOOGLETRANSLATE(English!B3208, ""en"", ""bg"")"),"химия")</f>
        <v>химия</v>
      </c>
      <c r="C3208" s="1" t="str">
        <f ca="1">IFERROR(__xludf.DUMMYFUNCTION("GOOGLETRANSLATE(English!C3208, ""en"", ""bg"")"),"високо")</f>
        <v>високо</v>
      </c>
      <c r="D3208" s="1" t="str">
        <f ca="1">IFERROR(__xludf.DUMMYFUNCTION("GOOGLETRANSLATE(English!D3208, ""en"", ""bg"")"),"стехиометрия")</f>
        <v>стехиометрия</v>
      </c>
      <c r="E3208" s="1" t="str">
        <f ca="1">IFERROR(__xludf.DUMMYFUNCTION("GOOGLETRANSLATE(English!E3208, ""en"", ""bg"")"),"Защо е важно да се учи стехиометрията?")</f>
        <v>Защо е важно да се учи стехиометрията?</v>
      </c>
      <c r="F3208" s="1" t="str">
        <f ca="1">IFERROR(__xludf.DUMMYFUNCTION("GOOGLETRANSLATE(English!F3208,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3208" s="1" t="str">
        <f ca="1">IFERROR(__xludf.DUMMYFUNCTION("GOOGLETRANSLATE(English!G3208, ""en"", ""bg"")"),"direct_qa")</f>
        <v>direct_qa</v>
      </c>
      <c r="H3208" s="1" t="str">
        <f ca="1">IFERROR(__xludf.DUMMYFUNCTION("GOOGLETRANSLATE(English!H3208, ""en"", ""bg"")"),"заявка_за_знание")</f>
        <v>заявка_за_знание</v>
      </c>
    </row>
    <row r="3209" spans="1:8" ht="13.2" x14ac:dyDescent="0.25">
      <c r="A3209" s="1" t="str">
        <f ca="1">IFERROR(__xludf.DUMMYFUNCTION("GOOGLETRANSLATE(English!A3209, ""en"", ""bg"")"),"conv_11278")</f>
        <v>conv_11278</v>
      </c>
      <c r="B3209" s="1" t="str">
        <f ca="1">IFERROR(__xludf.DUMMYFUNCTION("GOOGLETRANSLATE(English!B3209, ""en"", ""bg"")"),"физика")</f>
        <v>физика</v>
      </c>
      <c r="C3209" s="1" t="str">
        <f ca="1">IFERROR(__xludf.DUMMYFUNCTION("GOOGLETRANSLATE(English!C3209, ""en"", ""bg"")"),"високо")</f>
        <v>високо</v>
      </c>
      <c r="D3209" s="1" t="str">
        <f ca="1">IFERROR(__xludf.DUMMYFUNCTION("GOOGLETRANSLATE(English!D3209, ""en"", ""bg"")"),"радиоактивност")</f>
        <v>радиоактивност</v>
      </c>
      <c r="E3209" s="1" t="str">
        <f ca="1">IFERROR(__xludf.DUMMYFUNCTION("GOOGLETRANSLATE(English!E3209, ""en"", ""bg"")"),"Помогнете ми да уча за теста. Как действа радиоактивността във физиката?")</f>
        <v>Помогнете ми да уча за теста. Как действа радиоактивността във физиката?</v>
      </c>
      <c r="F3209" s="1" t="str">
        <f ca="1">IFERROR(__xludf.DUMMYFUNCTION("GOOGLETRANSLATE(English!F3209,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3209" s="1" t="str">
        <f ca="1">IFERROR(__xludf.DUMMYFUNCTION("GOOGLETRANSLATE(English!G3209, ""en"", ""bg"")"),"разговор")</f>
        <v>разговор</v>
      </c>
      <c r="H3209" s="1" t="str">
        <f ca="1">IFERROR(__xludf.DUMMYFUNCTION("GOOGLETRANSLATE(English!H3209, ""en"", ""bg"")"),"образователна_помощ")</f>
        <v>образователна_помощ</v>
      </c>
    </row>
    <row r="3210" spans="1:8" ht="13.2" x14ac:dyDescent="0.25">
      <c r="A3210" s="1" t="str">
        <f ca="1">IFERROR(__xludf.DUMMYFUNCTION("GOOGLETRANSLATE(English!A3210, ""en"", ""bg"")"),"hw_03984")</f>
        <v>hw_03984</v>
      </c>
      <c r="B3210" s="1" t="str">
        <f ca="1">IFERROR(__xludf.DUMMYFUNCTION("GOOGLETRANSLATE(English!B3210, ""en"", ""bg"")"),"физика")</f>
        <v>физика</v>
      </c>
      <c r="C3210" s="1" t="str">
        <f ca="1">IFERROR(__xludf.DUMMYFUNCTION("GOOGLETRANSLATE(English!C3210, ""en"", ""bg"")"),"средата")</f>
        <v>средата</v>
      </c>
      <c r="D3210" s="1" t="str">
        <f ca="1">IFERROR(__xludf.DUMMYFUNCTION("GOOGLETRANSLATE(English!D3210, ""en"", ""bg"")"),"прости схеми")</f>
        <v>прости схеми</v>
      </c>
      <c r="E3210" s="1" t="str">
        <f ca="1">IFERROR(__xludf.DUMMYFUNCTION("GOOGLETRANSLATE(English!E3210,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3210" s="1" t="str">
        <f ca="1">IFERROR(__xludf.DUMMYFUNCTION("GOOGLETRANSLATE(English!F3210,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210" s="1" t="str">
        <f ca="1">IFERROR(__xludf.DUMMYFUNCTION("GOOGLETRANSLATE(English!G3210, ""en"", ""bg"")"),"помощ_за_домашно_изпълнение")</f>
        <v>помощ_за_домашно_изпълнение</v>
      </c>
      <c r="H3210" s="1" t="str">
        <f ca="1">IFERROR(__xludf.DUMMYFUNCTION("GOOGLETRANSLATE(English!H3210, ""en"", ""bg"")"),"помощ_за_домашно_задаване")</f>
        <v>помощ_за_домашно_задаване</v>
      </c>
    </row>
    <row r="3211" spans="1:8" ht="13.2" x14ac:dyDescent="0.25">
      <c r="A3211" s="1" t="str">
        <f ca="1">IFERROR(__xludf.DUMMYFUNCTION("GOOGLETRANSLATE(English!A3211, ""en"", ""bg"")"),"qa_08139")</f>
        <v>qa_08139</v>
      </c>
      <c r="B3211" s="1" t="str">
        <f ca="1">IFERROR(__xludf.DUMMYFUNCTION("GOOGLETRANSLATE(English!B3211, ""en"", ""bg"")"),"химия")</f>
        <v>химия</v>
      </c>
      <c r="C3211" s="1" t="str">
        <f ca="1">IFERROR(__xludf.DUMMYFUNCTION("GOOGLETRANSLATE(English!C3211, ""en"", ""bg"")"),"високо")</f>
        <v>високо</v>
      </c>
      <c r="D3211" s="1" t="str">
        <f ca="1">IFERROR(__xludf.DUMMYFUNCTION("GOOGLETRANSLATE(English!D3211, ""en"", ""bg"")"),"органична химия")</f>
        <v>органична химия</v>
      </c>
      <c r="E3211" s="1" t="str">
        <f ca="1">IFERROR(__xludf.DUMMYFUNCTION("GOOGLETRANSLATE(English!E3211, ""en"", ""bg"")"),"Какво представлява органичната химия?")</f>
        <v>Какво представлява органичната химия?</v>
      </c>
      <c r="F3211" s="1" t="str">
        <f ca="1">IFERROR(__xludf.DUMMYFUNCTION("GOOGLETRANSLATE(English!F3211,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3211" s="1" t="str">
        <f ca="1">IFERROR(__xludf.DUMMYFUNCTION("GOOGLETRANSLATE(English!G3211, ""en"", ""bg"")"),"direct_qa")</f>
        <v>direct_qa</v>
      </c>
      <c r="H3211" s="1" t="str">
        <f ca="1">IFERROR(__xludf.DUMMYFUNCTION("GOOGLETRANSLATE(English!H3211, ""en"", ""bg"")"),"заявка_за_знание")</f>
        <v>заявка_за_знание</v>
      </c>
    </row>
    <row r="3212" spans="1:8" ht="13.2" x14ac:dyDescent="0.25">
      <c r="A3212" s="1" t="str">
        <f ca="1">IFERROR(__xludf.DUMMYFUNCTION("GOOGLETRANSLATE(English!A3212, ""en"", ""bg"")"),"hw_07737")</f>
        <v>hw_07737</v>
      </c>
      <c r="B3212" s="1" t="str">
        <f ca="1">IFERROR(__xludf.DUMMYFUNCTION("GOOGLETRANSLATE(English!B3212, ""en"", ""bg"")"),"биология")</f>
        <v>биология</v>
      </c>
      <c r="C3212" s="1" t="str">
        <f ca="1">IFERROR(__xludf.DUMMYFUNCTION("GOOGLETRANSLATE(English!C3212, ""en"", ""bg"")"),"високо")</f>
        <v>високо</v>
      </c>
      <c r="D3212" s="1" t="str">
        <f ca="1">IFERROR(__xludf.DUMMYFUNCTION("GOOGLETRANSLATE(English!D3212, ""en"", ""bg"")"),"клетъчно дишане")</f>
        <v>клетъчно дишане</v>
      </c>
      <c r="E3212" s="1" t="str">
        <f ca="1">IFERROR(__xludf.DUMMYFUNCTION("GOOGLETRANSLATE(English!E3212,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3212" s="1" t="str">
        <f ca="1">IFERROR(__xludf.DUMMYFUNCTION("GOOGLETRANSLATE(English!F3212,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3212" s="1" t="str">
        <f ca="1">IFERROR(__xludf.DUMMYFUNCTION("GOOGLETRANSLATE(English!G3212, ""en"", ""bg"")"),"помощ_за_домашно_изпълнение")</f>
        <v>помощ_за_домашно_изпълнение</v>
      </c>
      <c r="H3212" s="1" t="str">
        <f ca="1">IFERROR(__xludf.DUMMYFUNCTION("GOOGLETRANSLATE(English!H3212, ""en"", ""bg"")"),"помощ_за_домашно_задаване")</f>
        <v>помощ_за_домашно_задаване</v>
      </c>
    </row>
    <row r="3213" spans="1:8" ht="13.2" x14ac:dyDescent="0.25">
      <c r="A3213" s="1" t="str">
        <f ca="1">IFERROR(__xludf.DUMMYFUNCTION("GOOGLETRANSLATE(English!A3213, ""en"", ""bg"")"),"qa_13142")</f>
        <v>qa_13142</v>
      </c>
      <c r="B3213" s="1" t="str">
        <f ca="1">IFERROR(__xludf.DUMMYFUNCTION("GOOGLETRANSLATE(English!B3213, ""en"", ""bg"")"),"биология")</f>
        <v>биология</v>
      </c>
      <c r="C3213" s="1" t="str">
        <f ca="1">IFERROR(__xludf.DUMMYFUNCTION("GOOGLETRANSLATE(English!C3213, ""en"", ""bg"")"),"средата")</f>
        <v>средата</v>
      </c>
      <c r="D3213" s="1" t="str">
        <f ca="1">IFERROR(__xludf.DUMMYFUNCTION("GOOGLETRANSLATE(English!D3213, ""en"", ""bg"")"),"размножаване")</f>
        <v>размножаване</v>
      </c>
      <c r="E3213" s="1" t="str">
        <f ca="1">IFERROR(__xludf.DUMMYFUNCTION("GOOGLETRANSLATE(English!E3213, ""en"", ""bg"")"),"Как работи репродукцията?")</f>
        <v>Как работи репродукцията?</v>
      </c>
      <c r="F3213" s="1" t="str">
        <f ca="1">IFERROR(__xludf.DUMMYFUNCTION("GOOGLETRANSLATE(English!F3213,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3213" s="1" t="str">
        <f ca="1">IFERROR(__xludf.DUMMYFUNCTION("GOOGLETRANSLATE(English!G3213, ""en"", ""bg"")"),"direct_qa")</f>
        <v>direct_qa</v>
      </c>
      <c r="H3213" s="1" t="str">
        <f ca="1">IFERROR(__xludf.DUMMYFUNCTION("GOOGLETRANSLATE(English!H3213, ""en"", ""bg"")"),"заявка_за_знание")</f>
        <v>заявка_за_знание</v>
      </c>
    </row>
    <row r="3214" spans="1:8" ht="13.2" x14ac:dyDescent="0.25">
      <c r="A3214" s="1" t="str">
        <f ca="1">IFERROR(__xludf.DUMMYFUNCTION("GOOGLETRANSLATE(English!A3214, ""en"", ""bg"")"),"conv_07171")</f>
        <v>conv_07171</v>
      </c>
      <c r="B3214" s="1" t="str">
        <f ca="1">IFERROR(__xludf.DUMMYFUNCTION("GOOGLETRANSLATE(English!B3214, ""en"", ""bg"")"),"биология")</f>
        <v>биология</v>
      </c>
      <c r="C3214" s="1" t="str">
        <f ca="1">IFERROR(__xludf.DUMMYFUNCTION("GOOGLETRANSLATE(English!C3214, ""en"", ""bg"")"),"средата")</f>
        <v>средата</v>
      </c>
      <c r="D3214" s="1" t="str">
        <f ca="1">IFERROR(__xludf.DUMMYFUNCTION("GOOGLETRANSLATE(English!D3214, ""en"", ""bg"")"),"размножаване")</f>
        <v>размножаване</v>
      </c>
      <c r="E3214" s="1" t="str">
        <f ca="1">IFERROR(__xludf.DUMMYFUNCTION("GOOGLETRANSLATE(English!E3214, ""en"", ""bg"")"),"Не разбирам тази тема. Какво е важно да се знае за размножаването?")</f>
        <v>Не разбирам тази тема. Какво е важно да се знае за размножаването?</v>
      </c>
      <c r="F3214" s="1" t="str">
        <f ca="1">IFERROR(__xludf.DUMMYFUNCTION("GOOGLETRANSLATE(English!F3214,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3214" s="1" t="str">
        <f ca="1">IFERROR(__xludf.DUMMYFUNCTION("GOOGLETRANSLATE(English!G3214, ""en"", ""bg"")"),"разговор")</f>
        <v>разговор</v>
      </c>
      <c r="H3214" s="1" t="str">
        <f ca="1">IFERROR(__xludf.DUMMYFUNCTION("GOOGLETRANSLATE(English!H3214, ""en"", ""bg"")"),"образователна_помощ")</f>
        <v>образователна_помощ</v>
      </c>
    </row>
    <row r="3215" spans="1:8" ht="13.2" x14ac:dyDescent="0.25">
      <c r="A3215" s="1" t="str">
        <f ca="1">IFERROR(__xludf.DUMMYFUNCTION("GOOGLETRANSLATE(English!A3215, ""en"", ""bg"")"),"conv_17473")</f>
        <v>conv_17473</v>
      </c>
      <c r="B3215" s="1" t="str">
        <f ca="1">IFERROR(__xludf.DUMMYFUNCTION("GOOGLETRANSLATE(English!B3215, ""en"", ""bg"")"),"биология")</f>
        <v>биология</v>
      </c>
      <c r="C3215" s="1" t="str">
        <f ca="1">IFERROR(__xludf.DUMMYFUNCTION("GOOGLETRANSLATE(English!C3215, ""en"", ""bg"")"),"високо")</f>
        <v>високо</v>
      </c>
      <c r="D3215" s="1" t="str">
        <f ca="1">IFERROR(__xludf.DUMMYFUNCTION("GOOGLETRANSLATE(English!D3215, ""en"", ""bg"")"),"Структура на ДНК")</f>
        <v>Структура на ДНК</v>
      </c>
      <c r="E3215" s="1" t="str">
        <f ca="1">IFERROR(__xludf.DUMMYFUNCTION("GOOGLETRANSLATE(English!E3215, ""en"", ""bg"")"),"Помогни ми да уча за теста. Можеш ли да ми кажеш нещо за структурата на ДНК?")</f>
        <v>Помогни ми да уча за теста. Можеш ли да ми кажеш нещо за структурата на ДНК?</v>
      </c>
      <c r="F3215" s="1" t="str">
        <f ca="1">IFERROR(__xludf.DUMMYFUNCTION("GOOGLETRANSLATE(English!F3215,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3215" s="1" t="str">
        <f ca="1">IFERROR(__xludf.DUMMYFUNCTION("GOOGLETRANSLATE(English!G3215, ""en"", ""bg"")"),"разговор")</f>
        <v>разговор</v>
      </c>
      <c r="H3215" s="1" t="str">
        <f ca="1">IFERROR(__xludf.DUMMYFUNCTION("GOOGLETRANSLATE(English!H3215, ""en"", ""bg"")"),"образователна_помощ")</f>
        <v>образователна_помощ</v>
      </c>
    </row>
    <row r="3216" spans="1:8" ht="13.2" x14ac:dyDescent="0.25">
      <c r="A3216" s="1" t="str">
        <f ca="1">IFERROR(__xludf.DUMMYFUNCTION("GOOGLETRANSLATE(English!A3216, ""en"", ""bg"")"),"qa_06317")</f>
        <v>qa_06317</v>
      </c>
      <c r="B3216" s="1" t="str">
        <f ca="1">IFERROR(__xludf.DUMMYFUNCTION("GOOGLETRANSLATE(English!B3216, ""en"", ""bg"")"),"физика")</f>
        <v>физика</v>
      </c>
      <c r="C3216" s="1" t="str">
        <f ca="1">IFERROR(__xludf.DUMMYFUNCTION("GOOGLETRANSLATE(English!C3216, ""en"", ""bg"")"),"средата")</f>
        <v>средата</v>
      </c>
      <c r="D3216" s="1" t="str">
        <f ca="1">IFERROR(__xludf.DUMMYFUNCTION("GOOGLETRANSLATE(English!D3216, ""en"", ""bg"")"),"състояния на материята")</f>
        <v>състояния на материята</v>
      </c>
      <c r="E3216" s="1" t="str">
        <f ca="1">IFERROR(__xludf.DUMMYFUNCTION("GOOGLETRANSLATE(English!E3216, ""en"", ""bg"")"),"Защо състоянията на материята са важни?")</f>
        <v>Защо състоянията на материята са важни?</v>
      </c>
      <c r="F3216" s="1" t="str">
        <f ca="1">IFERROR(__xludf.DUMMYFUNCTION("GOOGLETRANSLATE(English!F3216,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3216" s="1" t="str">
        <f ca="1">IFERROR(__xludf.DUMMYFUNCTION("GOOGLETRANSLATE(English!G3216, ""en"", ""bg"")"),"direct_qa")</f>
        <v>direct_qa</v>
      </c>
      <c r="H3216" s="1" t="str">
        <f ca="1">IFERROR(__xludf.DUMMYFUNCTION("GOOGLETRANSLATE(English!H3216, ""en"", ""bg"")"),"заявка_за_знание")</f>
        <v>заявка_за_знание</v>
      </c>
    </row>
    <row r="3217" spans="1:8" ht="13.2" x14ac:dyDescent="0.25">
      <c r="A3217" s="1" t="str">
        <f ca="1">IFERROR(__xludf.DUMMYFUNCTION("GOOGLETRANSLATE(English!A3217, ""en"", ""bg"")"),"conv_10398")</f>
        <v>conv_10398</v>
      </c>
      <c r="B3217" s="1" t="str">
        <f ca="1">IFERROR(__xludf.DUMMYFUNCTION("GOOGLETRANSLATE(English!B3217, ""en"", ""bg"")"),"биология")</f>
        <v>биология</v>
      </c>
      <c r="C3217" s="1" t="str">
        <f ca="1">IFERROR(__xludf.DUMMYFUNCTION("GOOGLETRANSLATE(English!C3217, ""en"", ""bg"")"),"високо")</f>
        <v>високо</v>
      </c>
      <c r="D3217" s="1" t="str">
        <f ca="1">IFERROR(__xludf.DUMMYFUNCTION("GOOGLETRANSLATE(English!D3217, ""en"", ""bg"")"),"синтез на протеини")</f>
        <v>синтез на протеини</v>
      </c>
      <c r="E3217" s="1" t="str">
        <f ca="1">IFERROR(__xludf.DUMMYFUNCTION("GOOGLETRANSLATE(English!E3217, ""en"", ""bg"")"),"Здравей, преподавателю! Можеш ли да ми кажеш нещо за синтеза на протеини?")</f>
        <v>Здравей, преподавателю! Можеш ли да ми кажеш нещо за синтеза на протеини?</v>
      </c>
      <c r="F3217" s="1" t="str">
        <f ca="1">IFERROR(__xludf.DUMMYFUNCTION("GOOGLETRANSLATE(English!F3217,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217" s="1" t="str">
        <f ca="1">IFERROR(__xludf.DUMMYFUNCTION("GOOGLETRANSLATE(English!G3217, ""en"", ""bg"")"),"разговор")</f>
        <v>разговор</v>
      </c>
      <c r="H3217" s="1" t="str">
        <f ca="1">IFERROR(__xludf.DUMMYFUNCTION("GOOGLETRANSLATE(English!H3217, ""en"", ""bg"")"),"образователна_помощ")</f>
        <v>образователна_помощ</v>
      </c>
    </row>
    <row r="3218" spans="1:8" ht="13.2" x14ac:dyDescent="0.25">
      <c r="A3218" s="1" t="str">
        <f ca="1">IFERROR(__xludf.DUMMYFUNCTION("GOOGLETRANSLATE(English!A3218, ""en"", ""bg"")"),"conv_14996")</f>
        <v>conv_14996</v>
      </c>
      <c r="B3218" s="1" t="str">
        <f ca="1">IFERROR(__xludf.DUMMYFUNCTION("GOOGLETRANSLATE(English!B3218, ""en"", ""bg"")"),"биология")</f>
        <v>биология</v>
      </c>
      <c r="C3218" s="1" t="str">
        <f ca="1">IFERROR(__xludf.DUMMYFUNCTION("GOOGLETRANSLATE(English!C3218, ""en"", ""bg"")"),"високо")</f>
        <v>високо</v>
      </c>
      <c r="D3218" s="1" t="str">
        <f ca="1">IFERROR(__xludf.DUMMYFUNCTION("GOOGLETRANSLATE(English!D3218, ""en"", ""bg"")"),"Структура на ДНК")</f>
        <v>Структура на ДНК</v>
      </c>
      <c r="E3218" s="1" t="str">
        <f ca="1">IFERROR(__xludf.DUMMYFUNCTION("GOOGLETRANSLATE(English!E3218, ""en"", ""bg"")"),"Можете ли да ми обясните това? Какво е важно да знаем за структурата на ДНК?")</f>
        <v>Можете ли да ми обясните това? Какво е важно да знаем за структурата на ДНК?</v>
      </c>
      <c r="F3218" s="1" t="str">
        <f ca="1">IFERROR(__xludf.DUMMYFUNCTION("GOOGLETRANSLATE(English!F3218,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3218" s="1" t="str">
        <f ca="1">IFERROR(__xludf.DUMMYFUNCTION("GOOGLETRANSLATE(English!G3218, ""en"", ""bg"")"),"разговор")</f>
        <v>разговор</v>
      </c>
      <c r="H3218" s="1" t="str">
        <f ca="1">IFERROR(__xludf.DUMMYFUNCTION("GOOGLETRANSLATE(English!H3218, ""en"", ""bg"")"),"образователна_помощ")</f>
        <v>образователна_помощ</v>
      </c>
    </row>
    <row r="3219" spans="1:8" ht="13.2" x14ac:dyDescent="0.25">
      <c r="A3219" s="1" t="str">
        <f ca="1">IFERROR(__xludf.DUMMYFUNCTION("GOOGLETRANSLATE(English!A3219, ""en"", ""bg"")"),"conv_06388")</f>
        <v>conv_06388</v>
      </c>
      <c r="B3219" s="1" t="str">
        <f ca="1">IFERROR(__xludf.DUMMYFUNCTION("GOOGLETRANSLATE(English!B3219, ""en"", ""bg"")"),"биология")</f>
        <v>биология</v>
      </c>
      <c r="C3219" s="1" t="str">
        <f ca="1">IFERROR(__xludf.DUMMYFUNCTION("GOOGLETRANSLATE(English!C3219, ""en"", ""bg"")"),"високо")</f>
        <v>високо</v>
      </c>
      <c r="D3219" s="1" t="str">
        <f ca="1">IFERROR(__xludf.DUMMYFUNCTION("GOOGLETRANSLATE(English!D3219, ""en"", ""bg"")"),"модели на наследяване")</f>
        <v>модели на наследяване</v>
      </c>
      <c r="E3219" s="1" t="str">
        <f ca="1">IFERROR(__xludf.DUMMYFUNCTION("GOOGLETRANSLATE(English!E3219, ""en"", ""bg"")"),"Здравей, преподавателю! Защо моделите на наследяване са важни в биологията?")</f>
        <v>Здравей, преподавателю! Защо моделите на наследяване са важни в биологията?</v>
      </c>
      <c r="F3219" s="1" t="str">
        <f ca="1">IFERROR(__xludf.DUMMYFUNCTION("GOOGLETRANSLATE(English!F3219,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3219" s="1" t="str">
        <f ca="1">IFERROR(__xludf.DUMMYFUNCTION("GOOGLETRANSLATE(English!G3219, ""en"", ""bg"")"),"разговор")</f>
        <v>разговор</v>
      </c>
      <c r="H3219" s="1" t="str">
        <f ca="1">IFERROR(__xludf.DUMMYFUNCTION("GOOGLETRANSLATE(English!H3219, ""en"", ""bg"")"),"образователна_помощ")</f>
        <v>образователна_помощ</v>
      </c>
    </row>
    <row r="3220" spans="1:8" ht="13.2" x14ac:dyDescent="0.25">
      <c r="A3220" s="1" t="str">
        <f ca="1">IFERROR(__xludf.DUMMYFUNCTION("GOOGLETRANSLATE(English!A3220, ""en"", ""bg"")"),"hw_04769")</f>
        <v>hw_04769</v>
      </c>
      <c r="B3220" s="1" t="str">
        <f ca="1">IFERROR(__xludf.DUMMYFUNCTION("GOOGLETRANSLATE(English!B3220, ""en"", ""bg"")"),"биология")</f>
        <v>биология</v>
      </c>
      <c r="C3220" s="1" t="str">
        <f ca="1">IFERROR(__xludf.DUMMYFUNCTION("GOOGLETRANSLATE(English!C3220, ""en"", ""bg"")"),"елементарен")</f>
        <v>елементарен</v>
      </c>
      <c r="D3220" s="1" t="str">
        <f ca="1">IFERROR(__xludf.DUMMYFUNCTION("GOOGLETRANSLATE(English!D3220, ""en"", ""bg"")"),"местообитания")</f>
        <v>местообитания</v>
      </c>
      <c r="E3220" s="1" t="str">
        <f ca="1">IFERROR(__xludf.DUMMYFUNCTION("GOOGLETRANSLATE(English!E3220, ""en"", ""bg"")"),"Трябва да напиша доклад за местообитанията. Можете ли да ми помогнете да започна?")</f>
        <v>Трябва да напиша доклад за местообитанията. Можете ли да ми помогнете да започна?</v>
      </c>
      <c r="F3220" s="1" t="str">
        <f ca="1">IFERROR(__xludf.DUMMYFUNCTION("GOOGLETRANSLATE(English!F3220,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3220" s="1" t="str">
        <f ca="1">IFERROR(__xludf.DUMMYFUNCTION("GOOGLETRANSLATE(English!G3220, ""en"", ""bg"")"),"помощ_за_домашно_изпълнение")</f>
        <v>помощ_за_домашно_изпълнение</v>
      </c>
      <c r="H3220" s="1" t="str">
        <f ca="1">IFERROR(__xludf.DUMMYFUNCTION("GOOGLETRANSLATE(English!H3220, ""en"", ""bg"")"),"помощ_за_домашно_задаване")</f>
        <v>помощ_за_домашно_задаване</v>
      </c>
    </row>
    <row r="3221" spans="1:8" ht="13.2" x14ac:dyDescent="0.25">
      <c r="A3221" s="1" t="str">
        <f ca="1">IFERROR(__xludf.DUMMYFUNCTION("GOOGLETRANSLATE(English!A3221, ""en"", ""bg"")"),"conv_17207")</f>
        <v>conv_17207</v>
      </c>
      <c r="B3221" s="1" t="str">
        <f ca="1">IFERROR(__xludf.DUMMYFUNCTION("GOOGLETRANSLATE(English!B3221, ""en"", ""bg"")"),"химия")</f>
        <v>химия</v>
      </c>
      <c r="C3221" s="1" t="str">
        <f ca="1">IFERROR(__xludf.DUMMYFUNCTION("GOOGLETRANSLATE(English!C3221, ""en"", ""bg"")"),"високо")</f>
        <v>високо</v>
      </c>
      <c r="D3221" s="1" t="str">
        <f ca="1">IFERROR(__xludf.DUMMYFUNCTION("GOOGLETRANSLATE(English!D3221, ""en"", ""bg"")"),"скорости на реакция")</f>
        <v>скорости на реакция</v>
      </c>
      <c r="E3221" s="1" t="str">
        <f ca="1">IFERROR(__xludf.DUMMYFUNCTION("GOOGLETRANSLATE(English!E3221, ""en"", ""bg"")"),"Не разбирам тази тема. Какво представляват скоростите на реакция?")</f>
        <v>Не разбирам тази тема. Какво представляват скоростите на реакция?</v>
      </c>
      <c r="F3221" s="1" t="str">
        <f ca="1">IFERROR(__xludf.DUMMYFUNCTION("GOOGLETRANSLATE(English!F3221,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3221" s="1" t="str">
        <f ca="1">IFERROR(__xludf.DUMMYFUNCTION("GOOGLETRANSLATE(English!G3221, ""en"", ""bg"")"),"разговор")</f>
        <v>разговор</v>
      </c>
      <c r="H3221" s="1" t="str">
        <f ca="1">IFERROR(__xludf.DUMMYFUNCTION("GOOGLETRANSLATE(English!H3221, ""en"", ""bg"")"),"образователна_помощ")</f>
        <v>образователна_помощ</v>
      </c>
    </row>
    <row r="3222" spans="1:8" ht="13.2" x14ac:dyDescent="0.25">
      <c r="A3222" s="1" t="str">
        <f ca="1">IFERROR(__xludf.DUMMYFUNCTION("GOOGLETRANSLATE(English!A3222, ""en"", ""bg"")"),"hw_05022")</f>
        <v>hw_05022</v>
      </c>
      <c r="B3222" s="1" t="str">
        <f ca="1">IFERROR(__xludf.DUMMYFUNCTION("GOOGLETRANSLATE(English!B3222, ""en"", ""bg"")"),"химия")</f>
        <v>химия</v>
      </c>
      <c r="C3222" s="1" t="str">
        <f ca="1">IFERROR(__xludf.DUMMYFUNCTION("GOOGLETRANSLATE(English!C3222, ""en"", ""bg"")"),"елементарен")</f>
        <v>елементарен</v>
      </c>
      <c r="D3222" s="1" t="str">
        <f ca="1">IFERROR(__xludf.DUMMYFUNCTION("GOOGLETRANSLATE(English!D3222, ""en"", ""bg"")"),"разтваряне")</f>
        <v>разтваряне</v>
      </c>
      <c r="E3222" s="1" t="str">
        <f ca="1">IFERROR(__xludf.DUMMYFUNCTION("GOOGLETRANSLATE(English!E3222, ""en"", ""bg"")"),"Не разбирам тази концепция за разтваряне. Моля, обяснете!")</f>
        <v>Не разбирам тази концепция за разтваряне. Моля, обяснете!</v>
      </c>
      <c r="F3222" s="1" t="str">
        <f ca="1">IFERROR(__xludf.DUMMYFUNCTION("GOOGLETRANSLATE(English!F3222,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3222" s="1" t="str">
        <f ca="1">IFERROR(__xludf.DUMMYFUNCTION("GOOGLETRANSLATE(English!G3222, ""en"", ""bg"")"),"помощ_за_домашно_изпълнение")</f>
        <v>помощ_за_домашно_изпълнение</v>
      </c>
      <c r="H3222" s="1" t="str">
        <f ca="1">IFERROR(__xludf.DUMMYFUNCTION("GOOGLETRANSLATE(English!H3222, ""en"", ""bg"")"),"помощ_за_домашно_задаване")</f>
        <v>помощ_за_домашно_задаване</v>
      </c>
    </row>
    <row r="3223" spans="1:8" ht="13.2" x14ac:dyDescent="0.25">
      <c r="A3223" s="1" t="str">
        <f ca="1">IFERROR(__xludf.DUMMYFUNCTION("GOOGLETRANSLATE(English!A3223, ""en"", ""bg"")"),"hw_10078")</f>
        <v>hw_10078</v>
      </c>
      <c r="B3223" s="1" t="str">
        <f ca="1">IFERROR(__xludf.DUMMYFUNCTION("GOOGLETRANSLATE(English!B3223, ""en"", ""bg"")"),"физика")</f>
        <v>физика</v>
      </c>
      <c r="C3223" s="1" t="str">
        <f ca="1">IFERROR(__xludf.DUMMYFUNCTION("GOOGLETRANSLATE(English!C3223, ""en"", ""bg"")"),"средата")</f>
        <v>средата</v>
      </c>
      <c r="D3223" s="1" t="str">
        <f ca="1">IFERROR(__xludf.DUMMYFUNCTION("GOOGLETRANSLATE(English!D3223, ""en"", ""bg"")"),"сили и движение")</f>
        <v>сили и движение</v>
      </c>
      <c r="E3223" s="1" t="str">
        <f ca="1">IFERROR(__xludf.DUMMYFUNCTION("GOOGLETRANSLATE(English!E3223,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3223" s="1" t="str">
        <f ca="1">IFERROR(__xludf.DUMMYFUNCTION("GOOGLETRANSLATE(English!F3223,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3223" s="1" t="str">
        <f ca="1">IFERROR(__xludf.DUMMYFUNCTION("GOOGLETRANSLATE(English!G3223, ""en"", ""bg"")"),"помощ_за_домашно_изпълнение")</f>
        <v>помощ_за_домашно_изпълнение</v>
      </c>
      <c r="H3223" s="1" t="str">
        <f ca="1">IFERROR(__xludf.DUMMYFUNCTION("GOOGLETRANSLATE(English!H3223, ""en"", ""bg"")"),"помощ_за_домашно_задаване")</f>
        <v>помощ_за_домашно_задаване</v>
      </c>
    </row>
    <row r="3224" spans="1:8" ht="13.2" x14ac:dyDescent="0.25">
      <c r="A3224" s="1" t="str">
        <f ca="1">IFERROR(__xludf.DUMMYFUNCTION("GOOGLETRANSLATE(English!A3224, ""en"", ""bg"")"),"qa_07902")</f>
        <v>qa_07902</v>
      </c>
      <c r="B3224" s="1" t="str">
        <f ca="1">IFERROR(__xludf.DUMMYFUNCTION("GOOGLETRANSLATE(English!B3224, ""en"", ""bg"")"),"биология")</f>
        <v>биология</v>
      </c>
      <c r="C3224" s="1" t="str">
        <f ca="1">IFERROR(__xludf.DUMMYFUNCTION("GOOGLETRANSLATE(English!C3224, ""en"", ""bg"")"),"средата")</f>
        <v>средата</v>
      </c>
      <c r="D3224" s="1" t="str">
        <f ca="1">IFERROR(__xludf.DUMMYFUNCTION("GOOGLETRANSLATE(English!D3224, ""en"", ""bg"")"),"основи на еволюцията")</f>
        <v>основи на еволюцията</v>
      </c>
      <c r="E3224" s="1" t="str">
        <f ca="1">IFERROR(__xludf.DUMMYFUNCTION("GOOGLETRANSLATE(English!E3224, ""en"", ""bg"")"),"Защо основите на еволюцията са важни в биологията?")</f>
        <v>Защо основите на еволюцията са важни в биологията?</v>
      </c>
      <c r="F3224" s="1" t="str">
        <f ca="1">IFERROR(__xludf.DUMMYFUNCTION("GOOGLETRANSLATE(English!F3224,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3224" s="1" t="str">
        <f ca="1">IFERROR(__xludf.DUMMYFUNCTION("GOOGLETRANSLATE(English!G3224, ""en"", ""bg"")"),"direct_qa")</f>
        <v>direct_qa</v>
      </c>
      <c r="H3224" s="1" t="str">
        <f ca="1">IFERROR(__xludf.DUMMYFUNCTION("GOOGLETRANSLATE(English!H3224, ""en"", ""bg"")"),"заявка_за_знание")</f>
        <v>заявка_за_знание</v>
      </c>
    </row>
    <row r="3225" spans="1:8" ht="13.2" x14ac:dyDescent="0.25">
      <c r="A3225" s="1" t="str">
        <f ca="1">IFERROR(__xludf.DUMMYFUNCTION("GOOGLETRANSLATE(English!A3225, ""en"", ""bg"")"),"qa_05797")</f>
        <v>qa_05797</v>
      </c>
      <c r="B3225" s="1" t="str">
        <f ca="1">IFERROR(__xludf.DUMMYFUNCTION("GOOGLETRANSLATE(English!B3225, ""en"", ""bg"")"),"физика")</f>
        <v>физика</v>
      </c>
      <c r="C3225" s="1" t="str">
        <f ca="1">IFERROR(__xludf.DUMMYFUNCTION("GOOGLETRANSLATE(English!C3225, ""en"", ""bg"")"),"високо")</f>
        <v>високо</v>
      </c>
      <c r="D3225" s="1" t="str">
        <f ca="1">IFERROR(__xludf.DUMMYFUNCTION("GOOGLETRANSLATE(English!D3225, ""en"", ""bg"")"),"механика")</f>
        <v>механика</v>
      </c>
      <c r="E3225" s="1" t="str">
        <f ca="1">IFERROR(__xludf.DUMMYFUNCTION("GOOGLETRANSLATE(English!E3225, ""en"", ""bg"")"),"Можете ли да ми обясните механиката?")</f>
        <v>Можете ли да ми обясните механиката?</v>
      </c>
      <c r="F3225" s="1" t="str">
        <f ca="1">IFERROR(__xludf.DUMMYFUNCTION("GOOGLETRANSLATE(English!F3225,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3225" s="1" t="str">
        <f ca="1">IFERROR(__xludf.DUMMYFUNCTION("GOOGLETRANSLATE(English!G3225, ""en"", ""bg"")"),"direct_qa")</f>
        <v>direct_qa</v>
      </c>
      <c r="H3225" s="1" t="str">
        <f ca="1">IFERROR(__xludf.DUMMYFUNCTION("GOOGLETRANSLATE(English!H3225, ""en"", ""bg"")"),"заявка_за_знание")</f>
        <v>заявка_за_знание</v>
      </c>
    </row>
    <row r="3226" spans="1:8" ht="13.2" x14ac:dyDescent="0.25">
      <c r="A3226" s="1" t="str">
        <f ca="1">IFERROR(__xludf.DUMMYFUNCTION("GOOGLETRANSLATE(English!A3226, ""en"", ""bg"")"),"qa_09038")</f>
        <v>qa_09038</v>
      </c>
      <c r="B3226" s="1" t="str">
        <f ca="1">IFERROR(__xludf.DUMMYFUNCTION("GOOGLETRANSLATE(English!B3226, ""en"", ""bg"")"),"химия")</f>
        <v>химия</v>
      </c>
      <c r="C3226" s="1" t="str">
        <f ca="1">IFERROR(__xludf.DUMMYFUNCTION("GOOGLETRANSLATE(English!C3226, ""en"", ""bg"")"),"средата")</f>
        <v>средата</v>
      </c>
      <c r="D3226" s="1" t="str">
        <f ca="1">IFERROR(__xludf.DUMMYFUNCTION("GOOGLETRANSLATE(English!D3226, ""en"", ""bg"")"),"основи на периодичната таблица")</f>
        <v>основи на периодичната таблица</v>
      </c>
      <c r="E3226" s="1" t="str">
        <f ca="1">IFERROR(__xludf.DUMMYFUNCTION("GOOGLETRANSLATE(English!E3226,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3226" s="1" t="str">
        <f ca="1">IFERROR(__xludf.DUMMYFUNCTION("GOOGLETRANSLATE(English!F3226,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3226" s="1" t="str">
        <f ca="1">IFERROR(__xludf.DUMMYFUNCTION("GOOGLETRANSLATE(English!G3226, ""en"", ""bg"")"),"direct_qa")</f>
        <v>direct_qa</v>
      </c>
      <c r="H3226" s="1" t="str">
        <f ca="1">IFERROR(__xludf.DUMMYFUNCTION("GOOGLETRANSLATE(English!H3226, ""en"", ""bg"")"),"заявка_за_знание")</f>
        <v>заявка_за_знание</v>
      </c>
    </row>
    <row r="3227" spans="1:8" ht="13.2" x14ac:dyDescent="0.25">
      <c r="A3227" s="1" t="str">
        <f ca="1">IFERROR(__xludf.DUMMYFUNCTION("GOOGLETRANSLATE(English!A3227, ""en"", ""bg"")"),"hw_06689")</f>
        <v>hw_06689</v>
      </c>
      <c r="B3227" s="1" t="str">
        <f ca="1">IFERROR(__xludf.DUMMYFUNCTION("GOOGLETRANSLATE(English!B3227, ""en"", ""bg"")"),"химия")</f>
        <v>химия</v>
      </c>
      <c r="C3227" s="1" t="str">
        <f ca="1">IFERROR(__xludf.DUMMYFUNCTION("GOOGLETRANSLATE(English!C3227, ""en"", ""bg"")"),"елементарен")</f>
        <v>елементарен</v>
      </c>
      <c r="D3227" s="1" t="str">
        <f ca="1">IFERROR(__xludf.DUMMYFUNCTION("GOOGLETRANSLATE(English!D3227, ""en"", ""bg"")"),"безопасност")</f>
        <v>безопасност</v>
      </c>
      <c r="E3227" s="1" t="str">
        <f ca="1">IFERROR(__xludf.DUMMYFUNCTION("GOOGLETRANSLATE(English!E3227, ""en"", ""bg"")"),"Можете ли да ми помогнете с изчисленията за безопасност?")</f>
        <v>Можете ли да ми помогнете с изчисленията за безопасност?</v>
      </c>
      <c r="F3227" s="1" t="str">
        <f ca="1">IFERROR(__xludf.DUMMYFUNCTION("GOOGLETRANSLATE(English!F3227,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227" s="1" t="str">
        <f ca="1">IFERROR(__xludf.DUMMYFUNCTION("GOOGLETRANSLATE(English!G3227, ""en"", ""bg"")"),"помощ_за_домашно_изпълнение")</f>
        <v>помощ_за_домашно_изпълнение</v>
      </c>
      <c r="H3227" s="1" t="str">
        <f ca="1">IFERROR(__xludf.DUMMYFUNCTION("GOOGLETRANSLATE(English!H3227, ""en"", ""bg"")"),"помощ_за_домашно_задаване")</f>
        <v>помощ_за_домашно_задаване</v>
      </c>
    </row>
    <row r="3228" spans="1:8" ht="13.2" x14ac:dyDescent="0.25">
      <c r="A3228" s="1" t="str">
        <f ca="1">IFERROR(__xludf.DUMMYFUNCTION("GOOGLETRANSLATE(English!A3228, ""en"", ""bg"")"),"qa_05295")</f>
        <v>qa_05295</v>
      </c>
      <c r="B3228" s="1" t="str">
        <f ca="1">IFERROR(__xludf.DUMMYFUNCTION("GOOGLETRANSLATE(English!B3228, ""en"", ""bg"")"),"физика")</f>
        <v>физика</v>
      </c>
      <c r="C3228" s="1" t="str">
        <f ca="1">IFERROR(__xludf.DUMMYFUNCTION("GOOGLETRANSLATE(English!C3228, ""en"", ""bg"")"),"средата")</f>
        <v>средата</v>
      </c>
      <c r="D3228" s="1" t="str">
        <f ca="1">IFERROR(__xludf.DUMMYFUNCTION("GOOGLETRANSLATE(English!D3228, ""en"", ""bg"")"),"плътност")</f>
        <v>плътност</v>
      </c>
      <c r="E3228" s="1" t="str">
        <f ca="1">IFERROR(__xludf.DUMMYFUNCTION("GOOGLETRANSLATE(English!E3228, ""en"", ""bg"")"),"Как работи плътността във физиката?")</f>
        <v>Как работи плътността във физиката?</v>
      </c>
      <c r="F3228" s="1" t="str">
        <f ca="1">IFERROR(__xludf.DUMMYFUNCTION("GOOGLETRANSLATE(English!F3228,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3228" s="1" t="str">
        <f ca="1">IFERROR(__xludf.DUMMYFUNCTION("GOOGLETRANSLATE(English!G3228, ""en"", ""bg"")"),"direct_qa")</f>
        <v>direct_qa</v>
      </c>
      <c r="H3228" s="1" t="str">
        <f ca="1">IFERROR(__xludf.DUMMYFUNCTION("GOOGLETRANSLATE(English!H3228, ""en"", ""bg"")"),"заявка_за_знание")</f>
        <v>заявка_за_знание</v>
      </c>
    </row>
    <row r="3229" spans="1:8" ht="13.2" x14ac:dyDescent="0.25">
      <c r="A3229" s="1" t="str">
        <f ca="1">IFERROR(__xludf.DUMMYFUNCTION("GOOGLETRANSLATE(English!A3229, ""en"", ""bg"")"),"qa_10266")</f>
        <v>qa_10266</v>
      </c>
      <c r="B3229" s="1" t="str">
        <f ca="1">IFERROR(__xludf.DUMMYFUNCTION("GOOGLETRANSLATE(English!B3229, ""en"", ""bg"")"),"биология")</f>
        <v>биология</v>
      </c>
      <c r="C3229" s="1" t="str">
        <f ca="1">IFERROR(__xludf.DUMMYFUNCTION("GOOGLETRANSLATE(English!C3229, ""en"", ""bg"")"),"елементарен")</f>
        <v>елементарен</v>
      </c>
      <c r="D3229" s="1" t="str">
        <f ca="1">IFERROR(__xludf.DUMMYFUNCTION("GOOGLETRANSLATE(English!D3229, ""en"", ""bg"")"),"сетива")</f>
        <v>сетива</v>
      </c>
      <c r="E3229" s="1" t="str">
        <f ca="1">IFERROR(__xludf.DUMMYFUNCTION("GOOGLETRANSLATE(English!E3229, ""en"", ""bg"")"),"Как работят сетивата?")</f>
        <v>Как работят сетивата?</v>
      </c>
      <c r="F3229" s="1" t="str">
        <f ca="1">IFERROR(__xludf.DUMMYFUNCTION("GOOGLETRANSLATE(English!F3229,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3229" s="1" t="str">
        <f ca="1">IFERROR(__xludf.DUMMYFUNCTION("GOOGLETRANSLATE(English!G3229, ""en"", ""bg"")"),"direct_qa")</f>
        <v>direct_qa</v>
      </c>
      <c r="H3229" s="1" t="str">
        <f ca="1">IFERROR(__xludf.DUMMYFUNCTION("GOOGLETRANSLATE(English!H3229, ""en"", ""bg"")"),"заявка_за_знание")</f>
        <v>заявка_за_знание</v>
      </c>
    </row>
    <row r="3230" spans="1:8" ht="13.2" x14ac:dyDescent="0.25">
      <c r="A3230" s="1" t="str">
        <f ca="1">IFERROR(__xludf.DUMMYFUNCTION("GOOGLETRANSLATE(English!A3230, ""en"", ""bg"")"),"qa_14849")</f>
        <v>qa_14849</v>
      </c>
      <c r="B3230" s="1" t="str">
        <f ca="1">IFERROR(__xludf.DUMMYFUNCTION("GOOGLETRANSLATE(English!B3230, ""en"", ""bg"")"),"химия")</f>
        <v>химия</v>
      </c>
      <c r="C3230" s="1" t="str">
        <f ca="1">IFERROR(__xludf.DUMMYFUNCTION("GOOGLETRANSLATE(English!C3230, ""en"", ""bg"")"),"средата")</f>
        <v>средата</v>
      </c>
      <c r="D3230" s="1" t="str">
        <f ca="1">IFERROR(__xludf.DUMMYFUNCTION("GOOGLETRANSLATE(English!D3230, ""en"", ""bg"")"),"химични промени")</f>
        <v>химични промени</v>
      </c>
      <c r="E3230" s="1" t="str">
        <f ca="1">IFERROR(__xludf.DUMMYFUNCTION("GOOGLETRANSLATE(English!E3230, ""en"", ""bg"")"),"Как протичат химичните промени в химията?")</f>
        <v>Как протичат химичните промени в химията?</v>
      </c>
      <c r="F3230" s="1" t="str">
        <f ca="1">IFERROR(__xludf.DUMMYFUNCTION("GOOGLETRANSLATE(English!F3230,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3230" s="1" t="str">
        <f ca="1">IFERROR(__xludf.DUMMYFUNCTION("GOOGLETRANSLATE(English!G3230, ""en"", ""bg"")"),"direct_qa")</f>
        <v>direct_qa</v>
      </c>
      <c r="H3230" s="1" t="str">
        <f ca="1">IFERROR(__xludf.DUMMYFUNCTION("GOOGLETRANSLATE(English!H3230, ""en"", ""bg"")"),"заявка_за_знание")</f>
        <v>заявка_за_знание</v>
      </c>
    </row>
    <row r="3231" spans="1:8" ht="13.2" x14ac:dyDescent="0.25">
      <c r="A3231" s="1" t="str">
        <f ca="1">IFERROR(__xludf.DUMMYFUNCTION("GOOGLETRANSLATE(English!A3231, ""en"", ""bg"")"),"conv_17952")</f>
        <v>conv_17952</v>
      </c>
      <c r="B3231" s="1" t="str">
        <f ca="1">IFERROR(__xludf.DUMMYFUNCTION("GOOGLETRANSLATE(English!B3231, ""en"", ""bg"")"),"физика")</f>
        <v>физика</v>
      </c>
      <c r="C3231" s="1" t="str">
        <f ca="1">IFERROR(__xludf.DUMMYFUNCTION("GOOGLETRANSLATE(English!C3231, ""en"", ""bg"")"),"елементарен")</f>
        <v>елементарен</v>
      </c>
      <c r="D3231" s="1" t="str">
        <f ca="1">IFERROR(__xludf.DUMMYFUNCTION("GOOGLETRANSLATE(English!D3231, ""en"", ""bg"")"),"светлина и сянка")</f>
        <v>светлина и сянка</v>
      </c>
      <c r="E3231" s="1" t="str">
        <f ca="1">IFERROR(__xludf.DUMMYFUNCTION("GOOGLETRANSLATE(English!E3231, ""en"", ""bg"")"),"Можете ли да ми обясните това? Какво се случва, когато светлината попадне в огледало?")</f>
        <v>Можете ли да ми обясните това? Какво се случва, когато светлината попадне в огледало?</v>
      </c>
      <c r="F3231" s="1" t="str">
        <f ca="1">IFERROR(__xludf.DUMMYFUNCTION("GOOGLETRANSLATE(English!F3231,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3231" s="1" t="str">
        <f ca="1">IFERROR(__xludf.DUMMYFUNCTION("GOOGLETRANSLATE(English!G3231, ""en"", ""bg"")"),"разговор")</f>
        <v>разговор</v>
      </c>
      <c r="H3231" s="1" t="str">
        <f ca="1">IFERROR(__xludf.DUMMYFUNCTION("GOOGLETRANSLATE(English!H3231, ""en"", ""bg"")"),"образователна_помощ")</f>
        <v>образователна_помощ</v>
      </c>
    </row>
    <row r="3232" spans="1:8" ht="13.2" x14ac:dyDescent="0.25">
      <c r="A3232" s="1" t="str">
        <f ca="1">IFERROR(__xludf.DUMMYFUNCTION("GOOGLETRANSLATE(English!A3232, ""en"", ""bg"")"),"qa_13847")</f>
        <v>qa_13847</v>
      </c>
      <c r="B3232" s="1" t="str">
        <f ca="1">IFERROR(__xludf.DUMMYFUNCTION("GOOGLETRANSLATE(English!B3232, ""en"", ""bg"")"),"физика")</f>
        <v>физика</v>
      </c>
      <c r="C3232" s="1" t="str">
        <f ca="1">IFERROR(__xludf.DUMMYFUNCTION("GOOGLETRANSLATE(English!C3232, ""en"", ""bg"")"),"високо")</f>
        <v>високо</v>
      </c>
      <c r="D3232" s="1" t="str">
        <f ca="1">IFERROR(__xludf.DUMMYFUNCTION("GOOGLETRANSLATE(English!D3232, ""en"", ""bg"")"),"термодинамика")</f>
        <v>термодинамика</v>
      </c>
      <c r="E3232" s="1" t="str">
        <f ca="1">IFERROR(__xludf.DUMMYFUNCTION("GOOGLETRANSLATE(English!E3232, ""en"", ""bg"")"),"Защо термодинамиката е важна?")</f>
        <v>Защо термодинамиката е важна?</v>
      </c>
      <c r="F3232" s="1" t="str">
        <f ca="1">IFERROR(__xludf.DUMMYFUNCTION("GOOGLETRANSLATE(English!F3232,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3232" s="1" t="str">
        <f ca="1">IFERROR(__xludf.DUMMYFUNCTION("GOOGLETRANSLATE(English!G3232, ""en"", ""bg"")"),"direct_qa")</f>
        <v>direct_qa</v>
      </c>
      <c r="H3232" s="1" t="str">
        <f ca="1">IFERROR(__xludf.DUMMYFUNCTION("GOOGLETRANSLATE(English!H3232, ""en"", ""bg"")"),"заявка_за_знание")</f>
        <v>заявка_за_знание</v>
      </c>
    </row>
    <row r="3233" spans="1:8" ht="13.2" x14ac:dyDescent="0.25">
      <c r="A3233" s="1" t="str">
        <f ca="1">IFERROR(__xludf.DUMMYFUNCTION("GOOGLETRANSLATE(English!A3233, ""en"", ""bg"")"),"hw_03340")</f>
        <v>hw_03340</v>
      </c>
      <c r="B3233" s="1" t="str">
        <f ca="1">IFERROR(__xludf.DUMMYFUNCTION("GOOGLETRANSLATE(English!B3233, ""en"", ""bg"")"),"физика")</f>
        <v>физика</v>
      </c>
      <c r="C3233" s="1" t="str">
        <f ca="1">IFERROR(__xludf.DUMMYFUNCTION("GOOGLETRANSLATE(English!C3233, ""en"", ""bg"")"),"високо")</f>
        <v>високо</v>
      </c>
      <c r="D3233" s="1" t="str">
        <f ca="1">IFERROR(__xludf.DUMMYFUNCTION("GOOGLETRANSLATE(English!D3233, ""en"", ""bg"")"),"атомна структура")</f>
        <v>атомна структура</v>
      </c>
      <c r="E3233" s="1" t="str">
        <f ca="1">IFERROR(__xludf.DUMMYFUNCTION("GOOGLETRANSLATE(English!E3233, ""en"", ""bg"")"),"Можете ли да решите този въпрос за атомната структура с мен?")</f>
        <v>Можете ли да решите този въпрос за атомната структура с мен?</v>
      </c>
      <c r="F3233" s="1" t="str">
        <f ca="1">IFERROR(__xludf.DUMMYFUNCTION("GOOGLETRANSLATE(English!F3233,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3233" s="1" t="str">
        <f ca="1">IFERROR(__xludf.DUMMYFUNCTION("GOOGLETRANSLATE(English!G3233, ""en"", ""bg"")"),"помощ_за_домашно_изпълнение")</f>
        <v>помощ_за_домашно_изпълнение</v>
      </c>
      <c r="H3233" s="1" t="str">
        <f ca="1">IFERROR(__xludf.DUMMYFUNCTION("GOOGLETRANSLATE(English!H3233, ""en"", ""bg"")"),"помощ_за_домашно_задаване")</f>
        <v>помощ_за_домашно_задаване</v>
      </c>
    </row>
    <row r="3234" spans="1:8" ht="13.2" x14ac:dyDescent="0.25">
      <c r="A3234" s="1" t="str">
        <f ca="1">IFERROR(__xludf.DUMMYFUNCTION("GOOGLETRANSLATE(English!A3234, ""en"", ""bg"")"),"qa_14302")</f>
        <v>qa_14302</v>
      </c>
      <c r="B3234" s="1" t="str">
        <f ca="1">IFERROR(__xludf.DUMMYFUNCTION("GOOGLETRANSLATE(English!B3234, ""en"", ""bg"")"),"химия")</f>
        <v>химия</v>
      </c>
      <c r="C3234" s="1" t="str">
        <f ca="1">IFERROR(__xludf.DUMMYFUNCTION("GOOGLETRANSLATE(English!C3234, ""en"", ""bg"")"),"високо")</f>
        <v>високо</v>
      </c>
      <c r="D3234" s="1" t="str">
        <f ca="1">IFERROR(__xludf.DUMMYFUNCTION("GOOGLETRANSLATE(English!D3234, ""en"", ""bg"")"),"скорости на реакция")</f>
        <v>скорости на реакция</v>
      </c>
      <c r="E3234" s="1" t="str">
        <f ca="1">IFERROR(__xludf.DUMMYFUNCTION("GOOGLETRANSLATE(English!E3234, ""en"", ""bg"")"),"Как работят скоростите на реакциите в химията?")</f>
        <v>Как работят скоростите на реакциите в химията?</v>
      </c>
      <c r="F3234" s="1" t="str">
        <f ca="1">IFERROR(__xludf.DUMMYFUNCTION("GOOGLETRANSLATE(English!F3234,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3234" s="1" t="str">
        <f ca="1">IFERROR(__xludf.DUMMYFUNCTION("GOOGLETRANSLATE(English!G3234, ""en"", ""bg"")"),"direct_qa")</f>
        <v>direct_qa</v>
      </c>
      <c r="H3234" s="1" t="str">
        <f ca="1">IFERROR(__xludf.DUMMYFUNCTION("GOOGLETRANSLATE(English!H3234, ""en"", ""bg"")"),"заявка_за_знание")</f>
        <v>заявка_за_знание</v>
      </c>
    </row>
    <row r="3235" spans="1:8" ht="13.2" x14ac:dyDescent="0.25">
      <c r="A3235" s="1" t="str">
        <f ca="1">IFERROR(__xludf.DUMMYFUNCTION("GOOGLETRANSLATE(English!A3235, ""en"", ""bg"")"),"hw_11035")</f>
        <v>hw_11035</v>
      </c>
      <c r="B3235" s="1" t="str">
        <f ca="1">IFERROR(__xludf.DUMMYFUNCTION("GOOGLETRANSLATE(English!B3235, ""en"", ""bg"")"),"физика")</f>
        <v>физика</v>
      </c>
      <c r="C3235" s="1" t="str">
        <f ca="1">IFERROR(__xludf.DUMMYFUNCTION("GOOGLETRANSLATE(English!C3235, ""en"", ""bg"")"),"високо")</f>
        <v>високо</v>
      </c>
      <c r="D3235" s="1" t="str">
        <f ca="1">IFERROR(__xludf.DUMMYFUNCTION("GOOGLETRANSLATE(English!D3235, ""en"", ""bg"")"),"механика")</f>
        <v>механика</v>
      </c>
      <c r="E3235" s="1" t="str">
        <f ca="1">IFERROR(__xludf.DUMMYFUNCTION("GOOGLETRANSLATE(English!E3235, ""en"", ""bg"")"),"Трябва да разбирам механиката за изпита си.")</f>
        <v>Трябва да разбирам механиката за изпита си.</v>
      </c>
      <c r="F3235" s="1" t="str">
        <f ca="1">IFERROR(__xludf.DUMMYFUNCTION("GOOGLETRANSLATE(English!F3235,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235" s="1" t="str">
        <f ca="1">IFERROR(__xludf.DUMMYFUNCTION("GOOGLETRANSLATE(English!G3235, ""en"", ""bg"")"),"помощ_за_домашно_изпълнение")</f>
        <v>помощ_за_домашно_изпълнение</v>
      </c>
      <c r="H3235" s="1" t="str">
        <f ca="1">IFERROR(__xludf.DUMMYFUNCTION("GOOGLETRANSLATE(English!H3235, ""en"", ""bg"")"),"помощ_за_домашно_задаване")</f>
        <v>помощ_за_домашно_задаване</v>
      </c>
    </row>
    <row r="3236" spans="1:8" ht="13.2" x14ac:dyDescent="0.25">
      <c r="A3236" s="1" t="str">
        <f ca="1">IFERROR(__xludf.DUMMYFUNCTION("GOOGLETRANSLATE(English!A3236, ""en"", ""bg"")"),"hw_09367")</f>
        <v>hw_09367</v>
      </c>
      <c r="B3236" s="1" t="str">
        <f ca="1">IFERROR(__xludf.DUMMYFUNCTION("GOOGLETRANSLATE(English!B3236, ""en"", ""bg"")"),"физика")</f>
        <v>физика</v>
      </c>
      <c r="C3236" s="1" t="str">
        <f ca="1">IFERROR(__xludf.DUMMYFUNCTION("GOOGLETRANSLATE(English!C3236, ""en"", ""bg"")"),"елементарен")</f>
        <v>елементарен</v>
      </c>
      <c r="D3236" s="1" t="str">
        <f ca="1">IFERROR(__xludf.DUMMYFUNCTION("GOOGLETRANSLATE(English!D3236, ""en"", ""bg"")"),"светлина и сянка")</f>
        <v>светлина и сянка</v>
      </c>
      <c r="E3236" s="1" t="str">
        <f ca="1">IFERROR(__xludf.DUMMYFUNCTION("GOOGLETRANSLATE(English!E3236,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3236" s="1" t="str">
        <f ca="1">IFERROR(__xludf.DUMMYFUNCTION("GOOGLETRANSLATE(English!F3236,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3236" s="1" t="str">
        <f ca="1">IFERROR(__xludf.DUMMYFUNCTION("GOOGLETRANSLATE(English!G3236, ""en"", ""bg"")"),"помощ_за_домашно_изпълнение")</f>
        <v>помощ_за_домашно_изпълнение</v>
      </c>
      <c r="H3236" s="1" t="str">
        <f ca="1">IFERROR(__xludf.DUMMYFUNCTION("GOOGLETRANSLATE(English!H3236, ""en"", ""bg"")"),"помощ_за_домашно_задаване")</f>
        <v>помощ_за_домашно_задаване</v>
      </c>
    </row>
    <row r="3237" spans="1:8" ht="13.2" x14ac:dyDescent="0.25">
      <c r="A3237" s="1" t="str">
        <f ca="1">IFERROR(__xludf.DUMMYFUNCTION("GOOGLETRANSLATE(English!A3237, ""en"", ""bg"")"),"qa_14201")</f>
        <v>qa_14201</v>
      </c>
      <c r="B3237" s="1" t="str">
        <f ca="1">IFERROR(__xludf.DUMMYFUNCTION("GOOGLETRANSLATE(English!B3237, ""en"", ""bg"")"),"биология")</f>
        <v>биология</v>
      </c>
      <c r="C3237" s="1" t="str">
        <f ca="1">IFERROR(__xludf.DUMMYFUNCTION("GOOGLETRANSLATE(English!C3237, ""en"", ""bg"")"),"елементарен")</f>
        <v>елементарен</v>
      </c>
      <c r="D3237" s="1" t="str">
        <f ca="1">IFERROR(__xludf.DUMMYFUNCTION("GOOGLETRANSLATE(English!D3237, ""en"", ""bg"")"),"сетива")</f>
        <v>сетива</v>
      </c>
      <c r="E3237" s="1" t="str">
        <f ca="1">IFERROR(__xludf.DUMMYFUNCTION("GOOGLETRANSLATE(English!E3237, ""en"", ""bg"")"),"Можете ли да ми разкажете за сетивата?")</f>
        <v>Можете ли да ми разкажете за сетивата?</v>
      </c>
      <c r="F3237" s="1" t="str">
        <f ca="1">IFERROR(__xludf.DUMMYFUNCTION("GOOGLETRANSLATE(English!F3237,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3237" s="1" t="str">
        <f ca="1">IFERROR(__xludf.DUMMYFUNCTION("GOOGLETRANSLATE(English!G3237, ""en"", ""bg"")"),"direct_qa")</f>
        <v>direct_qa</v>
      </c>
      <c r="H3237" s="1" t="str">
        <f ca="1">IFERROR(__xludf.DUMMYFUNCTION("GOOGLETRANSLATE(English!H3237, ""en"", ""bg"")"),"заявка_за_знание")</f>
        <v>заявка_за_знание</v>
      </c>
    </row>
    <row r="3238" spans="1:8" ht="13.2" x14ac:dyDescent="0.25">
      <c r="A3238" s="1" t="str">
        <f ca="1">IFERROR(__xludf.DUMMYFUNCTION("GOOGLETRANSLATE(English!A3238, ""en"", ""bg"")"),"qa_05796")</f>
        <v>qa_05796</v>
      </c>
      <c r="B3238" s="1" t="str">
        <f ca="1">IFERROR(__xludf.DUMMYFUNCTION("GOOGLETRANSLATE(English!B3238, ""en"", ""bg"")"),"химия")</f>
        <v>химия</v>
      </c>
      <c r="C3238" s="1" t="str">
        <f ca="1">IFERROR(__xludf.DUMMYFUNCTION("GOOGLETRANSLATE(English!C3238, ""en"", ""bg"")"),"елементарен")</f>
        <v>елементарен</v>
      </c>
      <c r="D3238" s="1" t="str">
        <f ca="1">IFERROR(__xludf.DUMMYFUNCTION("GOOGLETRANSLATE(English!D3238, ""en"", ""bg"")"),"разтваряне")</f>
        <v>разтваряне</v>
      </c>
      <c r="E3238" s="1" t="str">
        <f ca="1">IFERROR(__xludf.DUMMYFUNCTION("GOOGLETRANSLATE(English!E3238, ""en"", ""bg"")"),"Какво е разтварянето?")</f>
        <v>Какво е разтварянето?</v>
      </c>
      <c r="F3238" s="1" t="str">
        <f ca="1">IFERROR(__xludf.DUMMYFUNCTION("GOOGLETRANSLATE(English!F3238,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3238" s="1" t="str">
        <f ca="1">IFERROR(__xludf.DUMMYFUNCTION("GOOGLETRANSLATE(English!G3238, ""en"", ""bg"")"),"direct_qa")</f>
        <v>direct_qa</v>
      </c>
      <c r="H3238" s="1" t="str">
        <f ca="1">IFERROR(__xludf.DUMMYFUNCTION("GOOGLETRANSLATE(English!H3238, ""en"", ""bg"")"),"заявка_за_знание")</f>
        <v>заявка_за_знание</v>
      </c>
    </row>
    <row r="3239" spans="1:8" ht="13.2" x14ac:dyDescent="0.25">
      <c r="A3239" s="1" t="str">
        <f ca="1">IFERROR(__xludf.DUMMYFUNCTION("GOOGLETRANSLATE(English!A3239, ""en"", ""bg"")"),"conv_19836")</f>
        <v>conv_19836</v>
      </c>
      <c r="B3239" s="1" t="str">
        <f ca="1">IFERROR(__xludf.DUMMYFUNCTION("GOOGLETRANSLATE(English!B3239, ""en"", ""bg"")"),"химия")</f>
        <v>химия</v>
      </c>
      <c r="C3239" s="1" t="str">
        <f ca="1">IFERROR(__xludf.DUMMYFUNCTION("GOOGLETRANSLATE(English!C3239, ""en"", ""bg"")"),"средата")</f>
        <v>средата</v>
      </c>
      <c r="D3239" s="1" t="str">
        <f ca="1">IFERROR(__xludf.DUMMYFUNCTION("GOOGLETRANSLATE(English!D3239, ""en"", ""bg"")"),"основи на периодичната таблица")</f>
        <v>основи на периодичната таблица</v>
      </c>
      <c r="E3239" s="1" t="str">
        <f ca="1">IFERROR(__xludf.DUMMYFUNCTION("GOOGLETRANSLATE(English!E3239, ""en"", ""bg"")"),"Здравей, преподавателю! Можеш ли да ми помогнеш да разбера основите на периодичната таблица?")</f>
        <v>Здравей, преподавателю! Можеш ли да ми помогнеш да разбера основите на периодичната таблица?</v>
      </c>
      <c r="F3239" s="1" t="str">
        <f ca="1">IFERROR(__xludf.DUMMYFUNCTION("GOOGLETRANSLATE(English!F3239,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3239" s="1" t="str">
        <f ca="1">IFERROR(__xludf.DUMMYFUNCTION("GOOGLETRANSLATE(English!G3239, ""en"", ""bg"")"),"разговор")</f>
        <v>разговор</v>
      </c>
      <c r="H3239" s="1" t="str">
        <f ca="1">IFERROR(__xludf.DUMMYFUNCTION("GOOGLETRANSLATE(English!H3239, ""en"", ""bg"")"),"образователна_помощ")</f>
        <v>образователна_помощ</v>
      </c>
    </row>
    <row r="3240" spans="1:8" ht="13.2" x14ac:dyDescent="0.25">
      <c r="A3240" s="1" t="str">
        <f ca="1">IFERROR(__xludf.DUMMYFUNCTION("GOOGLETRANSLATE(English!A3240, ""en"", ""bg"")"),"hw_13574")</f>
        <v>hw_13574</v>
      </c>
      <c r="B3240" s="1" t="str">
        <f ca="1">IFERROR(__xludf.DUMMYFUNCTION("GOOGLETRANSLATE(English!B3240, ""en"", ""bg"")"),"биология")</f>
        <v>биология</v>
      </c>
      <c r="C3240" s="1" t="str">
        <f ca="1">IFERROR(__xludf.DUMMYFUNCTION("GOOGLETRANSLATE(English!C3240, ""en"", ""bg"")"),"високо")</f>
        <v>високо</v>
      </c>
      <c r="D3240" s="1" t="str">
        <f ca="1">IFERROR(__xludf.DUMMYFUNCTION("GOOGLETRANSLATE(English!D3240, ""en"", ""bg"")"),"клетъчно дишане")</f>
        <v>клетъчно дишане</v>
      </c>
      <c r="E3240" s="1" t="str">
        <f ca="1">IFERROR(__xludf.DUMMYFUNCTION("GOOGLETRANSLATE(English!E3240, ""en"", ""bg"")"),"Утре имам тест по клетъчно дишане. Помогни ми да уча!")</f>
        <v>Утре имам тест по клетъчно дишане. Помогни ми да уча!</v>
      </c>
      <c r="F3240" s="1" t="str">
        <f ca="1">IFERROR(__xludf.DUMMYFUNCTION("GOOGLETRANSLATE(English!F3240,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3240" s="1" t="str">
        <f ca="1">IFERROR(__xludf.DUMMYFUNCTION("GOOGLETRANSLATE(English!G3240, ""en"", ""bg"")"),"помощ_за_домашно_изпълнение")</f>
        <v>помощ_за_домашно_изпълнение</v>
      </c>
      <c r="H3240" s="1" t="str">
        <f ca="1">IFERROR(__xludf.DUMMYFUNCTION("GOOGLETRANSLATE(English!H3240, ""en"", ""bg"")"),"помощ_за_домашно_задаване")</f>
        <v>помощ_за_домашно_задаване</v>
      </c>
    </row>
    <row r="3241" spans="1:8" ht="13.2" x14ac:dyDescent="0.25">
      <c r="A3241" s="1" t="str">
        <f ca="1">IFERROR(__xludf.DUMMYFUNCTION("GOOGLETRANSLATE(English!A3241, ""en"", ""bg"")"),"hw_01794")</f>
        <v>hw_01794</v>
      </c>
      <c r="B3241" s="1" t="str">
        <f ca="1">IFERROR(__xludf.DUMMYFUNCTION("GOOGLETRANSLATE(English!B3241, ""en"", ""bg"")"),"физика")</f>
        <v>физика</v>
      </c>
      <c r="C3241" s="1" t="str">
        <f ca="1">IFERROR(__xludf.DUMMYFUNCTION("GOOGLETRANSLATE(English!C3241, ""en"", ""bg"")"),"средата")</f>
        <v>средата</v>
      </c>
      <c r="D3241" s="1" t="str">
        <f ca="1">IFERROR(__xludf.DUMMYFUNCTION("GOOGLETRANSLATE(English!D3241, ""en"", ""bg"")"),"плътност")</f>
        <v>плътност</v>
      </c>
      <c r="E3241" s="1" t="str">
        <f ca="1">IFERROR(__xludf.DUMMYFUNCTION("GOOGLETRANSLATE(English!E3241, ""en"", ""bg"")"),"Трябва да разбера плътността за изпита си.")</f>
        <v>Трябва да разбера плътността за изпита си.</v>
      </c>
      <c r="F3241" s="1" t="str">
        <f ca="1">IFERROR(__xludf.DUMMYFUNCTION("GOOGLETRANSLATE(English!F3241,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3241" s="1" t="str">
        <f ca="1">IFERROR(__xludf.DUMMYFUNCTION("GOOGLETRANSLATE(English!G3241, ""en"", ""bg"")"),"помощ_за_домашно_изпълнение")</f>
        <v>помощ_за_домашно_изпълнение</v>
      </c>
      <c r="H3241" s="1" t="str">
        <f ca="1">IFERROR(__xludf.DUMMYFUNCTION("GOOGLETRANSLATE(English!H3241, ""en"", ""bg"")"),"помощ_за_домашно_задаване")</f>
        <v>помощ_за_домашно_задаване</v>
      </c>
    </row>
    <row r="3242" spans="1:8" ht="13.2" x14ac:dyDescent="0.25">
      <c r="A3242" s="1" t="str">
        <f ca="1">IFERROR(__xludf.DUMMYFUNCTION("GOOGLETRANSLATE(English!A3242, ""en"", ""bg"")"),"conv_17767")</f>
        <v>conv_17767</v>
      </c>
      <c r="B3242" s="1" t="str">
        <f ca="1">IFERROR(__xludf.DUMMYFUNCTION("GOOGLETRANSLATE(English!B3242, ""en"", ""bg"")"),"физика")</f>
        <v>физика</v>
      </c>
      <c r="C3242" s="1" t="str">
        <f ca="1">IFERROR(__xludf.DUMMYFUNCTION("GOOGLETRANSLATE(English!C3242, ""en"", ""bg"")"),"елементарен")</f>
        <v>елементарен</v>
      </c>
      <c r="D3242" s="1" t="str">
        <f ca="1">IFERROR(__xludf.DUMMYFUNCTION("GOOGLETRANSLATE(English!D3242, ""en"", ""bg"")"),"плаващ и потъващ")</f>
        <v>плаващ и потъващ</v>
      </c>
      <c r="E3242" s="1" t="str">
        <f ca="1">IFERROR(__xludf.DUMMYFUNCTION("GOOGLETRANSLATE(English!E3242, ""en"", ""bg"")"),"Имам нужда от помощ с домашното си. Какво трябва да знам за плаването и потъването?")</f>
        <v>Имам нужда от помощ с домашното си. Какво трябва да знам за плаването и потъването?</v>
      </c>
      <c r="F3242" s="1" t="str">
        <f ca="1">IFERROR(__xludf.DUMMYFUNCTION("GOOGLETRANSLATE(English!F3242,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3242" s="1" t="str">
        <f ca="1">IFERROR(__xludf.DUMMYFUNCTION("GOOGLETRANSLATE(English!G3242, ""en"", ""bg"")"),"разговор")</f>
        <v>разговор</v>
      </c>
      <c r="H3242" s="1" t="str">
        <f ca="1">IFERROR(__xludf.DUMMYFUNCTION("GOOGLETRANSLATE(English!H3242, ""en"", ""bg"")"),"образователна_помощ")</f>
        <v>образователна_помощ</v>
      </c>
    </row>
    <row r="3243" spans="1:8" ht="13.2" x14ac:dyDescent="0.25">
      <c r="A3243" s="1" t="str">
        <f ca="1">IFERROR(__xludf.DUMMYFUNCTION("GOOGLETRANSLATE(English!A3243, ""en"", ""bg"")"),"conv_01073")</f>
        <v>conv_01073</v>
      </c>
      <c r="B3243" s="1" t="str">
        <f ca="1">IFERROR(__xludf.DUMMYFUNCTION("GOOGLETRANSLATE(English!B3243, ""en"", ""bg"")"),"биология")</f>
        <v>биология</v>
      </c>
      <c r="C3243" s="1" t="str">
        <f ca="1">IFERROR(__xludf.DUMMYFUNCTION("GOOGLETRANSLATE(English!C3243, ""en"", ""bg"")"),"високо")</f>
        <v>високо</v>
      </c>
      <c r="D3243" s="1" t="str">
        <f ca="1">IFERROR(__xludf.DUMMYFUNCTION("GOOGLETRANSLATE(English!D3243, ""en"", ""bg"")"),"митоза и мейоза")</f>
        <v>митоза и мейоза</v>
      </c>
      <c r="E3243" s="1" t="str">
        <f ca="1">IFERROR(__xludf.DUMMYFUNCTION("GOOGLETRANSLATE(English!E3243, ""en"", ""bg"")"),"Можете ли да ми помогнете? Защо митозата и мейозата са важни в биологията?")</f>
        <v>Можете ли да ми помогнете? Защо митозата и мейозата са важни в биологията?</v>
      </c>
      <c r="F3243" s="1" t="str">
        <f ca="1">IFERROR(__xludf.DUMMYFUNCTION("GOOGLETRANSLATE(English!F3243,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3243" s="1" t="str">
        <f ca="1">IFERROR(__xludf.DUMMYFUNCTION("GOOGLETRANSLATE(English!G3243, ""en"", ""bg"")"),"разговор")</f>
        <v>разговор</v>
      </c>
      <c r="H3243" s="1" t="str">
        <f ca="1">IFERROR(__xludf.DUMMYFUNCTION("GOOGLETRANSLATE(English!H3243, ""en"", ""bg"")"),"образователна_помощ")</f>
        <v>образователна_помощ</v>
      </c>
    </row>
    <row r="3244" spans="1:8" ht="13.2" x14ac:dyDescent="0.25">
      <c r="A3244" s="1" t="str">
        <f ca="1">IFERROR(__xludf.DUMMYFUNCTION("GOOGLETRANSLATE(English!A3244, ""en"", ""bg"")"),"conv_15924")</f>
        <v>conv_15924</v>
      </c>
      <c r="B3244" s="1" t="str">
        <f ca="1">IFERROR(__xludf.DUMMYFUNCTION("GOOGLETRANSLATE(English!B3244, ""en"", ""bg"")"),"биология")</f>
        <v>биология</v>
      </c>
      <c r="C3244" s="1" t="str">
        <f ca="1">IFERROR(__xludf.DUMMYFUNCTION("GOOGLETRANSLATE(English!C3244, ""en"", ""bg"")"),"високо")</f>
        <v>високо</v>
      </c>
      <c r="D3244" s="1" t="str">
        <f ca="1">IFERROR(__xludf.DUMMYFUNCTION("GOOGLETRANSLATE(English!D3244, ""en"", ""bg"")"),"молекулярна биология")</f>
        <v>молекулярна биология</v>
      </c>
      <c r="E3244" s="1" t="str">
        <f ca="1">IFERROR(__xludf.DUMMYFUNCTION("GOOGLETRANSLATE(English!E3244, ""en"", ""bg"")"),"Здравей, преподавателю! Защо молекулярната биология е важна в биологията?")</f>
        <v>Здравей, преподавателю! Защо молекулярната биология е важна в биологията?</v>
      </c>
      <c r="F3244" s="1" t="str">
        <f ca="1">IFERROR(__xludf.DUMMYFUNCTION("GOOGLETRANSLATE(English!F3244,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3244" s="1" t="str">
        <f ca="1">IFERROR(__xludf.DUMMYFUNCTION("GOOGLETRANSLATE(English!G3244, ""en"", ""bg"")"),"разговор")</f>
        <v>разговор</v>
      </c>
      <c r="H3244" s="1" t="str">
        <f ca="1">IFERROR(__xludf.DUMMYFUNCTION("GOOGLETRANSLATE(English!H3244, ""en"", ""bg"")"),"образователна_помощ")</f>
        <v>образователна_помощ</v>
      </c>
    </row>
    <row r="3245" spans="1:8" ht="13.2" x14ac:dyDescent="0.25">
      <c r="A3245" s="1" t="str">
        <f ca="1">IFERROR(__xludf.DUMMYFUNCTION("GOOGLETRANSLATE(English!A3245, ""en"", ""bg"")"),"conv_19551")</f>
        <v>conv_19551</v>
      </c>
      <c r="B3245" s="1" t="str">
        <f ca="1">IFERROR(__xludf.DUMMYFUNCTION("GOOGLETRANSLATE(English!B3245, ""en"", ""bg"")"),"химия")</f>
        <v>химия</v>
      </c>
      <c r="C3245" s="1" t="str">
        <f ca="1">IFERROR(__xludf.DUMMYFUNCTION("GOOGLETRANSLATE(English!C3245, ""en"", ""bg"")"),"средата")</f>
        <v>средата</v>
      </c>
      <c r="D3245" s="1" t="str">
        <f ca="1">IFERROR(__xludf.DUMMYFUNCTION("GOOGLETRANSLATE(English!D3245, ""en"", ""bg"")"),"химични реакции")</f>
        <v>химични реакции</v>
      </c>
      <c r="E3245" s="1" t="str">
        <f ca="1">IFERROR(__xludf.DUMMYFUNCTION("GOOGLETRANSLATE(English!E3245, ""en"", ""bg"")"),"Имам научен въпрос. Какво е химична реакция?")</f>
        <v>Имам научен въпрос. Какво е химична реакция?</v>
      </c>
      <c r="F3245" s="1" t="str">
        <f ca="1">IFERROR(__xludf.DUMMYFUNCTION("GOOGLETRANSLATE(English!F3245,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3245" s="1" t="str">
        <f ca="1">IFERROR(__xludf.DUMMYFUNCTION("GOOGLETRANSLATE(English!G3245, ""en"", ""bg"")"),"разговор")</f>
        <v>разговор</v>
      </c>
      <c r="H3245" s="1" t="str">
        <f ca="1">IFERROR(__xludf.DUMMYFUNCTION("GOOGLETRANSLATE(English!H3245, ""en"", ""bg"")"),"образователна_помощ")</f>
        <v>образователна_помощ</v>
      </c>
    </row>
    <row r="3246" spans="1:8" ht="13.2" x14ac:dyDescent="0.25">
      <c r="A3246" s="1" t="str">
        <f ca="1">IFERROR(__xludf.DUMMYFUNCTION("GOOGLETRANSLATE(English!A3246, ""en"", ""bg"")"),"qa_12990")</f>
        <v>qa_12990</v>
      </c>
      <c r="B3246" s="1" t="str">
        <f ca="1">IFERROR(__xludf.DUMMYFUNCTION("GOOGLETRANSLATE(English!B3246, ""en"", ""bg"")"),"биология")</f>
        <v>биология</v>
      </c>
      <c r="C3246" s="1" t="str">
        <f ca="1">IFERROR(__xludf.DUMMYFUNCTION("GOOGLETRANSLATE(English!C3246, ""en"", ""bg"")"),"високо")</f>
        <v>високо</v>
      </c>
      <c r="D3246" s="1" t="str">
        <f ca="1">IFERROR(__xludf.DUMMYFUNCTION("GOOGLETRANSLATE(English!D3246, ""en"", ""bg"")"),"Структура на ДНК")</f>
        <v>Структура на ДНК</v>
      </c>
      <c r="E3246" s="1" t="str">
        <f ca="1">IFERROR(__xludf.DUMMYFUNCTION("GOOGLETRANSLATE(English!E3246, ""en"", ""bg"")"),"Защо структурата на ДНК е важна в биологията?")</f>
        <v>Защо структурата на ДНК е важна в биологията?</v>
      </c>
      <c r="F3246" s="1" t="str">
        <f ca="1">IFERROR(__xludf.DUMMYFUNCTION("GOOGLETRANSLATE(English!F3246,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3246" s="1" t="str">
        <f ca="1">IFERROR(__xludf.DUMMYFUNCTION("GOOGLETRANSLATE(English!G3246, ""en"", ""bg"")"),"direct_qa")</f>
        <v>direct_qa</v>
      </c>
      <c r="H3246" s="1" t="str">
        <f ca="1">IFERROR(__xludf.DUMMYFUNCTION("GOOGLETRANSLATE(English!H3246, ""en"", ""bg"")"),"заявка_за_знание")</f>
        <v>заявка_за_знание</v>
      </c>
    </row>
    <row r="3247" spans="1:8" ht="13.2" x14ac:dyDescent="0.25">
      <c r="A3247" s="1" t="str">
        <f ca="1">IFERROR(__xludf.DUMMYFUNCTION("GOOGLETRANSLATE(English!A3247, ""en"", ""bg"")"),"qa_09044")</f>
        <v>qa_09044</v>
      </c>
      <c r="B3247" s="1" t="str">
        <f ca="1">IFERROR(__xludf.DUMMYFUNCTION("GOOGLETRANSLATE(English!B3247, ""en"", ""bg"")"),"физика")</f>
        <v>физика</v>
      </c>
      <c r="C3247" s="1" t="str">
        <f ca="1">IFERROR(__xludf.DUMMYFUNCTION("GOOGLETRANSLATE(English!C3247, ""en"", ""bg"")"),"средата")</f>
        <v>средата</v>
      </c>
      <c r="D3247" s="1" t="str">
        <f ca="1">IFERROR(__xludf.DUMMYFUNCTION("GOOGLETRANSLATE(English!D3247, ""en"", ""bg"")"),"видове енергия")</f>
        <v>видове енергия</v>
      </c>
      <c r="E3247" s="1" t="str">
        <f ca="1">IFERROR(__xludf.DUMMYFUNCTION("GOOGLETRANSLATE(English!E3247, ""en"", ""bg"")"),"Как се променя енергията от един вид в друг?")</f>
        <v>Как се променя енергията от един вид в друг?</v>
      </c>
      <c r="F3247" s="1" t="str">
        <f ca="1">IFERROR(__xludf.DUMMYFUNCTION("GOOGLETRANSLATE(English!F3247,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3247" s="1" t="str">
        <f ca="1">IFERROR(__xludf.DUMMYFUNCTION("GOOGLETRANSLATE(English!G3247, ""en"", ""bg"")"),"direct_qa")</f>
        <v>direct_qa</v>
      </c>
      <c r="H3247" s="1" t="str">
        <f ca="1">IFERROR(__xludf.DUMMYFUNCTION("GOOGLETRANSLATE(English!H3247, ""en"", ""bg"")"),"заявка_за_знание")</f>
        <v>заявка_за_знание</v>
      </c>
    </row>
    <row r="3248" spans="1:8" ht="13.2" x14ac:dyDescent="0.25">
      <c r="A3248" s="1" t="str">
        <f ca="1">IFERROR(__xludf.DUMMYFUNCTION("GOOGLETRANSLATE(English!A3248, ""en"", ""bg"")"),"qa_14664")</f>
        <v>qa_14664</v>
      </c>
      <c r="B3248" s="1" t="str">
        <f ca="1">IFERROR(__xludf.DUMMYFUNCTION("GOOGLETRANSLATE(English!B3248, ""en"", ""bg"")"),"химия")</f>
        <v>химия</v>
      </c>
      <c r="C3248" s="1" t="str">
        <f ca="1">IFERROR(__xludf.DUMMYFUNCTION("GOOGLETRANSLATE(English!C3248, ""en"", ""bg"")"),"високо")</f>
        <v>високо</v>
      </c>
      <c r="D3248" s="1" t="str">
        <f ca="1">IFERROR(__xludf.DUMMYFUNCTION("GOOGLETRANSLATE(English!D3248, ""en"", ""bg"")"),"органична химия")</f>
        <v>органична химия</v>
      </c>
      <c r="E3248" s="1" t="str">
        <f ca="1">IFERROR(__xludf.DUMMYFUNCTION("GOOGLETRANSLATE(English!E3248, ""en"", ""bg"")"),"Защо е важно да се учи органична химия?")</f>
        <v>Защо е важно да се учи органична химия?</v>
      </c>
      <c r="F3248" s="1" t="str">
        <f ca="1">IFERROR(__xludf.DUMMYFUNCTION("GOOGLETRANSLATE(English!F3248,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3248" s="1" t="str">
        <f ca="1">IFERROR(__xludf.DUMMYFUNCTION("GOOGLETRANSLATE(English!G3248, ""en"", ""bg"")"),"direct_qa")</f>
        <v>direct_qa</v>
      </c>
      <c r="H3248" s="1" t="str">
        <f ca="1">IFERROR(__xludf.DUMMYFUNCTION("GOOGLETRANSLATE(English!H3248, ""en"", ""bg"")"),"заявка_за_знание")</f>
        <v>заявка_за_знание</v>
      </c>
    </row>
    <row r="3249" spans="1:8" ht="13.2" x14ac:dyDescent="0.25">
      <c r="A3249" s="1" t="str">
        <f ca="1">IFERROR(__xludf.DUMMYFUNCTION("GOOGLETRANSLATE(English!A3249, ""en"", ""bg"")"),"conv_07539")</f>
        <v>conv_07539</v>
      </c>
      <c r="B3249" s="1" t="str">
        <f ca="1">IFERROR(__xludf.DUMMYFUNCTION("GOOGLETRANSLATE(English!B3249, ""en"", ""bg"")"),"физика")</f>
        <v>физика</v>
      </c>
      <c r="C3249" s="1" t="str">
        <f ca="1">IFERROR(__xludf.DUMMYFUNCTION("GOOGLETRANSLATE(English!C3249, ""en"", ""bg"")"),"елементарен")</f>
        <v>елементарен</v>
      </c>
      <c r="D3249" s="1" t="str">
        <f ca="1">IFERROR(__xludf.DUMMYFUNCTION("GOOGLETRANSLATE(English!D3249, ""en"", ""bg"")"),"плаващ и потъващ")</f>
        <v>плаващ и потъващ</v>
      </c>
      <c r="E3249" s="1" t="str">
        <f ca="1">IFERROR(__xludf.DUMMYFUNCTION("GOOGLETRANSLATE(English!E3249, ""en"", ""bg"")"),"Имам нужда от помощ с домашното. Можете ли да ми обясните какво е плаване и потъване?")</f>
        <v>Имам нужда от помощ с домашното. Можете ли да ми обясните какво е плаване и потъване?</v>
      </c>
      <c r="F3249" s="1" t="str">
        <f ca="1">IFERROR(__xludf.DUMMYFUNCTION("GOOGLETRANSLATE(English!F3249,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3249" s="1" t="str">
        <f ca="1">IFERROR(__xludf.DUMMYFUNCTION("GOOGLETRANSLATE(English!G3249, ""en"", ""bg"")"),"разговор")</f>
        <v>разговор</v>
      </c>
      <c r="H3249" s="1" t="str">
        <f ca="1">IFERROR(__xludf.DUMMYFUNCTION("GOOGLETRANSLATE(English!H3249, ""en"", ""bg"")"),"образователна_помощ")</f>
        <v>образователна_помощ</v>
      </c>
    </row>
    <row r="3250" spans="1:8" ht="13.2" x14ac:dyDescent="0.25">
      <c r="A3250" s="1" t="str">
        <f ca="1">IFERROR(__xludf.DUMMYFUNCTION("GOOGLETRANSLATE(English!A3250, ""en"", ""bg"")"),"hw_00494")</f>
        <v>hw_00494</v>
      </c>
      <c r="B3250" s="1" t="str">
        <f ca="1">IFERROR(__xludf.DUMMYFUNCTION("GOOGLETRANSLATE(English!B3250, ""en"", ""bg"")"),"химия")</f>
        <v>химия</v>
      </c>
      <c r="C3250" s="1" t="str">
        <f ca="1">IFERROR(__xludf.DUMMYFUNCTION("GOOGLETRANSLATE(English!C3250, ""en"", ""bg"")"),"високо")</f>
        <v>високо</v>
      </c>
      <c r="D3250" s="1" t="str">
        <f ca="1">IFERROR(__xludf.DUMMYFUNCTION("GOOGLETRANSLATE(English!D3250, ""en"", ""bg"")"),"стехиометрия")</f>
        <v>стехиометрия</v>
      </c>
      <c r="E3250" s="1" t="str">
        <f ca="1">IFERROR(__xludf.DUMMYFUNCTION("GOOGLETRANSLATE(English!E3250, ""en"", ""bg"")"),"Можете ли да ми помогнете със стехиометричните изчисления?")</f>
        <v>Можете ли да ми помогнете със стехиометричните изчисления?</v>
      </c>
      <c r="F3250" s="1" t="str">
        <f ca="1">IFERROR(__xludf.DUMMYFUNCTION("GOOGLETRANSLATE(English!F3250,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3250" s="1" t="str">
        <f ca="1">IFERROR(__xludf.DUMMYFUNCTION("GOOGLETRANSLATE(English!G3250, ""en"", ""bg"")"),"помощ_за_домашно_изпълнение")</f>
        <v>помощ_за_домашно_изпълнение</v>
      </c>
      <c r="H3250" s="1" t="str">
        <f ca="1">IFERROR(__xludf.DUMMYFUNCTION("GOOGLETRANSLATE(English!H3250, ""en"", ""bg"")"),"помощ_за_домашно_задаване")</f>
        <v>помощ_за_домашно_задаване</v>
      </c>
    </row>
    <row r="3251" spans="1:8" ht="13.2" x14ac:dyDescent="0.25">
      <c r="A3251" s="1" t="str">
        <f ca="1">IFERROR(__xludf.DUMMYFUNCTION("GOOGLETRANSLATE(English!A3251, ""en"", ""bg"")"),"qa_01530")</f>
        <v>qa_01530</v>
      </c>
      <c r="B3251" s="1" t="str">
        <f ca="1">IFERROR(__xludf.DUMMYFUNCTION("GOOGLETRANSLATE(English!B3251, ""en"", ""bg"")"),"химия")</f>
        <v>химия</v>
      </c>
      <c r="C3251" s="1" t="str">
        <f ca="1">IFERROR(__xludf.DUMMYFUNCTION("GOOGLETRANSLATE(English!C3251, ""en"", ""bg"")"),"средата")</f>
        <v>средата</v>
      </c>
      <c r="D3251" s="1" t="str">
        <f ca="1">IFERROR(__xludf.DUMMYFUNCTION("GOOGLETRANSLATE(English!D3251, ""en"", ""bg"")"),"атоми и молекули")</f>
        <v>атоми и молекули</v>
      </c>
      <c r="E3251" s="1" t="str">
        <f ca="1">IFERROR(__xludf.DUMMYFUNCTION("GOOGLETRANSLATE(English!E3251, ""en"", ""bg"")"),"Коя е най-малката част от един елемент?")</f>
        <v>Коя е най-малката част от един елемент?</v>
      </c>
      <c r="F3251" s="1" t="str">
        <f ca="1">IFERROR(__xludf.DUMMYFUNCTION("GOOGLETRANSLATE(English!F3251,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3251" s="1" t="str">
        <f ca="1">IFERROR(__xludf.DUMMYFUNCTION("GOOGLETRANSLATE(English!G3251, ""en"", ""bg"")"),"direct_qa")</f>
        <v>direct_qa</v>
      </c>
      <c r="H3251" s="1" t="str">
        <f ca="1">IFERROR(__xludf.DUMMYFUNCTION("GOOGLETRANSLATE(English!H3251, ""en"", ""bg"")"),"заявка_за_знание")</f>
        <v>заявка_за_знание</v>
      </c>
    </row>
    <row r="3252" spans="1:8" ht="13.2" x14ac:dyDescent="0.25">
      <c r="A3252" s="1" t="str">
        <f ca="1">IFERROR(__xludf.DUMMYFUNCTION("GOOGLETRANSLATE(English!A3252, ""en"", ""bg"")"),"conv_02597")</f>
        <v>conv_02597</v>
      </c>
      <c r="B3252" s="1" t="str">
        <f ca="1">IFERROR(__xludf.DUMMYFUNCTION("GOOGLETRANSLATE(English!B3252, ""en"", ""bg"")"),"химия")</f>
        <v>химия</v>
      </c>
      <c r="C3252" s="1" t="str">
        <f ca="1">IFERROR(__xludf.DUMMYFUNCTION("GOOGLETRANSLATE(English!C3252, ""en"", ""bg"")"),"елементарен")</f>
        <v>елементарен</v>
      </c>
      <c r="D3252" s="1" t="str">
        <f ca="1">IFERROR(__xludf.DUMMYFUNCTION("GOOGLETRANSLATE(English!D3252, ""en"", ""bg"")"),"смесване на материали")</f>
        <v>смесване на материали</v>
      </c>
      <c r="E3252" s="1" t="str">
        <f ca="1">IFERROR(__xludf.DUMMYFUNCTION("GOOGLETRANSLATE(English!E3252, ""en"", ""bg"")"),"Имам научен въпрос. Какво е решение?")</f>
        <v>Имам научен въпрос. Какво е решение?</v>
      </c>
      <c r="F3252" s="1" t="str">
        <f ca="1">IFERROR(__xludf.DUMMYFUNCTION("GOOGLETRANSLATE(English!F3252,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3252" s="1" t="str">
        <f ca="1">IFERROR(__xludf.DUMMYFUNCTION("GOOGLETRANSLATE(English!G3252, ""en"", ""bg"")"),"разговор")</f>
        <v>разговор</v>
      </c>
      <c r="H3252" s="1" t="str">
        <f ca="1">IFERROR(__xludf.DUMMYFUNCTION("GOOGLETRANSLATE(English!H3252, ""en"", ""bg"")"),"образователна_помощ")</f>
        <v>образователна_помощ</v>
      </c>
    </row>
    <row r="3253" spans="1:8" ht="13.2" x14ac:dyDescent="0.25">
      <c r="A3253" s="1" t="str">
        <f ca="1">IFERROR(__xludf.DUMMYFUNCTION("GOOGLETRANSLATE(English!A3253, ""en"", ""bg"")"),"conv_07446")</f>
        <v>conv_07446</v>
      </c>
      <c r="B3253" s="1" t="str">
        <f ca="1">IFERROR(__xludf.DUMMYFUNCTION("GOOGLETRANSLATE(English!B3253, ""en"", ""bg"")"),"химия")</f>
        <v>химия</v>
      </c>
      <c r="C3253" s="1" t="str">
        <f ca="1">IFERROR(__xludf.DUMMYFUNCTION("GOOGLETRANSLATE(English!C3253, ""en"", ""bg"")"),"средата")</f>
        <v>средата</v>
      </c>
      <c r="D3253" s="1" t="str">
        <f ca="1">IFERROR(__xludf.DUMMYFUNCTION("GOOGLETRANSLATE(English!D3253, ""en"", ""bg"")"),"химични реакции")</f>
        <v>химични реакции</v>
      </c>
      <c r="E3253" s="1" t="str">
        <f ca="1">IFERROR(__xludf.DUMMYFUNCTION("GOOGLETRANSLATE(English!E3253, ""en"", ""bg"")"),"Можете ли да ми обясните това? Какво представляват реагентите и продуктите?")</f>
        <v>Можете ли да ми обясните това? Какво представляват реагентите и продуктите?</v>
      </c>
      <c r="F3253" s="1" t="str">
        <f ca="1">IFERROR(__xludf.DUMMYFUNCTION("GOOGLETRANSLATE(English!F3253,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3253" s="1" t="str">
        <f ca="1">IFERROR(__xludf.DUMMYFUNCTION("GOOGLETRANSLATE(English!G3253, ""en"", ""bg"")"),"разговор")</f>
        <v>разговор</v>
      </c>
      <c r="H3253" s="1" t="str">
        <f ca="1">IFERROR(__xludf.DUMMYFUNCTION("GOOGLETRANSLATE(English!H3253, ""en"", ""bg"")"),"образователна_помощ")</f>
        <v>образователна_помощ</v>
      </c>
    </row>
    <row r="3254" spans="1:8" ht="13.2" x14ac:dyDescent="0.25">
      <c r="A3254" s="1" t="str">
        <f ca="1">IFERROR(__xludf.DUMMYFUNCTION("GOOGLETRANSLATE(English!A3254, ""en"", ""bg"")"),"qa_12197")</f>
        <v>qa_12197</v>
      </c>
      <c r="B3254" s="1" t="str">
        <f ca="1">IFERROR(__xludf.DUMMYFUNCTION("GOOGLETRANSLATE(English!B3254, ""en"", ""bg"")"),"биология")</f>
        <v>биология</v>
      </c>
      <c r="C3254" s="1" t="str">
        <f ca="1">IFERROR(__xludf.DUMMYFUNCTION("GOOGLETRANSLATE(English!C3254, ""en"", ""bg"")"),"високо")</f>
        <v>високо</v>
      </c>
      <c r="D3254" s="1" t="str">
        <f ca="1">IFERROR(__xludf.DUMMYFUNCTION("GOOGLETRANSLATE(English!D3254, ""en"", ""bg"")"),"молекулярна биология")</f>
        <v>молекулярна биология</v>
      </c>
      <c r="E3254" s="1" t="str">
        <f ca="1">IFERROR(__xludf.DUMMYFUNCTION("GOOGLETRANSLATE(English!E3254, ""en"", ""bg"")"),"Какво е важно да знаем за молекулярната биология?")</f>
        <v>Какво е важно да знаем за молекулярната биология?</v>
      </c>
      <c r="F3254" s="1" t="str">
        <f ca="1">IFERROR(__xludf.DUMMYFUNCTION("GOOGLETRANSLATE(English!F3254,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3254" s="1" t="str">
        <f ca="1">IFERROR(__xludf.DUMMYFUNCTION("GOOGLETRANSLATE(English!G3254, ""en"", ""bg"")"),"direct_qa")</f>
        <v>direct_qa</v>
      </c>
      <c r="H3254" s="1" t="str">
        <f ca="1">IFERROR(__xludf.DUMMYFUNCTION("GOOGLETRANSLATE(English!H3254, ""en"", ""bg"")"),"заявка_за_знание")</f>
        <v>заявка_за_знание</v>
      </c>
    </row>
    <row r="3255" spans="1:8" ht="13.2" x14ac:dyDescent="0.25">
      <c r="A3255" s="1" t="str">
        <f ca="1">IFERROR(__xludf.DUMMYFUNCTION("GOOGLETRANSLATE(English!A3255, ""en"", ""bg"")"),"qa_12659")</f>
        <v>qa_12659</v>
      </c>
      <c r="B3255" s="1" t="str">
        <f ca="1">IFERROR(__xludf.DUMMYFUNCTION("GOOGLETRANSLATE(English!B3255, ""en"", ""bg"")"),"биология")</f>
        <v>биология</v>
      </c>
      <c r="C3255" s="1" t="str">
        <f ca="1">IFERROR(__xludf.DUMMYFUNCTION("GOOGLETRANSLATE(English!C3255, ""en"", ""bg"")"),"високо")</f>
        <v>високо</v>
      </c>
      <c r="D3255" s="1" t="str">
        <f ca="1">IFERROR(__xludf.DUMMYFUNCTION("GOOGLETRANSLATE(English!D3255, ""en"", ""bg"")"),"молекулярна биология")</f>
        <v>молекулярна биология</v>
      </c>
      <c r="E3255" s="1" t="str">
        <f ca="1">IFERROR(__xludf.DUMMYFUNCTION("GOOGLETRANSLATE(English!E3255, ""en"", ""bg"")"),"Как работи молекулярната биология?")</f>
        <v>Как работи молекулярната биология?</v>
      </c>
      <c r="F3255" s="1" t="str">
        <f ca="1">IFERROR(__xludf.DUMMYFUNCTION("GOOGLETRANSLATE(English!F3255,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3255" s="1" t="str">
        <f ca="1">IFERROR(__xludf.DUMMYFUNCTION("GOOGLETRANSLATE(English!G3255, ""en"", ""bg"")"),"direct_qa")</f>
        <v>direct_qa</v>
      </c>
      <c r="H3255" s="1" t="str">
        <f ca="1">IFERROR(__xludf.DUMMYFUNCTION("GOOGLETRANSLATE(English!H3255, ""en"", ""bg"")"),"заявка_за_знание")</f>
        <v>заявка_за_знание</v>
      </c>
    </row>
    <row r="3256" spans="1:8" ht="13.2" x14ac:dyDescent="0.25">
      <c r="A3256" s="1" t="str">
        <f ca="1">IFERROR(__xludf.DUMMYFUNCTION("GOOGLETRANSLATE(English!A3256, ""en"", ""bg"")"),"hw_08855")</f>
        <v>hw_08855</v>
      </c>
      <c r="B3256" s="1" t="str">
        <f ca="1">IFERROR(__xludf.DUMMYFUNCTION("GOOGLETRANSLATE(English!B3256, ""en"", ""bg"")"),"физика")</f>
        <v>физика</v>
      </c>
      <c r="C3256" s="1" t="str">
        <f ca="1">IFERROR(__xludf.DUMMYFUNCTION("GOOGLETRANSLATE(English!C3256, ""en"", ""bg"")"),"елементарен")</f>
        <v>елементарен</v>
      </c>
      <c r="D3256" s="1" t="str">
        <f ca="1">IFERROR(__xludf.DUMMYFUNCTION("GOOGLETRANSLATE(English!D3256, ""en"", ""bg"")"),"светлина и сянка")</f>
        <v>светлина и сянка</v>
      </c>
      <c r="E3256" s="1" t="str">
        <f ca="1">IFERROR(__xludf.DUMMYFUNCTION("GOOGLETRANSLATE(English!E3256, ""en"", ""bg"")"),"Домашното ми по физика е за светлина и сянка. Объркващо е!")</f>
        <v>Домашното ми по физика е за светлина и сянка. Объркващо е!</v>
      </c>
      <c r="F3256" s="1" t="str">
        <f ca="1">IFERROR(__xludf.DUMMYFUNCTION("GOOGLETRANSLATE(English!F3256,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3256" s="1" t="str">
        <f ca="1">IFERROR(__xludf.DUMMYFUNCTION("GOOGLETRANSLATE(English!G3256, ""en"", ""bg"")"),"помощ_за_домашно_изпълнение")</f>
        <v>помощ_за_домашно_изпълнение</v>
      </c>
      <c r="H3256" s="1" t="str">
        <f ca="1">IFERROR(__xludf.DUMMYFUNCTION("GOOGLETRANSLATE(English!H3256, ""en"", ""bg"")"),"помощ_за_домашно_задаване")</f>
        <v>помощ_за_домашно_задаване</v>
      </c>
    </row>
    <row r="3257" spans="1:8" ht="13.2" x14ac:dyDescent="0.25">
      <c r="A3257" s="1" t="str">
        <f ca="1">IFERROR(__xludf.DUMMYFUNCTION("GOOGLETRANSLATE(English!A3257, ""en"", ""bg"")"),"conv_15578")</f>
        <v>conv_15578</v>
      </c>
      <c r="B3257" s="1" t="str">
        <f ca="1">IFERROR(__xludf.DUMMYFUNCTION("GOOGLETRANSLATE(English!B3257, ""en"", ""bg"")"),"биология")</f>
        <v>биология</v>
      </c>
      <c r="C3257" s="1" t="str">
        <f ca="1">IFERROR(__xludf.DUMMYFUNCTION("GOOGLETRANSLATE(English!C3257, ""en"", ""bg"")"),"средата")</f>
        <v>средата</v>
      </c>
      <c r="D3257" s="1" t="str">
        <f ca="1">IFERROR(__xludf.DUMMYFUNCTION("GOOGLETRANSLATE(English!D3257, ""en"", ""bg"")"),"основи на генетиката")</f>
        <v>основи на генетиката</v>
      </c>
      <c r="E3257" s="1" t="str">
        <f ca="1">IFERROR(__xludf.DUMMYFUNCTION("GOOGLETRANSLATE(English!E3257, ""en"", ""bg"")"),"Не разбирам тази тема. Как работят основите на генетиката?")</f>
        <v>Не разбирам тази тема. Как работят основите на генетиката?</v>
      </c>
      <c r="F3257" s="1" t="str">
        <f ca="1">IFERROR(__xludf.DUMMYFUNCTION("GOOGLETRANSLATE(English!F3257,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3257" s="1" t="str">
        <f ca="1">IFERROR(__xludf.DUMMYFUNCTION("GOOGLETRANSLATE(English!G3257, ""en"", ""bg"")"),"разговор")</f>
        <v>разговор</v>
      </c>
      <c r="H3257" s="1" t="str">
        <f ca="1">IFERROR(__xludf.DUMMYFUNCTION("GOOGLETRANSLATE(English!H3257, ""en"", ""bg"")"),"образователна_помощ")</f>
        <v>образователна_помощ</v>
      </c>
    </row>
    <row r="3258" spans="1:8" ht="13.2" x14ac:dyDescent="0.25">
      <c r="A3258" s="1" t="str">
        <f ca="1">IFERROR(__xludf.DUMMYFUNCTION("GOOGLETRANSLATE(English!A3258, ""en"", ""bg"")"),"conv_17097")</f>
        <v>conv_17097</v>
      </c>
      <c r="B3258" s="1" t="str">
        <f ca="1">IFERROR(__xludf.DUMMYFUNCTION("GOOGLETRANSLATE(English!B3258, ""en"", ""bg"")"),"биология")</f>
        <v>биология</v>
      </c>
      <c r="C3258" s="1" t="str">
        <f ca="1">IFERROR(__xludf.DUMMYFUNCTION("GOOGLETRANSLATE(English!C3258, ""en"", ""bg"")"),"високо")</f>
        <v>високо</v>
      </c>
      <c r="D3258" s="1" t="str">
        <f ca="1">IFERROR(__xludf.DUMMYFUNCTION("GOOGLETRANSLATE(English!D3258, ""en"", ""bg"")"),"митоза и мейоза")</f>
        <v>митоза и мейоза</v>
      </c>
      <c r="E3258" s="1" t="str">
        <f ca="1">IFERROR(__xludf.DUMMYFUNCTION("GOOGLETRANSLATE(English!E3258, ""en"", ""bg"")"),"Можете ли да ми помогнете? Как протичат митозата и мейозата?")</f>
        <v>Можете ли да ми помогнете? Как протичат митозата и мейозата?</v>
      </c>
      <c r="F3258" s="1" t="str">
        <f ca="1">IFERROR(__xludf.DUMMYFUNCTION("GOOGLETRANSLATE(English!F3258,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3258" s="1" t="str">
        <f ca="1">IFERROR(__xludf.DUMMYFUNCTION("GOOGLETRANSLATE(English!G3258, ""en"", ""bg"")"),"разговор")</f>
        <v>разговор</v>
      </c>
      <c r="H3258" s="1" t="str">
        <f ca="1">IFERROR(__xludf.DUMMYFUNCTION("GOOGLETRANSLATE(English!H3258, ""en"", ""bg"")"),"образователна_помощ")</f>
        <v>образователна_помощ</v>
      </c>
    </row>
    <row r="3259" spans="1:8" ht="13.2" x14ac:dyDescent="0.25">
      <c r="A3259" s="1" t="str">
        <f ca="1">IFERROR(__xludf.DUMMYFUNCTION("GOOGLETRANSLATE(English!A3259, ""en"", ""bg"")"),"conv_10793")</f>
        <v>conv_10793</v>
      </c>
      <c r="B3259" s="1" t="str">
        <f ca="1">IFERROR(__xludf.DUMMYFUNCTION("GOOGLETRANSLATE(English!B3259, ""en"", ""bg"")"),"химия")</f>
        <v>химия</v>
      </c>
      <c r="C3259" s="1" t="str">
        <f ca="1">IFERROR(__xludf.DUMMYFUNCTION("GOOGLETRANSLATE(English!C3259, ""en"", ""bg"")"),"високо")</f>
        <v>високо</v>
      </c>
      <c r="D3259" s="1" t="str">
        <f ca="1">IFERROR(__xludf.DUMMYFUNCTION("GOOGLETRANSLATE(English!D3259, ""en"", ""bg"")"),"електрохимия")</f>
        <v>електрохимия</v>
      </c>
      <c r="E3259" s="1" t="str">
        <f ca="1">IFERROR(__xludf.DUMMYFUNCTION("GOOGLETRANSLATE(English!E3259, ""en"", ""bg"")"),"Имам научен въпрос. Какво представлява електрохимията?")</f>
        <v>Имам научен въпрос. Какво представлява електрохимията?</v>
      </c>
      <c r="F3259" s="1" t="str">
        <f ca="1">IFERROR(__xludf.DUMMYFUNCTION("GOOGLETRANSLATE(English!F3259,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3259" s="1" t="str">
        <f ca="1">IFERROR(__xludf.DUMMYFUNCTION("GOOGLETRANSLATE(English!G3259, ""en"", ""bg"")"),"разговор")</f>
        <v>разговор</v>
      </c>
      <c r="H3259" s="1" t="str">
        <f ca="1">IFERROR(__xludf.DUMMYFUNCTION("GOOGLETRANSLATE(English!H3259, ""en"", ""bg"")"),"образователна_помощ")</f>
        <v>образователна_помощ</v>
      </c>
    </row>
    <row r="3260" spans="1:8" ht="13.2" x14ac:dyDescent="0.25">
      <c r="A3260" s="1" t="str">
        <f ca="1">IFERROR(__xludf.DUMMYFUNCTION("GOOGLETRANSLATE(English!A3260, ""en"", ""bg"")"),"conv_18300")</f>
        <v>conv_18300</v>
      </c>
      <c r="B3260" s="1" t="str">
        <f ca="1">IFERROR(__xludf.DUMMYFUNCTION("GOOGLETRANSLATE(English!B3260, ""en"", ""bg"")"),"биология")</f>
        <v>биология</v>
      </c>
      <c r="C3260" s="1" t="str">
        <f ca="1">IFERROR(__xludf.DUMMYFUNCTION("GOOGLETRANSLATE(English!C3260, ""en"", ""bg"")"),"високо")</f>
        <v>високо</v>
      </c>
      <c r="D3260" s="1" t="str">
        <f ca="1">IFERROR(__xludf.DUMMYFUNCTION("GOOGLETRANSLATE(English!D3260, ""en"", ""bg"")"),"митоза и мейоза")</f>
        <v>митоза и мейоза</v>
      </c>
      <c r="E3260" s="1" t="str">
        <f ca="1">IFERROR(__xludf.DUMMYFUNCTION("GOOGLETRANSLATE(English!E3260, ""en"", ""bg"")"),"Помогнете ми да уча за теста. Можете ли да ми разкажете за митозата и мейозата?")</f>
        <v>Помогнете ми да уча за теста. Можете ли да ми разкажете за митозата и мейозата?</v>
      </c>
      <c r="F3260" s="1" t="str">
        <f ca="1">IFERROR(__xludf.DUMMYFUNCTION("GOOGLETRANSLATE(English!F3260,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3260" s="1" t="str">
        <f ca="1">IFERROR(__xludf.DUMMYFUNCTION("GOOGLETRANSLATE(English!G3260, ""en"", ""bg"")"),"разговор")</f>
        <v>разговор</v>
      </c>
      <c r="H3260" s="1" t="str">
        <f ca="1">IFERROR(__xludf.DUMMYFUNCTION("GOOGLETRANSLATE(English!H3260, ""en"", ""bg"")"),"образователна_помощ")</f>
        <v>образователна_помощ</v>
      </c>
    </row>
    <row r="3261" spans="1:8" ht="13.2" x14ac:dyDescent="0.25">
      <c r="A3261" s="1" t="str">
        <f ca="1">IFERROR(__xludf.DUMMYFUNCTION("GOOGLETRANSLATE(English!A3261, ""en"", ""bg"")"),"qa_09687")</f>
        <v>qa_09687</v>
      </c>
      <c r="B3261" s="1" t="str">
        <f ca="1">IFERROR(__xludf.DUMMYFUNCTION("GOOGLETRANSLATE(English!B3261, ""en"", ""bg"")"),"биология")</f>
        <v>биология</v>
      </c>
      <c r="C3261" s="1" t="str">
        <f ca="1">IFERROR(__xludf.DUMMYFUNCTION("GOOGLETRANSLATE(English!C3261, ""en"", ""bg"")"),"високо")</f>
        <v>високо</v>
      </c>
      <c r="D3261" s="1" t="str">
        <f ca="1">IFERROR(__xludf.DUMMYFUNCTION("GOOGLETRANSLATE(English!D3261, ""en"", ""bg"")"),"молекулярна биология")</f>
        <v>молекулярна биология</v>
      </c>
      <c r="E3261" s="1" t="str">
        <f ca="1">IFERROR(__xludf.DUMMYFUNCTION("GOOGLETRANSLATE(English!E3261, ""en"", ""bg"")"),"Какво е важно да знаем за молекулярната биология?")</f>
        <v>Какво е важно да знаем за молекулярната биология?</v>
      </c>
      <c r="F3261" s="1" t="str">
        <f ca="1">IFERROR(__xludf.DUMMYFUNCTION("GOOGLETRANSLATE(English!F3261,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3261" s="1" t="str">
        <f ca="1">IFERROR(__xludf.DUMMYFUNCTION("GOOGLETRANSLATE(English!G3261, ""en"", ""bg"")"),"direct_qa")</f>
        <v>direct_qa</v>
      </c>
      <c r="H3261" s="1" t="str">
        <f ca="1">IFERROR(__xludf.DUMMYFUNCTION("GOOGLETRANSLATE(English!H3261, ""en"", ""bg"")"),"заявка_за_знание")</f>
        <v>заявка_за_знание</v>
      </c>
    </row>
    <row r="3262" spans="1:8" ht="13.2" x14ac:dyDescent="0.25">
      <c r="A3262" s="1" t="str">
        <f ca="1">IFERROR(__xludf.DUMMYFUNCTION("GOOGLETRANSLATE(English!A3262, ""en"", ""bg"")"),"qa_01816")</f>
        <v>qa_01816</v>
      </c>
      <c r="B3262" s="1" t="str">
        <f ca="1">IFERROR(__xludf.DUMMYFUNCTION("GOOGLETRANSLATE(English!B3262, ""en"", ""bg"")"),"биология")</f>
        <v>биология</v>
      </c>
      <c r="C3262" s="1" t="str">
        <f ca="1">IFERROR(__xludf.DUMMYFUNCTION("GOOGLETRANSLATE(English!C3262, ""en"", ""bg"")"),"средата")</f>
        <v>средата</v>
      </c>
      <c r="D3262" s="1" t="str">
        <f ca="1">IFERROR(__xludf.DUMMYFUNCTION("GOOGLETRANSLATE(English!D3262, ""en"", ""bg"")"),"клетки")</f>
        <v>клетки</v>
      </c>
      <c r="E3262" s="1" t="str">
        <f ca="1">IFERROR(__xludf.DUMMYFUNCTION("GOOGLETRANSLATE(English!E3262, ""en"", ""bg"")"),"Защо клетките са толкова малки?")</f>
        <v>Защо клетките са толкова малки?</v>
      </c>
      <c r="F3262" s="1" t="str">
        <f ca="1">IFERROR(__xludf.DUMMYFUNCTION("GOOGLETRANSLATE(English!F3262,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3262" s="1" t="str">
        <f ca="1">IFERROR(__xludf.DUMMYFUNCTION("GOOGLETRANSLATE(English!G3262, ""en"", ""bg"")"),"direct_qa")</f>
        <v>direct_qa</v>
      </c>
      <c r="H3262" s="1" t="str">
        <f ca="1">IFERROR(__xludf.DUMMYFUNCTION("GOOGLETRANSLATE(English!H3262, ""en"", ""bg"")"),"заявка_за_знание")</f>
        <v>заявка_за_знание</v>
      </c>
    </row>
    <row r="3263" spans="1:8" ht="13.2" x14ac:dyDescent="0.25">
      <c r="A3263" s="1" t="str">
        <f ca="1">IFERROR(__xludf.DUMMYFUNCTION("GOOGLETRANSLATE(English!A3263, ""en"", ""bg"")"),"hw_08858")</f>
        <v>hw_08858</v>
      </c>
      <c r="B3263" s="1" t="str">
        <f ca="1">IFERROR(__xludf.DUMMYFUNCTION("GOOGLETRANSLATE(English!B3263, ""en"", ""bg"")"),"химия")</f>
        <v>химия</v>
      </c>
      <c r="C3263" s="1" t="str">
        <f ca="1">IFERROR(__xludf.DUMMYFUNCTION("GOOGLETRANSLATE(English!C3263, ""en"", ""bg"")"),"средата")</f>
        <v>средата</v>
      </c>
      <c r="D3263" s="1" t="str">
        <f ca="1">IFERROR(__xludf.DUMMYFUNCTION("GOOGLETRANSLATE(English!D3263, ""en"", ""bg"")"),"атоми и молекули")</f>
        <v>атоми и молекули</v>
      </c>
      <c r="E3263" s="1" t="str">
        <f ca="1">IFERROR(__xludf.DUMMYFUNCTION("GOOGLETRANSLATE(English!E3263,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3263" s="1" t="str">
        <f ca="1">IFERROR(__xludf.DUMMYFUNCTION("GOOGLETRANSLATE(English!F3263,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263" s="1" t="str">
        <f ca="1">IFERROR(__xludf.DUMMYFUNCTION("GOOGLETRANSLATE(English!G3263, ""en"", ""bg"")"),"помощ_за_домашно_изпълнение")</f>
        <v>помощ_за_домашно_изпълнение</v>
      </c>
      <c r="H3263" s="1" t="str">
        <f ca="1">IFERROR(__xludf.DUMMYFUNCTION("GOOGLETRANSLATE(English!H3263, ""en"", ""bg"")"),"помощ_за_домашно_задаване")</f>
        <v>помощ_за_домашно_задаване</v>
      </c>
    </row>
    <row r="3264" spans="1:8" ht="13.2" x14ac:dyDescent="0.25">
      <c r="A3264" s="1" t="str">
        <f ca="1">IFERROR(__xludf.DUMMYFUNCTION("GOOGLETRANSLATE(English!A3264, ""en"", ""bg"")"),"conv_08533")</f>
        <v>conv_08533</v>
      </c>
      <c r="B3264" s="1" t="str">
        <f ca="1">IFERROR(__xludf.DUMMYFUNCTION("GOOGLETRANSLATE(English!B3264, ""en"", ""bg"")"),"физика")</f>
        <v>физика</v>
      </c>
      <c r="C3264" s="1" t="str">
        <f ca="1">IFERROR(__xludf.DUMMYFUNCTION("GOOGLETRANSLATE(English!C3264, ""en"", ""bg"")"),"елементарен")</f>
        <v>елементарен</v>
      </c>
      <c r="D3264" s="1" t="str">
        <f ca="1">IFERROR(__xludf.DUMMYFUNCTION("GOOGLETRANSLATE(English!D3264, ""en"", ""bg"")"),"плаващ и потъващ")</f>
        <v>плаващ и потъващ</v>
      </c>
      <c r="E3264" s="1" t="str">
        <f ca="1">IFERROR(__xludf.DUMMYFUNCTION("GOOGLETRANSLATE(English!E3264, ""en"", ""bg"")"),"Здравей, преподавателю! Какво трябва да знам за плаването и потъването?")</f>
        <v>Здравей, преподавателю! Какво трябва да знам за плаването и потъването?</v>
      </c>
      <c r="F3264" s="1" t="str">
        <f ca="1">IFERROR(__xludf.DUMMYFUNCTION("GOOGLETRANSLATE(English!F3264,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3264" s="1" t="str">
        <f ca="1">IFERROR(__xludf.DUMMYFUNCTION("GOOGLETRANSLATE(English!G3264, ""en"", ""bg"")"),"разговор")</f>
        <v>разговор</v>
      </c>
      <c r="H3264" s="1" t="str">
        <f ca="1">IFERROR(__xludf.DUMMYFUNCTION("GOOGLETRANSLATE(English!H3264, ""en"", ""bg"")"),"образователна_помощ")</f>
        <v>образователна_помощ</v>
      </c>
    </row>
    <row r="3265" spans="1:8" ht="13.2" x14ac:dyDescent="0.25">
      <c r="A3265" s="1" t="str">
        <f ca="1">IFERROR(__xludf.DUMMYFUNCTION("GOOGLETRANSLATE(English!A3265, ""en"", ""bg"")"),"conv_18529")</f>
        <v>conv_18529</v>
      </c>
      <c r="B3265" s="1" t="str">
        <f ca="1">IFERROR(__xludf.DUMMYFUNCTION("GOOGLETRANSLATE(English!B3265, ""en"", ""bg"")"),"биология")</f>
        <v>биология</v>
      </c>
      <c r="C3265" s="1" t="str">
        <f ca="1">IFERROR(__xludf.DUMMYFUNCTION("GOOGLETRANSLATE(English!C3265, ""en"", ""bg"")"),"средата")</f>
        <v>средата</v>
      </c>
      <c r="D3265" s="1" t="str">
        <f ca="1">IFERROR(__xludf.DUMMYFUNCTION("GOOGLETRANSLATE(English!D3265, ""en"", ""bg"")"),"основи на генетиката")</f>
        <v>основи на генетиката</v>
      </c>
      <c r="E3265" s="1" t="str">
        <f ca="1">IFERROR(__xludf.DUMMYFUNCTION("GOOGLETRANSLATE(English!E3265, ""en"", ""bg"")"),"Здравей, преподавателю! Как работят основите на генетиката?")</f>
        <v>Здравей, преподавателю! Как работят основите на генетиката?</v>
      </c>
      <c r="F3265" s="1" t="str">
        <f ca="1">IFERROR(__xludf.DUMMYFUNCTION("GOOGLETRANSLATE(English!F3265,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3265" s="1" t="str">
        <f ca="1">IFERROR(__xludf.DUMMYFUNCTION("GOOGLETRANSLATE(English!G3265, ""en"", ""bg"")"),"разговор")</f>
        <v>разговор</v>
      </c>
      <c r="H3265" s="1" t="str">
        <f ca="1">IFERROR(__xludf.DUMMYFUNCTION("GOOGLETRANSLATE(English!H3265, ""en"", ""bg"")"),"образователна_помощ")</f>
        <v>образователна_помощ</v>
      </c>
    </row>
    <row r="3266" spans="1:8" ht="13.2" x14ac:dyDescent="0.25">
      <c r="A3266" s="1" t="str">
        <f ca="1">IFERROR(__xludf.DUMMYFUNCTION("GOOGLETRANSLATE(English!A3266, ""en"", ""bg"")"),"conv_01092")</f>
        <v>conv_01092</v>
      </c>
      <c r="B3266" s="1" t="str">
        <f ca="1">IFERROR(__xludf.DUMMYFUNCTION("GOOGLETRANSLATE(English!B3266, ""en"", ""bg"")"),"биология")</f>
        <v>биология</v>
      </c>
      <c r="C3266" s="1" t="str">
        <f ca="1">IFERROR(__xludf.DUMMYFUNCTION("GOOGLETRANSLATE(English!C3266, ""en"", ""bg"")"),"високо")</f>
        <v>високо</v>
      </c>
      <c r="D3266" s="1" t="str">
        <f ca="1">IFERROR(__xludf.DUMMYFUNCTION("GOOGLETRANSLATE(English!D3266, ""en"", ""bg"")"),"Структура на ДНК")</f>
        <v>Структура на ДНК</v>
      </c>
      <c r="E3266" s="1" t="str">
        <f ca="1">IFERROR(__xludf.DUMMYFUNCTION("GOOGLETRANSLATE(English!E3266, ""en"", ""bg"")"),"Имам нужда от помощ с домашното. Какво е важно да знаем за структурата на ДНК?")</f>
        <v>Имам нужда от помощ с домашното. Какво е важно да знаем за структурата на ДНК?</v>
      </c>
      <c r="F3266" s="1" t="str">
        <f ca="1">IFERROR(__xludf.DUMMYFUNCTION("GOOGLETRANSLATE(English!F3266,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3266" s="1" t="str">
        <f ca="1">IFERROR(__xludf.DUMMYFUNCTION("GOOGLETRANSLATE(English!G3266, ""en"", ""bg"")"),"разговор")</f>
        <v>разговор</v>
      </c>
      <c r="H3266" s="1" t="str">
        <f ca="1">IFERROR(__xludf.DUMMYFUNCTION("GOOGLETRANSLATE(English!H3266, ""en"", ""bg"")"),"образователна_помощ")</f>
        <v>образователна_помощ</v>
      </c>
    </row>
    <row r="3267" spans="1:8" ht="13.2" x14ac:dyDescent="0.25">
      <c r="A3267" s="1" t="str">
        <f ca="1">IFERROR(__xludf.DUMMYFUNCTION("GOOGLETRANSLATE(English!A3267, ""en"", ""bg"")"),"hw_07204")</f>
        <v>hw_07204</v>
      </c>
      <c r="B3267" s="1" t="str">
        <f ca="1">IFERROR(__xludf.DUMMYFUNCTION("GOOGLETRANSLATE(English!B3267, ""en"", ""bg"")"),"физика")</f>
        <v>физика</v>
      </c>
      <c r="C3267" s="1" t="str">
        <f ca="1">IFERROR(__xludf.DUMMYFUNCTION("GOOGLETRANSLATE(English!C3267, ""en"", ""bg"")"),"средата")</f>
        <v>средата</v>
      </c>
      <c r="D3267" s="1" t="str">
        <f ca="1">IFERROR(__xludf.DUMMYFUNCTION("GOOGLETRANSLATE(English!D3267, ""en"", ""bg"")"),"видове енергия")</f>
        <v>видове енергия</v>
      </c>
      <c r="E3267" s="1" t="str">
        <f ca="1">IFERROR(__xludf.DUMMYFUNCTION("GOOGLETRANSLATE(English!E3267, ""en"", ""bg"")"),"Можете ли да решите този въпрос за видовете енергия с мен?")</f>
        <v>Можете ли да решите този въпрос за видовете енергия с мен?</v>
      </c>
      <c r="F3267" s="1" t="str">
        <f ca="1">IFERROR(__xludf.DUMMYFUNCTION("GOOGLETRANSLATE(English!F3267,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3267" s="1" t="str">
        <f ca="1">IFERROR(__xludf.DUMMYFUNCTION("GOOGLETRANSLATE(English!G3267, ""en"", ""bg"")"),"помощ_за_домашно_изпълнение")</f>
        <v>помощ_за_домашно_изпълнение</v>
      </c>
      <c r="H3267" s="1" t="str">
        <f ca="1">IFERROR(__xludf.DUMMYFUNCTION("GOOGLETRANSLATE(English!H3267, ""en"", ""bg"")"),"помощ_за_домашно_задаване")</f>
        <v>помощ_за_домашно_задаване</v>
      </c>
    </row>
    <row r="3268" spans="1:8" ht="13.2" x14ac:dyDescent="0.25">
      <c r="A3268" s="1" t="str">
        <f ca="1">IFERROR(__xludf.DUMMYFUNCTION("GOOGLETRANSLATE(English!A3268, ""en"", ""bg"")"),"qa_03301")</f>
        <v>qa_03301</v>
      </c>
      <c r="B3268" s="1" t="str">
        <f ca="1">IFERROR(__xludf.DUMMYFUNCTION("GOOGLETRANSLATE(English!B3268, ""en"", ""bg"")"),"химия")</f>
        <v>химия</v>
      </c>
      <c r="C3268" s="1" t="str">
        <f ca="1">IFERROR(__xludf.DUMMYFUNCTION("GOOGLETRANSLATE(English!C3268, ""en"", ""bg"")"),"високо")</f>
        <v>високо</v>
      </c>
      <c r="D3268" s="1" t="str">
        <f ca="1">IFERROR(__xludf.DUMMYFUNCTION("GOOGLETRANSLATE(English!D3268, ""en"", ""bg"")"),"равновесие")</f>
        <v>равновесие</v>
      </c>
      <c r="E3268" s="1" t="str">
        <f ca="1">IFERROR(__xludf.DUMMYFUNCTION("GOOGLETRANSLATE(English!E3268, ""en"", ""bg"")"),"Какво е равновесието изобщо?")</f>
        <v>Какво е равновесието изобщо?</v>
      </c>
      <c r="F3268" s="1" t="str">
        <f ca="1">IFERROR(__xludf.DUMMYFUNCTION("GOOGLETRANSLATE(English!F3268,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3268" s="1" t="str">
        <f ca="1">IFERROR(__xludf.DUMMYFUNCTION("GOOGLETRANSLATE(English!G3268, ""en"", ""bg"")"),"direct_qa")</f>
        <v>direct_qa</v>
      </c>
      <c r="H3268" s="1" t="str">
        <f ca="1">IFERROR(__xludf.DUMMYFUNCTION("GOOGLETRANSLATE(English!H3268, ""en"", ""bg"")"),"заявка_за_знание")</f>
        <v>заявка_за_знание</v>
      </c>
    </row>
    <row r="3269" spans="1:8" ht="13.2" x14ac:dyDescent="0.25">
      <c r="A3269" s="1" t="str">
        <f ca="1">IFERROR(__xludf.DUMMYFUNCTION("GOOGLETRANSLATE(English!A3269, ""en"", ""bg"")"),"conv_16902")</f>
        <v>conv_16902</v>
      </c>
      <c r="B3269" s="1" t="str">
        <f ca="1">IFERROR(__xludf.DUMMYFUNCTION("GOOGLETRANSLATE(English!B3269, ""en"", ""bg"")"),"физика")</f>
        <v>физика</v>
      </c>
      <c r="C3269" s="1" t="str">
        <f ca="1">IFERROR(__xludf.DUMMYFUNCTION("GOOGLETRANSLATE(English!C3269, ""en"", ""bg"")"),"елементарен")</f>
        <v>елементарен</v>
      </c>
      <c r="D3269" s="1" t="str">
        <f ca="1">IFERROR(__xludf.DUMMYFUNCTION("GOOGLETRANSLATE(English!D3269, ""en"", ""bg"")"),"горещо и студено")</f>
        <v>горещо и студено</v>
      </c>
      <c r="E3269" s="1" t="str">
        <f ca="1">IFERROR(__xludf.DUMMYFUNCTION("GOOGLETRANSLATE(English!E3269, ""en"", ""bg"")"),"Имам нужда от помощ с домашното. Можете ли да ми обясните какво е топло и студено?")</f>
        <v>Имам нужда от помощ с домашното. Можете ли да ми обясните какво е топло и студено?</v>
      </c>
      <c r="F3269" s="1" t="str">
        <f ca="1">IFERROR(__xludf.DUMMYFUNCTION("GOOGLETRANSLATE(English!F3269,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3269" s="1" t="str">
        <f ca="1">IFERROR(__xludf.DUMMYFUNCTION("GOOGLETRANSLATE(English!G3269, ""en"", ""bg"")"),"разговор")</f>
        <v>разговор</v>
      </c>
      <c r="H3269" s="1" t="str">
        <f ca="1">IFERROR(__xludf.DUMMYFUNCTION("GOOGLETRANSLATE(English!H3269, ""en"", ""bg"")"),"образователна_помощ")</f>
        <v>образователна_помощ</v>
      </c>
    </row>
    <row r="3270" spans="1:8" ht="13.2" x14ac:dyDescent="0.25">
      <c r="A3270" s="1" t="str">
        <f ca="1">IFERROR(__xludf.DUMMYFUNCTION("GOOGLETRANSLATE(English!A3270, ""en"", ""bg"")"),"hw_01235")</f>
        <v>hw_01235</v>
      </c>
      <c r="B3270" s="1" t="str">
        <f ca="1">IFERROR(__xludf.DUMMYFUNCTION("GOOGLETRANSLATE(English!B3270, ""en"", ""bg"")"),"физика")</f>
        <v>физика</v>
      </c>
      <c r="C3270" s="1" t="str">
        <f ca="1">IFERROR(__xludf.DUMMYFUNCTION("GOOGLETRANSLATE(English!C3270, ""en"", ""bg"")"),"елементарен")</f>
        <v>елементарен</v>
      </c>
      <c r="D3270" s="1" t="str">
        <f ca="1">IFERROR(__xludf.DUMMYFUNCTION("GOOGLETRANSLATE(English!D3270, ""en"", ""bg"")"),"горещо и студено")</f>
        <v>горещо и студено</v>
      </c>
      <c r="E3270" s="1" t="str">
        <f ca="1">IFERROR(__xludf.DUMMYFUNCTION("GOOGLETRANSLATE(English!E3270, ""en"", ""bg"")"),"Трябва да разбера какво е топло и студено за изпита си.")</f>
        <v>Трябва да разбера какво е топло и студено за изпита си.</v>
      </c>
      <c r="F3270" s="1" t="str">
        <f ca="1">IFERROR(__xludf.DUMMYFUNCTION("GOOGLETRANSLATE(English!F3270,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270" s="1" t="str">
        <f ca="1">IFERROR(__xludf.DUMMYFUNCTION("GOOGLETRANSLATE(English!G3270, ""en"", ""bg"")"),"помощ_за_домашно_изпълнение")</f>
        <v>помощ_за_домашно_изпълнение</v>
      </c>
      <c r="H3270" s="1" t="str">
        <f ca="1">IFERROR(__xludf.DUMMYFUNCTION("GOOGLETRANSLATE(English!H3270, ""en"", ""bg"")"),"помощ_за_домашно_задаване")</f>
        <v>помощ_за_домашно_задаване</v>
      </c>
    </row>
    <row r="3271" spans="1:8" ht="13.2" x14ac:dyDescent="0.25">
      <c r="A3271" s="1" t="str">
        <f ca="1">IFERROR(__xludf.DUMMYFUNCTION("GOOGLETRANSLATE(English!A3271, ""en"", ""bg"")"),"conv_14598")</f>
        <v>conv_14598</v>
      </c>
      <c r="B3271" s="1" t="str">
        <f ca="1">IFERROR(__xludf.DUMMYFUNCTION("GOOGLETRANSLATE(English!B3271, ""en"", ""bg"")"),"биология")</f>
        <v>биология</v>
      </c>
      <c r="C3271" s="1" t="str">
        <f ca="1">IFERROR(__xludf.DUMMYFUNCTION("GOOGLETRANSLATE(English!C3271, ""en"", ""bg"")"),"средата")</f>
        <v>средата</v>
      </c>
      <c r="D3271" s="1" t="str">
        <f ca="1">IFERROR(__xludf.DUMMYFUNCTION("GOOGLETRANSLATE(English!D3271, ""en"", ""bg"")"),"дишане")</f>
        <v>дишане</v>
      </c>
      <c r="E3271" s="1" t="str">
        <f ca="1">IFERROR(__xludf.DUMMYFUNCTION("GOOGLETRANSLATE(English!E3271, ""en"", ""bg"")"),"Помогнете ми да уча за теста си. Защо дишането е важно в биологията?")</f>
        <v>Помогнете ми да уча за теста си. Защо дишането е важно в биологията?</v>
      </c>
      <c r="F3271" s="1" t="str">
        <f ca="1">IFERROR(__xludf.DUMMYFUNCTION("GOOGLETRANSLATE(English!F3271, ""en"", ""bg"")"),"Дишането е важно, защото ни помага да разберем живота и как живите същества оцеляват.")</f>
        <v>Дишането е важно, защото ни помага да разберем живота и как живите същества оцеляват.</v>
      </c>
      <c r="G3271" s="1" t="str">
        <f ca="1">IFERROR(__xludf.DUMMYFUNCTION("GOOGLETRANSLATE(English!G3271, ""en"", ""bg"")"),"разговор")</f>
        <v>разговор</v>
      </c>
      <c r="H3271" s="1" t="str">
        <f ca="1">IFERROR(__xludf.DUMMYFUNCTION("GOOGLETRANSLATE(English!H3271, ""en"", ""bg"")"),"образователна_помощ")</f>
        <v>образователна_помощ</v>
      </c>
    </row>
    <row r="3272" spans="1:8" ht="13.2" x14ac:dyDescent="0.25">
      <c r="A3272" s="1" t="str">
        <f ca="1">IFERROR(__xludf.DUMMYFUNCTION("GOOGLETRANSLATE(English!A3272, ""en"", ""bg"")"),"conv_04213")</f>
        <v>conv_04213</v>
      </c>
      <c r="B3272" s="1" t="str">
        <f ca="1">IFERROR(__xludf.DUMMYFUNCTION("GOOGLETRANSLATE(English!B3272, ""en"", ""bg"")"),"химия")</f>
        <v>химия</v>
      </c>
      <c r="C3272" s="1" t="str">
        <f ca="1">IFERROR(__xludf.DUMMYFUNCTION("GOOGLETRANSLATE(English!C3272, ""en"", ""bg"")"),"средата")</f>
        <v>средата</v>
      </c>
      <c r="D3272" s="1" t="str">
        <f ca="1">IFERROR(__xludf.DUMMYFUNCTION("GOOGLETRANSLATE(English!D3272, ""en"", ""bg"")"),"химични реакции")</f>
        <v>химични реакции</v>
      </c>
      <c r="E3272" s="1" t="str">
        <f ca="1">IFERROR(__xludf.DUMMYFUNCTION("GOOGLETRANSLATE(English!E3272, ""en"", ""bg"")"),"Не разбирам тази тема. Могат ли химичните реакции да бъдат обратими?")</f>
        <v>Не разбирам тази тема. Могат ли химичните реакции да бъдат обратими?</v>
      </c>
      <c r="F3272" s="1" t="str">
        <f ca="1">IFERROR(__xludf.DUMMYFUNCTION("GOOGLETRANSLATE(English!F3272,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3272" s="1" t="str">
        <f ca="1">IFERROR(__xludf.DUMMYFUNCTION("GOOGLETRANSLATE(English!G3272, ""en"", ""bg"")"),"разговор")</f>
        <v>разговор</v>
      </c>
      <c r="H3272" s="1" t="str">
        <f ca="1">IFERROR(__xludf.DUMMYFUNCTION("GOOGLETRANSLATE(English!H3272, ""en"", ""bg"")"),"образователна_помощ")</f>
        <v>образователна_помощ</v>
      </c>
    </row>
    <row r="3273" spans="1:8" ht="13.2" x14ac:dyDescent="0.25">
      <c r="A3273" s="1" t="str">
        <f ca="1">IFERROR(__xludf.DUMMYFUNCTION("GOOGLETRANSLATE(English!A3273, ""en"", ""bg"")"),"hw_09554")</f>
        <v>hw_09554</v>
      </c>
      <c r="B3273" s="1" t="str">
        <f ca="1">IFERROR(__xludf.DUMMYFUNCTION("GOOGLETRANSLATE(English!B3273, ""en"", ""bg"")"),"химия")</f>
        <v>химия</v>
      </c>
      <c r="C3273" s="1" t="str">
        <f ca="1">IFERROR(__xludf.DUMMYFUNCTION("GOOGLETRANSLATE(English!C3273, ""en"", ""bg"")"),"средата")</f>
        <v>средата</v>
      </c>
      <c r="D3273" s="1" t="str">
        <f ca="1">IFERROR(__xludf.DUMMYFUNCTION("GOOGLETRANSLATE(English!D3273, ""en"", ""bg"")"),"основи на периодичната таблица")</f>
        <v>основи на периодичната таблица</v>
      </c>
      <c r="E3273" s="1" t="str">
        <f ca="1">IFERROR(__xludf.DUMMYFUNCTION("GOOGLETRANSLATE(English!E3273,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3273" s="1" t="str">
        <f ca="1">IFERROR(__xludf.DUMMYFUNCTION("GOOGLETRANSLATE(English!F3273,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3273" s="1" t="str">
        <f ca="1">IFERROR(__xludf.DUMMYFUNCTION("GOOGLETRANSLATE(English!G3273, ""en"", ""bg"")"),"помощ_за_домашно_изпълнение")</f>
        <v>помощ_за_домашно_изпълнение</v>
      </c>
      <c r="H3273" s="1" t="str">
        <f ca="1">IFERROR(__xludf.DUMMYFUNCTION("GOOGLETRANSLATE(English!H3273, ""en"", ""bg"")"),"помощ_за_домашно_задаване")</f>
        <v>помощ_за_домашно_задаване</v>
      </c>
    </row>
    <row r="3274" spans="1:8" ht="13.2" x14ac:dyDescent="0.25">
      <c r="A3274" s="1" t="str">
        <f ca="1">IFERROR(__xludf.DUMMYFUNCTION("GOOGLETRANSLATE(English!A3274, ""en"", ""bg"")"),"qa_01548")</f>
        <v>qa_01548</v>
      </c>
      <c r="B3274" s="1" t="str">
        <f ca="1">IFERROR(__xludf.DUMMYFUNCTION("GOOGLETRANSLATE(English!B3274, ""en"", ""bg"")"),"химия")</f>
        <v>химия</v>
      </c>
      <c r="C3274" s="1" t="str">
        <f ca="1">IFERROR(__xludf.DUMMYFUNCTION("GOOGLETRANSLATE(English!C3274, ""en"", ""bg"")"),"високо")</f>
        <v>високо</v>
      </c>
      <c r="D3274" s="1" t="str">
        <f ca="1">IFERROR(__xludf.DUMMYFUNCTION("GOOGLETRANSLATE(English!D3274, ""en"", ""bg"")"),"органична химия")</f>
        <v>органична химия</v>
      </c>
      <c r="E3274" s="1" t="str">
        <f ca="1">IFERROR(__xludf.DUMMYFUNCTION("GOOGLETRANSLATE(English!E3274, ""en"", ""bg"")"),"Как работи органичната химия в химията?")</f>
        <v>Как работи органичната химия в химията?</v>
      </c>
      <c r="F3274" s="1" t="str">
        <f ca="1">IFERROR(__xludf.DUMMYFUNCTION("GOOGLETRANSLATE(English!F3274,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3274" s="1" t="str">
        <f ca="1">IFERROR(__xludf.DUMMYFUNCTION("GOOGLETRANSLATE(English!G3274, ""en"", ""bg"")"),"direct_qa")</f>
        <v>direct_qa</v>
      </c>
      <c r="H3274" s="1" t="str">
        <f ca="1">IFERROR(__xludf.DUMMYFUNCTION("GOOGLETRANSLATE(English!H3274, ""en"", ""bg"")"),"заявка_за_знание")</f>
        <v>заявка_за_знание</v>
      </c>
    </row>
    <row r="3275" spans="1:8" ht="13.2" x14ac:dyDescent="0.25">
      <c r="A3275" s="1" t="str">
        <f ca="1">IFERROR(__xludf.DUMMYFUNCTION("GOOGLETRANSLATE(English!A3275, ""en"", ""bg"")"),"hw_11711")</f>
        <v>hw_11711</v>
      </c>
      <c r="B3275" s="1" t="str">
        <f ca="1">IFERROR(__xludf.DUMMYFUNCTION("GOOGLETRANSLATE(English!B3275, ""en"", ""bg"")"),"физика")</f>
        <v>физика</v>
      </c>
      <c r="C3275" s="1" t="str">
        <f ca="1">IFERROR(__xludf.DUMMYFUNCTION("GOOGLETRANSLATE(English!C3275, ""en"", ""bg"")"),"средата")</f>
        <v>средата</v>
      </c>
      <c r="D3275" s="1" t="str">
        <f ca="1">IFERROR(__xludf.DUMMYFUNCTION("GOOGLETRANSLATE(English!D3275, ""en"", ""bg"")"),"прости схеми")</f>
        <v>прости схеми</v>
      </c>
      <c r="E3275" s="1" t="str">
        <f ca="1">IFERROR(__xludf.DUMMYFUNCTION("GOOGLETRANSLATE(English!E3275,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3275" s="1" t="str">
        <f ca="1">IFERROR(__xludf.DUMMYFUNCTION("GOOGLETRANSLATE(English!F3275,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275" s="1" t="str">
        <f ca="1">IFERROR(__xludf.DUMMYFUNCTION("GOOGLETRANSLATE(English!G3275, ""en"", ""bg"")"),"помощ_за_домашно_изпълнение")</f>
        <v>помощ_за_домашно_изпълнение</v>
      </c>
      <c r="H3275" s="1" t="str">
        <f ca="1">IFERROR(__xludf.DUMMYFUNCTION("GOOGLETRANSLATE(English!H3275, ""en"", ""bg"")"),"помощ_за_домашно_задаване")</f>
        <v>помощ_за_домашно_задаване</v>
      </c>
    </row>
    <row r="3276" spans="1:8" ht="13.2" x14ac:dyDescent="0.25">
      <c r="A3276" s="1" t="str">
        <f ca="1">IFERROR(__xludf.DUMMYFUNCTION("GOOGLETRANSLATE(English!A3276, ""en"", ""bg"")"),"qa_00522")</f>
        <v>qa_00522</v>
      </c>
      <c r="B3276" s="1" t="str">
        <f ca="1">IFERROR(__xludf.DUMMYFUNCTION("GOOGLETRANSLATE(English!B3276, ""en"", ""bg"")"),"химия")</f>
        <v>химия</v>
      </c>
      <c r="C3276" s="1" t="str">
        <f ca="1">IFERROR(__xludf.DUMMYFUNCTION("GOOGLETRANSLATE(English!C3276, ""en"", ""bg"")"),"високо")</f>
        <v>високо</v>
      </c>
      <c r="D3276" s="1" t="str">
        <f ca="1">IFERROR(__xludf.DUMMYFUNCTION("GOOGLETRANSLATE(English!D3276, ""en"", ""bg"")"),"органична химия")</f>
        <v>органична химия</v>
      </c>
      <c r="E3276" s="1" t="str">
        <f ca="1">IFERROR(__xludf.DUMMYFUNCTION("GOOGLETRANSLATE(English!E3276, ""en"", ""bg"")"),"Как работи органичната химия в химията?")</f>
        <v>Как работи органичната химия в химията?</v>
      </c>
      <c r="F3276" s="1" t="str">
        <f ca="1">IFERROR(__xludf.DUMMYFUNCTION("GOOGLETRANSLATE(English!F3276,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3276" s="1" t="str">
        <f ca="1">IFERROR(__xludf.DUMMYFUNCTION("GOOGLETRANSLATE(English!G3276, ""en"", ""bg"")"),"direct_qa")</f>
        <v>direct_qa</v>
      </c>
      <c r="H3276" s="1" t="str">
        <f ca="1">IFERROR(__xludf.DUMMYFUNCTION("GOOGLETRANSLATE(English!H3276, ""en"", ""bg"")"),"заявка_за_знание")</f>
        <v>заявка_за_знание</v>
      </c>
    </row>
    <row r="3277" spans="1:8" ht="13.2" x14ac:dyDescent="0.25">
      <c r="A3277" s="1" t="str">
        <f ca="1">IFERROR(__xludf.DUMMYFUNCTION("GOOGLETRANSLATE(English!A3277, ""en"", ""bg"")"),"hw_04598")</f>
        <v>hw_04598</v>
      </c>
      <c r="B3277" s="1" t="str">
        <f ca="1">IFERROR(__xludf.DUMMYFUNCTION("GOOGLETRANSLATE(English!B3277, ""en"", ""bg"")"),"физика")</f>
        <v>физика</v>
      </c>
      <c r="C3277" s="1" t="str">
        <f ca="1">IFERROR(__xludf.DUMMYFUNCTION("GOOGLETRANSLATE(English!C3277, ""en"", ""bg"")"),"високо")</f>
        <v>високо</v>
      </c>
      <c r="D3277" s="1" t="str">
        <f ca="1">IFERROR(__xludf.DUMMYFUNCTION("GOOGLETRANSLATE(English!D3277, ""en"", ""bg"")"),"термодинамика")</f>
        <v>термодинамика</v>
      </c>
      <c r="E3277" s="1" t="str">
        <f ca="1">IFERROR(__xludf.DUMMYFUNCTION("GOOGLETRANSLATE(English!E3277, ""en"", ""bg"")"),"Можете ли да решите тази задача по термодинамика с мен?")</f>
        <v>Можете ли да решите тази задача по термодинамика с мен?</v>
      </c>
      <c r="F3277" s="1" t="str">
        <f ca="1">IFERROR(__xludf.DUMMYFUNCTION("GOOGLETRANSLATE(English!F3277,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3277" s="1" t="str">
        <f ca="1">IFERROR(__xludf.DUMMYFUNCTION("GOOGLETRANSLATE(English!G3277, ""en"", ""bg"")"),"помощ_за_домашно_изпълнение")</f>
        <v>помощ_за_домашно_изпълнение</v>
      </c>
      <c r="H3277" s="1" t="str">
        <f ca="1">IFERROR(__xludf.DUMMYFUNCTION("GOOGLETRANSLATE(English!H3277, ""en"", ""bg"")"),"помощ_за_домашно_задаване")</f>
        <v>помощ_за_домашно_задаване</v>
      </c>
    </row>
    <row r="3278" spans="1:8" ht="13.2" x14ac:dyDescent="0.25">
      <c r="A3278" s="1" t="str">
        <f ca="1">IFERROR(__xludf.DUMMYFUNCTION("GOOGLETRANSLATE(English!A3278, ""en"", ""bg"")"),"qa_07010")</f>
        <v>qa_07010</v>
      </c>
      <c r="B3278" s="1" t="str">
        <f ca="1">IFERROR(__xludf.DUMMYFUNCTION("GOOGLETRANSLATE(English!B3278, ""en"", ""bg"")"),"биология")</f>
        <v>биология</v>
      </c>
      <c r="C3278" s="1" t="str">
        <f ca="1">IFERROR(__xludf.DUMMYFUNCTION("GOOGLETRANSLATE(English!C3278, ""en"", ""bg"")"),"високо")</f>
        <v>високо</v>
      </c>
      <c r="D3278" s="1" t="str">
        <f ca="1">IFERROR(__xludf.DUMMYFUNCTION("GOOGLETRANSLATE(English!D3278, ""en"", ""bg"")"),"клетъчно дишане")</f>
        <v>клетъчно дишане</v>
      </c>
      <c r="E3278" s="1" t="str">
        <f ca="1">IFERROR(__xludf.DUMMYFUNCTION("GOOGLETRANSLATE(English!E3278, ""en"", ""bg"")"),"Защо клетъчното дишане е важно в биологията?")</f>
        <v>Защо клетъчното дишане е важно в биологията?</v>
      </c>
      <c r="F3278" s="1" t="str">
        <f ca="1">IFERROR(__xludf.DUMMYFUNCTION("GOOGLETRANSLATE(English!F3278,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278" s="1" t="str">
        <f ca="1">IFERROR(__xludf.DUMMYFUNCTION("GOOGLETRANSLATE(English!G3278, ""en"", ""bg"")"),"direct_qa")</f>
        <v>direct_qa</v>
      </c>
      <c r="H3278" s="1" t="str">
        <f ca="1">IFERROR(__xludf.DUMMYFUNCTION("GOOGLETRANSLATE(English!H3278, ""en"", ""bg"")"),"заявка_за_знание")</f>
        <v>заявка_за_знание</v>
      </c>
    </row>
    <row r="3279" spans="1:8" ht="13.2" x14ac:dyDescent="0.25">
      <c r="A3279" s="1" t="str">
        <f ca="1">IFERROR(__xludf.DUMMYFUNCTION("GOOGLETRANSLATE(English!A3279, ""en"", ""bg"")"),"conv_13996")</f>
        <v>conv_13996</v>
      </c>
      <c r="B3279" s="1" t="str">
        <f ca="1">IFERROR(__xludf.DUMMYFUNCTION("GOOGLETRANSLATE(English!B3279, ""en"", ""bg"")"),"биология")</f>
        <v>биология</v>
      </c>
      <c r="C3279" s="1" t="str">
        <f ca="1">IFERROR(__xludf.DUMMYFUNCTION("GOOGLETRANSLATE(English!C3279, ""en"", ""bg"")"),"високо")</f>
        <v>високо</v>
      </c>
      <c r="D3279" s="1" t="str">
        <f ca="1">IFERROR(__xludf.DUMMYFUNCTION("GOOGLETRANSLATE(English!D3279, ""en"", ""bg"")"),"Структура на ДНК")</f>
        <v>Структура на ДНК</v>
      </c>
      <c r="E3279" s="1" t="str">
        <f ca="1">IFERROR(__xludf.DUMMYFUNCTION("GOOGLETRANSLATE(English!E3279, ""en"", ""bg"")"),"Не разбирам тази тема. Можете ли да ми разкажете за структурата на ДНК?")</f>
        <v>Не разбирам тази тема. Можете ли да ми разкажете за структурата на ДНК?</v>
      </c>
      <c r="F3279" s="1" t="str">
        <f ca="1">IFERROR(__xludf.DUMMYFUNCTION("GOOGLETRANSLATE(English!F3279,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3279" s="1" t="str">
        <f ca="1">IFERROR(__xludf.DUMMYFUNCTION("GOOGLETRANSLATE(English!G3279, ""en"", ""bg"")"),"разговор")</f>
        <v>разговор</v>
      </c>
      <c r="H3279" s="1" t="str">
        <f ca="1">IFERROR(__xludf.DUMMYFUNCTION("GOOGLETRANSLATE(English!H3279, ""en"", ""bg"")"),"образователна_помощ")</f>
        <v>образователна_помощ</v>
      </c>
    </row>
    <row r="3280" spans="1:8" ht="13.2" x14ac:dyDescent="0.25">
      <c r="A3280" s="1" t="str">
        <f ca="1">IFERROR(__xludf.DUMMYFUNCTION("GOOGLETRANSLATE(English!A3280, ""en"", ""bg"")"),"qa_06414")</f>
        <v>qa_06414</v>
      </c>
      <c r="B3280" s="1" t="str">
        <f ca="1">IFERROR(__xludf.DUMMYFUNCTION("GOOGLETRANSLATE(English!B3280, ""en"", ""bg"")"),"физика")</f>
        <v>физика</v>
      </c>
      <c r="C3280" s="1" t="str">
        <f ca="1">IFERROR(__xludf.DUMMYFUNCTION("GOOGLETRANSLATE(English!C3280, ""en"", ""bg"")"),"елементарен")</f>
        <v>елементарен</v>
      </c>
      <c r="D3280" s="1" t="str">
        <f ca="1">IFERROR(__xludf.DUMMYFUNCTION("GOOGLETRANSLATE(English!D3280, ""en"", ""bg"")"),"горещо и студено")</f>
        <v>горещо и студено</v>
      </c>
      <c r="E3280" s="1" t="str">
        <f ca="1">IFERROR(__xludf.DUMMYFUNCTION("GOOGLETRANSLATE(English!E3280, ""en"", ""bg"")"),"Можете ли да ми обясните какво е топло и студено?")</f>
        <v>Можете ли да ми обясните какво е топло и студено?</v>
      </c>
      <c r="F3280" s="1" t="str">
        <f ca="1">IFERROR(__xludf.DUMMYFUNCTION("GOOGLETRANSLATE(English!F3280,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3280" s="1" t="str">
        <f ca="1">IFERROR(__xludf.DUMMYFUNCTION("GOOGLETRANSLATE(English!G3280, ""en"", ""bg"")"),"direct_qa")</f>
        <v>direct_qa</v>
      </c>
      <c r="H3280" s="1" t="str">
        <f ca="1">IFERROR(__xludf.DUMMYFUNCTION("GOOGLETRANSLATE(English!H3280, ""en"", ""bg"")"),"заявка_за_знание")</f>
        <v>заявка_за_знание</v>
      </c>
    </row>
    <row r="3281" spans="1:8" ht="13.2" x14ac:dyDescent="0.25">
      <c r="A3281" s="1" t="str">
        <f ca="1">IFERROR(__xludf.DUMMYFUNCTION("GOOGLETRANSLATE(English!A3281, ""en"", ""bg"")"),"hw_09462")</f>
        <v>hw_09462</v>
      </c>
      <c r="B3281" s="1" t="str">
        <f ca="1">IFERROR(__xludf.DUMMYFUNCTION("GOOGLETRANSLATE(English!B3281, ""en"", ""bg"")"),"биология")</f>
        <v>биология</v>
      </c>
      <c r="C3281" s="1" t="str">
        <f ca="1">IFERROR(__xludf.DUMMYFUNCTION("GOOGLETRANSLATE(English!C3281, ""en"", ""bg"")"),"елементарен")</f>
        <v>елементарен</v>
      </c>
      <c r="D3281" s="1" t="str">
        <f ca="1">IFERROR(__xludf.DUMMYFUNCTION("GOOGLETRANSLATE(English!D3281, ""en"", ""bg"")"),"човешкото тяло")</f>
        <v>човешкото тяло</v>
      </c>
      <c r="E3281" s="1" t="str">
        <f ca="1">IFERROR(__xludf.DUMMYFUNCTION("GOOGLETRANSLATE(English!E3281, ""en"", ""bg"")"),"Можете ли да обясните какво представлява човешкото тяло за моя научен проект?")</f>
        <v>Можете ли да обясните какво представлява човешкото тяло за моя научен проект?</v>
      </c>
      <c r="F3281" s="1" t="str">
        <f ca="1">IFERROR(__xludf.DUMMYFUNCTION("GOOGLETRANSLATE(English!F3281,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3281" s="1" t="str">
        <f ca="1">IFERROR(__xludf.DUMMYFUNCTION("GOOGLETRANSLATE(English!G3281, ""en"", ""bg"")"),"помощ_за_домашно_изпълнение")</f>
        <v>помощ_за_домашно_изпълнение</v>
      </c>
      <c r="H3281" s="1" t="str">
        <f ca="1">IFERROR(__xludf.DUMMYFUNCTION("GOOGLETRANSLATE(English!H3281, ""en"", ""bg"")"),"помощ_за_домашно_задаване")</f>
        <v>помощ_за_домашно_задаване</v>
      </c>
    </row>
    <row r="3282" spans="1:8" ht="13.2" x14ac:dyDescent="0.25">
      <c r="A3282" s="1" t="str">
        <f ca="1">IFERROR(__xludf.DUMMYFUNCTION("GOOGLETRANSLATE(English!A3282, ""en"", ""bg"")"),"hw_00690")</f>
        <v>hw_00690</v>
      </c>
      <c r="B3282" s="1" t="str">
        <f ca="1">IFERROR(__xludf.DUMMYFUNCTION("GOOGLETRANSLATE(English!B3282, ""en"", ""bg"")"),"химия")</f>
        <v>химия</v>
      </c>
      <c r="C3282" s="1" t="str">
        <f ca="1">IFERROR(__xludf.DUMMYFUNCTION("GOOGLETRANSLATE(English!C3282, ""en"", ""bg"")"),"елементарен")</f>
        <v>елементарен</v>
      </c>
      <c r="D3282" s="1" t="str">
        <f ca="1">IFERROR(__xludf.DUMMYFUNCTION("GOOGLETRANSLATE(English!D3282, ""en"", ""bg"")"),"смесване на материали")</f>
        <v>смесване на материали</v>
      </c>
      <c r="E3282" s="1" t="str">
        <f ca="1">IFERROR(__xludf.DUMMYFUNCTION("GOOGLETRANSLATE(English!E3282, ""en"", ""bg"")"),"Трудно ми е да смесвам материали в домашните си.")</f>
        <v>Трудно ми е да смесвам материали в домашните си.</v>
      </c>
      <c r="F3282" s="1" t="str">
        <f ca="1">IFERROR(__xludf.DUMMYFUNCTION("GOOGLETRANSLATE(English!F3282,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282" s="1" t="str">
        <f ca="1">IFERROR(__xludf.DUMMYFUNCTION("GOOGLETRANSLATE(English!G3282, ""en"", ""bg"")"),"помощ_за_домашно_изпълнение")</f>
        <v>помощ_за_домашно_изпълнение</v>
      </c>
      <c r="H3282" s="1" t="str">
        <f ca="1">IFERROR(__xludf.DUMMYFUNCTION("GOOGLETRANSLATE(English!H3282, ""en"", ""bg"")"),"помощ_за_домашно_задаване")</f>
        <v>помощ_за_домашно_задаване</v>
      </c>
    </row>
    <row r="3283" spans="1:8" ht="13.2" x14ac:dyDescent="0.25">
      <c r="A3283" s="1" t="str">
        <f ca="1">IFERROR(__xludf.DUMMYFUNCTION("GOOGLETRANSLATE(English!A3283, ""en"", ""bg"")"),"qa_13576")</f>
        <v>qa_13576</v>
      </c>
      <c r="B3283" s="1" t="str">
        <f ca="1">IFERROR(__xludf.DUMMYFUNCTION("GOOGLETRANSLATE(English!B3283, ""en"", ""bg"")"),"химия")</f>
        <v>химия</v>
      </c>
      <c r="C3283" s="1" t="str">
        <f ca="1">IFERROR(__xludf.DUMMYFUNCTION("GOOGLETRANSLATE(English!C3283, ""en"", ""bg"")"),"високо")</f>
        <v>високо</v>
      </c>
      <c r="D3283" s="1" t="str">
        <f ca="1">IFERROR(__xludf.DUMMYFUNCTION("GOOGLETRANSLATE(English!D3283, ""en"", ""bg"")"),"стехиометрия")</f>
        <v>стехиометрия</v>
      </c>
      <c r="E3283" s="1" t="str">
        <f ca="1">IFERROR(__xludf.DUMMYFUNCTION("GOOGLETRANSLATE(English!E3283, ""en"", ""bg"")"),"Как работи стехиометрията в химията?")</f>
        <v>Как работи стехиометрията в химията?</v>
      </c>
      <c r="F3283" s="1" t="str">
        <f ca="1">IFERROR(__xludf.DUMMYFUNCTION("GOOGLETRANSLATE(English!F3283,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3283" s="1" t="str">
        <f ca="1">IFERROR(__xludf.DUMMYFUNCTION("GOOGLETRANSLATE(English!G3283, ""en"", ""bg"")"),"direct_qa")</f>
        <v>direct_qa</v>
      </c>
      <c r="H3283" s="1" t="str">
        <f ca="1">IFERROR(__xludf.DUMMYFUNCTION("GOOGLETRANSLATE(English!H3283, ""en"", ""bg"")"),"заявка_за_знание")</f>
        <v>заявка_за_знание</v>
      </c>
    </row>
    <row r="3284" spans="1:8" ht="13.2" x14ac:dyDescent="0.25">
      <c r="A3284" s="1" t="str">
        <f ca="1">IFERROR(__xludf.DUMMYFUNCTION("GOOGLETRANSLATE(English!A3284, ""en"", ""bg"")"),"qa_07243")</f>
        <v>qa_07243</v>
      </c>
      <c r="B3284" s="1" t="str">
        <f ca="1">IFERROR(__xludf.DUMMYFUNCTION("GOOGLETRANSLATE(English!B3284, ""en"", ""bg"")"),"физика")</f>
        <v>физика</v>
      </c>
      <c r="C3284" s="1" t="str">
        <f ca="1">IFERROR(__xludf.DUMMYFUNCTION("GOOGLETRANSLATE(English!C3284, ""en"", ""bg"")"),"елементарен")</f>
        <v>елементарен</v>
      </c>
      <c r="D3284" s="1" t="str">
        <f ca="1">IFERROR(__xludf.DUMMYFUNCTION("GOOGLETRANSLATE(English!D3284, ""en"", ""bg"")"),"светлина и сянка")</f>
        <v>светлина и сянка</v>
      </c>
      <c r="E3284" s="1" t="str">
        <f ca="1">IFERROR(__xludf.DUMMYFUNCTION("GOOGLETRANSLATE(English!E3284, ""en"", ""bg"")"),"Какво е светлина?")</f>
        <v>Какво е светлина?</v>
      </c>
      <c r="F3284" s="1" t="str">
        <f ca="1">IFERROR(__xludf.DUMMYFUNCTION("GOOGLETRANSLATE(English!F3284,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3284" s="1" t="str">
        <f ca="1">IFERROR(__xludf.DUMMYFUNCTION("GOOGLETRANSLATE(English!G3284, ""en"", ""bg"")"),"direct_qa")</f>
        <v>direct_qa</v>
      </c>
      <c r="H3284" s="1" t="str">
        <f ca="1">IFERROR(__xludf.DUMMYFUNCTION("GOOGLETRANSLATE(English!H3284, ""en"", ""bg"")"),"заявка_за_знание")</f>
        <v>заявка_за_знание</v>
      </c>
    </row>
    <row r="3285" spans="1:8" ht="13.2" x14ac:dyDescent="0.25">
      <c r="A3285" s="1" t="str">
        <f ca="1">IFERROR(__xludf.DUMMYFUNCTION("GOOGLETRANSLATE(English!A3285, ""en"", ""bg"")"),"hw_08658")</f>
        <v>hw_08658</v>
      </c>
      <c r="B3285" s="1" t="str">
        <f ca="1">IFERROR(__xludf.DUMMYFUNCTION("GOOGLETRANSLATE(English!B3285, ""en"", ""bg"")"),"биология")</f>
        <v>биология</v>
      </c>
      <c r="C3285" s="1" t="str">
        <f ca="1">IFERROR(__xludf.DUMMYFUNCTION("GOOGLETRANSLATE(English!C3285, ""en"", ""bg"")"),"високо")</f>
        <v>високо</v>
      </c>
      <c r="D3285" s="1" t="str">
        <f ca="1">IFERROR(__xludf.DUMMYFUNCTION("GOOGLETRANSLATE(English!D3285, ""en"", ""bg"")"),"модели на наследяване")</f>
        <v>модели на наследяване</v>
      </c>
      <c r="E3285" s="1" t="str">
        <f ca="1">IFERROR(__xludf.DUMMYFUNCTION("GOOGLETRANSLATE(English!E3285,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3285" s="1" t="str">
        <f ca="1">IFERROR(__xludf.DUMMYFUNCTION("GOOGLETRANSLATE(English!F3285,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285" s="1" t="str">
        <f ca="1">IFERROR(__xludf.DUMMYFUNCTION("GOOGLETRANSLATE(English!G3285, ""en"", ""bg"")"),"помощ_за_домашно_изпълнение")</f>
        <v>помощ_за_домашно_изпълнение</v>
      </c>
      <c r="H3285" s="1" t="str">
        <f ca="1">IFERROR(__xludf.DUMMYFUNCTION("GOOGLETRANSLATE(English!H3285, ""en"", ""bg"")"),"помощ_за_домашно_задаване")</f>
        <v>помощ_за_домашно_задаване</v>
      </c>
    </row>
    <row r="3286" spans="1:8" ht="13.2" x14ac:dyDescent="0.25">
      <c r="A3286" s="1" t="str">
        <f ca="1">IFERROR(__xludf.DUMMYFUNCTION("GOOGLETRANSLATE(English!A3286, ""en"", ""bg"")"),"conv_11071")</f>
        <v>conv_11071</v>
      </c>
      <c r="B3286" s="1" t="str">
        <f ca="1">IFERROR(__xludf.DUMMYFUNCTION("GOOGLETRANSLATE(English!B3286, ""en"", ""bg"")"),"химия")</f>
        <v>химия</v>
      </c>
      <c r="C3286" s="1" t="str">
        <f ca="1">IFERROR(__xludf.DUMMYFUNCTION("GOOGLETRANSLATE(English!C3286, ""en"", ""bg"")"),"елементарен")</f>
        <v>елементарен</v>
      </c>
      <c r="D3286" s="1" t="str">
        <f ca="1">IFERROR(__xludf.DUMMYFUNCTION("GOOGLETRANSLATE(English!D3286, ""en"", ""bg"")"),"твърди вещества, течности, газове")</f>
        <v>твърди вещества, течности, газове</v>
      </c>
      <c r="E3286" s="1" t="str">
        <f ca="1">IFERROR(__xludf.DUMMYFUNCTION("GOOGLETRANSLATE(English!E3286, ""en"", ""bg"")"),"Имам нужда от помощ с домашното си. Кои са трите агрегатни състояния на материята?")</f>
        <v>Имам нужда от помощ с домашното си. Кои са трите агрегатни състояния на материята?</v>
      </c>
      <c r="F3286" s="1" t="str">
        <f ca="1">IFERROR(__xludf.DUMMYFUNCTION("GOOGLETRANSLATE(English!F3286,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3286" s="1" t="str">
        <f ca="1">IFERROR(__xludf.DUMMYFUNCTION("GOOGLETRANSLATE(English!G3286, ""en"", ""bg"")"),"разговор")</f>
        <v>разговор</v>
      </c>
      <c r="H3286" s="1" t="str">
        <f ca="1">IFERROR(__xludf.DUMMYFUNCTION("GOOGLETRANSLATE(English!H3286, ""en"", ""bg"")"),"образователна_помощ")</f>
        <v>образователна_помощ</v>
      </c>
    </row>
    <row r="3287" spans="1:8" ht="13.2" x14ac:dyDescent="0.25">
      <c r="A3287" s="1" t="str">
        <f ca="1">IFERROR(__xludf.DUMMYFUNCTION("GOOGLETRANSLATE(English!A3287, ""en"", ""bg"")"),"conv_09830")</f>
        <v>conv_09830</v>
      </c>
      <c r="B3287" s="1" t="str">
        <f ca="1">IFERROR(__xludf.DUMMYFUNCTION("GOOGLETRANSLATE(English!B3287, ""en"", ""bg"")"),"физика")</f>
        <v>физика</v>
      </c>
      <c r="C3287" s="1" t="str">
        <f ca="1">IFERROR(__xludf.DUMMYFUNCTION("GOOGLETRANSLATE(English!C3287, ""en"", ""bg"")"),"средата")</f>
        <v>средата</v>
      </c>
      <c r="D3287" s="1" t="str">
        <f ca="1">IFERROR(__xludf.DUMMYFUNCTION("GOOGLETRANSLATE(English!D3287, ""en"", ""bg"")"),"видове енергия")</f>
        <v>видове енергия</v>
      </c>
      <c r="E3287" s="1" t="str">
        <f ca="1">IFERROR(__xludf.DUMMYFUNCTION("GOOGLETRANSLATE(English!E3287, ""en"", ""bg"")"),"Помогнете ми да уча за теста си. Какви са различните видове енергия?")</f>
        <v>Помогнете ми да уча за теста си. Какви са различните видове енергия?</v>
      </c>
      <c r="F3287" s="1" t="str">
        <f ca="1">IFERROR(__xludf.DUMMYFUNCTION("GOOGLETRANSLATE(English!F3287,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3287" s="1" t="str">
        <f ca="1">IFERROR(__xludf.DUMMYFUNCTION("GOOGLETRANSLATE(English!G3287, ""en"", ""bg"")"),"разговор")</f>
        <v>разговор</v>
      </c>
      <c r="H3287" s="1" t="str">
        <f ca="1">IFERROR(__xludf.DUMMYFUNCTION("GOOGLETRANSLATE(English!H3287, ""en"", ""bg"")"),"образователна_помощ")</f>
        <v>образователна_помощ</v>
      </c>
    </row>
    <row r="3288" spans="1:8" ht="13.2" x14ac:dyDescent="0.25">
      <c r="A3288" s="1" t="str">
        <f ca="1">IFERROR(__xludf.DUMMYFUNCTION("GOOGLETRANSLATE(English!A3288, ""en"", ""bg"")"),"qa_07253")</f>
        <v>qa_07253</v>
      </c>
      <c r="B3288" s="1" t="str">
        <f ca="1">IFERROR(__xludf.DUMMYFUNCTION("GOOGLETRANSLATE(English!B3288, ""en"", ""bg"")"),"биология")</f>
        <v>биология</v>
      </c>
      <c r="C3288" s="1" t="str">
        <f ca="1">IFERROR(__xludf.DUMMYFUNCTION("GOOGLETRANSLATE(English!C3288, ""en"", ""bg"")"),"високо")</f>
        <v>високо</v>
      </c>
      <c r="D3288" s="1" t="str">
        <f ca="1">IFERROR(__xludf.DUMMYFUNCTION("GOOGLETRANSLATE(English!D3288, ""en"", ""bg"")"),"Структура на ДНК")</f>
        <v>Структура на ДНК</v>
      </c>
      <c r="E3288" s="1" t="str">
        <f ca="1">IFERROR(__xludf.DUMMYFUNCTION("GOOGLETRANSLATE(English!E3288, ""en"", ""bg"")"),"Можете ли да ми разкажете за структурата на ДНК?")</f>
        <v>Можете ли да ми разкажете за структурата на ДНК?</v>
      </c>
      <c r="F3288" s="1" t="str">
        <f ca="1">IFERROR(__xludf.DUMMYFUNCTION("GOOGLETRANSLATE(English!F3288,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3288" s="1" t="str">
        <f ca="1">IFERROR(__xludf.DUMMYFUNCTION("GOOGLETRANSLATE(English!G3288, ""en"", ""bg"")"),"direct_qa")</f>
        <v>direct_qa</v>
      </c>
      <c r="H3288" s="1" t="str">
        <f ca="1">IFERROR(__xludf.DUMMYFUNCTION("GOOGLETRANSLATE(English!H3288, ""en"", ""bg"")"),"заявка_за_знание")</f>
        <v>заявка_за_знание</v>
      </c>
    </row>
    <row r="3289" spans="1:8" ht="13.2" x14ac:dyDescent="0.25">
      <c r="A3289" s="1" t="str">
        <f ca="1">IFERROR(__xludf.DUMMYFUNCTION("GOOGLETRANSLATE(English!A3289, ""en"", ""bg"")"),"hw_14572")</f>
        <v>hw_14572</v>
      </c>
      <c r="B3289" s="1" t="str">
        <f ca="1">IFERROR(__xludf.DUMMYFUNCTION("GOOGLETRANSLATE(English!B3289, ""en"", ""bg"")"),"химия")</f>
        <v>химия</v>
      </c>
      <c r="C3289" s="1" t="str">
        <f ca="1">IFERROR(__xludf.DUMMYFUNCTION("GOOGLETRANSLATE(English!C3289, ""en"", ""bg"")"),"елементарен")</f>
        <v>елементарен</v>
      </c>
      <c r="D3289" s="1" t="str">
        <f ca="1">IFERROR(__xludf.DUMMYFUNCTION("GOOGLETRANSLATE(English!D3289, ""en"", ""bg"")"),"ежедневни химикали")</f>
        <v>ежедневни химикали</v>
      </c>
      <c r="E3289" s="1" t="str">
        <f ca="1">IFERROR(__xludf.DUMMYFUNCTION("GOOGLETRANSLATE(English!E3289, ""en"", ""bg"")"),"Можете ли да ми помогнете с ежедневните изчисления на химикали?")</f>
        <v>Можете ли да ми помогнете с ежедневните изчисления на химикали?</v>
      </c>
      <c r="F3289" s="1" t="str">
        <f ca="1">IFERROR(__xludf.DUMMYFUNCTION("GOOGLETRANSLATE(English!F3289,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3289" s="1" t="str">
        <f ca="1">IFERROR(__xludf.DUMMYFUNCTION("GOOGLETRANSLATE(English!G3289, ""en"", ""bg"")"),"помощ_за_домашно_изпълнение")</f>
        <v>помощ_за_домашно_изпълнение</v>
      </c>
      <c r="H3289" s="1" t="str">
        <f ca="1">IFERROR(__xludf.DUMMYFUNCTION("GOOGLETRANSLATE(English!H3289, ""en"", ""bg"")"),"помощ_за_домашно_задаване")</f>
        <v>помощ_за_домашно_задаване</v>
      </c>
    </row>
    <row r="3290" spans="1:8" ht="13.2" x14ac:dyDescent="0.25">
      <c r="A3290" s="1" t="str">
        <f ca="1">IFERROR(__xludf.DUMMYFUNCTION("GOOGLETRANSLATE(English!A3290, ""en"", ""bg"")"),"conv_04965")</f>
        <v>conv_04965</v>
      </c>
      <c r="B3290" s="1" t="str">
        <f ca="1">IFERROR(__xludf.DUMMYFUNCTION("GOOGLETRANSLATE(English!B3290, ""en"", ""bg"")"),"физика")</f>
        <v>физика</v>
      </c>
      <c r="C3290" s="1" t="str">
        <f ca="1">IFERROR(__xludf.DUMMYFUNCTION("GOOGLETRANSLATE(English!C3290, ""en"", ""bg"")"),"средата")</f>
        <v>средата</v>
      </c>
      <c r="D3290" s="1" t="str">
        <f ca="1">IFERROR(__xludf.DUMMYFUNCTION("GOOGLETRANSLATE(English!D3290, ""en"", ""bg"")"),"основи на електричеството")</f>
        <v>основи на електричеството</v>
      </c>
      <c r="E3290" s="1" t="str">
        <f ca="1">IFERROR(__xludf.DUMMYFUNCTION("GOOGLETRANSLATE(English!E3290, ""en"", ""bg"")"),"Имам научен въпрос. Можете ли да ми обясните основите на електричеството?")</f>
        <v>Имам научен въпрос. Можете ли да ми обясните основите на електричеството?</v>
      </c>
      <c r="F3290" s="1" t="str">
        <f ca="1">IFERROR(__xludf.DUMMYFUNCTION("GOOGLETRANSLATE(English!F3290,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3290" s="1" t="str">
        <f ca="1">IFERROR(__xludf.DUMMYFUNCTION("GOOGLETRANSLATE(English!G3290, ""en"", ""bg"")"),"разговор")</f>
        <v>разговор</v>
      </c>
      <c r="H3290" s="1" t="str">
        <f ca="1">IFERROR(__xludf.DUMMYFUNCTION("GOOGLETRANSLATE(English!H3290, ""en"", ""bg"")"),"образователна_помощ")</f>
        <v>образователна_помощ</v>
      </c>
    </row>
    <row r="3291" spans="1:8" ht="13.2" x14ac:dyDescent="0.25">
      <c r="A3291" s="1" t="str">
        <f ca="1">IFERROR(__xludf.DUMMYFUNCTION("GOOGLETRANSLATE(English!A3291, ""en"", ""bg"")"),"hw_05667")</f>
        <v>hw_05667</v>
      </c>
      <c r="B3291" s="1" t="str">
        <f ca="1">IFERROR(__xludf.DUMMYFUNCTION("GOOGLETRANSLATE(English!B3291, ""en"", ""bg"")"),"биология")</f>
        <v>биология</v>
      </c>
      <c r="C3291" s="1" t="str">
        <f ca="1">IFERROR(__xludf.DUMMYFUNCTION("GOOGLETRANSLATE(English!C3291, ""en"", ""bg"")"),"елементарен")</f>
        <v>елементарен</v>
      </c>
      <c r="D3291" s="1" t="str">
        <f ca="1">IFERROR(__xludf.DUMMYFUNCTION("GOOGLETRANSLATE(English!D3291, ""en"", ""bg"")"),"основни нужди")</f>
        <v>основни нужди</v>
      </c>
      <c r="E3291" s="1" t="str">
        <f ca="1">IFERROR(__xludf.DUMMYFUNCTION("GOOGLETRANSLATE(English!E3291, ""en"", ""bg"")"),"Утре имам тест по основни потребности. Помогни ми да уча!")</f>
        <v>Утре имам тест по основни потребности. Помогни ми да уча!</v>
      </c>
      <c r="F3291" s="1" t="str">
        <f ca="1">IFERROR(__xludf.DUMMYFUNCTION("GOOGLETRANSLATE(English!F3291,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3291" s="1" t="str">
        <f ca="1">IFERROR(__xludf.DUMMYFUNCTION("GOOGLETRANSLATE(English!G3291, ""en"", ""bg"")"),"помощ_за_домашно_изпълнение")</f>
        <v>помощ_за_домашно_изпълнение</v>
      </c>
      <c r="H3291" s="1" t="str">
        <f ca="1">IFERROR(__xludf.DUMMYFUNCTION("GOOGLETRANSLATE(English!H3291, ""en"", ""bg"")"),"помощ_за_домашно_задаване")</f>
        <v>помощ_за_домашно_задаване</v>
      </c>
    </row>
    <row r="3292" spans="1:8" ht="13.2" x14ac:dyDescent="0.25">
      <c r="A3292" s="1" t="str">
        <f ca="1">IFERROR(__xludf.DUMMYFUNCTION("GOOGLETRANSLATE(English!A3292, ""en"", ""bg"")"),"hw_12754")</f>
        <v>hw_12754</v>
      </c>
      <c r="B3292" s="1" t="str">
        <f ca="1">IFERROR(__xludf.DUMMYFUNCTION("GOOGLETRANSLATE(English!B3292, ""en"", ""bg"")"),"физика")</f>
        <v>физика</v>
      </c>
      <c r="C3292" s="1" t="str">
        <f ca="1">IFERROR(__xludf.DUMMYFUNCTION("GOOGLETRANSLATE(English!C3292, ""en"", ""bg"")"),"високо")</f>
        <v>високо</v>
      </c>
      <c r="D3292" s="1" t="str">
        <f ca="1">IFERROR(__xludf.DUMMYFUNCTION("GOOGLETRANSLATE(English!D3292, ""en"", ""bg"")"),"радиоактивност")</f>
        <v>радиоактивност</v>
      </c>
      <c r="E3292" s="1" t="str">
        <f ca="1">IFERROR(__xludf.DUMMYFUNCTION("GOOGLETRANSLATE(English!E3292, ""en"", ""bg"")"),"Домашното ми по физика е за радиоактивност. Объркващо е!")</f>
        <v>Домашното ми по физика е за радиоактивност. Объркващо е!</v>
      </c>
      <c r="F3292" s="1" t="str">
        <f ca="1">IFERROR(__xludf.DUMMYFUNCTION("GOOGLETRANSLATE(English!F3292,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3292" s="1" t="str">
        <f ca="1">IFERROR(__xludf.DUMMYFUNCTION("GOOGLETRANSLATE(English!G3292, ""en"", ""bg"")"),"помощ_за_домашно_изпълнение")</f>
        <v>помощ_за_домашно_изпълнение</v>
      </c>
      <c r="H3292" s="1" t="str">
        <f ca="1">IFERROR(__xludf.DUMMYFUNCTION("GOOGLETRANSLATE(English!H3292, ""en"", ""bg"")"),"помощ_за_домашно_задаване")</f>
        <v>помощ_за_домашно_задаване</v>
      </c>
    </row>
    <row r="3293" spans="1:8" ht="13.2" x14ac:dyDescent="0.25">
      <c r="A3293" s="1" t="str">
        <f ca="1">IFERROR(__xludf.DUMMYFUNCTION("GOOGLETRANSLATE(English!A3293, ""en"", ""bg"")"),"qa_09415")</f>
        <v>qa_09415</v>
      </c>
      <c r="B3293" s="1" t="str">
        <f ca="1">IFERROR(__xludf.DUMMYFUNCTION("GOOGLETRANSLATE(English!B3293, ""en"", ""bg"")"),"химия")</f>
        <v>химия</v>
      </c>
      <c r="C3293" s="1" t="str">
        <f ca="1">IFERROR(__xludf.DUMMYFUNCTION("GOOGLETRANSLATE(English!C3293, ""en"", ""bg"")"),"високо")</f>
        <v>високо</v>
      </c>
      <c r="D3293" s="1" t="str">
        <f ca="1">IFERROR(__xludf.DUMMYFUNCTION("GOOGLETRANSLATE(English!D3293, ""en"", ""bg"")"),"химическо свързване")</f>
        <v>химическо свързване</v>
      </c>
      <c r="E3293" s="1" t="str">
        <f ca="1">IFERROR(__xludf.DUMMYFUNCTION("GOOGLETRANSLATE(English!E3293, ""en"", ""bg"")"),"Защо е важно да се учи химичното свързване?")</f>
        <v>Защо е важно да се учи химичното свързване?</v>
      </c>
      <c r="F3293" s="1" t="str">
        <f ca="1">IFERROR(__xludf.DUMMYFUNCTION("GOOGLETRANSLATE(English!F3293,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3293" s="1" t="str">
        <f ca="1">IFERROR(__xludf.DUMMYFUNCTION("GOOGLETRANSLATE(English!G3293, ""en"", ""bg"")"),"direct_qa")</f>
        <v>direct_qa</v>
      </c>
      <c r="H3293" s="1" t="str">
        <f ca="1">IFERROR(__xludf.DUMMYFUNCTION("GOOGLETRANSLATE(English!H3293, ""en"", ""bg"")"),"заявка_за_знание")</f>
        <v>заявка_за_знание</v>
      </c>
    </row>
    <row r="3294" spans="1:8" ht="13.2" x14ac:dyDescent="0.25">
      <c r="A3294" s="1" t="str">
        <f ca="1">IFERROR(__xludf.DUMMYFUNCTION("GOOGLETRANSLATE(English!A3294, ""en"", ""bg"")"),"qa_07576")</f>
        <v>qa_07576</v>
      </c>
      <c r="B3294" s="1" t="str">
        <f ca="1">IFERROR(__xludf.DUMMYFUNCTION("GOOGLETRANSLATE(English!B3294, ""en"", ""bg"")"),"физика")</f>
        <v>физика</v>
      </c>
      <c r="C3294" s="1" t="str">
        <f ca="1">IFERROR(__xludf.DUMMYFUNCTION("GOOGLETRANSLATE(English!C3294, ""en"", ""bg"")"),"елементарен")</f>
        <v>елементарен</v>
      </c>
      <c r="D3294" s="1" t="str">
        <f ca="1">IFERROR(__xludf.DUMMYFUNCTION("GOOGLETRANSLATE(English!D3294, ""en"", ""bg"")"),"светлина и сянка")</f>
        <v>светлина и сянка</v>
      </c>
      <c r="E3294" s="1" t="str">
        <f ca="1">IFERROR(__xludf.DUMMYFUNCTION("GOOGLETRANSLATE(English!E3294, ""en"", ""bg"")"),"Защо можем да виждаме цветове?")</f>
        <v>Защо можем да виждаме цветове?</v>
      </c>
      <c r="F3294" s="1" t="str">
        <f ca="1">IFERROR(__xludf.DUMMYFUNCTION("GOOGLETRANSLATE(English!F3294,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3294" s="1" t="str">
        <f ca="1">IFERROR(__xludf.DUMMYFUNCTION("GOOGLETRANSLATE(English!G3294, ""en"", ""bg"")"),"direct_qa")</f>
        <v>direct_qa</v>
      </c>
      <c r="H3294" s="1" t="str">
        <f ca="1">IFERROR(__xludf.DUMMYFUNCTION("GOOGLETRANSLATE(English!H3294, ""en"", ""bg"")"),"заявка_за_знание")</f>
        <v>заявка_за_знание</v>
      </c>
    </row>
    <row r="3295" spans="1:8" ht="13.2" x14ac:dyDescent="0.25">
      <c r="A3295" s="1" t="str">
        <f ca="1">IFERROR(__xludf.DUMMYFUNCTION("GOOGLETRANSLATE(English!A3295, ""en"", ""bg"")"),"qa_13854")</f>
        <v>qa_13854</v>
      </c>
      <c r="B3295" s="1" t="str">
        <f ca="1">IFERROR(__xludf.DUMMYFUNCTION("GOOGLETRANSLATE(English!B3295, ""en"", ""bg"")"),"биология")</f>
        <v>биология</v>
      </c>
      <c r="C3295" s="1" t="str">
        <f ca="1">IFERROR(__xludf.DUMMYFUNCTION("GOOGLETRANSLATE(English!C3295, ""en"", ""bg"")"),"елементарен")</f>
        <v>елементарен</v>
      </c>
      <c r="D3295" s="1" t="str">
        <f ca="1">IFERROR(__xludf.DUMMYFUNCTION("GOOGLETRANSLATE(English!D3295, ""en"", ""bg"")"),"животни")</f>
        <v>животни</v>
      </c>
      <c r="E3295" s="1" t="str">
        <f ca="1">IFERROR(__xludf.DUMMYFUNCTION("GOOGLETRANSLATE(English!E3295, ""en"", ""bg"")"),"Как зайците се грижат за малките си?")</f>
        <v>Как зайците се грижат за малките си?</v>
      </c>
      <c r="F3295" s="1" t="str">
        <f ca="1">IFERROR(__xludf.DUMMYFUNCTION("GOOGLETRANSLATE(English!F3295,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3295" s="1" t="str">
        <f ca="1">IFERROR(__xludf.DUMMYFUNCTION("GOOGLETRANSLATE(English!G3295, ""en"", ""bg"")"),"direct_qa")</f>
        <v>direct_qa</v>
      </c>
      <c r="H3295" s="1" t="str">
        <f ca="1">IFERROR(__xludf.DUMMYFUNCTION("GOOGLETRANSLATE(English!H3295, ""en"", ""bg"")"),"заявка_за_знание")</f>
        <v>заявка_за_знание</v>
      </c>
    </row>
    <row r="3296" spans="1:8" ht="13.2" x14ac:dyDescent="0.25">
      <c r="A3296" s="1" t="str">
        <f ca="1">IFERROR(__xludf.DUMMYFUNCTION("GOOGLETRANSLATE(English!A3296, ""en"", ""bg"")"),"qa_13113")</f>
        <v>qa_13113</v>
      </c>
      <c r="B3296" s="1" t="str">
        <f ca="1">IFERROR(__xludf.DUMMYFUNCTION("GOOGLETRANSLATE(English!B3296, ""en"", ""bg"")"),"физика")</f>
        <v>физика</v>
      </c>
      <c r="C3296" s="1" t="str">
        <f ca="1">IFERROR(__xludf.DUMMYFUNCTION("GOOGLETRANSLATE(English!C3296, ""en"", ""bg"")"),"средата")</f>
        <v>средата</v>
      </c>
      <c r="D3296" s="1" t="str">
        <f ca="1">IFERROR(__xludf.DUMMYFUNCTION("GOOGLETRANSLATE(English!D3296, ""en"", ""bg"")"),"сили и движение")</f>
        <v>сили и движение</v>
      </c>
      <c r="E3296" s="1" t="str">
        <f ca="1">IFERROR(__xludf.DUMMYFUNCTION("GOOGLETRANSLATE(English!E3296, ""en"", ""bg"")"),"Какъв е първият закон на Нютон?")</f>
        <v>Какъв е първият закон на Нютон?</v>
      </c>
      <c r="F3296" s="1" t="str">
        <f ca="1">IFERROR(__xludf.DUMMYFUNCTION("GOOGLETRANSLATE(English!F3296,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3296" s="1" t="str">
        <f ca="1">IFERROR(__xludf.DUMMYFUNCTION("GOOGLETRANSLATE(English!G3296, ""en"", ""bg"")"),"direct_qa")</f>
        <v>direct_qa</v>
      </c>
      <c r="H3296" s="1" t="str">
        <f ca="1">IFERROR(__xludf.DUMMYFUNCTION("GOOGLETRANSLATE(English!H3296, ""en"", ""bg"")"),"заявка_за_знание")</f>
        <v>заявка_за_знание</v>
      </c>
    </row>
    <row r="3297" spans="1:8" ht="13.2" x14ac:dyDescent="0.25">
      <c r="A3297" s="1" t="str">
        <f ca="1">IFERROR(__xludf.DUMMYFUNCTION("GOOGLETRANSLATE(English!A3297, ""en"", ""bg"")"),"conv_17526")</f>
        <v>conv_17526</v>
      </c>
      <c r="B3297" s="1" t="str">
        <f ca="1">IFERROR(__xludf.DUMMYFUNCTION("GOOGLETRANSLATE(English!B3297, ""en"", ""bg"")"),"биология")</f>
        <v>биология</v>
      </c>
      <c r="C3297" s="1" t="str">
        <f ca="1">IFERROR(__xludf.DUMMYFUNCTION("GOOGLETRANSLATE(English!C3297, ""en"", ""bg"")"),"елементарен")</f>
        <v>елементарен</v>
      </c>
      <c r="D3297" s="1" t="str">
        <f ca="1">IFERROR(__xludf.DUMMYFUNCTION("GOOGLETRANSLATE(English!D3297, ""en"", ""bg"")"),"животни")</f>
        <v>животни</v>
      </c>
      <c r="E3297" s="1" t="str">
        <f ca="1">IFERROR(__xludf.DUMMYFUNCTION("GOOGLETRANSLATE(English!E3297, ""en"", ""bg"")"),"Имам нужда от помощ с домашното. Как животните се защитават?")</f>
        <v>Имам нужда от помощ с домашното. Как животните се защитават?</v>
      </c>
      <c r="F3297" s="1" t="str">
        <f ca="1">IFERROR(__xludf.DUMMYFUNCTION("GOOGLETRANSLATE(English!F3297, ""en"", ""bg"")"),"Животните се защитават по много начини: камуфлаж, бързо бягане, остри зъби или нокти или живот на групи!")</f>
        <v>Животните се защитават по много начини: камуфлаж, бързо бягане, остри зъби или нокти или живот на групи!</v>
      </c>
      <c r="G3297" s="1" t="str">
        <f ca="1">IFERROR(__xludf.DUMMYFUNCTION("GOOGLETRANSLATE(English!G3297, ""en"", ""bg"")"),"разговор")</f>
        <v>разговор</v>
      </c>
      <c r="H3297" s="1" t="str">
        <f ca="1">IFERROR(__xludf.DUMMYFUNCTION("GOOGLETRANSLATE(English!H3297, ""en"", ""bg"")"),"образователна_помощ")</f>
        <v>образователна_помощ</v>
      </c>
    </row>
    <row r="3298" spans="1:8" ht="13.2" x14ac:dyDescent="0.25">
      <c r="A3298" s="1" t="str">
        <f ca="1">IFERROR(__xludf.DUMMYFUNCTION("GOOGLETRANSLATE(English!A3298, ""en"", ""bg"")"),"hw_13518")</f>
        <v>hw_13518</v>
      </c>
      <c r="B3298" s="1" t="str">
        <f ca="1">IFERROR(__xludf.DUMMYFUNCTION("GOOGLETRANSLATE(English!B3298, ""en"", ""bg"")"),"химия")</f>
        <v>химия</v>
      </c>
      <c r="C3298" s="1" t="str">
        <f ca="1">IFERROR(__xludf.DUMMYFUNCTION("GOOGLETRANSLATE(English!C3298, ""en"", ""bg"")"),"елементарен")</f>
        <v>елементарен</v>
      </c>
      <c r="D3298" s="1" t="str">
        <f ca="1">IFERROR(__xludf.DUMMYFUNCTION("GOOGLETRANSLATE(English!D3298, ""en"", ""bg"")"),"твърди вещества, течности, газове")</f>
        <v>твърди вещества, течности, газове</v>
      </c>
      <c r="E3298" s="1" t="str">
        <f ca="1">IFERROR(__xludf.DUMMYFUNCTION("GOOGLETRANSLATE(English!E3298, ""en"", ""bg"")"),"Можете ли да ми помогнете с изчисленията за твърди вещества, течности и газове?")</f>
        <v>Можете ли да ми помогнете с изчисленията за твърди вещества, течности и газове?</v>
      </c>
      <c r="F3298" s="1" t="str">
        <f ca="1">IFERROR(__xludf.DUMMYFUNCTION("GOOGLETRANSLATE(English!F3298,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3298" s="1" t="str">
        <f ca="1">IFERROR(__xludf.DUMMYFUNCTION("GOOGLETRANSLATE(English!G3298, ""en"", ""bg"")"),"помощ_за_домашно_изпълнение")</f>
        <v>помощ_за_домашно_изпълнение</v>
      </c>
      <c r="H3298" s="1" t="str">
        <f ca="1">IFERROR(__xludf.DUMMYFUNCTION("GOOGLETRANSLATE(English!H3298, ""en"", ""bg"")"),"помощ_за_домашно_задаване")</f>
        <v>помощ_за_домашно_задаване</v>
      </c>
    </row>
    <row r="3299" spans="1:8" ht="13.2" x14ac:dyDescent="0.25">
      <c r="A3299" s="1" t="str">
        <f ca="1">IFERROR(__xludf.DUMMYFUNCTION("GOOGLETRANSLATE(English!A3299, ""en"", ""bg"")"),"qa_00403")</f>
        <v>qa_00403</v>
      </c>
      <c r="B3299" s="1" t="str">
        <f ca="1">IFERROR(__xludf.DUMMYFUNCTION("GOOGLETRANSLATE(English!B3299, ""en"", ""bg"")"),"химия")</f>
        <v>химия</v>
      </c>
      <c r="C3299" s="1" t="str">
        <f ca="1">IFERROR(__xludf.DUMMYFUNCTION("GOOGLETRANSLATE(English!C3299, ""en"", ""bg"")"),"средата")</f>
        <v>средата</v>
      </c>
      <c r="D3299" s="1" t="str">
        <f ca="1">IFERROR(__xludf.DUMMYFUNCTION("GOOGLETRANSLATE(English!D3299, ""en"", ""bg"")"),"химични промени")</f>
        <v>химични промени</v>
      </c>
      <c r="E3299" s="1" t="str">
        <f ca="1">IFERROR(__xludf.DUMMYFUNCTION("GOOGLETRANSLATE(English!E3299, ""en"", ""bg"")"),"Какво представляват химичните промени?")</f>
        <v>Какво представляват химичните промени?</v>
      </c>
      <c r="F3299" s="1" t="str">
        <f ca="1">IFERROR(__xludf.DUMMYFUNCTION("GOOGLETRANSLATE(English!F3299,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3299" s="1" t="str">
        <f ca="1">IFERROR(__xludf.DUMMYFUNCTION("GOOGLETRANSLATE(English!G3299, ""en"", ""bg"")"),"direct_qa")</f>
        <v>direct_qa</v>
      </c>
      <c r="H3299" s="1" t="str">
        <f ca="1">IFERROR(__xludf.DUMMYFUNCTION("GOOGLETRANSLATE(English!H3299, ""en"", ""bg"")"),"заявка_за_знание")</f>
        <v>заявка_за_знание</v>
      </c>
    </row>
    <row r="3300" spans="1:8" ht="13.2" x14ac:dyDescent="0.25">
      <c r="A3300" s="1" t="str">
        <f ca="1">IFERROR(__xludf.DUMMYFUNCTION("GOOGLETRANSLATE(English!A3300, ""en"", ""bg"")"),"qa_10488")</f>
        <v>qa_10488</v>
      </c>
      <c r="B3300" s="1" t="str">
        <f ca="1">IFERROR(__xludf.DUMMYFUNCTION("GOOGLETRANSLATE(English!B3300, ""en"", ""bg"")"),"химия")</f>
        <v>химия</v>
      </c>
      <c r="C3300" s="1" t="str">
        <f ca="1">IFERROR(__xludf.DUMMYFUNCTION("GOOGLETRANSLATE(English!C3300, ""en"", ""bg"")"),"елементарен")</f>
        <v>елементарен</v>
      </c>
      <c r="D3300" s="1" t="str">
        <f ca="1">IFERROR(__xludf.DUMMYFUNCTION("GOOGLETRANSLATE(English!D3300, ""en"", ""bg"")"),"твърди вещества, течности, газове")</f>
        <v>твърди вещества, течности, газове</v>
      </c>
      <c r="E3300" s="1" t="str">
        <f ca="1">IFERROR(__xludf.DUMMYFUNCTION("GOOGLETRANSLATE(English!E3300, ""en"", ""bg"")"),"Какво се случва, когато нагрявате твърдо вещество?")</f>
        <v>Какво се случва, когато нагрявате твърдо вещество?</v>
      </c>
      <c r="F3300" s="1" t="str">
        <f ca="1">IFERROR(__xludf.DUMMYFUNCTION("GOOGLETRANSLATE(English!F3300,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3300" s="1" t="str">
        <f ca="1">IFERROR(__xludf.DUMMYFUNCTION("GOOGLETRANSLATE(English!G3300, ""en"", ""bg"")"),"direct_qa")</f>
        <v>direct_qa</v>
      </c>
      <c r="H3300" s="1" t="str">
        <f ca="1">IFERROR(__xludf.DUMMYFUNCTION("GOOGLETRANSLATE(English!H3300, ""en"", ""bg"")"),"заявка_за_знание")</f>
        <v>заявка_за_знание</v>
      </c>
    </row>
    <row r="3301" spans="1:8" ht="13.2" x14ac:dyDescent="0.25">
      <c r="A3301" s="1" t="str">
        <f ca="1">IFERROR(__xludf.DUMMYFUNCTION("GOOGLETRANSLATE(English!A3301, ""en"", ""bg"")"),"hw_10107")</f>
        <v>hw_10107</v>
      </c>
      <c r="B3301" s="1" t="str">
        <f ca="1">IFERROR(__xludf.DUMMYFUNCTION("GOOGLETRANSLATE(English!B3301, ""en"", ""bg"")"),"физика")</f>
        <v>физика</v>
      </c>
      <c r="C3301" s="1" t="str">
        <f ca="1">IFERROR(__xludf.DUMMYFUNCTION("GOOGLETRANSLATE(English!C3301, ""en"", ""bg"")"),"средата")</f>
        <v>средата</v>
      </c>
      <c r="D3301" s="1" t="str">
        <f ca="1">IFERROR(__xludf.DUMMYFUNCTION("GOOGLETRANSLATE(English!D3301, ""en"", ""bg"")"),"състояния на материята")</f>
        <v>състояния на материята</v>
      </c>
      <c r="E3301" s="1" t="str">
        <f ca="1">IFERROR(__xludf.DUMMYFUNCTION("GOOGLETRANSLATE(English!E3301,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3301" s="1" t="str">
        <f ca="1">IFERROR(__xludf.DUMMYFUNCTION("GOOGLETRANSLATE(English!F3301,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301" s="1" t="str">
        <f ca="1">IFERROR(__xludf.DUMMYFUNCTION("GOOGLETRANSLATE(English!G3301, ""en"", ""bg"")"),"помощ_за_домашно_изпълнение")</f>
        <v>помощ_за_домашно_изпълнение</v>
      </c>
      <c r="H3301" s="1" t="str">
        <f ca="1">IFERROR(__xludf.DUMMYFUNCTION("GOOGLETRANSLATE(English!H3301, ""en"", ""bg"")"),"помощ_за_домашно_задаване")</f>
        <v>помощ_за_домашно_задаване</v>
      </c>
    </row>
    <row r="3302" spans="1:8" ht="13.2" x14ac:dyDescent="0.25">
      <c r="A3302" s="1" t="str">
        <f ca="1">IFERROR(__xludf.DUMMYFUNCTION("GOOGLETRANSLATE(English!A3302, ""en"", ""bg"")"),"conv_10240")</f>
        <v>conv_10240</v>
      </c>
      <c r="B3302" s="1" t="str">
        <f ca="1">IFERROR(__xludf.DUMMYFUNCTION("GOOGLETRANSLATE(English!B3302, ""en"", ""bg"")"),"биология")</f>
        <v>биология</v>
      </c>
      <c r="C3302" s="1" t="str">
        <f ca="1">IFERROR(__xludf.DUMMYFUNCTION("GOOGLETRANSLATE(English!C3302, ""en"", ""bg"")"),"елементарен")</f>
        <v>елементарен</v>
      </c>
      <c r="D3302" s="1" t="str">
        <f ca="1">IFERROR(__xludf.DUMMYFUNCTION("GOOGLETRANSLATE(English!D3302, ""en"", ""bg"")"),"местообитания")</f>
        <v>местообитания</v>
      </c>
      <c r="E3302" s="1" t="str">
        <f ca="1">IFERROR(__xludf.DUMMYFUNCTION("GOOGLETRANSLATE(English!E3302, ""en"", ""bg"")"),"Можете ли да ми помогнете? Какво е важно да знаем за местообитанията?")</f>
        <v>Можете ли да ми помогнете? Какво е важно да знаем за местообитанията?</v>
      </c>
      <c r="F3302" s="1" t="str">
        <f ca="1">IFERROR(__xludf.DUMMYFUNCTION("GOOGLETRANSLATE(English!F3302, ""en"", ""bg"")"),"Най-важното нещо за местообитанията е как те се свързват с други части на живота и природата.")</f>
        <v>Най-важното нещо за местообитанията е как те се свързват с други части на живота и природата.</v>
      </c>
      <c r="G3302" s="1" t="str">
        <f ca="1">IFERROR(__xludf.DUMMYFUNCTION("GOOGLETRANSLATE(English!G3302, ""en"", ""bg"")"),"разговор")</f>
        <v>разговор</v>
      </c>
      <c r="H3302" s="1" t="str">
        <f ca="1">IFERROR(__xludf.DUMMYFUNCTION("GOOGLETRANSLATE(English!H3302, ""en"", ""bg"")"),"образователна_помощ")</f>
        <v>образователна_помощ</v>
      </c>
    </row>
    <row r="3303" spans="1:8" ht="13.2" x14ac:dyDescent="0.25">
      <c r="A3303" s="1" t="str">
        <f ca="1">IFERROR(__xludf.DUMMYFUNCTION("GOOGLETRANSLATE(English!A3303, ""en"", ""bg"")"),"conv_10693")</f>
        <v>conv_10693</v>
      </c>
      <c r="B3303" s="1" t="str">
        <f ca="1">IFERROR(__xludf.DUMMYFUNCTION("GOOGLETRANSLATE(English!B3303, ""en"", ""bg"")"),"биология")</f>
        <v>биология</v>
      </c>
      <c r="C3303" s="1" t="str">
        <f ca="1">IFERROR(__xludf.DUMMYFUNCTION("GOOGLETRANSLATE(English!C3303, ""en"", ""bg"")"),"високо")</f>
        <v>високо</v>
      </c>
      <c r="D3303" s="1" t="str">
        <f ca="1">IFERROR(__xludf.DUMMYFUNCTION("GOOGLETRANSLATE(English!D3303, ""en"", ""bg"")"),"митоза и мейоза")</f>
        <v>митоза и мейоза</v>
      </c>
      <c r="E3303" s="1" t="str">
        <f ca="1">IFERROR(__xludf.DUMMYFUNCTION("GOOGLETRANSLATE(English!E3303, ""en"", ""bg"")"),"Можете ли да ми обясните това? Можете ли да ми разкажете за митозата и мейозата?")</f>
        <v>Можете ли да ми обясните това? Можете ли да ми разкажете за митозата и мейозата?</v>
      </c>
      <c r="F3303" s="1" t="str">
        <f ca="1">IFERROR(__xludf.DUMMYFUNCTION("GOOGLETRANSLATE(English!F3303,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3303" s="1" t="str">
        <f ca="1">IFERROR(__xludf.DUMMYFUNCTION("GOOGLETRANSLATE(English!G3303, ""en"", ""bg"")"),"разговор")</f>
        <v>разговор</v>
      </c>
      <c r="H3303" s="1" t="str">
        <f ca="1">IFERROR(__xludf.DUMMYFUNCTION("GOOGLETRANSLATE(English!H3303, ""en"", ""bg"")"),"образователна_помощ")</f>
        <v>образователна_помощ</v>
      </c>
    </row>
    <row r="3304" spans="1:8" ht="13.2" x14ac:dyDescent="0.25">
      <c r="A3304" s="1" t="str">
        <f ca="1">IFERROR(__xludf.DUMMYFUNCTION("GOOGLETRANSLATE(English!A3304, ""en"", ""bg"")"),"qa_13161")</f>
        <v>qa_13161</v>
      </c>
      <c r="B3304" s="1" t="str">
        <f ca="1">IFERROR(__xludf.DUMMYFUNCTION("GOOGLETRANSLATE(English!B3304, ""en"", ""bg"")"),"физика")</f>
        <v>физика</v>
      </c>
      <c r="C3304" s="1" t="str">
        <f ca="1">IFERROR(__xludf.DUMMYFUNCTION("GOOGLETRANSLATE(English!C3304, ""en"", ""bg"")"),"високо")</f>
        <v>високо</v>
      </c>
      <c r="D3304" s="1" t="str">
        <f ca="1">IFERROR(__xludf.DUMMYFUNCTION("GOOGLETRANSLATE(English!D3304, ""en"", ""bg"")"),"термодинамика")</f>
        <v>термодинамика</v>
      </c>
      <c r="E3304" s="1" t="str">
        <f ca="1">IFERROR(__xludf.DUMMYFUNCTION("GOOGLETRANSLATE(English!E3304, ""en"", ""bg"")"),"Как работи термодинамиката във физиката?")</f>
        <v>Как работи термодинамиката във физиката?</v>
      </c>
      <c r="F3304" s="1" t="str">
        <f ca="1">IFERROR(__xludf.DUMMYFUNCTION("GOOGLETRANSLATE(English!F3304,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3304" s="1" t="str">
        <f ca="1">IFERROR(__xludf.DUMMYFUNCTION("GOOGLETRANSLATE(English!G3304, ""en"", ""bg"")"),"direct_qa")</f>
        <v>direct_qa</v>
      </c>
      <c r="H3304" s="1" t="str">
        <f ca="1">IFERROR(__xludf.DUMMYFUNCTION("GOOGLETRANSLATE(English!H3304, ""en"", ""bg"")"),"заявка_за_знание")</f>
        <v>заявка_за_знание</v>
      </c>
    </row>
    <row r="3305" spans="1:8" ht="13.2" x14ac:dyDescent="0.25">
      <c r="A3305" s="1" t="str">
        <f ca="1">IFERROR(__xludf.DUMMYFUNCTION("GOOGLETRANSLATE(English!A3305, ""en"", ""bg"")"),"qa_05089")</f>
        <v>qa_05089</v>
      </c>
      <c r="B3305" s="1" t="str">
        <f ca="1">IFERROR(__xludf.DUMMYFUNCTION("GOOGLETRANSLATE(English!B3305, ""en"", ""bg"")"),"физика")</f>
        <v>физика</v>
      </c>
      <c r="C3305" s="1" t="str">
        <f ca="1">IFERROR(__xludf.DUMMYFUNCTION("GOOGLETRANSLATE(English!C3305, ""en"", ""bg"")"),"елементарен")</f>
        <v>елементарен</v>
      </c>
      <c r="D3305" s="1" t="str">
        <f ca="1">IFERROR(__xludf.DUMMYFUNCTION("GOOGLETRANSLATE(English!D3305, ""en"", ""bg"")"),"горещо и студено")</f>
        <v>горещо и студено</v>
      </c>
      <c r="E3305" s="1" t="str">
        <f ca="1">IFERROR(__xludf.DUMMYFUNCTION("GOOGLETRANSLATE(English!E3305, ""en"", ""bg"")"),"Какво трябва да знам за топлото и студеното?")</f>
        <v>Какво трябва да знам за топлото и студеното?</v>
      </c>
      <c r="F3305" s="1" t="str">
        <f ca="1">IFERROR(__xludf.DUMMYFUNCTION("GOOGLETRANSLATE(English!F3305,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3305" s="1" t="str">
        <f ca="1">IFERROR(__xludf.DUMMYFUNCTION("GOOGLETRANSLATE(English!G3305, ""en"", ""bg"")"),"direct_qa")</f>
        <v>direct_qa</v>
      </c>
      <c r="H3305" s="1" t="str">
        <f ca="1">IFERROR(__xludf.DUMMYFUNCTION("GOOGLETRANSLATE(English!H3305, ""en"", ""bg"")"),"заявка_за_знание")</f>
        <v>заявка_за_знание</v>
      </c>
    </row>
    <row r="3306" spans="1:8" ht="13.2" x14ac:dyDescent="0.25">
      <c r="A3306" s="1" t="str">
        <f ca="1">IFERROR(__xludf.DUMMYFUNCTION("GOOGLETRANSLATE(English!A3306, ""en"", ""bg"")"),"conv_19199")</f>
        <v>conv_19199</v>
      </c>
      <c r="B3306" s="1" t="str">
        <f ca="1">IFERROR(__xludf.DUMMYFUNCTION("GOOGLETRANSLATE(English!B3306, ""en"", ""bg"")"),"физика")</f>
        <v>физика</v>
      </c>
      <c r="C3306" s="1" t="str">
        <f ca="1">IFERROR(__xludf.DUMMYFUNCTION("GOOGLETRANSLATE(English!C3306, ""en"", ""bg"")"),"елементарен")</f>
        <v>елементарен</v>
      </c>
      <c r="D3306" s="1" t="str">
        <f ca="1">IFERROR(__xludf.DUMMYFUNCTION("GOOGLETRANSLATE(English!D3306, ""en"", ""bg"")"),"бутане и дърпане")</f>
        <v>бутане и дърпане</v>
      </c>
      <c r="E3306" s="1" t="str">
        <f ca="1">IFERROR(__xludf.DUMMYFUNCTION("GOOGLETRANSLATE(English!E3306, ""en"", ""bg"")"),"Имам нужда от помощ с домашното. Защо бутането и дърпането са важни?")</f>
        <v>Имам нужда от помощ с домашното. Защо бутането и дърпането са важни?</v>
      </c>
      <c r="F3306" s="1" t="str">
        <f ca="1">IFERROR(__xludf.DUMMYFUNCTION("GOOGLETRANSLATE(English!F3306,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3306" s="1" t="str">
        <f ca="1">IFERROR(__xludf.DUMMYFUNCTION("GOOGLETRANSLATE(English!G3306, ""en"", ""bg"")"),"разговор")</f>
        <v>разговор</v>
      </c>
      <c r="H3306" s="1" t="str">
        <f ca="1">IFERROR(__xludf.DUMMYFUNCTION("GOOGLETRANSLATE(English!H3306, ""en"", ""bg"")"),"образователна_помощ")</f>
        <v>образователна_помощ</v>
      </c>
    </row>
    <row r="3307" spans="1:8" ht="13.2" x14ac:dyDescent="0.25">
      <c r="A3307" s="1" t="str">
        <f ca="1">IFERROR(__xludf.DUMMYFUNCTION("GOOGLETRANSLATE(English!A3307, ""en"", ""bg"")"),"hw_11064")</f>
        <v>hw_11064</v>
      </c>
      <c r="B3307" s="1" t="str">
        <f ca="1">IFERROR(__xludf.DUMMYFUNCTION("GOOGLETRANSLATE(English!B3307, ""en"", ""bg"")"),"химия")</f>
        <v>химия</v>
      </c>
      <c r="C3307" s="1" t="str">
        <f ca="1">IFERROR(__xludf.DUMMYFUNCTION("GOOGLETRANSLATE(English!C3307, ""en"", ""bg"")"),"средата")</f>
        <v>средата</v>
      </c>
      <c r="D3307" s="1" t="str">
        <f ca="1">IFERROR(__xludf.DUMMYFUNCTION("GOOGLETRANSLATE(English!D3307, ""en"", ""bg"")"),"атоми и молекули")</f>
        <v>атоми и молекули</v>
      </c>
      <c r="E3307" s="1" t="str">
        <f ca="1">IFERROR(__xludf.DUMMYFUNCTION("GOOGLETRANSLATE(English!E3307,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3307" s="1" t="str">
        <f ca="1">IFERROR(__xludf.DUMMYFUNCTION("GOOGLETRANSLATE(English!F3307,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307" s="1" t="str">
        <f ca="1">IFERROR(__xludf.DUMMYFUNCTION("GOOGLETRANSLATE(English!G3307, ""en"", ""bg"")"),"помощ_за_домашно_изпълнение")</f>
        <v>помощ_за_домашно_изпълнение</v>
      </c>
      <c r="H3307" s="1" t="str">
        <f ca="1">IFERROR(__xludf.DUMMYFUNCTION("GOOGLETRANSLATE(English!H3307, ""en"", ""bg"")"),"помощ_за_домашно_задаване")</f>
        <v>помощ_за_домашно_задаване</v>
      </c>
    </row>
    <row r="3308" spans="1:8" ht="13.2" x14ac:dyDescent="0.25">
      <c r="A3308" s="1" t="str">
        <f ca="1">IFERROR(__xludf.DUMMYFUNCTION("GOOGLETRANSLATE(English!A3308, ""en"", ""bg"")"),"conv_19321")</f>
        <v>conv_19321</v>
      </c>
      <c r="B3308" s="1" t="str">
        <f ca="1">IFERROR(__xludf.DUMMYFUNCTION("GOOGLETRANSLATE(English!B3308, ""en"", ""bg"")"),"биология")</f>
        <v>биология</v>
      </c>
      <c r="C3308" s="1" t="str">
        <f ca="1">IFERROR(__xludf.DUMMYFUNCTION("GOOGLETRANSLATE(English!C3308, ""en"", ""bg"")"),"средата")</f>
        <v>средата</v>
      </c>
      <c r="D3308" s="1" t="str">
        <f ca="1">IFERROR(__xludf.DUMMYFUNCTION("GOOGLETRANSLATE(English!D3308, ""en"", ""bg"")"),"клетки")</f>
        <v>клетки</v>
      </c>
      <c r="E3308" s="1" t="str">
        <f ca="1">IFERROR(__xludf.DUMMYFUNCTION("GOOGLETRANSLATE(English!E3308, ""en"", ""bg"")"),"Имам научен въпрос. Кои са основните части на клетката?")</f>
        <v>Имам научен въпрос. Кои са основните части на клетката?</v>
      </c>
      <c r="F3308" s="1" t="str">
        <f ca="1">IFERROR(__xludf.DUMMYFUNCTION("GOOGLETRANSLATE(English!F3308,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3308" s="1" t="str">
        <f ca="1">IFERROR(__xludf.DUMMYFUNCTION("GOOGLETRANSLATE(English!G3308, ""en"", ""bg"")"),"разговор")</f>
        <v>разговор</v>
      </c>
      <c r="H3308" s="1" t="str">
        <f ca="1">IFERROR(__xludf.DUMMYFUNCTION("GOOGLETRANSLATE(English!H3308, ""en"", ""bg"")"),"образователна_помощ")</f>
        <v>образователна_помощ</v>
      </c>
    </row>
    <row r="3309" spans="1:8" ht="13.2" x14ac:dyDescent="0.25">
      <c r="A3309" s="1" t="str">
        <f ca="1">IFERROR(__xludf.DUMMYFUNCTION("GOOGLETRANSLATE(English!A3309, ""en"", ""bg"")"),"hw_04662")</f>
        <v>hw_04662</v>
      </c>
      <c r="B3309" s="1" t="str">
        <f ca="1">IFERROR(__xludf.DUMMYFUNCTION("GOOGLETRANSLATE(English!B3309, ""en"", ""bg"")"),"химия")</f>
        <v>химия</v>
      </c>
      <c r="C3309" s="1" t="str">
        <f ca="1">IFERROR(__xludf.DUMMYFUNCTION("GOOGLETRANSLATE(English!C3309, ""en"", ""bg"")"),"високо")</f>
        <v>високо</v>
      </c>
      <c r="D3309" s="1" t="str">
        <f ca="1">IFERROR(__xludf.DUMMYFUNCTION("GOOGLETRANSLATE(English!D3309, ""en"", ""bg"")"),"електрохимия")</f>
        <v>електрохимия</v>
      </c>
      <c r="E3309" s="1" t="str">
        <f ca="1">IFERROR(__xludf.DUMMYFUNCTION("GOOGLETRANSLATE(English!E3309,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3309" s="1" t="str">
        <f ca="1">IFERROR(__xludf.DUMMYFUNCTION("GOOGLETRANSLATE(English!F3309,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309" s="1" t="str">
        <f ca="1">IFERROR(__xludf.DUMMYFUNCTION("GOOGLETRANSLATE(English!G3309, ""en"", ""bg"")"),"помощ_за_домашно_изпълнение")</f>
        <v>помощ_за_домашно_изпълнение</v>
      </c>
      <c r="H3309" s="1" t="str">
        <f ca="1">IFERROR(__xludf.DUMMYFUNCTION("GOOGLETRANSLATE(English!H3309, ""en"", ""bg"")"),"помощ_за_домашно_задаване")</f>
        <v>помощ_за_домашно_задаване</v>
      </c>
    </row>
    <row r="3310" spans="1:8" ht="13.2" x14ac:dyDescent="0.25">
      <c r="A3310" s="1" t="str">
        <f ca="1">IFERROR(__xludf.DUMMYFUNCTION("GOOGLETRANSLATE(English!A3310, ""en"", ""bg"")"),"qa_00943")</f>
        <v>qa_00943</v>
      </c>
      <c r="B3310" s="1" t="str">
        <f ca="1">IFERROR(__xludf.DUMMYFUNCTION("GOOGLETRANSLATE(English!B3310, ""en"", ""bg"")"),"биология")</f>
        <v>биология</v>
      </c>
      <c r="C3310" s="1" t="str">
        <f ca="1">IFERROR(__xludf.DUMMYFUNCTION("GOOGLETRANSLATE(English!C3310, ""en"", ""bg"")"),"високо")</f>
        <v>високо</v>
      </c>
      <c r="D3310" s="1" t="str">
        <f ca="1">IFERROR(__xludf.DUMMYFUNCTION("GOOGLETRANSLATE(English!D3310, ""en"", ""bg"")"),"митоза и мейоза")</f>
        <v>митоза и мейоза</v>
      </c>
      <c r="E3310" s="1" t="str">
        <f ca="1">IFERROR(__xludf.DUMMYFUNCTION("GOOGLETRANSLATE(English!E3310, ""en"", ""bg"")"),"Защо митозата и мейозата са важни в биологията?")</f>
        <v>Защо митозата и мейозата са важни в биологията?</v>
      </c>
      <c r="F3310" s="1" t="str">
        <f ca="1">IFERROR(__xludf.DUMMYFUNCTION("GOOGLETRANSLATE(English!F3310,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3310" s="1" t="str">
        <f ca="1">IFERROR(__xludf.DUMMYFUNCTION("GOOGLETRANSLATE(English!G3310, ""en"", ""bg"")"),"direct_qa")</f>
        <v>direct_qa</v>
      </c>
      <c r="H3310" s="1" t="str">
        <f ca="1">IFERROR(__xludf.DUMMYFUNCTION("GOOGLETRANSLATE(English!H3310, ""en"", ""bg"")"),"заявка_за_знание")</f>
        <v>заявка_за_знание</v>
      </c>
    </row>
    <row r="3311" spans="1:8" ht="13.2" x14ac:dyDescent="0.25">
      <c r="A3311" s="1" t="str">
        <f ca="1">IFERROR(__xludf.DUMMYFUNCTION("GOOGLETRANSLATE(English!A3311, ""en"", ""bg"")"),"qa_14421")</f>
        <v>qa_14421</v>
      </c>
      <c r="B3311" s="1" t="str">
        <f ca="1">IFERROR(__xludf.DUMMYFUNCTION("GOOGLETRANSLATE(English!B3311, ""en"", ""bg"")"),"химия")</f>
        <v>химия</v>
      </c>
      <c r="C3311" s="1" t="str">
        <f ca="1">IFERROR(__xludf.DUMMYFUNCTION("GOOGLETRANSLATE(English!C3311, ""en"", ""bg"")"),"средата")</f>
        <v>средата</v>
      </c>
      <c r="D3311" s="1" t="str">
        <f ca="1">IFERROR(__xludf.DUMMYFUNCTION("GOOGLETRANSLATE(English!D3311, ""en"", ""bg"")"),"химични реакции")</f>
        <v>химични реакции</v>
      </c>
      <c r="E3311" s="1" t="str">
        <f ca="1">IFERROR(__xludf.DUMMYFUNCTION("GOOGLETRANSLATE(English!E3311, ""en"", ""bg"")"),"Какво е химична реакция?")</f>
        <v>Какво е химична реакция?</v>
      </c>
      <c r="F3311" s="1" t="str">
        <f ca="1">IFERROR(__xludf.DUMMYFUNCTION("GOOGLETRANSLATE(English!F3311,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3311" s="1" t="str">
        <f ca="1">IFERROR(__xludf.DUMMYFUNCTION("GOOGLETRANSLATE(English!G3311, ""en"", ""bg"")"),"direct_qa")</f>
        <v>direct_qa</v>
      </c>
      <c r="H3311" s="1" t="str">
        <f ca="1">IFERROR(__xludf.DUMMYFUNCTION("GOOGLETRANSLATE(English!H3311, ""en"", ""bg"")"),"заявка_за_знание")</f>
        <v>заявка_за_знание</v>
      </c>
    </row>
    <row r="3312" spans="1:8" ht="13.2" x14ac:dyDescent="0.25">
      <c r="A3312" s="1" t="str">
        <f ca="1">IFERROR(__xludf.DUMMYFUNCTION("GOOGLETRANSLATE(English!A3312, ""en"", ""bg"")"),"conv_02921")</f>
        <v>conv_02921</v>
      </c>
      <c r="B3312" s="1" t="str">
        <f ca="1">IFERROR(__xludf.DUMMYFUNCTION("GOOGLETRANSLATE(English!B3312, ""en"", ""bg"")"),"физика")</f>
        <v>физика</v>
      </c>
      <c r="C3312" s="1" t="str">
        <f ca="1">IFERROR(__xludf.DUMMYFUNCTION("GOOGLETRANSLATE(English!C3312, ""en"", ""bg"")"),"средата")</f>
        <v>средата</v>
      </c>
      <c r="D3312" s="1" t="str">
        <f ca="1">IFERROR(__xludf.DUMMYFUNCTION("GOOGLETRANSLATE(English!D3312, ""en"", ""bg"")"),"плътност")</f>
        <v>плътност</v>
      </c>
      <c r="E3312" s="1" t="str">
        <f ca="1">IFERROR(__xludf.DUMMYFUNCTION("GOOGLETRANSLATE(English!E3312, ""en"", ""bg"")"),"Помогнете ми да уча за теста си. Как работи плътността във физиката?")</f>
        <v>Помогнете ми да уча за теста си. Как работи плътността във физиката?</v>
      </c>
      <c r="F3312" s="1" t="str">
        <f ca="1">IFERROR(__xludf.DUMMYFUNCTION("GOOGLETRANSLATE(English!F3312,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3312" s="1" t="str">
        <f ca="1">IFERROR(__xludf.DUMMYFUNCTION("GOOGLETRANSLATE(English!G3312, ""en"", ""bg"")"),"разговор")</f>
        <v>разговор</v>
      </c>
      <c r="H3312" s="1" t="str">
        <f ca="1">IFERROR(__xludf.DUMMYFUNCTION("GOOGLETRANSLATE(English!H3312, ""en"", ""bg"")"),"образователна_помощ")</f>
        <v>образователна_помощ</v>
      </c>
    </row>
    <row r="3313" spans="1:8" ht="13.2" x14ac:dyDescent="0.25">
      <c r="A3313" s="1" t="str">
        <f ca="1">IFERROR(__xludf.DUMMYFUNCTION("GOOGLETRANSLATE(English!A3313, ""en"", ""bg"")"),"conv_05600")</f>
        <v>conv_05600</v>
      </c>
      <c r="B3313" s="1" t="str">
        <f ca="1">IFERROR(__xludf.DUMMYFUNCTION("GOOGLETRANSLATE(English!B3313, ""en"", ""bg"")"),"биология")</f>
        <v>биология</v>
      </c>
      <c r="C3313" s="1" t="str">
        <f ca="1">IFERROR(__xludf.DUMMYFUNCTION("GOOGLETRANSLATE(English!C3313, ""en"", ""bg"")"),"високо")</f>
        <v>високо</v>
      </c>
      <c r="D3313" s="1" t="str">
        <f ca="1">IFERROR(__xludf.DUMMYFUNCTION("GOOGLETRANSLATE(English!D3313, ""en"", ""bg"")"),"синтез на протеини")</f>
        <v>синтез на протеини</v>
      </c>
      <c r="E3313" s="1" t="str">
        <f ca="1">IFERROR(__xludf.DUMMYFUNCTION("GOOGLETRANSLATE(English!E3313, ""en"", ""bg"")"),"Имам научен въпрос. Какво е важно да знаем за синтеза на протеини?")</f>
        <v>Имам научен въпрос. Какво е важно да знаем за синтеза на протеини?</v>
      </c>
      <c r="F3313" s="1" t="str">
        <f ca="1">IFERROR(__xludf.DUMMYFUNCTION("GOOGLETRANSLATE(English!F3313,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3313" s="1" t="str">
        <f ca="1">IFERROR(__xludf.DUMMYFUNCTION("GOOGLETRANSLATE(English!G3313, ""en"", ""bg"")"),"разговор")</f>
        <v>разговор</v>
      </c>
      <c r="H3313" s="1" t="str">
        <f ca="1">IFERROR(__xludf.DUMMYFUNCTION("GOOGLETRANSLATE(English!H3313, ""en"", ""bg"")"),"образователна_помощ")</f>
        <v>образователна_помощ</v>
      </c>
    </row>
    <row r="3314" spans="1:8" ht="13.2" x14ac:dyDescent="0.25">
      <c r="A3314" s="1" t="str">
        <f ca="1">IFERROR(__xludf.DUMMYFUNCTION("GOOGLETRANSLATE(English!A3314, ""en"", ""bg"")"),"hw_11193")</f>
        <v>hw_11193</v>
      </c>
      <c r="B3314" s="1" t="str">
        <f ca="1">IFERROR(__xludf.DUMMYFUNCTION("GOOGLETRANSLATE(English!B3314, ""en"", ""bg"")"),"химия")</f>
        <v>химия</v>
      </c>
      <c r="C3314" s="1" t="str">
        <f ca="1">IFERROR(__xludf.DUMMYFUNCTION("GOOGLETRANSLATE(English!C3314, ""en"", ""bg"")"),"елементарен")</f>
        <v>елементарен</v>
      </c>
      <c r="D3314" s="1" t="str">
        <f ca="1">IFERROR(__xludf.DUMMYFUNCTION("GOOGLETRANSLATE(English!D3314, ""en"", ""bg"")"),"смесване на материали")</f>
        <v>смесване на материали</v>
      </c>
      <c r="E3314" s="1" t="str">
        <f ca="1">IFERROR(__xludf.DUMMYFUNCTION("GOOGLETRANSLATE(English!E3314, ""en"", ""bg"")"),"Моят доклад по химия е за смесване на материали. Помогнете ми да разбера.")</f>
        <v>Моят доклад по химия е за смесване на материали. Помогнете ми да разбера.</v>
      </c>
      <c r="F3314" s="1" t="str">
        <f ca="1">IFERROR(__xludf.DUMMYFUNCTION("GOOGLETRANSLATE(English!F3314,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314" s="1" t="str">
        <f ca="1">IFERROR(__xludf.DUMMYFUNCTION("GOOGLETRANSLATE(English!G3314, ""en"", ""bg"")"),"помощ_за_домашно_изпълнение")</f>
        <v>помощ_за_домашно_изпълнение</v>
      </c>
      <c r="H3314" s="1" t="str">
        <f ca="1">IFERROR(__xludf.DUMMYFUNCTION("GOOGLETRANSLATE(English!H3314, ""en"", ""bg"")"),"помощ_за_домашно_задаване")</f>
        <v>помощ_за_домашно_задаване</v>
      </c>
    </row>
    <row r="3315" spans="1:8" ht="13.2" x14ac:dyDescent="0.25">
      <c r="A3315" s="1" t="str">
        <f ca="1">IFERROR(__xludf.DUMMYFUNCTION("GOOGLETRANSLATE(English!A3315, ""en"", ""bg"")"),"conv_08294")</f>
        <v>conv_08294</v>
      </c>
      <c r="B3315" s="1" t="str">
        <f ca="1">IFERROR(__xludf.DUMMYFUNCTION("GOOGLETRANSLATE(English!B3315, ""en"", ""bg"")"),"химия")</f>
        <v>химия</v>
      </c>
      <c r="C3315" s="1" t="str">
        <f ca="1">IFERROR(__xludf.DUMMYFUNCTION("GOOGLETRANSLATE(English!C3315, ""en"", ""bg"")"),"средата")</f>
        <v>средата</v>
      </c>
      <c r="D3315" s="1" t="str">
        <f ca="1">IFERROR(__xludf.DUMMYFUNCTION("GOOGLETRANSLATE(English!D3315, ""en"", ""bg"")"),"съединения срещу елементи")</f>
        <v>съединения срещу елементи</v>
      </c>
      <c r="E3315" s="1" t="str">
        <f ca="1">IFERROR(__xludf.DUMMYFUNCTION("GOOGLETRANSLATE(English!E3315, ""en"", ""bg"")"),"Не разбирам тази тема. Как работят съединенията спрямо елементите в химията?")</f>
        <v>Не разбирам тази тема. Как работят съединенията спрямо елементите в химията?</v>
      </c>
      <c r="F3315" s="1" t="str">
        <f ca="1">IFERROR(__xludf.DUMMYFUNCTION("GOOGLETRANSLATE(English!F3315,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315" s="1" t="str">
        <f ca="1">IFERROR(__xludf.DUMMYFUNCTION("GOOGLETRANSLATE(English!G3315, ""en"", ""bg"")"),"разговор")</f>
        <v>разговор</v>
      </c>
      <c r="H3315" s="1" t="str">
        <f ca="1">IFERROR(__xludf.DUMMYFUNCTION("GOOGLETRANSLATE(English!H3315, ""en"", ""bg"")"),"образователна_помощ")</f>
        <v>образователна_помощ</v>
      </c>
    </row>
    <row r="3316" spans="1:8" ht="13.2" x14ac:dyDescent="0.25">
      <c r="A3316" s="1" t="str">
        <f ca="1">IFERROR(__xludf.DUMMYFUNCTION("GOOGLETRANSLATE(English!A3316, ""en"", ""bg"")"),"conv_18186")</f>
        <v>conv_18186</v>
      </c>
      <c r="B3316" s="1" t="str">
        <f ca="1">IFERROR(__xludf.DUMMYFUNCTION("GOOGLETRANSLATE(English!B3316, ""en"", ""bg"")"),"биология")</f>
        <v>биология</v>
      </c>
      <c r="C3316" s="1" t="str">
        <f ca="1">IFERROR(__xludf.DUMMYFUNCTION("GOOGLETRANSLATE(English!C3316, ""en"", ""bg"")"),"средата")</f>
        <v>средата</v>
      </c>
      <c r="D3316" s="1" t="str">
        <f ca="1">IFERROR(__xludf.DUMMYFUNCTION("GOOGLETRANSLATE(English!D3316, ""en"", ""bg"")"),"класификация")</f>
        <v>класификация</v>
      </c>
      <c r="E3316" s="1" t="str">
        <f ca="1">IFERROR(__xludf.DUMMYFUNCTION("GOOGLETRANSLATE(English!E3316, ""en"", ""bg"")"),"Не разбирам тази тема. Защо класификацията е важна в биологията?")</f>
        <v>Не разбирам тази тема. Защо класификацията е важна в биологията?</v>
      </c>
      <c r="F3316" s="1" t="str">
        <f ca="1">IFERROR(__xludf.DUMMYFUNCTION("GOOGLETRANSLATE(English!F3316,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3316" s="1" t="str">
        <f ca="1">IFERROR(__xludf.DUMMYFUNCTION("GOOGLETRANSLATE(English!G3316, ""en"", ""bg"")"),"разговор")</f>
        <v>разговор</v>
      </c>
      <c r="H3316" s="1" t="str">
        <f ca="1">IFERROR(__xludf.DUMMYFUNCTION("GOOGLETRANSLATE(English!H3316, ""en"", ""bg"")"),"образователна_помощ")</f>
        <v>образователна_помощ</v>
      </c>
    </row>
    <row r="3317" spans="1:8" ht="13.2" x14ac:dyDescent="0.25">
      <c r="A3317" s="1" t="str">
        <f ca="1">IFERROR(__xludf.DUMMYFUNCTION("GOOGLETRANSLATE(English!A3317, ""en"", ""bg"")"),"qa_06055")</f>
        <v>qa_06055</v>
      </c>
      <c r="B3317" s="1" t="str">
        <f ca="1">IFERROR(__xludf.DUMMYFUNCTION("GOOGLETRANSLATE(English!B3317, ""en"", ""bg"")"),"физика")</f>
        <v>физика</v>
      </c>
      <c r="C3317" s="1" t="str">
        <f ca="1">IFERROR(__xludf.DUMMYFUNCTION("GOOGLETRANSLATE(English!C3317, ""en"", ""bg"")"),"високо")</f>
        <v>високо</v>
      </c>
      <c r="D3317" s="1" t="str">
        <f ca="1">IFERROR(__xludf.DUMMYFUNCTION("GOOGLETRANSLATE(English!D3317, ""en"", ""bg"")"),"термодинамика")</f>
        <v>термодинамика</v>
      </c>
      <c r="E3317" s="1" t="str">
        <f ca="1">IFERROR(__xludf.DUMMYFUNCTION("GOOGLETRANSLATE(English!E3317, ""en"", ""bg"")"),"Какво трябва да знам за термодинамиката?")</f>
        <v>Какво трябва да знам за термодинамиката?</v>
      </c>
      <c r="F3317" s="1" t="str">
        <f ca="1">IFERROR(__xludf.DUMMYFUNCTION("GOOGLETRANSLATE(English!F3317,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3317" s="1" t="str">
        <f ca="1">IFERROR(__xludf.DUMMYFUNCTION("GOOGLETRANSLATE(English!G3317, ""en"", ""bg"")"),"direct_qa")</f>
        <v>direct_qa</v>
      </c>
      <c r="H3317" s="1" t="str">
        <f ca="1">IFERROR(__xludf.DUMMYFUNCTION("GOOGLETRANSLATE(English!H3317, ""en"", ""bg"")"),"заявка_за_знание")</f>
        <v>заявка_за_знание</v>
      </c>
    </row>
    <row r="3318" spans="1:8" ht="13.2" x14ac:dyDescent="0.25">
      <c r="A3318" s="1" t="str">
        <f ca="1">IFERROR(__xludf.DUMMYFUNCTION("GOOGLETRANSLATE(English!A3318, ""en"", ""bg"")"),"conv_00697")</f>
        <v>conv_00697</v>
      </c>
      <c r="B3318" s="1" t="str">
        <f ca="1">IFERROR(__xludf.DUMMYFUNCTION("GOOGLETRANSLATE(English!B3318, ""en"", ""bg"")"),"физика")</f>
        <v>физика</v>
      </c>
      <c r="C3318" s="1" t="str">
        <f ca="1">IFERROR(__xludf.DUMMYFUNCTION("GOOGLETRANSLATE(English!C3318, ""en"", ""bg"")"),"елементарен")</f>
        <v>елементарен</v>
      </c>
      <c r="D3318" s="1" t="str">
        <f ca="1">IFERROR(__xludf.DUMMYFUNCTION("GOOGLETRANSLATE(English!D3318, ""en"", ""bg"")"),"звук")</f>
        <v>звук</v>
      </c>
      <c r="E3318" s="1" t="str">
        <f ca="1">IFERROR(__xludf.DUMMYFUNCTION("GOOGLETRANSLATE(English!E3318, ""en"", ""bg"")"),"Можете ли да ми обясните това? Защо звукът е важен?")</f>
        <v>Можете ли да ми обясните това? Защо звукът е важен?</v>
      </c>
      <c r="F3318" s="1" t="str">
        <f ca="1">IFERROR(__xludf.DUMMYFUNCTION("GOOGLETRANSLATE(English!F3318,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3318" s="1" t="str">
        <f ca="1">IFERROR(__xludf.DUMMYFUNCTION("GOOGLETRANSLATE(English!G3318, ""en"", ""bg"")"),"разговор")</f>
        <v>разговор</v>
      </c>
      <c r="H3318" s="1" t="str">
        <f ca="1">IFERROR(__xludf.DUMMYFUNCTION("GOOGLETRANSLATE(English!H3318, ""en"", ""bg"")"),"образователна_помощ")</f>
        <v>образователна_помощ</v>
      </c>
    </row>
    <row r="3319" spans="1:8" ht="13.2" x14ac:dyDescent="0.25">
      <c r="A3319" s="1" t="str">
        <f ca="1">IFERROR(__xludf.DUMMYFUNCTION("GOOGLETRANSLATE(English!A3319, ""en"", ""bg"")"),"conv_00683")</f>
        <v>conv_00683</v>
      </c>
      <c r="B3319" s="1" t="str">
        <f ca="1">IFERROR(__xludf.DUMMYFUNCTION("GOOGLETRANSLATE(English!B3319, ""en"", ""bg"")"),"химия")</f>
        <v>химия</v>
      </c>
      <c r="C3319" s="1" t="str">
        <f ca="1">IFERROR(__xludf.DUMMYFUNCTION("GOOGLETRANSLATE(English!C3319, ""en"", ""bg"")"),"средата")</f>
        <v>средата</v>
      </c>
      <c r="D3319" s="1" t="str">
        <f ca="1">IFERROR(__xludf.DUMMYFUNCTION("GOOGLETRANSLATE(English!D3319, ""en"", ""bg"")"),"химични промени")</f>
        <v>химични промени</v>
      </c>
      <c r="E3319" s="1" t="str">
        <f ca="1">IFERROR(__xludf.DUMMYFUNCTION("GOOGLETRANSLATE(English!E3319, ""en"", ""bg"")"),"Имам нужда от помощ с домашното. Защо е важно да се изучават химичните промени?")</f>
        <v>Имам нужда от помощ с домашното. Защо е важно да се изучават химичните промени?</v>
      </c>
      <c r="F3319" s="1" t="str">
        <f ca="1">IFERROR(__xludf.DUMMYFUNCTION("GOOGLETRANSLATE(English!F3319,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3319" s="1" t="str">
        <f ca="1">IFERROR(__xludf.DUMMYFUNCTION("GOOGLETRANSLATE(English!G3319, ""en"", ""bg"")"),"разговор")</f>
        <v>разговор</v>
      </c>
      <c r="H3319" s="1" t="str">
        <f ca="1">IFERROR(__xludf.DUMMYFUNCTION("GOOGLETRANSLATE(English!H3319, ""en"", ""bg"")"),"образователна_помощ")</f>
        <v>образователна_помощ</v>
      </c>
    </row>
    <row r="3320" spans="1:8" ht="13.2" x14ac:dyDescent="0.25">
      <c r="A3320" s="1" t="str">
        <f ca="1">IFERROR(__xludf.DUMMYFUNCTION("GOOGLETRANSLATE(English!A3320, ""en"", ""bg"")"),"conv_05679")</f>
        <v>conv_05679</v>
      </c>
      <c r="B3320" s="1" t="str">
        <f ca="1">IFERROR(__xludf.DUMMYFUNCTION("GOOGLETRANSLATE(English!B3320, ""en"", ""bg"")"),"физика")</f>
        <v>физика</v>
      </c>
      <c r="C3320" s="1" t="str">
        <f ca="1">IFERROR(__xludf.DUMMYFUNCTION("GOOGLETRANSLATE(English!C3320, ""en"", ""bg"")"),"средата")</f>
        <v>средата</v>
      </c>
      <c r="D3320" s="1" t="str">
        <f ca="1">IFERROR(__xludf.DUMMYFUNCTION("GOOGLETRANSLATE(English!D3320, ""en"", ""bg"")"),"основи на електричеството")</f>
        <v>основи на електричеството</v>
      </c>
      <c r="E3320" s="1" t="str">
        <f ca="1">IFERROR(__xludf.DUMMYFUNCTION("GOOGLETRANSLATE(English!E3320, ""en"", ""bg"")"),"Можете ли да ми помогнете? Можете ли да ми обясните основите на електричеството?")</f>
        <v>Можете ли да ми помогнете? Можете ли да ми обясните основите на електричеството?</v>
      </c>
      <c r="F3320" s="1" t="str">
        <f ca="1">IFERROR(__xludf.DUMMYFUNCTION("GOOGLETRANSLATE(English!F3320,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3320" s="1" t="str">
        <f ca="1">IFERROR(__xludf.DUMMYFUNCTION("GOOGLETRANSLATE(English!G3320, ""en"", ""bg"")"),"разговор")</f>
        <v>разговор</v>
      </c>
      <c r="H3320" s="1" t="str">
        <f ca="1">IFERROR(__xludf.DUMMYFUNCTION("GOOGLETRANSLATE(English!H3320, ""en"", ""bg"")"),"образователна_помощ")</f>
        <v>образователна_помощ</v>
      </c>
    </row>
    <row r="3321" spans="1:8" ht="13.2" x14ac:dyDescent="0.25">
      <c r="A3321" s="1" t="str">
        <f ca="1">IFERROR(__xludf.DUMMYFUNCTION("GOOGLETRANSLATE(English!A3321, ""en"", ""bg"")"),"conv_04989")</f>
        <v>conv_04989</v>
      </c>
      <c r="B3321" s="1" t="str">
        <f ca="1">IFERROR(__xludf.DUMMYFUNCTION("GOOGLETRANSLATE(English!B3321, ""en"", ""bg"")"),"химия")</f>
        <v>химия</v>
      </c>
      <c r="C3321" s="1" t="str">
        <f ca="1">IFERROR(__xludf.DUMMYFUNCTION("GOOGLETRANSLATE(English!C3321, ""en"", ""bg"")"),"елементарен")</f>
        <v>елементарен</v>
      </c>
      <c r="D3321" s="1" t="str">
        <f ca="1">IFERROR(__xludf.DUMMYFUNCTION("GOOGLETRANSLATE(English!D3321, ""en"", ""bg"")"),"ежедневни химикали")</f>
        <v>ежедневни химикали</v>
      </c>
      <c r="E3321" s="1" t="str">
        <f ca="1">IFERROR(__xludf.DUMMYFUNCTION("GOOGLETRANSLATE(English!E3321, ""en"", ""bg"")"),"Здравей, преподавателю! Какво представляват ежедневните химикали?")</f>
        <v>Здравей, преподавателю! Какво представляват ежедневните химикали?</v>
      </c>
      <c r="F3321" s="1" t="str">
        <f ca="1">IFERROR(__xludf.DUMMYFUNCTION("GOOGLETRANSLATE(English!F3321,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3321" s="1" t="str">
        <f ca="1">IFERROR(__xludf.DUMMYFUNCTION("GOOGLETRANSLATE(English!G3321, ""en"", ""bg"")"),"разговор")</f>
        <v>разговор</v>
      </c>
      <c r="H3321" s="1" t="str">
        <f ca="1">IFERROR(__xludf.DUMMYFUNCTION("GOOGLETRANSLATE(English!H3321, ""en"", ""bg"")"),"образователна_помощ")</f>
        <v>образователна_помощ</v>
      </c>
    </row>
    <row r="3322" spans="1:8" ht="13.2" x14ac:dyDescent="0.25">
      <c r="A3322" s="1" t="str">
        <f ca="1">IFERROR(__xludf.DUMMYFUNCTION("GOOGLETRANSLATE(English!A3322, ""en"", ""bg"")"),"qa_01450")</f>
        <v>qa_01450</v>
      </c>
      <c r="B3322" s="1" t="str">
        <f ca="1">IFERROR(__xludf.DUMMYFUNCTION("GOOGLETRANSLATE(English!B3322, ""en"", ""bg"")"),"химия")</f>
        <v>химия</v>
      </c>
      <c r="C3322" s="1" t="str">
        <f ca="1">IFERROR(__xludf.DUMMYFUNCTION("GOOGLETRANSLATE(English!C3322, ""en"", ""bg"")"),"елементарен")</f>
        <v>елементарен</v>
      </c>
      <c r="D3322" s="1" t="str">
        <f ca="1">IFERROR(__xludf.DUMMYFUNCTION("GOOGLETRANSLATE(English!D3322, ""en"", ""bg"")"),"смесване на материали")</f>
        <v>смесване на материали</v>
      </c>
      <c r="E3322" s="1" t="str">
        <f ca="1">IFERROR(__xludf.DUMMYFUNCTION("GOOGLETRANSLATE(English!E3322, ""en"", ""bg"")"),"Какво е решение?")</f>
        <v>Какво е решение?</v>
      </c>
      <c r="F3322" s="1" t="str">
        <f ca="1">IFERROR(__xludf.DUMMYFUNCTION("GOOGLETRANSLATE(English!F3322,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3322" s="1" t="str">
        <f ca="1">IFERROR(__xludf.DUMMYFUNCTION("GOOGLETRANSLATE(English!G3322, ""en"", ""bg"")"),"direct_qa")</f>
        <v>direct_qa</v>
      </c>
      <c r="H3322" s="1" t="str">
        <f ca="1">IFERROR(__xludf.DUMMYFUNCTION("GOOGLETRANSLATE(English!H3322, ""en"", ""bg"")"),"заявка_за_знание")</f>
        <v>заявка_за_знание</v>
      </c>
    </row>
    <row r="3323" spans="1:8" ht="13.2" x14ac:dyDescent="0.25">
      <c r="A3323" s="1" t="str">
        <f ca="1">IFERROR(__xludf.DUMMYFUNCTION("GOOGLETRANSLATE(English!A3323, ""en"", ""bg"")"),"conv_19946")</f>
        <v>conv_19946</v>
      </c>
      <c r="B3323" s="1" t="str">
        <f ca="1">IFERROR(__xludf.DUMMYFUNCTION("GOOGLETRANSLATE(English!B3323, ""en"", ""bg"")"),"физика")</f>
        <v>физика</v>
      </c>
      <c r="C3323" s="1" t="str">
        <f ca="1">IFERROR(__xludf.DUMMYFUNCTION("GOOGLETRANSLATE(English!C3323, ""en"", ""bg"")"),"средата")</f>
        <v>средата</v>
      </c>
      <c r="D3323" s="1" t="str">
        <f ca="1">IFERROR(__xludf.DUMMYFUNCTION("GOOGLETRANSLATE(English!D3323, ""en"", ""bg"")"),"прости схеми")</f>
        <v>прости схеми</v>
      </c>
      <c r="E3323" s="1" t="str">
        <f ca="1">IFERROR(__xludf.DUMMYFUNCTION("GOOGLETRANSLATE(English!E3323, ""en"", ""bg"")"),"Не разбирам тази тема. Как работят прости електрически вериги във физиката?")</f>
        <v>Не разбирам тази тема. Как работят прости електрически вериги във физиката?</v>
      </c>
      <c r="F3323" s="1" t="str">
        <f ca="1">IFERROR(__xludf.DUMMYFUNCTION("GOOGLETRANSLATE(English!F3323,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3323" s="1" t="str">
        <f ca="1">IFERROR(__xludf.DUMMYFUNCTION("GOOGLETRANSLATE(English!G3323, ""en"", ""bg"")"),"разговор")</f>
        <v>разговор</v>
      </c>
      <c r="H3323" s="1" t="str">
        <f ca="1">IFERROR(__xludf.DUMMYFUNCTION("GOOGLETRANSLATE(English!H3323, ""en"", ""bg"")"),"образователна_помощ")</f>
        <v>образователна_помощ</v>
      </c>
    </row>
    <row r="3324" spans="1:8" ht="13.2" x14ac:dyDescent="0.25">
      <c r="A3324" s="1" t="str">
        <f ca="1">IFERROR(__xludf.DUMMYFUNCTION("GOOGLETRANSLATE(English!A3324, ""en"", ""bg"")"),"conv_07344")</f>
        <v>conv_07344</v>
      </c>
      <c r="B3324" s="1" t="str">
        <f ca="1">IFERROR(__xludf.DUMMYFUNCTION("GOOGLETRANSLATE(English!B3324, ""en"", ""bg"")"),"физика")</f>
        <v>физика</v>
      </c>
      <c r="C3324" s="1" t="str">
        <f ca="1">IFERROR(__xludf.DUMMYFUNCTION("GOOGLETRANSLATE(English!C3324, ""en"", ""bg"")"),"елементарен")</f>
        <v>елементарен</v>
      </c>
      <c r="D3324" s="1" t="str">
        <f ca="1">IFERROR(__xludf.DUMMYFUNCTION("GOOGLETRANSLATE(English!D3324, ""en"", ""bg"")"),"светлина и сянка")</f>
        <v>светлина и сянка</v>
      </c>
      <c r="E3324" s="1" t="str">
        <f ca="1">IFERROR(__xludf.DUMMYFUNCTION("GOOGLETRANSLATE(English!E3324, ""en"", ""bg"")"),"Здравей, преподавателю! Какво е светлина?")</f>
        <v>Здравей, преподавателю! Какво е светлина?</v>
      </c>
      <c r="F3324" s="1" t="str">
        <f ca="1">IFERROR(__xludf.DUMMYFUNCTION("GOOGLETRANSLATE(English!F3324,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3324" s="1" t="str">
        <f ca="1">IFERROR(__xludf.DUMMYFUNCTION("GOOGLETRANSLATE(English!G3324, ""en"", ""bg"")"),"разговор")</f>
        <v>разговор</v>
      </c>
      <c r="H3324" s="1" t="str">
        <f ca="1">IFERROR(__xludf.DUMMYFUNCTION("GOOGLETRANSLATE(English!H3324, ""en"", ""bg"")"),"образователна_помощ")</f>
        <v>образователна_помощ</v>
      </c>
    </row>
    <row r="3325" spans="1:8" ht="13.2" x14ac:dyDescent="0.25">
      <c r="A3325" s="1" t="str">
        <f ca="1">IFERROR(__xludf.DUMMYFUNCTION("GOOGLETRANSLATE(English!A3325, ""en"", ""bg"")"),"hw_05115")</f>
        <v>hw_05115</v>
      </c>
      <c r="B3325" s="1" t="str">
        <f ca="1">IFERROR(__xludf.DUMMYFUNCTION("GOOGLETRANSLATE(English!B3325, ""en"", ""bg"")"),"химия")</f>
        <v>химия</v>
      </c>
      <c r="C3325" s="1" t="str">
        <f ca="1">IFERROR(__xludf.DUMMYFUNCTION("GOOGLETRANSLATE(English!C3325, ""en"", ""bg"")"),"високо")</f>
        <v>високо</v>
      </c>
      <c r="D3325" s="1" t="str">
        <f ca="1">IFERROR(__xludf.DUMMYFUNCTION("GOOGLETRANSLATE(English!D3325, ""en"", ""bg"")"),"стехиометрия")</f>
        <v>стехиометрия</v>
      </c>
      <c r="E3325" s="1" t="str">
        <f ca="1">IFERROR(__xludf.DUMMYFUNCTION("GOOGLETRANSLATE(English!E3325, ""en"", ""bg"")"),"Можете ли да ми помогнете със стехиометричните изчисления?")</f>
        <v>Можете ли да ми помогнете със стехиометричните изчисления?</v>
      </c>
      <c r="F3325" s="1" t="str">
        <f ca="1">IFERROR(__xludf.DUMMYFUNCTION("GOOGLETRANSLATE(English!F3325,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3325" s="1" t="str">
        <f ca="1">IFERROR(__xludf.DUMMYFUNCTION("GOOGLETRANSLATE(English!G3325, ""en"", ""bg"")"),"помощ_за_домашно_изпълнение")</f>
        <v>помощ_за_домашно_изпълнение</v>
      </c>
      <c r="H3325" s="1" t="str">
        <f ca="1">IFERROR(__xludf.DUMMYFUNCTION("GOOGLETRANSLATE(English!H3325, ""en"", ""bg"")"),"помощ_за_домашно_задаване")</f>
        <v>помощ_за_домашно_задаване</v>
      </c>
    </row>
    <row r="3326" spans="1:8" ht="13.2" x14ac:dyDescent="0.25">
      <c r="A3326" s="1" t="str">
        <f ca="1">IFERROR(__xludf.DUMMYFUNCTION("GOOGLETRANSLATE(English!A3326, ""en"", ""bg"")"),"hw_08173")</f>
        <v>hw_08173</v>
      </c>
      <c r="B3326" s="1" t="str">
        <f ca="1">IFERROR(__xludf.DUMMYFUNCTION("GOOGLETRANSLATE(English!B3326, ""en"", ""bg"")"),"биология")</f>
        <v>биология</v>
      </c>
      <c r="C3326" s="1" t="str">
        <f ca="1">IFERROR(__xludf.DUMMYFUNCTION("GOOGLETRANSLATE(English!C3326, ""en"", ""bg"")"),"средата")</f>
        <v>средата</v>
      </c>
      <c r="D3326" s="1" t="str">
        <f ca="1">IFERROR(__xludf.DUMMYFUNCTION("GOOGLETRANSLATE(English!D3326, ""en"", ""bg"")"),"дишане")</f>
        <v>дишане</v>
      </c>
      <c r="E3326" s="1" t="str">
        <f ca="1">IFERROR(__xludf.DUMMYFUNCTION("GOOGLETRANSLATE(English!E3326, ""en"", ""bg"")"),"Домашното ми пита за дишането. Не го разбирам.")</f>
        <v>Домашното ми пита за дишането. Не го разбирам.</v>
      </c>
      <c r="F3326" s="1" t="str">
        <f ca="1">IFERROR(__xludf.DUMMYFUNCTION("GOOGLETRANSLATE(English!F3326,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3326" s="1" t="str">
        <f ca="1">IFERROR(__xludf.DUMMYFUNCTION("GOOGLETRANSLATE(English!G3326, ""en"", ""bg"")"),"помощ_за_домашно_изпълнение")</f>
        <v>помощ_за_домашно_изпълнение</v>
      </c>
      <c r="H3326" s="1" t="str">
        <f ca="1">IFERROR(__xludf.DUMMYFUNCTION("GOOGLETRANSLATE(English!H3326, ""en"", ""bg"")"),"помощ_за_домашно_задаване")</f>
        <v>помощ_за_домашно_задаване</v>
      </c>
    </row>
    <row r="3327" spans="1:8" ht="13.2" x14ac:dyDescent="0.25">
      <c r="A3327" s="1" t="str">
        <f ca="1">IFERROR(__xludf.DUMMYFUNCTION("GOOGLETRANSLATE(English!A3327, ""en"", ""bg"")"),"hw_06527")</f>
        <v>hw_06527</v>
      </c>
      <c r="B3327" s="1" t="str">
        <f ca="1">IFERROR(__xludf.DUMMYFUNCTION("GOOGLETRANSLATE(English!B3327, ""en"", ""bg"")"),"химия")</f>
        <v>химия</v>
      </c>
      <c r="C3327" s="1" t="str">
        <f ca="1">IFERROR(__xludf.DUMMYFUNCTION("GOOGLETRANSLATE(English!C3327, ""en"", ""bg"")"),"високо")</f>
        <v>високо</v>
      </c>
      <c r="D3327" s="1" t="str">
        <f ca="1">IFERROR(__xludf.DUMMYFUNCTION("GOOGLETRANSLATE(English!D3327, ""en"", ""bg"")"),"химическо свързване")</f>
        <v>химическо свързване</v>
      </c>
      <c r="E3327" s="1" t="str">
        <f ca="1">IFERROR(__xludf.DUMMYFUNCTION("GOOGLETRANSLATE(English!E3327,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3327" s="1" t="str">
        <f ca="1">IFERROR(__xludf.DUMMYFUNCTION("GOOGLETRANSLATE(English!F3327,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327" s="1" t="str">
        <f ca="1">IFERROR(__xludf.DUMMYFUNCTION("GOOGLETRANSLATE(English!G3327, ""en"", ""bg"")"),"помощ_за_домашно_изпълнение")</f>
        <v>помощ_за_домашно_изпълнение</v>
      </c>
      <c r="H3327" s="1" t="str">
        <f ca="1">IFERROR(__xludf.DUMMYFUNCTION("GOOGLETRANSLATE(English!H3327, ""en"", ""bg"")"),"помощ_за_домашно_задаване")</f>
        <v>помощ_за_домашно_задаване</v>
      </c>
    </row>
    <row r="3328" spans="1:8" ht="13.2" x14ac:dyDescent="0.25">
      <c r="A3328" s="1" t="str">
        <f ca="1">IFERROR(__xludf.DUMMYFUNCTION("GOOGLETRANSLATE(English!A3328, ""en"", ""bg"")"),"conv_02378")</f>
        <v>conv_02378</v>
      </c>
      <c r="B3328" s="1" t="str">
        <f ca="1">IFERROR(__xludf.DUMMYFUNCTION("GOOGLETRANSLATE(English!B3328, ""en"", ""bg"")"),"физика")</f>
        <v>физика</v>
      </c>
      <c r="C3328" s="1" t="str">
        <f ca="1">IFERROR(__xludf.DUMMYFUNCTION("GOOGLETRANSLATE(English!C3328, ""en"", ""bg"")"),"елементарен")</f>
        <v>елементарен</v>
      </c>
      <c r="D3328" s="1" t="str">
        <f ca="1">IFERROR(__xludf.DUMMYFUNCTION("GOOGLETRANSLATE(English!D3328, ""en"", ""bg"")"),"прости машини")</f>
        <v>прости машини</v>
      </c>
      <c r="E3328" s="1" t="str">
        <f ca="1">IFERROR(__xludf.DUMMYFUNCTION("GOOGLETRANSLATE(English!E3328, ""en"", ""bg"")"),"Помогнете ми да уча за теста. Можете ли да ми обясните прости машини?")</f>
        <v>Помогнете ми да уча за теста. Можете ли да ми обясните прости машини?</v>
      </c>
      <c r="F3328" s="1" t="str">
        <f ca="1">IFERROR(__xludf.DUMMYFUNCTION("GOOGLETRANSLATE(English!F3328,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3328" s="1" t="str">
        <f ca="1">IFERROR(__xludf.DUMMYFUNCTION("GOOGLETRANSLATE(English!G3328, ""en"", ""bg"")"),"разговор")</f>
        <v>разговор</v>
      </c>
      <c r="H3328" s="1" t="str">
        <f ca="1">IFERROR(__xludf.DUMMYFUNCTION("GOOGLETRANSLATE(English!H3328, ""en"", ""bg"")"),"образователна_помощ")</f>
        <v>образователна_помощ</v>
      </c>
    </row>
    <row r="3329" spans="1:8" ht="13.2" x14ac:dyDescent="0.25">
      <c r="A3329" s="1" t="str">
        <f ca="1">IFERROR(__xludf.DUMMYFUNCTION("GOOGLETRANSLATE(English!A3329, ""en"", ""bg"")"),"conv_01859")</f>
        <v>conv_01859</v>
      </c>
      <c r="B3329" s="1" t="str">
        <f ca="1">IFERROR(__xludf.DUMMYFUNCTION("GOOGLETRANSLATE(English!B3329, ""en"", ""bg"")"),"биология")</f>
        <v>биология</v>
      </c>
      <c r="C3329" s="1" t="str">
        <f ca="1">IFERROR(__xludf.DUMMYFUNCTION("GOOGLETRANSLATE(English!C3329, ""en"", ""bg"")"),"високо")</f>
        <v>високо</v>
      </c>
      <c r="D3329" s="1" t="str">
        <f ca="1">IFERROR(__xludf.DUMMYFUNCTION("GOOGLETRANSLATE(English!D3329, ""en"", ""bg"")"),"синтез на протеини")</f>
        <v>синтез на протеини</v>
      </c>
      <c r="E3329" s="1" t="str">
        <f ca="1">IFERROR(__xludf.DUMMYFUNCTION("GOOGLETRANSLATE(English!E3329, ""en"", ""bg"")"),"Не разбирам тази тема. Защо синтезът на протеини е важен в биологията?")</f>
        <v>Не разбирам тази тема. Защо синтезът на протеини е важен в биологията?</v>
      </c>
      <c r="F3329" s="1" t="str">
        <f ca="1">IFERROR(__xludf.DUMMYFUNCTION("GOOGLETRANSLATE(English!F3329,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3329" s="1" t="str">
        <f ca="1">IFERROR(__xludf.DUMMYFUNCTION("GOOGLETRANSLATE(English!G3329, ""en"", ""bg"")"),"разговор")</f>
        <v>разговор</v>
      </c>
      <c r="H3329" s="1" t="str">
        <f ca="1">IFERROR(__xludf.DUMMYFUNCTION("GOOGLETRANSLATE(English!H3329, ""en"", ""bg"")"),"образователна_помощ")</f>
        <v>образователна_помощ</v>
      </c>
    </row>
    <row r="3330" spans="1:8" ht="13.2" x14ac:dyDescent="0.25">
      <c r="A3330" s="1" t="str">
        <f ca="1">IFERROR(__xludf.DUMMYFUNCTION("GOOGLETRANSLATE(English!A3330, ""en"", ""bg"")"),"conv_12594")</f>
        <v>conv_12594</v>
      </c>
      <c r="B3330" s="1" t="str">
        <f ca="1">IFERROR(__xludf.DUMMYFUNCTION("GOOGLETRANSLATE(English!B3330, ""en"", ""bg"")"),"химия")</f>
        <v>химия</v>
      </c>
      <c r="C3330" s="1" t="str">
        <f ca="1">IFERROR(__xludf.DUMMYFUNCTION("GOOGLETRANSLATE(English!C3330, ""en"", ""bg"")"),"високо")</f>
        <v>високо</v>
      </c>
      <c r="D3330" s="1" t="str">
        <f ca="1">IFERROR(__xludf.DUMMYFUNCTION("GOOGLETRANSLATE(English!D3330, ""en"", ""bg"")"),"химическо свързване")</f>
        <v>химическо свързване</v>
      </c>
      <c r="E3330" s="1" t="str">
        <f ca="1">IFERROR(__xludf.DUMMYFUNCTION("GOOGLETRANSLATE(English!E3330, ""en"", ""bg"")"),"Помогнете ми да уча за теста. Можете ли да ми помогнете да разбера химичните връзки?")</f>
        <v>Помогнете ми да уча за теста. Можете ли да ми помогнете да разбера химичните връзки?</v>
      </c>
      <c r="F3330" s="1" t="str">
        <f ca="1">IFERROR(__xludf.DUMMYFUNCTION("GOOGLETRANSLATE(English!F3330,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3330" s="1" t="str">
        <f ca="1">IFERROR(__xludf.DUMMYFUNCTION("GOOGLETRANSLATE(English!G3330, ""en"", ""bg"")"),"разговор")</f>
        <v>разговор</v>
      </c>
      <c r="H3330" s="1" t="str">
        <f ca="1">IFERROR(__xludf.DUMMYFUNCTION("GOOGLETRANSLATE(English!H3330, ""en"", ""bg"")"),"образователна_помощ")</f>
        <v>образователна_помощ</v>
      </c>
    </row>
    <row r="3331" spans="1:8" ht="13.2" x14ac:dyDescent="0.25">
      <c r="A3331" s="1" t="str">
        <f ca="1">IFERROR(__xludf.DUMMYFUNCTION("GOOGLETRANSLATE(English!A3331, ""en"", ""bg"")"),"hw_00021")</f>
        <v>hw_00021</v>
      </c>
      <c r="B3331" s="1" t="str">
        <f ca="1">IFERROR(__xludf.DUMMYFUNCTION("GOOGLETRANSLATE(English!B3331, ""en"", ""bg"")"),"физика")</f>
        <v>физика</v>
      </c>
      <c r="C3331" s="1" t="str">
        <f ca="1">IFERROR(__xludf.DUMMYFUNCTION("GOOGLETRANSLATE(English!C3331, ""en"", ""bg"")"),"високо")</f>
        <v>високо</v>
      </c>
      <c r="D3331" s="1" t="str">
        <f ca="1">IFERROR(__xludf.DUMMYFUNCTION("GOOGLETRANSLATE(English!D3331, ""en"", ""bg"")"),"атомна структура")</f>
        <v>атомна структура</v>
      </c>
      <c r="E3331" s="1" t="str">
        <f ca="1">IFERROR(__xludf.DUMMYFUNCTION("GOOGLETRANSLATE(English!E3331, ""en"", ""bg"")"),"Домашното ми по физика е за атомната структура. Объркващо е!")</f>
        <v>Домашното ми по физика е за атомната структура. Объркващо е!</v>
      </c>
      <c r="F3331" s="1" t="str">
        <f ca="1">IFERROR(__xludf.DUMMYFUNCTION("GOOGLETRANSLATE(English!F3331,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3331" s="1" t="str">
        <f ca="1">IFERROR(__xludf.DUMMYFUNCTION("GOOGLETRANSLATE(English!G3331, ""en"", ""bg"")"),"помощ_за_домашно_изпълнение")</f>
        <v>помощ_за_домашно_изпълнение</v>
      </c>
      <c r="H3331" s="1" t="str">
        <f ca="1">IFERROR(__xludf.DUMMYFUNCTION("GOOGLETRANSLATE(English!H3331, ""en"", ""bg"")"),"помощ_за_домашно_задаване")</f>
        <v>помощ_за_домашно_задаване</v>
      </c>
    </row>
    <row r="3332" spans="1:8" ht="13.2" x14ac:dyDescent="0.25">
      <c r="A3332" s="1" t="str">
        <f ca="1">IFERROR(__xludf.DUMMYFUNCTION("GOOGLETRANSLATE(English!A3332, ""en"", ""bg"")"),"qa_05534")</f>
        <v>qa_05534</v>
      </c>
      <c r="B3332" s="1" t="str">
        <f ca="1">IFERROR(__xludf.DUMMYFUNCTION("GOOGLETRANSLATE(English!B3332, ""en"", ""bg"")"),"физика")</f>
        <v>физика</v>
      </c>
      <c r="C3332" s="1" t="str">
        <f ca="1">IFERROR(__xludf.DUMMYFUNCTION("GOOGLETRANSLATE(English!C3332, ""en"", ""bg"")"),"високо")</f>
        <v>високо</v>
      </c>
      <c r="D3332" s="1" t="str">
        <f ca="1">IFERROR(__xludf.DUMMYFUNCTION("GOOGLETRANSLATE(English!D3332, ""en"", ""bg"")"),"електромагнетизъм")</f>
        <v>електромагнетизъм</v>
      </c>
      <c r="E3332" s="1" t="str">
        <f ca="1">IFERROR(__xludf.DUMMYFUNCTION("GOOGLETRANSLATE(English!E3332, ""en"", ""bg"")"),"Какво трябва да знам за електромагнетизма?")</f>
        <v>Какво трябва да знам за електромагнетизма?</v>
      </c>
      <c r="F3332" s="1" t="str">
        <f ca="1">IFERROR(__xludf.DUMMYFUNCTION("GOOGLETRANSLATE(English!F3332,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3332" s="1" t="str">
        <f ca="1">IFERROR(__xludf.DUMMYFUNCTION("GOOGLETRANSLATE(English!G3332, ""en"", ""bg"")"),"direct_qa")</f>
        <v>direct_qa</v>
      </c>
      <c r="H3332" s="1" t="str">
        <f ca="1">IFERROR(__xludf.DUMMYFUNCTION("GOOGLETRANSLATE(English!H3332, ""en"", ""bg"")"),"заявка_за_знание")</f>
        <v>заявка_за_знание</v>
      </c>
    </row>
    <row r="3333" spans="1:8" ht="13.2" x14ac:dyDescent="0.25">
      <c r="A3333" s="1" t="str">
        <f ca="1">IFERROR(__xludf.DUMMYFUNCTION("GOOGLETRANSLATE(English!A3333, ""en"", ""bg"")"),"conv_18443")</f>
        <v>conv_18443</v>
      </c>
      <c r="B3333" s="1" t="str">
        <f ca="1">IFERROR(__xludf.DUMMYFUNCTION("GOOGLETRANSLATE(English!B3333, ""en"", ""bg"")"),"физика")</f>
        <v>физика</v>
      </c>
      <c r="C3333" s="1" t="str">
        <f ca="1">IFERROR(__xludf.DUMMYFUNCTION("GOOGLETRANSLATE(English!C3333, ""en"", ""bg"")"),"високо")</f>
        <v>високо</v>
      </c>
      <c r="D3333" s="1" t="str">
        <f ca="1">IFERROR(__xludf.DUMMYFUNCTION("GOOGLETRANSLATE(English!D3333, ""en"", ""bg"")"),"радиоактивност")</f>
        <v>радиоактивност</v>
      </c>
      <c r="E3333" s="1" t="str">
        <f ca="1">IFERROR(__xludf.DUMMYFUNCTION("GOOGLETRANSLATE(English!E3333, ""en"", ""bg"")"),"Можете ли да ми помогнете? Какво трябва да знам за радиоактивността?")</f>
        <v>Можете ли да ми помогнете? Какво трябва да знам за радиоактивността?</v>
      </c>
      <c r="F3333" s="1" t="str">
        <f ca="1">IFERROR(__xludf.DUMMYFUNCTION("GOOGLETRANSLATE(English!F3333,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3333" s="1" t="str">
        <f ca="1">IFERROR(__xludf.DUMMYFUNCTION("GOOGLETRANSLATE(English!G3333, ""en"", ""bg"")"),"разговор")</f>
        <v>разговор</v>
      </c>
      <c r="H3333" s="1" t="str">
        <f ca="1">IFERROR(__xludf.DUMMYFUNCTION("GOOGLETRANSLATE(English!H3333, ""en"", ""bg"")"),"образователна_помощ")</f>
        <v>образователна_помощ</v>
      </c>
    </row>
    <row r="3334" spans="1:8" ht="13.2" x14ac:dyDescent="0.25">
      <c r="A3334" s="1" t="str">
        <f ca="1">IFERROR(__xludf.DUMMYFUNCTION("GOOGLETRANSLATE(English!A3334, ""en"", ""bg"")"),"hw_02197")</f>
        <v>hw_02197</v>
      </c>
      <c r="B3334" s="1" t="str">
        <f ca="1">IFERROR(__xludf.DUMMYFUNCTION("GOOGLETRANSLATE(English!B3334, ""en"", ""bg"")"),"физика")</f>
        <v>физика</v>
      </c>
      <c r="C3334" s="1" t="str">
        <f ca="1">IFERROR(__xludf.DUMMYFUNCTION("GOOGLETRANSLATE(English!C3334, ""en"", ""bg"")"),"средата")</f>
        <v>средата</v>
      </c>
      <c r="D3334" s="1" t="str">
        <f ca="1">IFERROR(__xludf.DUMMYFUNCTION("GOOGLETRANSLATE(English!D3334, ""en"", ""bg"")"),"прости схеми")</f>
        <v>прости схеми</v>
      </c>
      <c r="E3334" s="1" t="str">
        <f ca="1">IFERROR(__xludf.DUMMYFUNCTION("GOOGLETRANSLATE(English!E3334, ""en"", ""bg"")"),"Трябва да разбирам прости електрически схеми за изпита си.")</f>
        <v>Трябва да разбирам прости електрически схеми за изпита си.</v>
      </c>
      <c r="F3334" s="1" t="str">
        <f ca="1">IFERROR(__xludf.DUMMYFUNCTION("GOOGLETRANSLATE(English!F3334,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334" s="1" t="str">
        <f ca="1">IFERROR(__xludf.DUMMYFUNCTION("GOOGLETRANSLATE(English!G3334, ""en"", ""bg"")"),"помощ_за_домашно_изпълнение")</f>
        <v>помощ_за_домашно_изпълнение</v>
      </c>
      <c r="H3334" s="1" t="str">
        <f ca="1">IFERROR(__xludf.DUMMYFUNCTION("GOOGLETRANSLATE(English!H3334, ""en"", ""bg"")"),"помощ_за_домашно_задаване")</f>
        <v>помощ_за_домашно_задаване</v>
      </c>
    </row>
    <row r="3335" spans="1:8" ht="13.2" x14ac:dyDescent="0.25">
      <c r="A3335" s="1" t="str">
        <f ca="1">IFERROR(__xludf.DUMMYFUNCTION("GOOGLETRANSLATE(English!A3335, ""en"", ""bg"")"),"qa_04940")</f>
        <v>qa_04940</v>
      </c>
      <c r="B3335" s="1" t="str">
        <f ca="1">IFERROR(__xludf.DUMMYFUNCTION("GOOGLETRANSLATE(English!B3335, ""en"", ""bg"")"),"химия")</f>
        <v>химия</v>
      </c>
      <c r="C3335" s="1" t="str">
        <f ca="1">IFERROR(__xludf.DUMMYFUNCTION("GOOGLETRANSLATE(English!C3335, ""en"", ""bg"")"),"високо")</f>
        <v>високо</v>
      </c>
      <c r="D3335" s="1" t="str">
        <f ca="1">IFERROR(__xludf.DUMMYFUNCTION("GOOGLETRANSLATE(English!D3335, ""en"", ""bg"")"),"равновесие")</f>
        <v>равновесие</v>
      </c>
      <c r="E3335" s="1" t="str">
        <f ca="1">IFERROR(__xludf.DUMMYFUNCTION("GOOGLETRANSLATE(English!E3335, ""en"", ""bg"")"),"Можете ли да ми помогнете да разбера какво е равновесие?")</f>
        <v>Можете ли да ми помогнете да разбера какво е равновесие?</v>
      </c>
      <c r="F3335" s="1" t="str">
        <f ca="1">IFERROR(__xludf.DUMMYFUNCTION("GOOGLETRANSLATE(English!F3335,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3335" s="1" t="str">
        <f ca="1">IFERROR(__xludf.DUMMYFUNCTION("GOOGLETRANSLATE(English!G3335, ""en"", ""bg"")"),"direct_qa")</f>
        <v>direct_qa</v>
      </c>
      <c r="H3335" s="1" t="str">
        <f ca="1">IFERROR(__xludf.DUMMYFUNCTION("GOOGLETRANSLATE(English!H3335, ""en"", ""bg"")"),"заявка_за_знание")</f>
        <v>заявка_за_знание</v>
      </c>
    </row>
    <row r="3336" spans="1:8" ht="13.2" x14ac:dyDescent="0.25">
      <c r="A3336" s="1" t="str">
        <f ca="1">IFERROR(__xludf.DUMMYFUNCTION("GOOGLETRANSLATE(English!A3336, ""en"", ""bg"")"),"qa_11090")</f>
        <v>qa_11090</v>
      </c>
      <c r="B3336" s="1" t="str">
        <f ca="1">IFERROR(__xludf.DUMMYFUNCTION("GOOGLETRANSLATE(English!B3336, ""en"", ""bg"")"),"биология")</f>
        <v>биология</v>
      </c>
      <c r="C3336" s="1" t="str">
        <f ca="1">IFERROR(__xludf.DUMMYFUNCTION("GOOGLETRANSLATE(English!C3336, ""en"", ""bg"")"),"високо")</f>
        <v>високо</v>
      </c>
      <c r="D3336" s="1" t="str">
        <f ca="1">IFERROR(__xludf.DUMMYFUNCTION("GOOGLETRANSLATE(English!D3336, ""en"", ""bg"")"),"молекулярна биология")</f>
        <v>молекулярна биология</v>
      </c>
      <c r="E3336" s="1" t="str">
        <f ca="1">IFERROR(__xludf.DUMMYFUNCTION("GOOGLETRANSLATE(English!E3336, ""en"", ""bg"")"),"Как работи молекулярната биология?")</f>
        <v>Как работи молекулярната биология?</v>
      </c>
      <c r="F3336" s="1" t="str">
        <f ca="1">IFERROR(__xludf.DUMMYFUNCTION("GOOGLETRANSLATE(English!F3336,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3336" s="1" t="str">
        <f ca="1">IFERROR(__xludf.DUMMYFUNCTION("GOOGLETRANSLATE(English!G3336, ""en"", ""bg"")"),"direct_qa")</f>
        <v>direct_qa</v>
      </c>
      <c r="H3336" s="1" t="str">
        <f ca="1">IFERROR(__xludf.DUMMYFUNCTION("GOOGLETRANSLATE(English!H3336, ""en"", ""bg"")"),"заявка_за_знание")</f>
        <v>заявка_за_знание</v>
      </c>
    </row>
    <row r="3337" spans="1:8" ht="13.2" x14ac:dyDescent="0.25">
      <c r="A3337" s="1" t="str">
        <f ca="1">IFERROR(__xludf.DUMMYFUNCTION("GOOGLETRANSLATE(English!A3337, ""en"", ""bg"")"),"hw_03218")</f>
        <v>hw_03218</v>
      </c>
      <c r="B3337" s="1" t="str">
        <f ca="1">IFERROR(__xludf.DUMMYFUNCTION("GOOGLETRANSLATE(English!B3337, ""en"", ""bg"")"),"физика")</f>
        <v>физика</v>
      </c>
      <c r="C3337" s="1" t="str">
        <f ca="1">IFERROR(__xludf.DUMMYFUNCTION("GOOGLETRANSLATE(English!C3337, ""en"", ""bg"")"),"елементарен")</f>
        <v>елементарен</v>
      </c>
      <c r="D3337" s="1" t="str">
        <f ca="1">IFERROR(__xludf.DUMMYFUNCTION("GOOGLETRANSLATE(English!D3337, ""en"", ""bg"")"),"плаващ и потъващ")</f>
        <v>плаващ и потъващ</v>
      </c>
      <c r="E3337" s="1" t="str">
        <f ca="1">IFERROR(__xludf.DUMMYFUNCTION("GOOGLETRANSLATE(English!E3337, ""en"", ""bg"")"),"Трябва да разбера плаването и потъването за изпита си.")</f>
        <v>Трябва да разбера плаването и потъването за изпита си.</v>
      </c>
      <c r="F3337" s="1" t="str">
        <f ca="1">IFERROR(__xludf.DUMMYFUNCTION("GOOGLETRANSLATE(English!F3337,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337" s="1" t="str">
        <f ca="1">IFERROR(__xludf.DUMMYFUNCTION("GOOGLETRANSLATE(English!G3337, ""en"", ""bg"")"),"помощ_за_домашно_изпълнение")</f>
        <v>помощ_за_домашно_изпълнение</v>
      </c>
      <c r="H3337" s="1" t="str">
        <f ca="1">IFERROR(__xludf.DUMMYFUNCTION("GOOGLETRANSLATE(English!H3337, ""en"", ""bg"")"),"помощ_за_домашно_задаване")</f>
        <v>помощ_за_домашно_задаване</v>
      </c>
    </row>
    <row r="3338" spans="1:8" ht="13.2" x14ac:dyDescent="0.25">
      <c r="A3338" s="1" t="str">
        <f ca="1">IFERROR(__xludf.DUMMYFUNCTION("GOOGLETRANSLATE(English!A3338, ""en"", ""bg"")"),"qa_06429")</f>
        <v>qa_06429</v>
      </c>
      <c r="B3338" s="1" t="str">
        <f ca="1">IFERROR(__xludf.DUMMYFUNCTION("GOOGLETRANSLATE(English!B3338, ""en"", ""bg"")"),"физика")</f>
        <v>физика</v>
      </c>
      <c r="C3338" s="1" t="str">
        <f ca="1">IFERROR(__xludf.DUMMYFUNCTION("GOOGLETRANSLATE(English!C3338, ""en"", ""bg"")"),"високо")</f>
        <v>високо</v>
      </c>
      <c r="D3338" s="1" t="str">
        <f ca="1">IFERROR(__xludf.DUMMYFUNCTION("GOOGLETRANSLATE(English!D3338, ""en"", ""bg"")"),"радиоактивност")</f>
        <v>радиоактивност</v>
      </c>
      <c r="E3338" s="1" t="str">
        <f ca="1">IFERROR(__xludf.DUMMYFUNCTION("GOOGLETRANSLATE(English!E3338, ""en"", ""bg"")"),"Можете ли да ми обясните какво е радиоактивност?")</f>
        <v>Можете ли да ми обясните какво е радиоактивност?</v>
      </c>
      <c r="F3338" s="1" t="str">
        <f ca="1">IFERROR(__xludf.DUMMYFUNCTION("GOOGLETRANSLATE(English!F3338,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3338" s="1" t="str">
        <f ca="1">IFERROR(__xludf.DUMMYFUNCTION("GOOGLETRANSLATE(English!G3338, ""en"", ""bg"")"),"direct_qa")</f>
        <v>direct_qa</v>
      </c>
      <c r="H3338" s="1" t="str">
        <f ca="1">IFERROR(__xludf.DUMMYFUNCTION("GOOGLETRANSLATE(English!H3338, ""en"", ""bg"")"),"заявка_за_знание")</f>
        <v>заявка_за_знание</v>
      </c>
    </row>
    <row r="3339" spans="1:8" ht="13.2" x14ac:dyDescent="0.25">
      <c r="A3339" s="1" t="str">
        <f ca="1">IFERROR(__xludf.DUMMYFUNCTION("GOOGLETRANSLATE(English!A3339, ""en"", ""bg"")"),"qa_06597")</f>
        <v>qa_06597</v>
      </c>
      <c r="B3339" s="1" t="str">
        <f ca="1">IFERROR(__xludf.DUMMYFUNCTION("GOOGLETRANSLATE(English!B3339, ""en"", ""bg"")"),"физика")</f>
        <v>физика</v>
      </c>
      <c r="C3339" s="1" t="str">
        <f ca="1">IFERROR(__xludf.DUMMYFUNCTION("GOOGLETRANSLATE(English!C3339, ""en"", ""bg"")"),"елементарен")</f>
        <v>елементарен</v>
      </c>
      <c r="D3339" s="1" t="str">
        <f ca="1">IFERROR(__xludf.DUMMYFUNCTION("GOOGLETRANSLATE(English!D3339, ""en"", ""bg"")"),"светлина и сянка")</f>
        <v>светлина и сянка</v>
      </c>
      <c r="E3339" s="1" t="str">
        <f ca="1">IFERROR(__xludf.DUMMYFUNCTION("GOOGLETRANSLATE(English!E3339, ""en"", ""bg"")"),"Какво се случва, когато светлината попадне в огледало?")</f>
        <v>Какво се случва, когато светлината попадне в огледало?</v>
      </c>
      <c r="F3339" s="1" t="str">
        <f ca="1">IFERROR(__xludf.DUMMYFUNCTION("GOOGLETRANSLATE(English!F3339,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3339" s="1" t="str">
        <f ca="1">IFERROR(__xludf.DUMMYFUNCTION("GOOGLETRANSLATE(English!G3339, ""en"", ""bg"")"),"direct_qa")</f>
        <v>direct_qa</v>
      </c>
      <c r="H3339" s="1" t="str">
        <f ca="1">IFERROR(__xludf.DUMMYFUNCTION("GOOGLETRANSLATE(English!H3339, ""en"", ""bg"")"),"заявка_за_знание")</f>
        <v>заявка_за_знание</v>
      </c>
    </row>
    <row r="3340" spans="1:8" ht="13.2" x14ac:dyDescent="0.25">
      <c r="A3340" s="1" t="str">
        <f ca="1">IFERROR(__xludf.DUMMYFUNCTION("GOOGLETRANSLATE(English!A3340, ""en"", ""bg"")"),"conv_00911")</f>
        <v>conv_00911</v>
      </c>
      <c r="B3340" s="1" t="str">
        <f ca="1">IFERROR(__xludf.DUMMYFUNCTION("GOOGLETRANSLATE(English!B3340, ""en"", ""bg"")"),"биология")</f>
        <v>биология</v>
      </c>
      <c r="C3340" s="1" t="str">
        <f ca="1">IFERROR(__xludf.DUMMYFUNCTION("GOOGLETRANSLATE(English!C3340, ""en"", ""bg"")"),"високо")</f>
        <v>високо</v>
      </c>
      <c r="D3340" s="1" t="str">
        <f ca="1">IFERROR(__xludf.DUMMYFUNCTION("GOOGLETRANSLATE(English!D3340, ""en"", ""bg"")"),"митоза и мейоза")</f>
        <v>митоза и мейоза</v>
      </c>
      <c r="E3340" s="1" t="str">
        <f ca="1">IFERROR(__xludf.DUMMYFUNCTION("GOOGLETRANSLATE(English!E3340, ""en"", ""bg"")"),"Можете ли да ми помогнете? Какво е важно да знаем за митозата и мейозата?")</f>
        <v>Можете ли да ми помогнете? Какво е важно да знаем за митозата и мейозата?</v>
      </c>
      <c r="F3340" s="1" t="str">
        <f ca="1">IFERROR(__xludf.DUMMYFUNCTION("GOOGLETRANSLATE(English!F3340,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3340" s="1" t="str">
        <f ca="1">IFERROR(__xludf.DUMMYFUNCTION("GOOGLETRANSLATE(English!G3340, ""en"", ""bg"")"),"разговор")</f>
        <v>разговор</v>
      </c>
      <c r="H3340" s="1" t="str">
        <f ca="1">IFERROR(__xludf.DUMMYFUNCTION("GOOGLETRANSLATE(English!H3340, ""en"", ""bg"")"),"образователна_помощ")</f>
        <v>образователна_помощ</v>
      </c>
    </row>
    <row r="3341" spans="1:8" ht="13.2" x14ac:dyDescent="0.25">
      <c r="A3341" s="1" t="str">
        <f ca="1">IFERROR(__xludf.DUMMYFUNCTION("GOOGLETRANSLATE(English!A3341, ""en"", ""bg"")"),"qa_04443")</f>
        <v>qa_04443</v>
      </c>
      <c r="B3341" s="1" t="str">
        <f ca="1">IFERROR(__xludf.DUMMYFUNCTION("GOOGLETRANSLATE(English!B3341, ""en"", ""bg"")"),"физика")</f>
        <v>физика</v>
      </c>
      <c r="C3341" s="1" t="str">
        <f ca="1">IFERROR(__xludf.DUMMYFUNCTION("GOOGLETRANSLATE(English!C3341, ""en"", ""bg"")"),"елементарен")</f>
        <v>елементарен</v>
      </c>
      <c r="D3341" s="1" t="str">
        <f ca="1">IFERROR(__xludf.DUMMYFUNCTION("GOOGLETRANSLATE(English!D3341, ""en"", ""bg"")"),"звук")</f>
        <v>звук</v>
      </c>
      <c r="E3341" s="1" t="str">
        <f ca="1">IFERROR(__xludf.DUMMYFUNCTION("GOOGLETRANSLATE(English!E3341, ""en"", ""bg"")"),"Как работи звукът във физиката?")</f>
        <v>Как работи звукът във физиката?</v>
      </c>
      <c r="F3341" s="1" t="str">
        <f ca="1">IFERROR(__xludf.DUMMYFUNCTION("GOOGLETRANSLATE(English!F3341,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3341" s="1" t="str">
        <f ca="1">IFERROR(__xludf.DUMMYFUNCTION("GOOGLETRANSLATE(English!G3341, ""en"", ""bg"")"),"direct_qa")</f>
        <v>direct_qa</v>
      </c>
      <c r="H3341" s="1" t="str">
        <f ca="1">IFERROR(__xludf.DUMMYFUNCTION("GOOGLETRANSLATE(English!H3341, ""en"", ""bg"")"),"заявка_за_знание")</f>
        <v>заявка_за_знание</v>
      </c>
    </row>
    <row r="3342" spans="1:8" ht="13.2" x14ac:dyDescent="0.25">
      <c r="A3342" s="1" t="str">
        <f ca="1">IFERROR(__xludf.DUMMYFUNCTION("GOOGLETRANSLATE(English!A3342, ""en"", ""bg"")"),"qa_14491")</f>
        <v>qa_14491</v>
      </c>
      <c r="B3342" s="1" t="str">
        <f ca="1">IFERROR(__xludf.DUMMYFUNCTION("GOOGLETRANSLATE(English!B3342, ""en"", ""bg"")"),"физика")</f>
        <v>физика</v>
      </c>
      <c r="C3342" s="1" t="str">
        <f ca="1">IFERROR(__xludf.DUMMYFUNCTION("GOOGLETRANSLATE(English!C3342, ""en"", ""bg"")"),"средата")</f>
        <v>средата</v>
      </c>
      <c r="D3342" s="1" t="str">
        <f ca="1">IFERROR(__xludf.DUMMYFUNCTION("GOOGLETRANSLATE(English!D3342, ""en"", ""bg"")"),"плътност")</f>
        <v>плътност</v>
      </c>
      <c r="E3342" s="1" t="str">
        <f ca="1">IFERROR(__xludf.DUMMYFUNCTION("GOOGLETRANSLATE(English!E3342, ""en"", ""bg"")"),"Какво трябва да знам за плътността?")</f>
        <v>Какво трябва да знам за плътността?</v>
      </c>
      <c r="F3342" s="1" t="str">
        <f ca="1">IFERROR(__xludf.DUMMYFUNCTION("GOOGLETRANSLATE(English!F3342,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3342" s="1" t="str">
        <f ca="1">IFERROR(__xludf.DUMMYFUNCTION("GOOGLETRANSLATE(English!G3342, ""en"", ""bg"")"),"direct_qa")</f>
        <v>direct_qa</v>
      </c>
      <c r="H3342" s="1" t="str">
        <f ca="1">IFERROR(__xludf.DUMMYFUNCTION("GOOGLETRANSLATE(English!H3342, ""en"", ""bg"")"),"заявка_за_знание")</f>
        <v>заявка_за_знание</v>
      </c>
    </row>
    <row r="3343" spans="1:8" ht="13.2" x14ac:dyDescent="0.25">
      <c r="A3343" s="1" t="str">
        <f ca="1">IFERROR(__xludf.DUMMYFUNCTION("GOOGLETRANSLATE(English!A3343, ""en"", ""bg"")"),"hw_12724")</f>
        <v>hw_12724</v>
      </c>
      <c r="B3343" s="1" t="str">
        <f ca="1">IFERROR(__xludf.DUMMYFUNCTION("GOOGLETRANSLATE(English!B3343, ""en"", ""bg"")"),"биология")</f>
        <v>биология</v>
      </c>
      <c r="C3343" s="1" t="str">
        <f ca="1">IFERROR(__xludf.DUMMYFUNCTION("GOOGLETRANSLATE(English!C3343, ""en"", ""bg"")"),"елементарен")</f>
        <v>елементарен</v>
      </c>
      <c r="D3343" s="1" t="str">
        <f ca="1">IFERROR(__xludf.DUMMYFUNCTION("GOOGLETRANSLATE(English!D3343, ""en"", ""bg"")"),"основни нужди")</f>
        <v>основни нужди</v>
      </c>
      <c r="E3343" s="1" t="str">
        <f ca="1">IFERROR(__xludf.DUMMYFUNCTION("GOOGLETRANSLATE(English!E3343, ""en"", ""bg"")"),"Утре имам тест по основни потребности. Помогни ми да уча!")</f>
        <v>Утре имам тест по основни потребности. Помогни ми да уча!</v>
      </c>
      <c r="F3343" s="1" t="str">
        <f ca="1">IFERROR(__xludf.DUMMYFUNCTION("GOOGLETRANSLATE(English!F3343,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3343" s="1" t="str">
        <f ca="1">IFERROR(__xludf.DUMMYFUNCTION("GOOGLETRANSLATE(English!G3343, ""en"", ""bg"")"),"помощ_за_домашно_изпълнение")</f>
        <v>помощ_за_домашно_изпълнение</v>
      </c>
      <c r="H3343" s="1" t="str">
        <f ca="1">IFERROR(__xludf.DUMMYFUNCTION("GOOGLETRANSLATE(English!H3343, ""en"", ""bg"")"),"помощ_за_домашно_задаване")</f>
        <v>помощ_за_домашно_задаване</v>
      </c>
    </row>
    <row r="3344" spans="1:8" ht="13.2" x14ac:dyDescent="0.25">
      <c r="A3344" s="1" t="str">
        <f ca="1">IFERROR(__xludf.DUMMYFUNCTION("GOOGLETRANSLATE(English!A3344, ""en"", ""bg"")"),"conv_01250")</f>
        <v>conv_01250</v>
      </c>
      <c r="B3344" s="1" t="str">
        <f ca="1">IFERROR(__xludf.DUMMYFUNCTION("GOOGLETRANSLATE(English!B3344, ""en"", ""bg"")"),"химия")</f>
        <v>химия</v>
      </c>
      <c r="C3344" s="1" t="str">
        <f ca="1">IFERROR(__xludf.DUMMYFUNCTION("GOOGLETRANSLATE(English!C3344, ""en"", ""bg"")"),"елементарен")</f>
        <v>елементарен</v>
      </c>
      <c r="D3344" s="1" t="str">
        <f ca="1">IFERROR(__xludf.DUMMYFUNCTION("GOOGLETRANSLATE(English!D3344, ""en"", ""bg"")"),"разтваряне")</f>
        <v>разтваряне</v>
      </c>
      <c r="E3344" s="1" t="str">
        <f ca="1">IFERROR(__xludf.DUMMYFUNCTION("GOOGLETRANSLATE(English!E3344, ""en"", ""bg"")"),"Имам нужда от помощ с домашното. Какво е разтваряне?")</f>
        <v>Имам нужда от помощ с домашното. Какво е разтваряне?</v>
      </c>
      <c r="F3344" s="1" t="str">
        <f ca="1">IFERROR(__xludf.DUMMYFUNCTION("GOOGLETRANSLATE(English!F3344,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3344" s="1" t="str">
        <f ca="1">IFERROR(__xludf.DUMMYFUNCTION("GOOGLETRANSLATE(English!G3344, ""en"", ""bg"")"),"разговор")</f>
        <v>разговор</v>
      </c>
      <c r="H3344" s="1" t="str">
        <f ca="1">IFERROR(__xludf.DUMMYFUNCTION("GOOGLETRANSLATE(English!H3344, ""en"", ""bg"")"),"образователна_помощ")</f>
        <v>образователна_помощ</v>
      </c>
    </row>
    <row r="3345" spans="1:8" ht="13.2" x14ac:dyDescent="0.25">
      <c r="A3345" s="1" t="str">
        <f ca="1">IFERROR(__xludf.DUMMYFUNCTION("GOOGLETRANSLATE(English!A3345, ""en"", ""bg"")"),"qa_06920")</f>
        <v>qa_06920</v>
      </c>
      <c r="B3345" s="1" t="str">
        <f ca="1">IFERROR(__xludf.DUMMYFUNCTION("GOOGLETRANSLATE(English!B3345, ""en"", ""bg"")"),"биология")</f>
        <v>биология</v>
      </c>
      <c r="C3345" s="1" t="str">
        <f ca="1">IFERROR(__xludf.DUMMYFUNCTION("GOOGLETRANSLATE(English!C3345, ""en"", ""bg"")"),"високо")</f>
        <v>високо</v>
      </c>
      <c r="D3345" s="1" t="str">
        <f ca="1">IFERROR(__xludf.DUMMYFUNCTION("GOOGLETRANSLATE(English!D3345, ""en"", ""bg"")"),"синтез на протеини")</f>
        <v>синтез на протеини</v>
      </c>
      <c r="E3345" s="1" t="str">
        <f ca="1">IFERROR(__xludf.DUMMYFUNCTION("GOOGLETRANSLATE(English!E3345, ""en"", ""bg"")"),"Можете ли да ми разкажете за синтеза на протеини?")</f>
        <v>Можете ли да ми разкажете за синтеза на протеини?</v>
      </c>
      <c r="F3345" s="1" t="str">
        <f ca="1">IFERROR(__xludf.DUMMYFUNCTION("GOOGLETRANSLATE(English!F3345,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345" s="1" t="str">
        <f ca="1">IFERROR(__xludf.DUMMYFUNCTION("GOOGLETRANSLATE(English!G3345, ""en"", ""bg"")"),"direct_qa")</f>
        <v>direct_qa</v>
      </c>
      <c r="H3345" s="1" t="str">
        <f ca="1">IFERROR(__xludf.DUMMYFUNCTION("GOOGLETRANSLATE(English!H3345, ""en"", ""bg"")"),"заявка_за_знание")</f>
        <v>заявка_за_знание</v>
      </c>
    </row>
    <row r="3346" spans="1:8" ht="13.2" x14ac:dyDescent="0.25">
      <c r="A3346" s="1" t="str">
        <f ca="1">IFERROR(__xludf.DUMMYFUNCTION("GOOGLETRANSLATE(English!A3346, ""en"", ""bg"")"),"hw_06902")</f>
        <v>hw_06902</v>
      </c>
      <c r="B3346" s="1" t="str">
        <f ca="1">IFERROR(__xludf.DUMMYFUNCTION("GOOGLETRANSLATE(English!B3346, ""en"", ""bg"")"),"химия")</f>
        <v>химия</v>
      </c>
      <c r="C3346" s="1" t="str">
        <f ca="1">IFERROR(__xludf.DUMMYFUNCTION("GOOGLETRANSLATE(English!C3346, ""en"", ""bg"")"),"високо")</f>
        <v>високо</v>
      </c>
      <c r="D3346" s="1" t="str">
        <f ca="1">IFERROR(__xludf.DUMMYFUNCTION("GOOGLETRANSLATE(English!D3346, ""en"", ""bg"")"),"електрохимия")</f>
        <v>електрохимия</v>
      </c>
      <c r="E3346" s="1" t="str">
        <f ca="1">IFERROR(__xludf.DUMMYFUNCTION("GOOGLETRANSLATE(English!E3346,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3346" s="1" t="str">
        <f ca="1">IFERROR(__xludf.DUMMYFUNCTION("GOOGLETRANSLATE(English!F3346,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346" s="1" t="str">
        <f ca="1">IFERROR(__xludf.DUMMYFUNCTION("GOOGLETRANSLATE(English!G3346, ""en"", ""bg"")"),"помощ_за_домашно_изпълнение")</f>
        <v>помощ_за_домашно_изпълнение</v>
      </c>
      <c r="H3346" s="1" t="str">
        <f ca="1">IFERROR(__xludf.DUMMYFUNCTION("GOOGLETRANSLATE(English!H3346, ""en"", ""bg"")"),"помощ_за_домашно_задаване")</f>
        <v>помощ_за_домашно_задаване</v>
      </c>
    </row>
    <row r="3347" spans="1:8" ht="13.2" x14ac:dyDescent="0.25">
      <c r="A3347" s="1" t="str">
        <f ca="1">IFERROR(__xludf.DUMMYFUNCTION("GOOGLETRANSLATE(English!A3347, ""en"", ""bg"")"),"qa_13200")</f>
        <v>qa_13200</v>
      </c>
      <c r="B3347" s="1" t="str">
        <f ca="1">IFERROR(__xludf.DUMMYFUNCTION("GOOGLETRANSLATE(English!B3347, ""en"", ""bg"")"),"биология")</f>
        <v>биология</v>
      </c>
      <c r="C3347" s="1" t="str">
        <f ca="1">IFERROR(__xludf.DUMMYFUNCTION("GOOGLETRANSLATE(English!C3347, ""en"", ""bg"")"),"средата")</f>
        <v>средата</v>
      </c>
      <c r="D3347" s="1" t="str">
        <f ca="1">IFERROR(__xludf.DUMMYFUNCTION("GOOGLETRANSLATE(English!D3347, ""en"", ""bg"")"),"клетки")</f>
        <v>клетки</v>
      </c>
      <c r="E3347" s="1" t="str">
        <f ca="1">IFERROR(__xludf.DUMMYFUNCTION("GOOGLETRANSLATE(English!E3347, ""en"", ""bg"")"),"Защо клетките са толкова малки?")</f>
        <v>Защо клетките са толкова малки?</v>
      </c>
      <c r="F3347" s="1" t="str">
        <f ca="1">IFERROR(__xludf.DUMMYFUNCTION("GOOGLETRANSLATE(English!F3347,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3347" s="1" t="str">
        <f ca="1">IFERROR(__xludf.DUMMYFUNCTION("GOOGLETRANSLATE(English!G3347, ""en"", ""bg"")"),"direct_qa")</f>
        <v>direct_qa</v>
      </c>
      <c r="H3347" s="1" t="str">
        <f ca="1">IFERROR(__xludf.DUMMYFUNCTION("GOOGLETRANSLATE(English!H3347, ""en"", ""bg"")"),"заявка_за_знание")</f>
        <v>заявка_за_знание</v>
      </c>
    </row>
    <row r="3348" spans="1:8" ht="13.2" x14ac:dyDescent="0.25">
      <c r="A3348" s="1" t="str">
        <f ca="1">IFERROR(__xludf.DUMMYFUNCTION("GOOGLETRANSLATE(English!A3348, ""en"", ""bg"")"),"qa_13523")</f>
        <v>qa_13523</v>
      </c>
      <c r="B3348" s="1" t="str">
        <f ca="1">IFERROR(__xludf.DUMMYFUNCTION("GOOGLETRANSLATE(English!B3348, ""en"", ""bg"")"),"биология")</f>
        <v>биология</v>
      </c>
      <c r="C3348" s="1" t="str">
        <f ca="1">IFERROR(__xludf.DUMMYFUNCTION("GOOGLETRANSLATE(English!C3348, ""en"", ""bg"")"),"елементарен")</f>
        <v>елементарен</v>
      </c>
      <c r="D3348" s="1" t="str">
        <f ca="1">IFERROR(__xludf.DUMMYFUNCTION("GOOGLETRANSLATE(English!D3348, ""en"", ""bg"")"),"животни")</f>
        <v>животни</v>
      </c>
      <c r="E3348" s="1" t="str">
        <f ca="1">IFERROR(__xludf.DUMMYFUNCTION("GOOGLETRANSLATE(English!E3348, ""en"", ""bg"")"),"Какво ядат лъвовете?")</f>
        <v>Какво ядат лъвовете?</v>
      </c>
      <c r="F3348" s="1" t="str">
        <f ca="1">IFERROR(__xludf.DUMMYFUNCTION("GOOGLETRANSLATE(English!F3348,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3348" s="1" t="str">
        <f ca="1">IFERROR(__xludf.DUMMYFUNCTION("GOOGLETRANSLATE(English!G3348, ""en"", ""bg"")"),"direct_qa")</f>
        <v>direct_qa</v>
      </c>
      <c r="H3348" s="1" t="str">
        <f ca="1">IFERROR(__xludf.DUMMYFUNCTION("GOOGLETRANSLATE(English!H3348, ""en"", ""bg"")"),"заявка_за_знание")</f>
        <v>заявка_за_знание</v>
      </c>
    </row>
    <row r="3349" spans="1:8" ht="13.2" x14ac:dyDescent="0.25">
      <c r="A3349" s="1" t="str">
        <f ca="1">IFERROR(__xludf.DUMMYFUNCTION("GOOGLETRANSLATE(English!A3349, ""en"", ""bg"")"),"conv_14929")</f>
        <v>conv_14929</v>
      </c>
      <c r="B3349" s="1" t="str">
        <f ca="1">IFERROR(__xludf.DUMMYFUNCTION("GOOGLETRANSLATE(English!B3349, ""en"", ""bg"")"),"физика")</f>
        <v>физика</v>
      </c>
      <c r="C3349" s="1" t="str">
        <f ca="1">IFERROR(__xludf.DUMMYFUNCTION("GOOGLETRANSLATE(English!C3349, ""en"", ""bg"")"),"елементарен")</f>
        <v>елементарен</v>
      </c>
      <c r="D3349" s="1" t="str">
        <f ca="1">IFERROR(__xludf.DUMMYFUNCTION("GOOGLETRANSLATE(English!D3349, ""en"", ""bg"")"),"горещо и студено")</f>
        <v>горещо и студено</v>
      </c>
      <c r="E3349" s="1" t="str">
        <f ca="1">IFERROR(__xludf.DUMMYFUNCTION("GOOGLETRANSLATE(English!E3349, ""en"", ""bg"")"),"Имам научен въпрос. Как работят топлото и студеното във физиката?")</f>
        <v>Имам научен въпрос. Как работят топлото и студеното във физиката?</v>
      </c>
      <c r="F3349" s="1" t="str">
        <f ca="1">IFERROR(__xludf.DUMMYFUNCTION("GOOGLETRANSLATE(English!F3349,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3349" s="1" t="str">
        <f ca="1">IFERROR(__xludf.DUMMYFUNCTION("GOOGLETRANSLATE(English!G3349, ""en"", ""bg"")"),"разговор")</f>
        <v>разговор</v>
      </c>
      <c r="H3349" s="1" t="str">
        <f ca="1">IFERROR(__xludf.DUMMYFUNCTION("GOOGLETRANSLATE(English!H3349, ""en"", ""bg"")"),"образователна_помощ")</f>
        <v>образователна_помощ</v>
      </c>
    </row>
    <row r="3350" spans="1:8" ht="13.2" x14ac:dyDescent="0.25">
      <c r="A3350" s="1" t="str">
        <f ca="1">IFERROR(__xludf.DUMMYFUNCTION("GOOGLETRANSLATE(English!A3350, ""en"", ""bg"")"),"qa_11746")</f>
        <v>qa_11746</v>
      </c>
      <c r="B3350" s="1" t="str">
        <f ca="1">IFERROR(__xludf.DUMMYFUNCTION("GOOGLETRANSLATE(English!B3350, ""en"", ""bg"")"),"биология")</f>
        <v>биология</v>
      </c>
      <c r="C3350" s="1" t="str">
        <f ca="1">IFERROR(__xludf.DUMMYFUNCTION("GOOGLETRANSLATE(English!C3350, ""en"", ""bg"")"),"елементарен")</f>
        <v>елементарен</v>
      </c>
      <c r="D3350" s="1" t="str">
        <f ca="1">IFERROR(__xludf.DUMMYFUNCTION("GOOGLETRANSLATE(English!D3350, ""en"", ""bg"")"),"сетива")</f>
        <v>сетива</v>
      </c>
      <c r="E3350" s="1" t="str">
        <f ca="1">IFERROR(__xludf.DUMMYFUNCTION("GOOGLETRANSLATE(English!E3350, ""en"", ""bg"")"),"Можете ли да ми разкажете за сетивата?")</f>
        <v>Можете ли да ми разкажете за сетивата?</v>
      </c>
      <c r="F3350" s="1" t="str">
        <f ca="1">IFERROR(__xludf.DUMMYFUNCTION("GOOGLETRANSLATE(English!F3350,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3350" s="1" t="str">
        <f ca="1">IFERROR(__xludf.DUMMYFUNCTION("GOOGLETRANSLATE(English!G3350, ""en"", ""bg"")"),"direct_qa")</f>
        <v>direct_qa</v>
      </c>
      <c r="H3350" s="1" t="str">
        <f ca="1">IFERROR(__xludf.DUMMYFUNCTION("GOOGLETRANSLATE(English!H3350, ""en"", ""bg"")"),"заявка_за_знание")</f>
        <v>заявка_за_знание</v>
      </c>
    </row>
    <row r="3351" spans="1:8" ht="13.2" x14ac:dyDescent="0.25">
      <c r="A3351" s="1" t="str">
        <f ca="1">IFERROR(__xludf.DUMMYFUNCTION("GOOGLETRANSLATE(English!A3351, ""en"", ""bg"")"),"conv_11141")</f>
        <v>conv_11141</v>
      </c>
      <c r="B3351" s="1" t="str">
        <f ca="1">IFERROR(__xludf.DUMMYFUNCTION("GOOGLETRANSLATE(English!B3351, ""en"", ""bg"")"),"физика")</f>
        <v>физика</v>
      </c>
      <c r="C3351" s="1" t="str">
        <f ca="1">IFERROR(__xludf.DUMMYFUNCTION("GOOGLETRANSLATE(English!C3351, ""en"", ""bg"")"),"високо")</f>
        <v>високо</v>
      </c>
      <c r="D3351" s="1" t="str">
        <f ca="1">IFERROR(__xludf.DUMMYFUNCTION("GOOGLETRANSLATE(English!D3351, ""en"", ""bg"")"),"радиоактивност")</f>
        <v>радиоактивност</v>
      </c>
      <c r="E3351" s="1" t="str">
        <f ca="1">IFERROR(__xludf.DUMMYFUNCTION("GOOGLETRANSLATE(English!E3351, ""en"", ""bg"")"),"Имам нужда от помощ с домашното. Какво трябва да знам за радиоактивността?")</f>
        <v>Имам нужда от помощ с домашното. Какво трябва да знам за радиоактивността?</v>
      </c>
      <c r="F3351" s="1" t="str">
        <f ca="1">IFERROR(__xludf.DUMMYFUNCTION("GOOGLETRANSLATE(English!F3351,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3351" s="1" t="str">
        <f ca="1">IFERROR(__xludf.DUMMYFUNCTION("GOOGLETRANSLATE(English!G3351, ""en"", ""bg"")"),"разговор")</f>
        <v>разговор</v>
      </c>
      <c r="H3351" s="1" t="str">
        <f ca="1">IFERROR(__xludf.DUMMYFUNCTION("GOOGLETRANSLATE(English!H3351, ""en"", ""bg"")"),"образователна_помощ")</f>
        <v>образователна_помощ</v>
      </c>
    </row>
    <row r="3352" spans="1:8" ht="13.2" x14ac:dyDescent="0.25">
      <c r="A3352" s="1" t="str">
        <f ca="1">IFERROR(__xludf.DUMMYFUNCTION("GOOGLETRANSLATE(English!A3352, ""en"", ""bg"")"),"conv_15141")</f>
        <v>conv_15141</v>
      </c>
      <c r="B3352" s="1" t="str">
        <f ca="1">IFERROR(__xludf.DUMMYFUNCTION("GOOGLETRANSLATE(English!B3352, ""en"", ""bg"")"),"химия")</f>
        <v>химия</v>
      </c>
      <c r="C3352" s="1" t="str">
        <f ca="1">IFERROR(__xludf.DUMMYFUNCTION("GOOGLETRANSLATE(English!C3352, ""en"", ""bg"")"),"високо")</f>
        <v>високо</v>
      </c>
      <c r="D3352" s="1" t="str">
        <f ca="1">IFERROR(__xludf.DUMMYFUNCTION("GOOGLETRANSLATE(English!D3352, ""en"", ""bg"")"),"скорости на реакция")</f>
        <v>скорости на реакция</v>
      </c>
      <c r="E3352" s="1" t="str">
        <f ca="1">IFERROR(__xludf.DUMMYFUNCTION("GOOGLETRANSLATE(English!E3352, ""en"", ""bg"")"),"Не разбирам тази тема. Как работят скоростите на реакциите в химията?")</f>
        <v>Не разбирам тази тема. Как работят скоростите на реакциите в химията?</v>
      </c>
      <c r="F3352" s="1" t="str">
        <f ca="1">IFERROR(__xludf.DUMMYFUNCTION("GOOGLETRANSLATE(English!F3352,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3352" s="1" t="str">
        <f ca="1">IFERROR(__xludf.DUMMYFUNCTION("GOOGLETRANSLATE(English!G3352, ""en"", ""bg"")"),"разговор")</f>
        <v>разговор</v>
      </c>
      <c r="H3352" s="1" t="str">
        <f ca="1">IFERROR(__xludf.DUMMYFUNCTION("GOOGLETRANSLATE(English!H3352, ""en"", ""bg"")"),"образователна_помощ")</f>
        <v>образователна_помощ</v>
      </c>
    </row>
    <row r="3353" spans="1:8" ht="13.2" x14ac:dyDescent="0.25">
      <c r="A3353" s="1" t="str">
        <f ca="1">IFERROR(__xludf.DUMMYFUNCTION("GOOGLETRANSLATE(English!A3353, ""en"", ""bg"")"),"conv_04649")</f>
        <v>conv_04649</v>
      </c>
      <c r="B3353" s="1" t="str">
        <f ca="1">IFERROR(__xludf.DUMMYFUNCTION("GOOGLETRANSLATE(English!B3353, ""en"", ""bg"")"),"биология")</f>
        <v>биология</v>
      </c>
      <c r="C3353" s="1" t="str">
        <f ca="1">IFERROR(__xludf.DUMMYFUNCTION("GOOGLETRANSLATE(English!C3353, ""en"", ""bg"")"),"елементарен")</f>
        <v>елементарен</v>
      </c>
      <c r="D3353" s="1" t="str">
        <f ca="1">IFERROR(__xludf.DUMMYFUNCTION("GOOGLETRANSLATE(English!D3353, ""en"", ""bg"")"),"животни")</f>
        <v>животни</v>
      </c>
      <c r="E3353" s="1" t="str">
        <f ca="1">IFERROR(__xludf.DUMMYFUNCTION("GOOGLETRANSLATE(English!E3353, ""en"", ""bg"")"),"Имам нужда от помощ с домашното. Как зайците се грижат за малките си?")</f>
        <v>Имам нужда от помощ с домашното. Как зайците се грижат за малките си?</v>
      </c>
      <c r="F3353" s="1" t="str">
        <f ca="1">IFERROR(__xludf.DUMMYFUNCTION("GOOGLETRANSLATE(English!F3353,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3353" s="1" t="str">
        <f ca="1">IFERROR(__xludf.DUMMYFUNCTION("GOOGLETRANSLATE(English!G3353, ""en"", ""bg"")"),"разговор")</f>
        <v>разговор</v>
      </c>
      <c r="H3353" s="1" t="str">
        <f ca="1">IFERROR(__xludf.DUMMYFUNCTION("GOOGLETRANSLATE(English!H3353, ""en"", ""bg"")"),"образователна_помощ")</f>
        <v>образователна_помощ</v>
      </c>
    </row>
    <row r="3354" spans="1:8" ht="13.2" x14ac:dyDescent="0.25">
      <c r="A3354" s="1" t="str">
        <f ca="1">IFERROR(__xludf.DUMMYFUNCTION("GOOGLETRANSLATE(English!A3354, ""en"", ""bg"")"),"conv_05655")</f>
        <v>conv_05655</v>
      </c>
      <c r="B3354" s="1" t="str">
        <f ca="1">IFERROR(__xludf.DUMMYFUNCTION("GOOGLETRANSLATE(English!B3354, ""en"", ""bg"")"),"биология")</f>
        <v>биология</v>
      </c>
      <c r="C3354" s="1" t="str">
        <f ca="1">IFERROR(__xludf.DUMMYFUNCTION("GOOGLETRANSLATE(English!C3354, ""en"", ""bg"")"),"високо")</f>
        <v>високо</v>
      </c>
      <c r="D3354" s="1" t="str">
        <f ca="1">IFERROR(__xludf.DUMMYFUNCTION("GOOGLETRANSLATE(English!D3354, ""en"", ""bg"")"),"клетъчно дишане")</f>
        <v>клетъчно дишане</v>
      </c>
      <c r="E3354" s="1" t="str">
        <f ca="1">IFERROR(__xludf.DUMMYFUNCTION("GOOGLETRANSLATE(English!E3354, ""en"", ""bg"")"),"Можете ли да ми обясните това? Какво е важно да знаем за клетъчното дишане?")</f>
        <v>Можете ли да ми обясните това? Какво е важно да знаем за клетъчното дишане?</v>
      </c>
      <c r="F3354" s="1" t="str">
        <f ca="1">IFERROR(__xludf.DUMMYFUNCTION("GOOGLETRANSLATE(English!F3354,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3354" s="1" t="str">
        <f ca="1">IFERROR(__xludf.DUMMYFUNCTION("GOOGLETRANSLATE(English!G3354, ""en"", ""bg"")"),"разговор")</f>
        <v>разговор</v>
      </c>
      <c r="H3354" s="1" t="str">
        <f ca="1">IFERROR(__xludf.DUMMYFUNCTION("GOOGLETRANSLATE(English!H3354, ""en"", ""bg"")"),"образователна_помощ")</f>
        <v>образователна_помощ</v>
      </c>
    </row>
    <row r="3355" spans="1:8" ht="13.2" x14ac:dyDescent="0.25">
      <c r="A3355" s="1" t="str">
        <f ca="1">IFERROR(__xludf.DUMMYFUNCTION("GOOGLETRANSLATE(English!A3355, ""en"", ""bg"")"),"qa_14172")</f>
        <v>qa_14172</v>
      </c>
      <c r="B3355" s="1" t="str">
        <f ca="1">IFERROR(__xludf.DUMMYFUNCTION("GOOGLETRANSLATE(English!B3355, ""en"", ""bg"")"),"биология")</f>
        <v>биология</v>
      </c>
      <c r="C3355" s="1" t="str">
        <f ca="1">IFERROR(__xludf.DUMMYFUNCTION("GOOGLETRANSLATE(English!C3355, ""en"", ""bg"")"),"елементарен")</f>
        <v>елементарен</v>
      </c>
      <c r="D3355" s="1" t="str">
        <f ca="1">IFERROR(__xludf.DUMMYFUNCTION("GOOGLETRANSLATE(English!D3355, ""en"", ""bg"")"),"хранителни вериги")</f>
        <v>хранителни вериги</v>
      </c>
      <c r="E3355" s="1" t="str">
        <f ca="1">IFERROR(__xludf.DUMMYFUNCTION("GOOGLETRANSLATE(English!E3355, ""en"", ""bg"")"),"Защо хранителните вериги са важни в биологията?")</f>
        <v>Защо хранителните вериги са важни в биологията?</v>
      </c>
      <c r="F3355" s="1" t="str">
        <f ca="1">IFERROR(__xludf.DUMMYFUNCTION("GOOGLETRANSLATE(English!F3355, ""en"", ""bg"")"),"Хранителните вериги са важни, защото ни помагат да разберем живота и как живите същества оцеляват.")</f>
        <v>Хранителните вериги са важни, защото ни помагат да разберем живота и как живите същества оцеляват.</v>
      </c>
      <c r="G3355" s="1" t="str">
        <f ca="1">IFERROR(__xludf.DUMMYFUNCTION("GOOGLETRANSLATE(English!G3355, ""en"", ""bg"")"),"direct_qa")</f>
        <v>direct_qa</v>
      </c>
      <c r="H3355" s="1" t="str">
        <f ca="1">IFERROR(__xludf.DUMMYFUNCTION("GOOGLETRANSLATE(English!H3355, ""en"", ""bg"")"),"заявка_за_знание")</f>
        <v>заявка_за_знание</v>
      </c>
    </row>
    <row r="3356" spans="1:8" ht="13.2" x14ac:dyDescent="0.25">
      <c r="A3356" s="1" t="str">
        <f ca="1">IFERROR(__xludf.DUMMYFUNCTION("GOOGLETRANSLATE(English!A3356, ""en"", ""bg"")"),"hw_01311")</f>
        <v>hw_01311</v>
      </c>
      <c r="B3356" s="1" t="str">
        <f ca="1">IFERROR(__xludf.DUMMYFUNCTION("GOOGLETRANSLATE(English!B3356, ""en"", ""bg"")"),"физика")</f>
        <v>физика</v>
      </c>
      <c r="C3356" s="1" t="str">
        <f ca="1">IFERROR(__xludf.DUMMYFUNCTION("GOOGLETRANSLATE(English!C3356, ""en"", ""bg"")"),"елементарен")</f>
        <v>елементарен</v>
      </c>
      <c r="D3356" s="1" t="str">
        <f ca="1">IFERROR(__xludf.DUMMYFUNCTION("GOOGLETRANSLATE(English!D3356, ""en"", ""bg"")"),"бутане и дърпане")</f>
        <v>бутане и дърпане</v>
      </c>
      <c r="E3356" s="1" t="str">
        <f ca="1">IFERROR(__xludf.DUMMYFUNCTION("GOOGLETRANSLATE(English!E3356, ""en"", ""bg"")"),"Трябва да разбера тласкането и дърпането за изпита си.")</f>
        <v>Трябва да разбера тласкането и дърпането за изпита си.</v>
      </c>
      <c r="F3356" s="1" t="str">
        <f ca="1">IFERROR(__xludf.DUMMYFUNCTION("GOOGLETRANSLATE(English!F3356,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3356" s="1" t="str">
        <f ca="1">IFERROR(__xludf.DUMMYFUNCTION("GOOGLETRANSLATE(English!G3356, ""en"", ""bg"")"),"помощ_за_домашно_изпълнение")</f>
        <v>помощ_за_домашно_изпълнение</v>
      </c>
      <c r="H3356" s="1" t="str">
        <f ca="1">IFERROR(__xludf.DUMMYFUNCTION("GOOGLETRANSLATE(English!H3356, ""en"", ""bg"")"),"помощ_за_домашно_задаване")</f>
        <v>помощ_за_домашно_задаване</v>
      </c>
    </row>
    <row r="3357" spans="1:8" ht="13.2" x14ac:dyDescent="0.25">
      <c r="A3357" s="1" t="str">
        <f ca="1">IFERROR(__xludf.DUMMYFUNCTION("GOOGLETRANSLATE(English!A3357, ""en"", ""bg"")"),"qa_14904")</f>
        <v>qa_14904</v>
      </c>
      <c r="B3357" s="1" t="str">
        <f ca="1">IFERROR(__xludf.DUMMYFUNCTION("GOOGLETRANSLATE(English!B3357, ""en"", ""bg"")"),"физика")</f>
        <v>физика</v>
      </c>
      <c r="C3357" s="1" t="str">
        <f ca="1">IFERROR(__xludf.DUMMYFUNCTION("GOOGLETRANSLATE(English!C3357, ""en"", ""bg"")"),"елементарен")</f>
        <v>елементарен</v>
      </c>
      <c r="D3357" s="1" t="str">
        <f ca="1">IFERROR(__xludf.DUMMYFUNCTION("GOOGLETRANSLATE(English!D3357, ""en"", ""bg"")"),"бутане и дърпане")</f>
        <v>бутане и дърпане</v>
      </c>
      <c r="E3357" s="1" t="str">
        <f ca="1">IFERROR(__xludf.DUMMYFUNCTION("GOOGLETRANSLATE(English!E3357, ""en"", ""bg"")"),"Можете ли да ми обясните как се прави бутане и дърпане?")</f>
        <v>Можете ли да ми обясните как се прави бутане и дърпане?</v>
      </c>
      <c r="F3357" s="1" t="str">
        <f ca="1">IFERROR(__xludf.DUMMYFUNCTION("GOOGLETRANSLATE(English!F3357,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3357" s="1" t="str">
        <f ca="1">IFERROR(__xludf.DUMMYFUNCTION("GOOGLETRANSLATE(English!G3357, ""en"", ""bg"")"),"direct_qa")</f>
        <v>direct_qa</v>
      </c>
      <c r="H3357" s="1" t="str">
        <f ca="1">IFERROR(__xludf.DUMMYFUNCTION("GOOGLETRANSLATE(English!H3357, ""en"", ""bg"")"),"заявка_за_знание")</f>
        <v>заявка_за_знание</v>
      </c>
    </row>
    <row r="3358" spans="1:8" ht="13.2" x14ac:dyDescent="0.25">
      <c r="A3358" s="1" t="str">
        <f ca="1">IFERROR(__xludf.DUMMYFUNCTION("GOOGLETRANSLATE(English!A3358, ""en"", ""bg"")"),"hw_02502")</f>
        <v>hw_02502</v>
      </c>
      <c r="B3358" s="1" t="str">
        <f ca="1">IFERROR(__xludf.DUMMYFUNCTION("GOOGLETRANSLATE(English!B3358, ""en"", ""bg"")"),"физика")</f>
        <v>физика</v>
      </c>
      <c r="C3358" s="1" t="str">
        <f ca="1">IFERROR(__xludf.DUMMYFUNCTION("GOOGLETRANSLATE(English!C3358, ""en"", ""bg"")"),"елементарен")</f>
        <v>елементарен</v>
      </c>
      <c r="D3358" s="1" t="str">
        <f ca="1">IFERROR(__xludf.DUMMYFUNCTION("GOOGLETRANSLATE(English!D3358, ""en"", ""bg"")"),"горещо и студено")</f>
        <v>горещо и студено</v>
      </c>
      <c r="E3358" s="1" t="str">
        <f ca="1">IFERROR(__xludf.DUMMYFUNCTION("GOOGLETRANSLATE(English!E3358, ""en"", ""bg"")"),"Можеш ли да решиш този горещ и студен въпрос с мен?")</f>
        <v>Можеш ли да решиш този горещ и студен въпрос с мен?</v>
      </c>
      <c r="F3358" s="1" t="str">
        <f ca="1">IFERROR(__xludf.DUMMYFUNCTION("GOOGLETRANSLATE(English!F3358,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358" s="1" t="str">
        <f ca="1">IFERROR(__xludf.DUMMYFUNCTION("GOOGLETRANSLATE(English!G3358, ""en"", ""bg"")"),"помощ_за_домашно_изпълнение")</f>
        <v>помощ_за_домашно_изпълнение</v>
      </c>
      <c r="H3358" s="1" t="str">
        <f ca="1">IFERROR(__xludf.DUMMYFUNCTION("GOOGLETRANSLATE(English!H3358, ""en"", ""bg"")"),"помощ_за_домашно_задаване")</f>
        <v>помощ_за_домашно_задаване</v>
      </c>
    </row>
    <row r="3359" spans="1:8" ht="13.2" x14ac:dyDescent="0.25">
      <c r="A3359" s="1" t="str">
        <f ca="1">IFERROR(__xludf.DUMMYFUNCTION("GOOGLETRANSLATE(English!A3359, ""en"", ""bg"")"),"hw_14847")</f>
        <v>hw_14847</v>
      </c>
      <c r="B3359" s="1" t="str">
        <f ca="1">IFERROR(__xludf.DUMMYFUNCTION("GOOGLETRANSLATE(English!B3359, ""en"", ""bg"")"),"химия")</f>
        <v>химия</v>
      </c>
      <c r="C3359" s="1" t="str">
        <f ca="1">IFERROR(__xludf.DUMMYFUNCTION("GOOGLETRANSLATE(English!C3359, ""en"", ""bg"")"),"високо")</f>
        <v>високо</v>
      </c>
      <c r="D3359" s="1" t="str">
        <f ca="1">IFERROR(__xludf.DUMMYFUNCTION("GOOGLETRANSLATE(English!D3359, ""en"", ""bg"")"),"равновесие")</f>
        <v>равновесие</v>
      </c>
      <c r="E3359" s="1" t="str">
        <f ca="1">IFERROR(__xludf.DUMMYFUNCTION("GOOGLETRANSLATE(English!E3359,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3359" s="1" t="str">
        <f ca="1">IFERROR(__xludf.DUMMYFUNCTION("GOOGLETRANSLATE(English!F3359,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359" s="1" t="str">
        <f ca="1">IFERROR(__xludf.DUMMYFUNCTION("GOOGLETRANSLATE(English!G3359, ""en"", ""bg"")"),"помощ_за_домашно_изпълнение")</f>
        <v>помощ_за_домашно_изпълнение</v>
      </c>
      <c r="H3359" s="1" t="str">
        <f ca="1">IFERROR(__xludf.DUMMYFUNCTION("GOOGLETRANSLATE(English!H3359, ""en"", ""bg"")"),"помощ_за_домашно_задаване")</f>
        <v>помощ_за_домашно_задаване</v>
      </c>
    </row>
    <row r="3360" spans="1:8" ht="13.2" x14ac:dyDescent="0.25">
      <c r="A3360" s="1" t="str">
        <f ca="1">IFERROR(__xludf.DUMMYFUNCTION("GOOGLETRANSLATE(English!A3360, ""en"", ""bg"")"),"hw_11836")</f>
        <v>hw_11836</v>
      </c>
      <c r="B3360" s="1" t="str">
        <f ca="1">IFERROR(__xludf.DUMMYFUNCTION("GOOGLETRANSLATE(English!B3360, ""en"", ""bg"")"),"биология")</f>
        <v>биология</v>
      </c>
      <c r="C3360" s="1" t="str">
        <f ca="1">IFERROR(__xludf.DUMMYFUNCTION("GOOGLETRANSLATE(English!C3360, ""en"", ""bg"")"),"елементарен")</f>
        <v>елементарен</v>
      </c>
      <c r="D3360" s="1" t="str">
        <f ca="1">IFERROR(__xludf.DUMMYFUNCTION("GOOGLETRANSLATE(English!D3360, ""en"", ""bg"")"),"сетива")</f>
        <v>сетива</v>
      </c>
      <c r="E3360" s="1" t="str">
        <f ca="1">IFERROR(__xludf.DUMMYFUNCTION("GOOGLETRANSLATE(English!E3360, ""en"", ""bg"")"),"Можете ли да обясните сетивата за моя научен проект?")</f>
        <v>Можете ли да обясните сетивата за моя научен проект?</v>
      </c>
      <c r="F3360" s="1" t="str">
        <f ca="1">IFERROR(__xludf.DUMMYFUNCTION("GOOGLETRANSLATE(English!F3360,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3360" s="1" t="str">
        <f ca="1">IFERROR(__xludf.DUMMYFUNCTION("GOOGLETRANSLATE(English!G3360, ""en"", ""bg"")"),"помощ_за_домашно_изпълнение")</f>
        <v>помощ_за_домашно_изпълнение</v>
      </c>
      <c r="H3360" s="1" t="str">
        <f ca="1">IFERROR(__xludf.DUMMYFUNCTION("GOOGLETRANSLATE(English!H3360, ""en"", ""bg"")"),"помощ_за_домашно_задаване")</f>
        <v>помощ_за_домашно_задаване</v>
      </c>
    </row>
    <row r="3361" spans="1:8" ht="13.2" x14ac:dyDescent="0.25">
      <c r="A3361" s="1" t="str">
        <f ca="1">IFERROR(__xludf.DUMMYFUNCTION("GOOGLETRANSLATE(English!A3361, ""en"", ""bg"")"),"conv_15691")</f>
        <v>conv_15691</v>
      </c>
      <c r="B3361" s="1" t="str">
        <f ca="1">IFERROR(__xludf.DUMMYFUNCTION("GOOGLETRANSLATE(English!B3361, ""en"", ""bg"")"),"химия")</f>
        <v>химия</v>
      </c>
      <c r="C3361" s="1" t="str">
        <f ca="1">IFERROR(__xludf.DUMMYFUNCTION("GOOGLETRANSLATE(English!C3361, ""en"", ""bg"")"),"средата")</f>
        <v>средата</v>
      </c>
      <c r="D3361" s="1" t="str">
        <f ca="1">IFERROR(__xludf.DUMMYFUNCTION("GOOGLETRANSLATE(English!D3361, ""en"", ""bg"")"),"съединения срещу елементи")</f>
        <v>съединения срещу елементи</v>
      </c>
      <c r="E3361" s="1" t="str">
        <f ca="1">IFERROR(__xludf.DUMMYFUNCTION("GOOGLETRANSLATE(English!E3361, ""en"", ""bg"")"),"Не разбирам тази тема. Как работят съединенията спрямо елементите в химията?")</f>
        <v>Не разбирам тази тема. Как работят съединенията спрямо елементите в химията?</v>
      </c>
      <c r="F3361" s="1" t="str">
        <f ca="1">IFERROR(__xludf.DUMMYFUNCTION("GOOGLETRANSLATE(English!F3361,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361" s="1" t="str">
        <f ca="1">IFERROR(__xludf.DUMMYFUNCTION("GOOGLETRANSLATE(English!G3361, ""en"", ""bg"")"),"разговор")</f>
        <v>разговор</v>
      </c>
      <c r="H3361" s="1" t="str">
        <f ca="1">IFERROR(__xludf.DUMMYFUNCTION("GOOGLETRANSLATE(English!H3361, ""en"", ""bg"")"),"образователна_помощ")</f>
        <v>образователна_помощ</v>
      </c>
    </row>
    <row r="3362" spans="1:8" ht="13.2" x14ac:dyDescent="0.25">
      <c r="A3362" s="1" t="str">
        <f ca="1">IFERROR(__xludf.DUMMYFUNCTION("GOOGLETRANSLATE(English!A3362, ""en"", ""bg"")"),"hw_03776")</f>
        <v>hw_03776</v>
      </c>
      <c r="B3362" s="1" t="str">
        <f ca="1">IFERROR(__xludf.DUMMYFUNCTION("GOOGLETRANSLATE(English!B3362, ""en"", ""bg"")"),"физика")</f>
        <v>физика</v>
      </c>
      <c r="C3362" s="1" t="str">
        <f ca="1">IFERROR(__xludf.DUMMYFUNCTION("GOOGLETRANSLATE(English!C3362, ""en"", ""bg"")"),"високо")</f>
        <v>високо</v>
      </c>
      <c r="D3362" s="1" t="str">
        <f ca="1">IFERROR(__xludf.DUMMYFUNCTION("GOOGLETRANSLATE(English!D3362, ""en"", ""bg"")"),"механика")</f>
        <v>механика</v>
      </c>
      <c r="E3362" s="1" t="str">
        <f ca="1">IFERROR(__xludf.DUMMYFUNCTION("GOOGLETRANSLATE(English!E3362, ""en"", ""bg"")"),"Трябва да разбирам механиката за изпита си.")</f>
        <v>Трябва да разбирам механиката за изпита си.</v>
      </c>
      <c r="F3362" s="1" t="str">
        <f ca="1">IFERROR(__xludf.DUMMYFUNCTION("GOOGLETRANSLATE(English!F3362,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362" s="1" t="str">
        <f ca="1">IFERROR(__xludf.DUMMYFUNCTION("GOOGLETRANSLATE(English!G3362, ""en"", ""bg"")"),"помощ_за_домашно_изпълнение")</f>
        <v>помощ_за_домашно_изпълнение</v>
      </c>
      <c r="H3362" s="1" t="str">
        <f ca="1">IFERROR(__xludf.DUMMYFUNCTION("GOOGLETRANSLATE(English!H3362, ""en"", ""bg"")"),"помощ_за_домашно_задаване")</f>
        <v>помощ_за_домашно_задаване</v>
      </c>
    </row>
    <row r="3363" spans="1:8" ht="13.2" x14ac:dyDescent="0.25">
      <c r="A3363" s="1" t="str">
        <f ca="1">IFERROR(__xludf.DUMMYFUNCTION("GOOGLETRANSLATE(English!A3363, ""en"", ""bg"")"),"qa_03755")</f>
        <v>qa_03755</v>
      </c>
      <c r="B3363" s="1" t="str">
        <f ca="1">IFERROR(__xludf.DUMMYFUNCTION("GOOGLETRANSLATE(English!B3363, ""en"", ""bg"")"),"химия")</f>
        <v>химия</v>
      </c>
      <c r="C3363" s="1" t="str">
        <f ca="1">IFERROR(__xludf.DUMMYFUNCTION("GOOGLETRANSLATE(English!C3363, ""en"", ""bg"")"),"високо")</f>
        <v>високо</v>
      </c>
      <c r="D3363" s="1" t="str">
        <f ca="1">IFERROR(__xludf.DUMMYFUNCTION("GOOGLETRANSLATE(English!D3363, ""en"", ""bg"")"),"химическо свързване")</f>
        <v>химическо свързване</v>
      </c>
      <c r="E3363" s="1" t="str">
        <f ca="1">IFERROR(__xludf.DUMMYFUNCTION("GOOGLETRANSLATE(English!E3363, ""en"", ""bg"")"),"Какво представлява химическото свързване?")</f>
        <v>Какво представлява химическото свързване?</v>
      </c>
      <c r="F3363" s="1" t="str">
        <f ca="1">IFERROR(__xludf.DUMMYFUNCTION("GOOGLETRANSLATE(English!F3363,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3363" s="1" t="str">
        <f ca="1">IFERROR(__xludf.DUMMYFUNCTION("GOOGLETRANSLATE(English!G3363, ""en"", ""bg"")"),"direct_qa")</f>
        <v>direct_qa</v>
      </c>
      <c r="H3363" s="1" t="str">
        <f ca="1">IFERROR(__xludf.DUMMYFUNCTION("GOOGLETRANSLATE(English!H3363, ""en"", ""bg"")"),"заявка_за_знание")</f>
        <v>заявка_за_знание</v>
      </c>
    </row>
    <row r="3364" spans="1:8" ht="13.2" x14ac:dyDescent="0.25">
      <c r="A3364" s="1" t="str">
        <f ca="1">IFERROR(__xludf.DUMMYFUNCTION("GOOGLETRANSLATE(English!A3364, ""en"", ""bg"")"),"hw_02915")</f>
        <v>hw_02915</v>
      </c>
      <c r="B3364" s="1" t="str">
        <f ca="1">IFERROR(__xludf.DUMMYFUNCTION("GOOGLETRANSLATE(English!B3364, ""en"", ""bg"")"),"химия")</f>
        <v>химия</v>
      </c>
      <c r="C3364" s="1" t="str">
        <f ca="1">IFERROR(__xludf.DUMMYFUNCTION("GOOGLETRANSLATE(English!C3364, ""en"", ""bg"")"),"високо")</f>
        <v>високо</v>
      </c>
      <c r="D3364" s="1" t="str">
        <f ca="1">IFERROR(__xludf.DUMMYFUNCTION("GOOGLETRANSLATE(English!D3364, ""en"", ""bg"")"),"равновесие")</f>
        <v>равновесие</v>
      </c>
      <c r="E3364" s="1" t="str">
        <f ca="1">IFERROR(__xludf.DUMMYFUNCTION("GOOGLETRANSLATE(English!E3364, ""en"", ""bg"")"),"Трудно ми е да пазя равновесието си в домашните.")</f>
        <v>Трудно ми е да пазя равновесието си в домашните.</v>
      </c>
      <c r="F3364" s="1" t="str">
        <f ca="1">IFERROR(__xludf.DUMMYFUNCTION("GOOGLETRANSLATE(English!F3364,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364" s="1" t="str">
        <f ca="1">IFERROR(__xludf.DUMMYFUNCTION("GOOGLETRANSLATE(English!G3364, ""en"", ""bg"")"),"помощ_за_домашно_изпълнение")</f>
        <v>помощ_за_домашно_изпълнение</v>
      </c>
      <c r="H3364" s="1" t="str">
        <f ca="1">IFERROR(__xludf.DUMMYFUNCTION("GOOGLETRANSLATE(English!H3364, ""en"", ""bg"")"),"помощ_за_домашно_задаване")</f>
        <v>помощ_за_домашно_задаване</v>
      </c>
    </row>
    <row r="3365" spans="1:8" ht="13.2" x14ac:dyDescent="0.25">
      <c r="A3365" s="1" t="str">
        <f ca="1">IFERROR(__xludf.DUMMYFUNCTION("GOOGLETRANSLATE(English!A3365, ""en"", ""bg"")"),"hw_10894")</f>
        <v>hw_10894</v>
      </c>
      <c r="B3365" s="1" t="str">
        <f ca="1">IFERROR(__xludf.DUMMYFUNCTION("GOOGLETRANSLATE(English!B3365, ""en"", ""bg"")"),"физика")</f>
        <v>физика</v>
      </c>
      <c r="C3365" s="1" t="str">
        <f ca="1">IFERROR(__xludf.DUMMYFUNCTION("GOOGLETRANSLATE(English!C3365, ""en"", ""bg"")"),"високо")</f>
        <v>високо</v>
      </c>
      <c r="D3365" s="1" t="str">
        <f ca="1">IFERROR(__xludf.DUMMYFUNCTION("GOOGLETRANSLATE(English!D3365, ""en"", ""bg"")"),"механика")</f>
        <v>механика</v>
      </c>
      <c r="E3365" s="1" t="str">
        <f ca="1">IFERROR(__xludf.DUMMYFUNCTION("GOOGLETRANSLATE(English!E3365, ""en"", ""bg"")"),"Домашното ми по физика е за механика. Объркващо е!")</f>
        <v>Домашното ми по физика е за механика. Объркващо е!</v>
      </c>
      <c r="F3365" s="1" t="str">
        <f ca="1">IFERROR(__xludf.DUMMYFUNCTION("GOOGLETRANSLATE(English!F3365,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365" s="1" t="str">
        <f ca="1">IFERROR(__xludf.DUMMYFUNCTION("GOOGLETRANSLATE(English!G3365, ""en"", ""bg"")"),"помощ_за_домашно_изпълнение")</f>
        <v>помощ_за_домашно_изпълнение</v>
      </c>
      <c r="H3365" s="1" t="str">
        <f ca="1">IFERROR(__xludf.DUMMYFUNCTION("GOOGLETRANSLATE(English!H3365, ""en"", ""bg"")"),"помощ_за_домашно_задаване")</f>
        <v>помощ_за_домашно_задаване</v>
      </c>
    </row>
    <row r="3366" spans="1:8" ht="13.2" x14ac:dyDescent="0.25">
      <c r="A3366" s="1" t="str">
        <f ca="1">IFERROR(__xludf.DUMMYFUNCTION("GOOGLETRANSLATE(English!A3366, ""en"", ""bg"")"),"conv_15182")</f>
        <v>conv_15182</v>
      </c>
      <c r="B3366" s="1" t="str">
        <f ca="1">IFERROR(__xludf.DUMMYFUNCTION("GOOGLETRANSLATE(English!B3366, ""en"", ""bg"")"),"физика")</f>
        <v>физика</v>
      </c>
      <c r="C3366" s="1" t="str">
        <f ca="1">IFERROR(__xludf.DUMMYFUNCTION("GOOGLETRANSLATE(English!C3366, ""en"", ""bg"")"),"елементарен")</f>
        <v>елементарен</v>
      </c>
      <c r="D3366" s="1" t="str">
        <f ca="1">IFERROR(__xludf.DUMMYFUNCTION("GOOGLETRANSLATE(English!D3366, ""en"", ""bg"")"),"светлина и сянка")</f>
        <v>светлина и сянка</v>
      </c>
      <c r="E3366" s="1" t="str">
        <f ca="1">IFERROR(__xludf.DUMMYFUNCTION("GOOGLETRANSLATE(English!E3366, ""en"", ""bg"")"),"Можете ли да ми помогнете? Какво се случва, когато светлината попадне в огледало?")</f>
        <v>Можете ли да ми помогнете? Какво се случва, когато светлината попадне в огледало?</v>
      </c>
      <c r="F3366" s="1" t="str">
        <f ca="1">IFERROR(__xludf.DUMMYFUNCTION("GOOGLETRANSLATE(English!F3366,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3366" s="1" t="str">
        <f ca="1">IFERROR(__xludf.DUMMYFUNCTION("GOOGLETRANSLATE(English!G3366, ""en"", ""bg"")"),"разговор")</f>
        <v>разговор</v>
      </c>
      <c r="H3366" s="1" t="str">
        <f ca="1">IFERROR(__xludf.DUMMYFUNCTION("GOOGLETRANSLATE(English!H3366, ""en"", ""bg"")"),"образователна_помощ")</f>
        <v>образователна_помощ</v>
      </c>
    </row>
    <row r="3367" spans="1:8" ht="13.2" x14ac:dyDescent="0.25">
      <c r="A3367" s="1" t="str">
        <f ca="1">IFERROR(__xludf.DUMMYFUNCTION("GOOGLETRANSLATE(English!A3367, ""en"", ""bg"")"),"qa_09567")</f>
        <v>qa_09567</v>
      </c>
      <c r="B3367" s="1" t="str">
        <f ca="1">IFERROR(__xludf.DUMMYFUNCTION("GOOGLETRANSLATE(English!B3367, ""en"", ""bg"")"),"биология")</f>
        <v>биология</v>
      </c>
      <c r="C3367" s="1" t="str">
        <f ca="1">IFERROR(__xludf.DUMMYFUNCTION("GOOGLETRANSLATE(English!C3367, ""en"", ""bg"")"),"средата")</f>
        <v>средата</v>
      </c>
      <c r="D3367" s="1" t="str">
        <f ca="1">IFERROR(__xludf.DUMMYFUNCTION("GOOGLETRANSLATE(English!D3367, ""en"", ""bg"")"),"размножаване")</f>
        <v>размножаване</v>
      </c>
      <c r="E3367" s="1" t="str">
        <f ca="1">IFERROR(__xludf.DUMMYFUNCTION("GOOGLETRANSLATE(English!E3367, ""en"", ""bg"")"),"Защо размножаването е важно в биологията?")</f>
        <v>Защо размножаването е важно в биологията?</v>
      </c>
      <c r="F3367" s="1" t="str">
        <f ca="1">IFERROR(__xludf.DUMMYFUNCTION("GOOGLETRANSLATE(English!F3367,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3367" s="1" t="str">
        <f ca="1">IFERROR(__xludf.DUMMYFUNCTION("GOOGLETRANSLATE(English!G3367, ""en"", ""bg"")"),"direct_qa")</f>
        <v>direct_qa</v>
      </c>
      <c r="H3367" s="1" t="str">
        <f ca="1">IFERROR(__xludf.DUMMYFUNCTION("GOOGLETRANSLATE(English!H3367, ""en"", ""bg"")"),"заявка_за_знание")</f>
        <v>заявка_за_знание</v>
      </c>
    </row>
    <row r="3368" spans="1:8" ht="13.2" x14ac:dyDescent="0.25">
      <c r="A3368" s="1" t="str">
        <f ca="1">IFERROR(__xludf.DUMMYFUNCTION("GOOGLETRANSLATE(English!A3368, ""en"", ""bg"")"),"conv_11802")</f>
        <v>conv_11802</v>
      </c>
      <c r="B3368" s="1" t="str">
        <f ca="1">IFERROR(__xludf.DUMMYFUNCTION("GOOGLETRANSLATE(English!B3368, ""en"", ""bg"")"),"химия")</f>
        <v>химия</v>
      </c>
      <c r="C3368" s="1" t="str">
        <f ca="1">IFERROR(__xludf.DUMMYFUNCTION("GOOGLETRANSLATE(English!C3368, ""en"", ""bg"")"),"елементарен")</f>
        <v>елементарен</v>
      </c>
      <c r="D3368" s="1" t="str">
        <f ca="1">IFERROR(__xludf.DUMMYFUNCTION("GOOGLETRANSLATE(English!D3368, ""en"", ""bg"")"),"безопасност")</f>
        <v>безопасност</v>
      </c>
      <c r="E3368" s="1" t="str">
        <f ca="1">IFERROR(__xludf.DUMMYFUNCTION("GOOGLETRANSLATE(English!E3368, ""en"", ""bg"")"),"Имам нужда от помощ с домашното. Можете ли да ми помогнете да разбера безопасността?")</f>
        <v>Имам нужда от помощ с домашното. Можете ли да ми помогнете да разбера безопасността?</v>
      </c>
      <c r="F3368" s="1" t="str">
        <f ca="1">IFERROR(__xludf.DUMMYFUNCTION("GOOGLETRANSLATE(English!F3368,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3368" s="1" t="str">
        <f ca="1">IFERROR(__xludf.DUMMYFUNCTION("GOOGLETRANSLATE(English!G3368, ""en"", ""bg"")"),"разговор")</f>
        <v>разговор</v>
      </c>
      <c r="H3368" s="1" t="str">
        <f ca="1">IFERROR(__xludf.DUMMYFUNCTION("GOOGLETRANSLATE(English!H3368, ""en"", ""bg"")"),"образователна_помощ")</f>
        <v>образователна_помощ</v>
      </c>
    </row>
    <row r="3369" spans="1:8" ht="13.2" x14ac:dyDescent="0.25">
      <c r="A3369" s="1" t="str">
        <f ca="1">IFERROR(__xludf.DUMMYFUNCTION("GOOGLETRANSLATE(English!A3369, ""en"", ""bg"")"),"hw_04542")</f>
        <v>hw_04542</v>
      </c>
      <c r="B3369" s="1" t="str">
        <f ca="1">IFERROR(__xludf.DUMMYFUNCTION("GOOGLETRANSLATE(English!B3369, ""en"", ""bg"")"),"химия")</f>
        <v>химия</v>
      </c>
      <c r="C3369" s="1" t="str">
        <f ca="1">IFERROR(__xludf.DUMMYFUNCTION("GOOGLETRANSLATE(English!C3369, ""en"", ""bg"")"),"високо")</f>
        <v>високо</v>
      </c>
      <c r="D3369" s="1" t="str">
        <f ca="1">IFERROR(__xludf.DUMMYFUNCTION("GOOGLETRANSLATE(English!D3369, ""en"", ""bg"")"),"органична химия")</f>
        <v>органична химия</v>
      </c>
      <c r="E3369" s="1" t="str">
        <f ca="1">IFERROR(__xludf.DUMMYFUNCTION("GOOGLETRANSLATE(English!E3369, ""en"", ""bg"")"),"Имам затруднения с органичната химия в домашното си.")</f>
        <v>Имам затруднения с органичната химия в домашното си.</v>
      </c>
      <c r="F3369" s="1" t="str">
        <f ca="1">IFERROR(__xludf.DUMMYFUNCTION("GOOGLETRANSLATE(English!F3369,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369" s="1" t="str">
        <f ca="1">IFERROR(__xludf.DUMMYFUNCTION("GOOGLETRANSLATE(English!G3369, ""en"", ""bg"")"),"помощ_за_домашно_изпълнение")</f>
        <v>помощ_за_домашно_изпълнение</v>
      </c>
      <c r="H3369" s="1" t="str">
        <f ca="1">IFERROR(__xludf.DUMMYFUNCTION("GOOGLETRANSLATE(English!H3369, ""en"", ""bg"")"),"помощ_за_домашно_задаване")</f>
        <v>помощ_за_домашно_задаване</v>
      </c>
    </row>
    <row r="3370" spans="1:8" ht="13.2" x14ac:dyDescent="0.25">
      <c r="A3370" s="1" t="str">
        <f ca="1">IFERROR(__xludf.DUMMYFUNCTION("GOOGLETRANSLATE(English!A3370, ""en"", ""bg"")"),"conv_07913")</f>
        <v>conv_07913</v>
      </c>
      <c r="B3370" s="1" t="str">
        <f ca="1">IFERROR(__xludf.DUMMYFUNCTION("GOOGLETRANSLATE(English!B3370, ""en"", ""bg"")"),"физика")</f>
        <v>физика</v>
      </c>
      <c r="C3370" s="1" t="str">
        <f ca="1">IFERROR(__xludf.DUMMYFUNCTION("GOOGLETRANSLATE(English!C3370, ""en"", ""bg"")"),"средата")</f>
        <v>средата</v>
      </c>
      <c r="D3370" s="1" t="str">
        <f ca="1">IFERROR(__xludf.DUMMYFUNCTION("GOOGLETRANSLATE(English!D3370, ""en"", ""bg"")"),"сили и движение")</f>
        <v>сили и движение</v>
      </c>
      <c r="E3370" s="1" t="str">
        <f ca="1">IFERROR(__xludf.DUMMYFUNCTION("GOOGLETRANSLATE(English!E3370, ""en"", ""bg"")"),"Здравей, преподавателю! Как триенето влияе на движението?")</f>
        <v>Здравей, преподавателю! Как триенето влияе на движението?</v>
      </c>
      <c r="F3370" s="1" t="str">
        <f ca="1">IFERROR(__xludf.DUMMYFUNCTION("GOOGLETRANSLATE(English!F3370,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3370" s="1" t="str">
        <f ca="1">IFERROR(__xludf.DUMMYFUNCTION("GOOGLETRANSLATE(English!G3370, ""en"", ""bg"")"),"разговор")</f>
        <v>разговор</v>
      </c>
      <c r="H3370" s="1" t="str">
        <f ca="1">IFERROR(__xludf.DUMMYFUNCTION("GOOGLETRANSLATE(English!H3370, ""en"", ""bg"")"),"образователна_помощ")</f>
        <v>образователна_помощ</v>
      </c>
    </row>
    <row r="3371" spans="1:8" ht="13.2" x14ac:dyDescent="0.25">
      <c r="A3371" s="1" t="str">
        <f ca="1">IFERROR(__xludf.DUMMYFUNCTION("GOOGLETRANSLATE(English!A3371, ""en"", ""bg"")"),"conv_04405")</f>
        <v>conv_04405</v>
      </c>
      <c r="B3371" s="1" t="str">
        <f ca="1">IFERROR(__xludf.DUMMYFUNCTION("GOOGLETRANSLATE(English!B3371, ""en"", ""bg"")"),"физика")</f>
        <v>физика</v>
      </c>
      <c r="C3371" s="1" t="str">
        <f ca="1">IFERROR(__xludf.DUMMYFUNCTION("GOOGLETRANSLATE(English!C3371, ""en"", ""bg"")"),"високо")</f>
        <v>високо</v>
      </c>
      <c r="D3371" s="1" t="str">
        <f ca="1">IFERROR(__xludf.DUMMYFUNCTION("GOOGLETRANSLATE(English!D3371, ""en"", ""bg"")"),"радиоактивност")</f>
        <v>радиоактивност</v>
      </c>
      <c r="E3371" s="1" t="str">
        <f ca="1">IFERROR(__xludf.DUMMYFUNCTION("GOOGLETRANSLATE(English!E3371, ""en"", ""bg"")"),"Можете ли да ми обясните това? Защо радиоактивността е важна?")</f>
        <v>Можете ли да ми обясните това? Защо радиоактивността е важна?</v>
      </c>
      <c r="F3371" s="1" t="str">
        <f ca="1">IFERROR(__xludf.DUMMYFUNCTION("GOOGLETRANSLATE(English!F3371,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3371" s="1" t="str">
        <f ca="1">IFERROR(__xludf.DUMMYFUNCTION("GOOGLETRANSLATE(English!G3371, ""en"", ""bg"")"),"разговор")</f>
        <v>разговор</v>
      </c>
      <c r="H3371" s="1" t="str">
        <f ca="1">IFERROR(__xludf.DUMMYFUNCTION("GOOGLETRANSLATE(English!H3371, ""en"", ""bg"")"),"образователна_помощ")</f>
        <v>образователна_помощ</v>
      </c>
    </row>
    <row r="3372" spans="1:8" ht="13.2" x14ac:dyDescent="0.25">
      <c r="A3372" s="1" t="str">
        <f ca="1">IFERROR(__xludf.DUMMYFUNCTION("GOOGLETRANSLATE(English!A3372, ""en"", ""bg"")"),"hw_02228")</f>
        <v>hw_02228</v>
      </c>
      <c r="B3372" s="1" t="str">
        <f ca="1">IFERROR(__xludf.DUMMYFUNCTION("GOOGLETRANSLATE(English!B3372, ""en"", ""bg"")"),"физика")</f>
        <v>физика</v>
      </c>
      <c r="C3372" s="1" t="str">
        <f ca="1">IFERROR(__xludf.DUMMYFUNCTION("GOOGLETRANSLATE(English!C3372, ""en"", ""bg"")"),"високо")</f>
        <v>високо</v>
      </c>
      <c r="D3372" s="1" t="str">
        <f ca="1">IFERROR(__xludf.DUMMYFUNCTION("GOOGLETRANSLATE(English!D3372, ""en"", ""bg"")"),"термодинамика")</f>
        <v>термодинамика</v>
      </c>
      <c r="E3372" s="1" t="str">
        <f ca="1">IFERROR(__xludf.DUMMYFUNCTION("GOOGLETRANSLATE(English!E3372, ""en"", ""bg"")"),"Можете ли да решите тази задача по термодинамика с мен?")</f>
        <v>Можете ли да решите тази задача по термодинамика с мен?</v>
      </c>
      <c r="F3372" s="1" t="str">
        <f ca="1">IFERROR(__xludf.DUMMYFUNCTION("GOOGLETRANSLATE(English!F3372,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3372" s="1" t="str">
        <f ca="1">IFERROR(__xludf.DUMMYFUNCTION("GOOGLETRANSLATE(English!G3372, ""en"", ""bg"")"),"помощ_за_домашно_изпълнение")</f>
        <v>помощ_за_домашно_изпълнение</v>
      </c>
      <c r="H3372" s="1" t="str">
        <f ca="1">IFERROR(__xludf.DUMMYFUNCTION("GOOGLETRANSLATE(English!H3372, ""en"", ""bg"")"),"помощ_за_домашно_задаване")</f>
        <v>помощ_за_домашно_задаване</v>
      </c>
    </row>
    <row r="3373" spans="1:8" ht="13.2" x14ac:dyDescent="0.25">
      <c r="A3373" s="1" t="str">
        <f ca="1">IFERROR(__xludf.DUMMYFUNCTION("GOOGLETRANSLATE(English!A3373, ""en"", ""bg"")"),"conv_08953")</f>
        <v>conv_08953</v>
      </c>
      <c r="B3373" s="1" t="str">
        <f ca="1">IFERROR(__xludf.DUMMYFUNCTION("GOOGLETRANSLATE(English!B3373, ""en"", ""bg"")"),"физика")</f>
        <v>физика</v>
      </c>
      <c r="C3373" s="1" t="str">
        <f ca="1">IFERROR(__xludf.DUMMYFUNCTION("GOOGLETRANSLATE(English!C3373, ""en"", ""bg"")"),"средата")</f>
        <v>средата</v>
      </c>
      <c r="D3373" s="1" t="str">
        <f ca="1">IFERROR(__xludf.DUMMYFUNCTION("GOOGLETRANSLATE(English!D3373, ""en"", ""bg"")"),"вълни")</f>
        <v>вълни</v>
      </c>
      <c r="E3373" s="1" t="str">
        <f ca="1">IFERROR(__xludf.DUMMYFUNCTION("GOOGLETRANSLATE(English!E3373, ""en"", ""bg"")"),"Здравей, преподавателю! Как работят вълните във физиката?")</f>
        <v>Здравей, преподавателю! Как работят вълните във физиката?</v>
      </c>
      <c r="F3373" s="1" t="str">
        <f ca="1">IFERROR(__xludf.DUMMYFUNCTION("GOOGLETRANSLATE(English!F3373,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3373" s="1" t="str">
        <f ca="1">IFERROR(__xludf.DUMMYFUNCTION("GOOGLETRANSLATE(English!G3373, ""en"", ""bg"")"),"разговор")</f>
        <v>разговор</v>
      </c>
      <c r="H3373" s="1" t="str">
        <f ca="1">IFERROR(__xludf.DUMMYFUNCTION("GOOGLETRANSLATE(English!H3373, ""en"", ""bg"")"),"образователна_помощ")</f>
        <v>образователна_помощ</v>
      </c>
    </row>
    <row r="3374" spans="1:8" ht="13.2" x14ac:dyDescent="0.25">
      <c r="A3374" s="1" t="str">
        <f ca="1">IFERROR(__xludf.DUMMYFUNCTION("GOOGLETRANSLATE(English!A3374, ""en"", ""bg"")"),"qa_00475")</f>
        <v>qa_00475</v>
      </c>
      <c r="B3374" s="1" t="str">
        <f ca="1">IFERROR(__xludf.DUMMYFUNCTION("GOOGLETRANSLATE(English!B3374, ""en"", ""bg"")"),"физика")</f>
        <v>физика</v>
      </c>
      <c r="C3374" s="1" t="str">
        <f ca="1">IFERROR(__xludf.DUMMYFUNCTION("GOOGLETRANSLATE(English!C3374, ""en"", ""bg"")"),"средата")</f>
        <v>средата</v>
      </c>
      <c r="D3374" s="1" t="str">
        <f ca="1">IFERROR(__xludf.DUMMYFUNCTION("GOOGLETRANSLATE(English!D3374, ""en"", ""bg"")"),"основи на електричеството")</f>
        <v>основи на електричеството</v>
      </c>
      <c r="E3374" s="1" t="str">
        <f ca="1">IFERROR(__xludf.DUMMYFUNCTION("GOOGLETRANSLATE(English!E3374, ""en"", ""bg"")"),"Какво трябва да знам за основите на електричеството?")</f>
        <v>Какво трябва да знам за основите на електричеството?</v>
      </c>
      <c r="F3374" s="1" t="str">
        <f ca="1">IFERROR(__xludf.DUMMYFUNCTION("GOOGLETRANSLATE(English!F3374, ""en"", ""bg"")"),"Ключовото нещо за основите на електричеството е как то следва законите на физиката, които управляват нашата вселена.")</f>
        <v>Ключовото нещо за основите на електричеството е как то следва законите на физиката, които управляват нашата вселена.</v>
      </c>
      <c r="G3374" s="1" t="str">
        <f ca="1">IFERROR(__xludf.DUMMYFUNCTION("GOOGLETRANSLATE(English!G3374, ""en"", ""bg"")"),"direct_qa")</f>
        <v>direct_qa</v>
      </c>
      <c r="H3374" s="1" t="str">
        <f ca="1">IFERROR(__xludf.DUMMYFUNCTION("GOOGLETRANSLATE(English!H3374, ""en"", ""bg"")"),"заявка_за_знание")</f>
        <v>заявка_за_знание</v>
      </c>
    </row>
    <row r="3375" spans="1:8" ht="13.2" x14ac:dyDescent="0.25">
      <c r="A3375" s="1" t="str">
        <f ca="1">IFERROR(__xludf.DUMMYFUNCTION("GOOGLETRANSLATE(English!A3375, ""en"", ""bg"")"),"conv_13937")</f>
        <v>conv_13937</v>
      </c>
      <c r="B3375" s="1" t="str">
        <f ca="1">IFERROR(__xludf.DUMMYFUNCTION("GOOGLETRANSLATE(English!B3375, ""en"", ""bg"")"),"биология")</f>
        <v>биология</v>
      </c>
      <c r="C3375" s="1" t="str">
        <f ca="1">IFERROR(__xludf.DUMMYFUNCTION("GOOGLETRANSLATE(English!C3375, ""en"", ""bg"")"),"високо")</f>
        <v>високо</v>
      </c>
      <c r="D3375" s="1" t="str">
        <f ca="1">IFERROR(__xludf.DUMMYFUNCTION("GOOGLETRANSLATE(English!D3375, ""en"", ""bg"")"),"Структура на ДНК")</f>
        <v>Структура на ДНК</v>
      </c>
      <c r="E3375" s="1" t="str">
        <f ca="1">IFERROR(__xludf.DUMMYFUNCTION("GOOGLETRANSLATE(English!E3375, ""en"", ""bg"")"),"Имам научен въпрос. Защо структурата на ДНК е важна в биологията?")</f>
        <v>Имам научен въпрос. Защо структурата на ДНК е важна в биологията?</v>
      </c>
      <c r="F3375" s="1" t="str">
        <f ca="1">IFERROR(__xludf.DUMMYFUNCTION("GOOGLETRANSLATE(English!F3375,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3375" s="1" t="str">
        <f ca="1">IFERROR(__xludf.DUMMYFUNCTION("GOOGLETRANSLATE(English!G3375, ""en"", ""bg"")"),"разговор")</f>
        <v>разговор</v>
      </c>
      <c r="H3375" s="1" t="str">
        <f ca="1">IFERROR(__xludf.DUMMYFUNCTION("GOOGLETRANSLATE(English!H3375, ""en"", ""bg"")"),"образователна_помощ")</f>
        <v>образователна_помощ</v>
      </c>
    </row>
    <row r="3376" spans="1:8" ht="13.2" x14ac:dyDescent="0.25">
      <c r="A3376" s="1" t="str">
        <f ca="1">IFERROR(__xludf.DUMMYFUNCTION("GOOGLETRANSLATE(English!A3376, ""en"", ""bg"")"),"qa_12405")</f>
        <v>qa_12405</v>
      </c>
      <c r="B3376" s="1" t="str">
        <f ca="1">IFERROR(__xludf.DUMMYFUNCTION("GOOGLETRANSLATE(English!B3376, ""en"", ""bg"")"),"биология")</f>
        <v>биология</v>
      </c>
      <c r="C3376" s="1" t="str">
        <f ca="1">IFERROR(__xludf.DUMMYFUNCTION("GOOGLETRANSLATE(English!C3376, ""en"", ""bg"")"),"средата")</f>
        <v>средата</v>
      </c>
      <c r="D3376" s="1" t="str">
        <f ca="1">IFERROR(__xludf.DUMMYFUNCTION("GOOGLETRANSLATE(English!D3376, ""en"", ""bg"")"),"основи на генетиката")</f>
        <v>основи на генетиката</v>
      </c>
      <c r="E3376" s="1" t="str">
        <f ca="1">IFERROR(__xludf.DUMMYFUNCTION("GOOGLETRANSLATE(English!E3376, ""en"", ""bg"")"),"Защо основите на генетиката са важни в биологията?")</f>
        <v>Защо основите на генетиката са важни в биологията?</v>
      </c>
      <c r="F3376" s="1" t="str">
        <f ca="1">IFERROR(__xludf.DUMMYFUNCTION("GOOGLETRANSLATE(English!F3376,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3376" s="1" t="str">
        <f ca="1">IFERROR(__xludf.DUMMYFUNCTION("GOOGLETRANSLATE(English!G3376, ""en"", ""bg"")"),"direct_qa")</f>
        <v>direct_qa</v>
      </c>
      <c r="H3376" s="1" t="str">
        <f ca="1">IFERROR(__xludf.DUMMYFUNCTION("GOOGLETRANSLATE(English!H3376, ""en"", ""bg"")"),"заявка_за_знание")</f>
        <v>заявка_за_знание</v>
      </c>
    </row>
    <row r="3377" spans="1:8" ht="13.2" x14ac:dyDescent="0.25">
      <c r="A3377" s="1" t="str">
        <f ca="1">IFERROR(__xludf.DUMMYFUNCTION("GOOGLETRANSLATE(English!A3377, ""en"", ""bg"")"),"hw_02762")</f>
        <v>hw_02762</v>
      </c>
      <c r="B3377" s="1" t="str">
        <f ca="1">IFERROR(__xludf.DUMMYFUNCTION("GOOGLETRANSLATE(English!B3377, ""en"", ""bg"")"),"химия")</f>
        <v>химия</v>
      </c>
      <c r="C3377" s="1" t="str">
        <f ca="1">IFERROR(__xludf.DUMMYFUNCTION("GOOGLETRANSLATE(English!C3377, ""en"", ""bg"")"),"високо")</f>
        <v>високо</v>
      </c>
      <c r="D3377" s="1" t="str">
        <f ca="1">IFERROR(__xludf.DUMMYFUNCTION("GOOGLETRANSLATE(English!D3377, ""en"", ""bg"")"),"органична химия")</f>
        <v>органична химия</v>
      </c>
      <c r="E3377" s="1" t="str">
        <f ca="1">IFERROR(__xludf.DUMMYFUNCTION("GOOGLETRANSLATE(English!E3377,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3377" s="1" t="str">
        <f ca="1">IFERROR(__xludf.DUMMYFUNCTION("GOOGLETRANSLATE(English!F3377,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377" s="1" t="str">
        <f ca="1">IFERROR(__xludf.DUMMYFUNCTION("GOOGLETRANSLATE(English!G3377, ""en"", ""bg"")"),"помощ_за_домашно_изпълнение")</f>
        <v>помощ_за_домашно_изпълнение</v>
      </c>
      <c r="H3377" s="1" t="str">
        <f ca="1">IFERROR(__xludf.DUMMYFUNCTION("GOOGLETRANSLATE(English!H3377, ""en"", ""bg"")"),"помощ_за_домашно_задаване")</f>
        <v>помощ_за_домашно_задаване</v>
      </c>
    </row>
    <row r="3378" spans="1:8" ht="13.2" x14ac:dyDescent="0.25">
      <c r="A3378" s="1" t="str">
        <f ca="1">IFERROR(__xludf.DUMMYFUNCTION("GOOGLETRANSLATE(English!A3378, ""en"", ""bg"")"),"hw_01759")</f>
        <v>hw_01759</v>
      </c>
      <c r="B3378" s="1" t="str">
        <f ca="1">IFERROR(__xludf.DUMMYFUNCTION("GOOGLETRANSLATE(English!B3378, ""en"", ""bg"")"),"химия")</f>
        <v>химия</v>
      </c>
      <c r="C3378" s="1" t="str">
        <f ca="1">IFERROR(__xludf.DUMMYFUNCTION("GOOGLETRANSLATE(English!C3378, ""en"", ""bg"")"),"високо")</f>
        <v>високо</v>
      </c>
      <c r="D3378" s="1" t="str">
        <f ca="1">IFERROR(__xludf.DUMMYFUNCTION("GOOGLETRANSLATE(English!D3378, ""en"", ""bg"")"),"органична химия")</f>
        <v>органична химия</v>
      </c>
      <c r="E3378" s="1" t="str">
        <f ca="1">IFERROR(__xludf.DUMMYFUNCTION("GOOGLETRANSLATE(English!E3378, ""en"", ""bg"")"),"Имам затруднения с органичната химия в домашното си.")</f>
        <v>Имам затруднения с органичната химия в домашното си.</v>
      </c>
      <c r="F3378" s="1" t="str">
        <f ca="1">IFERROR(__xludf.DUMMYFUNCTION("GOOGLETRANSLATE(English!F3378,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378" s="1" t="str">
        <f ca="1">IFERROR(__xludf.DUMMYFUNCTION("GOOGLETRANSLATE(English!G3378, ""en"", ""bg"")"),"помощ_за_домашно_изпълнение")</f>
        <v>помощ_за_домашно_изпълнение</v>
      </c>
      <c r="H3378" s="1" t="str">
        <f ca="1">IFERROR(__xludf.DUMMYFUNCTION("GOOGLETRANSLATE(English!H3378, ""en"", ""bg"")"),"помощ_за_домашно_задаване")</f>
        <v>помощ_за_домашно_задаване</v>
      </c>
    </row>
    <row r="3379" spans="1:8" ht="13.2" x14ac:dyDescent="0.25">
      <c r="A3379" s="1" t="str">
        <f ca="1">IFERROR(__xludf.DUMMYFUNCTION("GOOGLETRANSLATE(English!A3379, ""en"", ""bg"")"),"conv_00630")</f>
        <v>conv_00630</v>
      </c>
      <c r="B3379" s="1" t="str">
        <f ca="1">IFERROR(__xludf.DUMMYFUNCTION("GOOGLETRANSLATE(English!B3379, ""en"", ""bg"")"),"биология")</f>
        <v>биология</v>
      </c>
      <c r="C3379" s="1" t="str">
        <f ca="1">IFERROR(__xludf.DUMMYFUNCTION("GOOGLETRANSLATE(English!C3379, ""en"", ""bg"")"),"високо")</f>
        <v>високо</v>
      </c>
      <c r="D3379" s="1" t="str">
        <f ca="1">IFERROR(__xludf.DUMMYFUNCTION("GOOGLETRANSLATE(English!D3379, ""en"", ""bg"")"),"синтез на протеини")</f>
        <v>синтез на протеини</v>
      </c>
      <c r="E3379" s="1" t="str">
        <f ca="1">IFERROR(__xludf.DUMMYFUNCTION("GOOGLETRANSLATE(English!E3379, ""en"", ""bg"")"),"Не разбирам тази тема. Защо синтезът на протеини е важен в биологията?")</f>
        <v>Не разбирам тази тема. Защо синтезът на протеини е важен в биологията?</v>
      </c>
      <c r="F3379" s="1" t="str">
        <f ca="1">IFERROR(__xludf.DUMMYFUNCTION("GOOGLETRANSLATE(English!F3379,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3379" s="1" t="str">
        <f ca="1">IFERROR(__xludf.DUMMYFUNCTION("GOOGLETRANSLATE(English!G3379, ""en"", ""bg"")"),"разговор")</f>
        <v>разговор</v>
      </c>
      <c r="H3379" s="1" t="str">
        <f ca="1">IFERROR(__xludf.DUMMYFUNCTION("GOOGLETRANSLATE(English!H3379, ""en"", ""bg"")"),"образователна_помощ")</f>
        <v>образователна_помощ</v>
      </c>
    </row>
    <row r="3380" spans="1:8" ht="13.2" x14ac:dyDescent="0.25">
      <c r="A3380" s="1" t="str">
        <f ca="1">IFERROR(__xludf.DUMMYFUNCTION("GOOGLETRANSLATE(English!A3380, ""en"", ""bg"")"),"qa_00198")</f>
        <v>qa_00198</v>
      </c>
      <c r="B3380" s="1" t="str">
        <f ca="1">IFERROR(__xludf.DUMMYFUNCTION("GOOGLETRANSLATE(English!B3380, ""en"", ""bg"")"),"физика")</f>
        <v>физика</v>
      </c>
      <c r="C3380" s="1" t="str">
        <f ca="1">IFERROR(__xludf.DUMMYFUNCTION("GOOGLETRANSLATE(English!C3380, ""en"", ""bg"")"),"елементарен")</f>
        <v>елементарен</v>
      </c>
      <c r="D3380" s="1" t="str">
        <f ca="1">IFERROR(__xludf.DUMMYFUNCTION("GOOGLETRANSLATE(English!D3380, ""en"", ""bg"")"),"горещо и студено")</f>
        <v>горещо и студено</v>
      </c>
      <c r="E3380" s="1" t="str">
        <f ca="1">IFERROR(__xludf.DUMMYFUNCTION("GOOGLETRANSLATE(English!E3380, ""en"", ""bg"")"),"Какво трябва да знам за топлото и студеното?")</f>
        <v>Какво трябва да знам за топлото и студеното?</v>
      </c>
      <c r="F3380" s="1" t="str">
        <f ca="1">IFERROR(__xludf.DUMMYFUNCTION("GOOGLETRANSLATE(English!F3380,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3380" s="1" t="str">
        <f ca="1">IFERROR(__xludf.DUMMYFUNCTION("GOOGLETRANSLATE(English!G3380, ""en"", ""bg"")"),"direct_qa")</f>
        <v>direct_qa</v>
      </c>
      <c r="H3380" s="1" t="str">
        <f ca="1">IFERROR(__xludf.DUMMYFUNCTION("GOOGLETRANSLATE(English!H3380, ""en"", ""bg"")"),"заявка_за_знание")</f>
        <v>заявка_за_знание</v>
      </c>
    </row>
    <row r="3381" spans="1:8" ht="13.2" x14ac:dyDescent="0.25">
      <c r="A3381" s="1" t="str">
        <f ca="1">IFERROR(__xludf.DUMMYFUNCTION("GOOGLETRANSLATE(English!A3381, ""en"", ""bg"")"),"qa_06264")</f>
        <v>qa_06264</v>
      </c>
      <c r="B3381" s="1" t="str">
        <f ca="1">IFERROR(__xludf.DUMMYFUNCTION("GOOGLETRANSLATE(English!B3381, ""en"", ""bg"")"),"биология")</f>
        <v>биология</v>
      </c>
      <c r="C3381" s="1" t="str">
        <f ca="1">IFERROR(__xludf.DUMMYFUNCTION("GOOGLETRANSLATE(English!C3381, ""en"", ""bg"")"),"елементарен")</f>
        <v>елементарен</v>
      </c>
      <c r="D3381" s="1" t="str">
        <f ca="1">IFERROR(__xludf.DUMMYFUNCTION("GOOGLETRANSLATE(English!D3381, ""en"", ""bg"")"),"жизнени цикли")</f>
        <v>жизнени цикли</v>
      </c>
      <c r="E3381" s="1" t="str">
        <f ca="1">IFERROR(__xludf.DUMMYFUNCTION("GOOGLETRANSLATE(English!E3381, ""en"", ""bg"")"),"Защо жизнените цикли са важни в биологията?")</f>
        <v>Защо жизнените цикли са важни в биологията?</v>
      </c>
      <c r="F3381" s="1" t="str">
        <f ca="1">IFERROR(__xludf.DUMMYFUNCTION("GOOGLETRANSLATE(English!F3381,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3381" s="1" t="str">
        <f ca="1">IFERROR(__xludf.DUMMYFUNCTION("GOOGLETRANSLATE(English!G3381, ""en"", ""bg"")"),"direct_qa")</f>
        <v>direct_qa</v>
      </c>
      <c r="H3381" s="1" t="str">
        <f ca="1">IFERROR(__xludf.DUMMYFUNCTION("GOOGLETRANSLATE(English!H3381, ""en"", ""bg"")"),"заявка_за_знание")</f>
        <v>заявка_за_знание</v>
      </c>
    </row>
    <row r="3382" spans="1:8" ht="13.2" x14ac:dyDescent="0.25">
      <c r="A3382" s="1" t="str">
        <f ca="1">IFERROR(__xludf.DUMMYFUNCTION("GOOGLETRANSLATE(English!A3382, ""en"", ""bg"")"),"hw_03875")</f>
        <v>hw_03875</v>
      </c>
      <c r="B3382" s="1" t="str">
        <f ca="1">IFERROR(__xludf.DUMMYFUNCTION("GOOGLETRANSLATE(English!B3382, ""en"", ""bg"")"),"химия")</f>
        <v>химия</v>
      </c>
      <c r="C3382" s="1" t="str">
        <f ca="1">IFERROR(__xludf.DUMMYFUNCTION("GOOGLETRANSLATE(English!C3382, ""en"", ""bg"")"),"средата")</f>
        <v>средата</v>
      </c>
      <c r="D3382" s="1" t="str">
        <f ca="1">IFERROR(__xludf.DUMMYFUNCTION("GOOGLETRANSLATE(English!D3382, ""en"", ""bg"")"),"съединения срещу елементи")</f>
        <v>съединения срещу елементи</v>
      </c>
      <c r="E3382" s="1" t="str">
        <f ca="1">IFERROR(__xludf.DUMMYFUNCTION("GOOGLETRANSLATE(English!E3382,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3382" s="1" t="str">
        <f ca="1">IFERROR(__xludf.DUMMYFUNCTION("GOOGLETRANSLATE(English!F3382,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382" s="1" t="str">
        <f ca="1">IFERROR(__xludf.DUMMYFUNCTION("GOOGLETRANSLATE(English!G3382, ""en"", ""bg"")"),"помощ_за_домашно_изпълнение")</f>
        <v>помощ_за_домашно_изпълнение</v>
      </c>
      <c r="H3382" s="1" t="str">
        <f ca="1">IFERROR(__xludf.DUMMYFUNCTION("GOOGLETRANSLATE(English!H3382, ""en"", ""bg"")"),"помощ_за_домашно_задаване")</f>
        <v>помощ_за_домашно_задаване</v>
      </c>
    </row>
    <row r="3383" spans="1:8" ht="13.2" x14ac:dyDescent="0.25">
      <c r="A3383" s="1" t="str">
        <f ca="1">IFERROR(__xludf.DUMMYFUNCTION("GOOGLETRANSLATE(English!A3383, ""en"", ""bg"")"),"qa_04488")</f>
        <v>qa_04488</v>
      </c>
      <c r="B3383" s="1" t="str">
        <f ca="1">IFERROR(__xludf.DUMMYFUNCTION("GOOGLETRANSLATE(English!B3383, ""en"", ""bg"")"),"химия")</f>
        <v>химия</v>
      </c>
      <c r="C3383" s="1" t="str">
        <f ca="1">IFERROR(__xludf.DUMMYFUNCTION("GOOGLETRANSLATE(English!C3383, ""en"", ""bg"")"),"елементарен")</f>
        <v>елементарен</v>
      </c>
      <c r="D3383" s="1" t="str">
        <f ca="1">IFERROR(__xludf.DUMMYFUNCTION("GOOGLETRANSLATE(English!D3383, ""en"", ""bg"")"),"твърди вещества, течности, газове")</f>
        <v>твърди вещества, течности, газове</v>
      </c>
      <c r="E3383" s="1" t="str">
        <f ca="1">IFERROR(__xludf.DUMMYFUNCTION("GOOGLETRANSLATE(English!E3383, ""en"", ""bg"")"),"Какво се случва, когато нагрявате твърдо вещество?")</f>
        <v>Какво се случва, когато нагрявате твърдо вещество?</v>
      </c>
      <c r="F3383" s="1" t="str">
        <f ca="1">IFERROR(__xludf.DUMMYFUNCTION("GOOGLETRANSLATE(English!F3383,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3383" s="1" t="str">
        <f ca="1">IFERROR(__xludf.DUMMYFUNCTION("GOOGLETRANSLATE(English!G3383, ""en"", ""bg"")"),"direct_qa")</f>
        <v>direct_qa</v>
      </c>
      <c r="H3383" s="1" t="str">
        <f ca="1">IFERROR(__xludf.DUMMYFUNCTION("GOOGLETRANSLATE(English!H3383, ""en"", ""bg"")"),"заявка_за_знание")</f>
        <v>заявка_за_знание</v>
      </c>
    </row>
    <row r="3384" spans="1:8" ht="13.2" x14ac:dyDescent="0.25">
      <c r="A3384" s="1" t="str">
        <f ca="1">IFERROR(__xludf.DUMMYFUNCTION("GOOGLETRANSLATE(English!A3384, ""en"", ""bg"")"),"hw_08078")</f>
        <v>hw_08078</v>
      </c>
      <c r="B3384" s="1" t="str">
        <f ca="1">IFERROR(__xludf.DUMMYFUNCTION("GOOGLETRANSLATE(English!B3384, ""en"", ""bg"")"),"биология")</f>
        <v>биология</v>
      </c>
      <c r="C3384" s="1" t="str">
        <f ca="1">IFERROR(__xludf.DUMMYFUNCTION("GOOGLETRANSLATE(English!C3384, ""en"", ""bg"")"),"средата")</f>
        <v>средата</v>
      </c>
      <c r="D3384" s="1" t="str">
        <f ca="1">IFERROR(__xludf.DUMMYFUNCTION("GOOGLETRANSLATE(English!D3384, ""en"", ""bg"")"),"основи на еволюцията")</f>
        <v>основи на еволюцията</v>
      </c>
      <c r="E3384" s="1" t="str">
        <f ca="1">IFERROR(__xludf.DUMMYFUNCTION("GOOGLETRANSLATE(English!E3384, ""en"", ""bg"")"),"Утре имам тест по основи на еволюцията. Помогни ми да уча!")</f>
        <v>Утре имам тест по основи на еволюцията. Помогни ми да уча!</v>
      </c>
      <c r="F3384" s="1" t="str">
        <f ca="1">IFERROR(__xludf.DUMMYFUNCTION("GOOGLETRANSLATE(English!F3384,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3384" s="1" t="str">
        <f ca="1">IFERROR(__xludf.DUMMYFUNCTION("GOOGLETRANSLATE(English!G3384, ""en"", ""bg"")"),"помощ_за_домашно_изпълнение")</f>
        <v>помощ_за_домашно_изпълнение</v>
      </c>
      <c r="H3384" s="1" t="str">
        <f ca="1">IFERROR(__xludf.DUMMYFUNCTION("GOOGLETRANSLATE(English!H3384, ""en"", ""bg"")"),"помощ_за_домашно_задаване")</f>
        <v>помощ_за_домашно_задаване</v>
      </c>
    </row>
    <row r="3385" spans="1:8" ht="13.2" x14ac:dyDescent="0.25">
      <c r="A3385" s="1" t="str">
        <f ca="1">IFERROR(__xludf.DUMMYFUNCTION("GOOGLETRANSLATE(English!A3385, ""en"", ""bg"")"),"qa_06864")</f>
        <v>qa_06864</v>
      </c>
      <c r="B3385" s="1" t="str">
        <f ca="1">IFERROR(__xludf.DUMMYFUNCTION("GOOGLETRANSLATE(English!B3385, ""en"", ""bg"")"),"химия")</f>
        <v>химия</v>
      </c>
      <c r="C3385" s="1" t="str">
        <f ca="1">IFERROR(__xludf.DUMMYFUNCTION("GOOGLETRANSLATE(English!C3385, ""en"", ""bg"")"),"високо")</f>
        <v>високо</v>
      </c>
      <c r="D3385" s="1" t="str">
        <f ca="1">IFERROR(__xludf.DUMMYFUNCTION("GOOGLETRANSLATE(English!D3385, ""en"", ""bg"")"),"електрохимия")</f>
        <v>електрохимия</v>
      </c>
      <c r="E3385" s="1" t="str">
        <f ca="1">IFERROR(__xludf.DUMMYFUNCTION("GOOGLETRANSLATE(English!E3385, ""en"", ""bg"")"),"Как работи електрохимията в химията?")</f>
        <v>Как работи електрохимията в химията?</v>
      </c>
      <c r="F3385" s="1" t="str">
        <f ca="1">IFERROR(__xludf.DUMMYFUNCTION("GOOGLETRANSLATE(English!F3385,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3385" s="1" t="str">
        <f ca="1">IFERROR(__xludf.DUMMYFUNCTION("GOOGLETRANSLATE(English!G3385, ""en"", ""bg"")"),"direct_qa")</f>
        <v>direct_qa</v>
      </c>
      <c r="H3385" s="1" t="str">
        <f ca="1">IFERROR(__xludf.DUMMYFUNCTION("GOOGLETRANSLATE(English!H3385, ""en"", ""bg"")"),"заявка_за_знание")</f>
        <v>заявка_за_знание</v>
      </c>
    </row>
    <row r="3386" spans="1:8" ht="13.2" x14ac:dyDescent="0.25">
      <c r="A3386" s="1" t="str">
        <f ca="1">IFERROR(__xludf.DUMMYFUNCTION("GOOGLETRANSLATE(English!A3386, ""en"", ""bg"")"),"hw_07195")</f>
        <v>hw_07195</v>
      </c>
      <c r="B3386" s="1" t="str">
        <f ca="1">IFERROR(__xludf.DUMMYFUNCTION("GOOGLETRANSLATE(English!B3386, ""en"", ""bg"")"),"биология")</f>
        <v>биология</v>
      </c>
      <c r="C3386" s="1" t="str">
        <f ca="1">IFERROR(__xludf.DUMMYFUNCTION("GOOGLETRANSLATE(English!C3386, ""en"", ""bg"")"),"високо")</f>
        <v>високо</v>
      </c>
      <c r="D3386" s="1" t="str">
        <f ca="1">IFERROR(__xludf.DUMMYFUNCTION("GOOGLETRANSLATE(English!D3386, ""en"", ""bg"")"),"модели на наследяване")</f>
        <v>модели на наследяване</v>
      </c>
      <c r="E3386" s="1" t="str">
        <f ca="1">IFERROR(__xludf.DUMMYFUNCTION("GOOGLETRANSLATE(English!E3386,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3386" s="1" t="str">
        <f ca="1">IFERROR(__xludf.DUMMYFUNCTION("GOOGLETRANSLATE(English!F3386,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386" s="1" t="str">
        <f ca="1">IFERROR(__xludf.DUMMYFUNCTION("GOOGLETRANSLATE(English!G3386, ""en"", ""bg"")"),"помощ_за_домашно_изпълнение")</f>
        <v>помощ_за_домашно_изпълнение</v>
      </c>
      <c r="H3386" s="1" t="str">
        <f ca="1">IFERROR(__xludf.DUMMYFUNCTION("GOOGLETRANSLATE(English!H3386, ""en"", ""bg"")"),"помощ_за_домашно_задаване")</f>
        <v>помощ_за_домашно_задаване</v>
      </c>
    </row>
    <row r="3387" spans="1:8" ht="13.2" x14ac:dyDescent="0.25">
      <c r="A3387" s="1" t="str">
        <f ca="1">IFERROR(__xludf.DUMMYFUNCTION("GOOGLETRANSLATE(English!A3387, ""en"", ""bg"")"),"conv_01029")</f>
        <v>conv_01029</v>
      </c>
      <c r="B3387" s="1" t="str">
        <f ca="1">IFERROR(__xludf.DUMMYFUNCTION("GOOGLETRANSLATE(English!B3387, ""en"", ""bg"")"),"биология")</f>
        <v>биология</v>
      </c>
      <c r="C3387" s="1" t="str">
        <f ca="1">IFERROR(__xludf.DUMMYFUNCTION("GOOGLETRANSLATE(English!C3387, ""en"", ""bg"")"),"средата")</f>
        <v>средата</v>
      </c>
      <c r="D3387" s="1" t="str">
        <f ca="1">IFERROR(__xludf.DUMMYFUNCTION("GOOGLETRANSLATE(English!D3387, ""en"", ""bg"")"),"фотосинтеза")</f>
        <v>фотосинтеза</v>
      </c>
      <c r="E3387" s="1" t="str">
        <f ca="1">IFERROR(__xludf.DUMMYFUNCTION("GOOGLETRANSLATE(English!E3387, ""en"", ""bg"")"),"Имам нужда от помощ с домашното. Защо фотосинтезата е важна в биологията?")</f>
        <v>Имам нужда от помощ с домашното. Защо фотосинтезата е важна в биологията?</v>
      </c>
      <c r="F3387" s="1" t="str">
        <f ca="1">IFERROR(__xludf.DUMMYFUNCTION("GOOGLETRANSLATE(English!F3387,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3387" s="1" t="str">
        <f ca="1">IFERROR(__xludf.DUMMYFUNCTION("GOOGLETRANSLATE(English!G3387, ""en"", ""bg"")"),"разговор")</f>
        <v>разговор</v>
      </c>
      <c r="H3387" s="1" t="str">
        <f ca="1">IFERROR(__xludf.DUMMYFUNCTION("GOOGLETRANSLATE(English!H3387, ""en"", ""bg"")"),"образователна_помощ")</f>
        <v>образователна_помощ</v>
      </c>
    </row>
    <row r="3388" spans="1:8" ht="13.2" x14ac:dyDescent="0.25">
      <c r="A3388" s="1" t="str">
        <f ca="1">IFERROR(__xludf.DUMMYFUNCTION("GOOGLETRANSLATE(English!A3388, ""en"", ""bg"")"),"qa_08394")</f>
        <v>qa_08394</v>
      </c>
      <c r="B3388" s="1" t="str">
        <f ca="1">IFERROR(__xludf.DUMMYFUNCTION("GOOGLETRANSLATE(English!B3388, ""en"", ""bg"")"),"биология")</f>
        <v>биология</v>
      </c>
      <c r="C3388" s="1" t="str">
        <f ca="1">IFERROR(__xludf.DUMMYFUNCTION("GOOGLETRANSLATE(English!C3388, ""en"", ""bg"")"),"високо")</f>
        <v>високо</v>
      </c>
      <c r="D3388" s="1" t="str">
        <f ca="1">IFERROR(__xludf.DUMMYFUNCTION("GOOGLETRANSLATE(English!D3388, ""en"", ""bg"")"),"клетъчно дишане")</f>
        <v>клетъчно дишане</v>
      </c>
      <c r="E3388" s="1" t="str">
        <f ca="1">IFERROR(__xludf.DUMMYFUNCTION("GOOGLETRANSLATE(English!E3388, ""en"", ""bg"")"),"Защо клетъчното дишане е важно в биологията?")</f>
        <v>Защо клетъчното дишане е важно в биологията?</v>
      </c>
      <c r="F3388" s="1" t="str">
        <f ca="1">IFERROR(__xludf.DUMMYFUNCTION("GOOGLETRANSLATE(English!F3388,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388" s="1" t="str">
        <f ca="1">IFERROR(__xludf.DUMMYFUNCTION("GOOGLETRANSLATE(English!G3388, ""en"", ""bg"")"),"direct_qa")</f>
        <v>direct_qa</v>
      </c>
      <c r="H3388" s="1" t="str">
        <f ca="1">IFERROR(__xludf.DUMMYFUNCTION("GOOGLETRANSLATE(English!H3388, ""en"", ""bg"")"),"заявка_за_знание")</f>
        <v>заявка_за_знание</v>
      </c>
    </row>
    <row r="3389" spans="1:8" ht="13.2" x14ac:dyDescent="0.25">
      <c r="A3389" s="1" t="str">
        <f ca="1">IFERROR(__xludf.DUMMYFUNCTION("GOOGLETRANSLATE(English!A3389, ""en"", ""bg"")"),"conv_13672")</f>
        <v>conv_13672</v>
      </c>
      <c r="B3389" s="1" t="str">
        <f ca="1">IFERROR(__xludf.DUMMYFUNCTION("GOOGLETRANSLATE(English!B3389, ""en"", ""bg"")"),"химия")</f>
        <v>химия</v>
      </c>
      <c r="C3389" s="1" t="str">
        <f ca="1">IFERROR(__xludf.DUMMYFUNCTION("GOOGLETRANSLATE(English!C3389, ""en"", ""bg"")"),"елементарен")</f>
        <v>елементарен</v>
      </c>
      <c r="D3389" s="1" t="str">
        <f ca="1">IFERROR(__xludf.DUMMYFUNCTION("GOOGLETRANSLATE(English!D3389, ""en"", ""bg"")"),"ежедневни химикали")</f>
        <v>ежедневни химикали</v>
      </c>
      <c r="E3389" s="1" t="str">
        <f ca="1">IFERROR(__xludf.DUMMYFUNCTION("GOOGLETRANSLATE(English!E3389, ""en"", ""bg"")"),"Помогнете ми да уча за теста. Какво представляват ежедневните химикали?")</f>
        <v>Помогнете ми да уча за теста. Какво представляват ежедневните химикали?</v>
      </c>
      <c r="F3389" s="1" t="str">
        <f ca="1">IFERROR(__xludf.DUMMYFUNCTION("GOOGLETRANSLATE(English!F3389,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3389" s="1" t="str">
        <f ca="1">IFERROR(__xludf.DUMMYFUNCTION("GOOGLETRANSLATE(English!G3389, ""en"", ""bg"")"),"разговор")</f>
        <v>разговор</v>
      </c>
      <c r="H3389" s="1" t="str">
        <f ca="1">IFERROR(__xludf.DUMMYFUNCTION("GOOGLETRANSLATE(English!H3389, ""en"", ""bg"")"),"образователна_помощ")</f>
        <v>образователна_помощ</v>
      </c>
    </row>
    <row r="3390" spans="1:8" ht="13.2" x14ac:dyDescent="0.25">
      <c r="A3390" s="1" t="str">
        <f ca="1">IFERROR(__xludf.DUMMYFUNCTION("GOOGLETRANSLATE(English!A3390, ""en"", ""bg"")"),"hw_13999")</f>
        <v>hw_13999</v>
      </c>
      <c r="B3390" s="1" t="str">
        <f ca="1">IFERROR(__xludf.DUMMYFUNCTION("GOOGLETRANSLATE(English!B3390, ""en"", ""bg"")"),"физика")</f>
        <v>физика</v>
      </c>
      <c r="C3390" s="1" t="str">
        <f ca="1">IFERROR(__xludf.DUMMYFUNCTION("GOOGLETRANSLATE(English!C3390, ""en"", ""bg"")"),"елементарен")</f>
        <v>елементарен</v>
      </c>
      <c r="D3390" s="1" t="str">
        <f ca="1">IFERROR(__xludf.DUMMYFUNCTION("GOOGLETRANSLATE(English!D3390, ""en"", ""bg"")"),"звук")</f>
        <v>звук</v>
      </c>
      <c r="E3390" s="1" t="str">
        <f ca="1">IFERROR(__xludf.DUMMYFUNCTION("GOOGLETRANSLATE(English!E3390, ""en"", ""bg"")"),"Домашното ми по физика е за звук. Объркващо е!")</f>
        <v>Домашното ми по физика е за звук. Объркващо е!</v>
      </c>
      <c r="F3390" s="1" t="str">
        <f ca="1">IFERROR(__xludf.DUMMYFUNCTION("GOOGLETRANSLATE(English!F3390,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3390" s="1" t="str">
        <f ca="1">IFERROR(__xludf.DUMMYFUNCTION("GOOGLETRANSLATE(English!G3390, ""en"", ""bg"")"),"помощ_за_домашно_изпълнение")</f>
        <v>помощ_за_домашно_изпълнение</v>
      </c>
      <c r="H3390" s="1" t="str">
        <f ca="1">IFERROR(__xludf.DUMMYFUNCTION("GOOGLETRANSLATE(English!H3390, ""en"", ""bg"")"),"помощ_за_домашно_задаване")</f>
        <v>помощ_за_домашно_задаване</v>
      </c>
    </row>
    <row r="3391" spans="1:8" ht="13.2" x14ac:dyDescent="0.25">
      <c r="A3391" s="1" t="str">
        <f ca="1">IFERROR(__xludf.DUMMYFUNCTION("GOOGLETRANSLATE(English!A3391, ""en"", ""bg"")"),"qa_00086")</f>
        <v>qa_00086</v>
      </c>
      <c r="B3391" s="1" t="str">
        <f ca="1">IFERROR(__xludf.DUMMYFUNCTION("GOOGLETRANSLATE(English!B3391, ""en"", ""bg"")"),"физика")</f>
        <v>физика</v>
      </c>
      <c r="C3391" s="1" t="str">
        <f ca="1">IFERROR(__xludf.DUMMYFUNCTION("GOOGLETRANSLATE(English!C3391, ""en"", ""bg"")"),"елементарен")</f>
        <v>елементарен</v>
      </c>
      <c r="D3391" s="1" t="str">
        <f ca="1">IFERROR(__xludf.DUMMYFUNCTION("GOOGLETRANSLATE(English!D3391, ""en"", ""bg"")"),"горещо и студено")</f>
        <v>горещо и студено</v>
      </c>
      <c r="E3391" s="1" t="str">
        <f ca="1">IFERROR(__xludf.DUMMYFUNCTION("GOOGLETRANSLATE(English!E3391, ""en"", ""bg"")"),"Защо е важно топлото и студеното?")</f>
        <v>Защо е важно топлото и студеното?</v>
      </c>
      <c r="F3391" s="1" t="str">
        <f ca="1">IFERROR(__xludf.DUMMYFUNCTION("GOOGLETRANSLATE(English!F3391,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3391" s="1" t="str">
        <f ca="1">IFERROR(__xludf.DUMMYFUNCTION("GOOGLETRANSLATE(English!G3391, ""en"", ""bg"")"),"direct_qa")</f>
        <v>direct_qa</v>
      </c>
      <c r="H3391" s="1" t="str">
        <f ca="1">IFERROR(__xludf.DUMMYFUNCTION("GOOGLETRANSLATE(English!H3391, ""en"", ""bg"")"),"заявка_за_знание")</f>
        <v>заявка_за_знание</v>
      </c>
    </row>
    <row r="3392" spans="1:8" ht="13.2" x14ac:dyDescent="0.25">
      <c r="A3392" s="1" t="str">
        <f ca="1">IFERROR(__xludf.DUMMYFUNCTION("GOOGLETRANSLATE(English!A3392, ""en"", ""bg"")"),"hw_14029")</f>
        <v>hw_14029</v>
      </c>
      <c r="B3392" s="1" t="str">
        <f ca="1">IFERROR(__xludf.DUMMYFUNCTION("GOOGLETRANSLATE(English!B3392, ""en"", ""bg"")"),"физика")</f>
        <v>физика</v>
      </c>
      <c r="C3392" s="1" t="str">
        <f ca="1">IFERROR(__xludf.DUMMYFUNCTION("GOOGLETRANSLATE(English!C3392, ""en"", ""bg"")"),"елементарен")</f>
        <v>елементарен</v>
      </c>
      <c r="D3392" s="1" t="str">
        <f ca="1">IFERROR(__xludf.DUMMYFUNCTION("GOOGLETRANSLATE(English!D3392, ""en"", ""bg"")"),"горещо и студено")</f>
        <v>горещо и студено</v>
      </c>
      <c r="E3392" s="1" t="str">
        <f ca="1">IFERROR(__xludf.DUMMYFUNCTION("GOOGLETRANSLATE(English!E3392, ""en"", ""bg"")"),"Трябва да разбера какво е топло и студено за изпита си.")</f>
        <v>Трябва да разбера какво е топло и студено за изпита си.</v>
      </c>
      <c r="F3392" s="1" t="str">
        <f ca="1">IFERROR(__xludf.DUMMYFUNCTION("GOOGLETRANSLATE(English!F3392,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392" s="1" t="str">
        <f ca="1">IFERROR(__xludf.DUMMYFUNCTION("GOOGLETRANSLATE(English!G3392, ""en"", ""bg"")"),"помощ_за_домашно_изпълнение")</f>
        <v>помощ_за_домашно_изпълнение</v>
      </c>
      <c r="H3392" s="1" t="str">
        <f ca="1">IFERROR(__xludf.DUMMYFUNCTION("GOOGLETRANSLATE(English!H3392, ""en"", ""bg"")"),"помощ_за_домашно_задаване")</f>
        <v>помощ_за_домашно_задаване</v>
      </c>
    </row>
    <row r="3393" spans="1:8" ht="13.2" x14ac:dyDescent="0.25">
      <c r="A3393" s="1" t="str">
        <f ca="1">IFERROR(__xludf.DUMMYFUNCTION("GOOGLETRANSLATE(English!A3393, ""en"", ""bg"")"),"conv_04320")</f>
        <v>conv_04320</v>
      </c>
      <c r="B3393" s="1" t="str">
        <f ca="1">IFERROR(__xludf.DUMMYFUNCTION("GOOGLETRANSLATE(English!B3393, ""en"", ""bg"")"),"физика")</f>
        <v>физика</v>
      </c>
      <c r="C3393" s="1" t="str">
        <f ca="1">IFERROR(__xludf.DUMMYFUNCTION("GOOGLETRANSLATE(English!C3393, ""en"", ""bg"")"),"елементарен")</f>
        <v>елементарен</v>
      </c>
      <c r="D3393" s="1" t="str">
        <f ca="1">IFERROR(__xludf.DUMMYFUNCTION("GOOGLETRANSLATE(English!D3393, ""en"", ""bg"")"),"звук")</f>
        <v>звук</v>
      </c>
      <c r="E3393" s="1" t="str">
        <f ca="1">IFERROR(__xludf.DUMMYFUNCTION("GOOGLETRANSLATE(English!E3393, ""en"", ""bg"")"),"Здравей, преподавателю! Какво трябва да знам за звука?")</f>
        <v>Здравей, преподавателю! Какво трябва да знам за звука?</v>
      </c>
      <c r="F3393" s="1" t="str">
        <f ca="1">IFERROR(__xludf.DUMMYFUNCTION("GOOGLETRANSLATE(English!F3393,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3393" s="1" t="str">
        <f ca="1">IFERROR(__xludf.DUMMYFUNCTION("GOOGLETRANSLATE(English!G3393, ""en"", ""bg"")"),"разговор")</f>
        <v>разговор</v>
      </c>
      <c r="H3393" s="1" t="str">
        <f ca="1">IFERROR(__xludf.DUMMYFUNCTION("GOOGLETRANSLATE(English!H3393, ""en"", ""bg"")"),"образователна_помощ")</f>
        <v>образователна_помощ</v>
      </c>
    </row>
    <row r="3394" spans="1:8" ht="13.2" x14ac:dyDescent="0.25">
      <c r="A3394" s="1" t="str">
        <f ca="1">IFERROR(__xludf.DUMMYFUNCTION("GOOGLETRANSLATE(English!A3394, ""en"", ""bg"")"),"hw_08798")</f>
        <v>hw_08798</v>
      </c>
      <c r="B3394" s="1" t="str">
        <f ca="1">IFERROR(__xludf.DUMMYFUNCTION("GOOGLETRANSLATE(English!B3394, ""en"", ""bg"")"),"физика")</f>
        <v>физика</v>
      </c>
      <c r="C3394" s="1" t="str">
        <f ca="1">IFERROR(__xludf.DUMMYFUNCTION("GOOGLETRANSLATE(English!C3394, ""en"", ""bg"")"),"високо")</f>
        <v>високо</v>
      </c>
      <c r="D3394" s="1" t="str">
        <f ca="1">IFERROR(__xludf.DUMMYFUNCTION("GOOGLETRANSLATE(English!D3394, ""en"", ""bg"")"),"радиоактивност")</f>
        <v>радиоактивност</v>
      </c>
      <c r="E3394" s="1" t="str">
        <f ca="1">IFERROR(__xludf.DUMMYFUNCTION("GOOGLETRANSLATE(English!E3394, ""en"", ""bg"")"),"Заседнал съм с този проблем с радиоактивността. Можете ли да помогнете?")</f>
        <v>Заседнал съм с този проблем с радиоактивността. Можете ли да помогнете?</v>
      </c>
      <c r="F3394" s="1" t="str">
        <f ca="1">IFERROR(__xludf.DUMMYFUNCTION("GOOGLETRANSLATE(English!F3394,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3394" s="1" t="str">
        <f ca="1">IFERROR(__xludf.DUMMYFUNCTION("GOOGLETRANSLATE(English!G3394, ""en"", ""bg"")"),"помощ_за_домашно_изпълнение")</f>
        <v>помощ_за_домашно_изпълнение</v>
      </c>
      <c r="H3394" s="1" t="str">
        <f ca="1">IFERROR(__xludf.DUMMYFUNCTION("GOOGLETRANSLATE(English!H3394, ""en"", ""bg"")"),"помощ_за_домашно_задаване")</f>
        <v>помощ_за_домашно_задаване</v>
      </c>
    </row>
    <row r="3395" spans="1:8" ht="13.2" x14ac:dyDescent="0.25">
      <c r="A3395" s="1" t="str">
        <f ca="1">IFERROR(__xludf.DUMMYFUNCTION("GOOGLETRANSLATE(English!A3395, ""en"", ""bg"")"),"hw_13892")</f>
        <v>hw_13892</v>
      </c>
      <c r="B3395" s="1" t="str">
        <f ca="1">IFERROR(__xludf.DUMMYFUNCTION("GOOGLETRANSLATE(English!B3395, ""en"", ""bg"")"),"химия")</f>
        <v>химия</v>
      </c>
      <c r="C3395" s="1" t="str">
        <f ca="1">IFERROR(__xludf.DUMMYFUNCTION("GOOGLETRANSLATE(English!C3395, ""en"", ""bg"")"),"високо")</f>
        <v>високо</v>
      </c>
      <c r="D3395" s="1" t="str">
        <f ca="1">IFERROR(__xludf.DUMMYFUNCTION("GOOGLETRANSLATE(English!D3395, ""en"", ""bg"")"),"равновесие")</f>
        <v>равновесие</v>
      </c>
      <c r="E3395" s="1" t="str">
        <f ca="1">IFERROR(__xludf.DUMMYFUNCTION("GOOGLETRANSLATE(English!E3395,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3395" s="1" t="str">
        <f ca="1">IFERROR(__xludf.DUMMYFUNCTION("GOOGLETRANSLATE(English!F3395,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395" s="1" t="str">
        <f ca="1">IFERROR(__xludf.DUMMYFUNCTION("GOOGLETRANSLATE(English!G3395, ""en"", ""bg"")"),"помощ_за_домашно_изпълнение")</f>
        <v>помощ_за_домашно_изпълнение</v>
      </c>
      <c r="H3395" s="1" t="str">
        <f ca="1">IFERROR(__xludf.DUMMYFUNCTION("GOOGLETRANSLATE(English!H3395, ""en"", ""bg"")"),"помощ_за_домашно_задаване")</f>
        <v>помощ_за_домашно_задаване</v>
      </c>
    </row>
    <row r="3396" spans="1:8" ht="13.2" x14ac:dyDescent="0.25">
      <c r="A3396" s="1" t="str">
        <f ca="1">IFERROR(__xludf.DUMMYFUNCTION("GOOGLETRANSLATE(English!A3396, ""en"", ""bg"")"),"hw_01415")</f>
        <v>hw_01415</v>
      </c>
      <c r="B3396" s="1" t="str">
        <f ca="1">IFERROR(__xludf.DUMMYFUNCTION("GOOGLETRANSLATE(English!B3396, ""en"", ""bg"")"),"химия")</f>
        <v>химия</v>
      </c>
      <c r="C3396" s="1" t="str">
        <f ca="1">IFERROR(__xludf.DUMMYFUNCTION("GOOGLETRANSLATE(English!C3396, ""en"", ""bg"")"),"високо")</f>
        <v>високо</v>
      </c>
      <c r="D3396" s="1" t="str">
        <f ca="1">IFERROR(__xludf.DUMMYFUNCTION("GOOGLETRANSLATE(English!D3396, ""en"", ""bg"")"),"равновесие")</f>
        <v>равновесие</v>
      </c>
      <c r="E3396" s="1" t="str">
        <f ca="1">IFERROR(__xludf.DUMMYFUNCTION("GOOGLETRANSLATE(English!E3396, ""en"", ""bg"")"),"Можете ли да ми помогнете с изчисленията за равновесие?")</f>
        <v>Можете ли да ми помогнете с изчисленията за равновесие?</v>
      </c>
      <c r="F3396" s="1" t="str">
        <f ca="1">IFERROR(__xludf.DUMMYFUNCTION("GOOGLETRANSLATE(English!F3396,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396" s="1" t="str">
        <f ca="1">IFERROR(__xludf.DUMMYFUNCTION("GOOGLETRANSLATE(English!G3396, ""en"", ""bg"")"),"помощ_за_домашно_изпълнение")</f>
        <v>помощ_за_домашно_изпълнение</v>
      </c>
      <c r="H3396" s="1" t="str">
        <f ca="1">IFERROR(__xludf.DUMMYFUNCTION("GOOGLETRANSLATE(English!H3396, ""en"", ""bg"")"),"помощ_за_домашно_задаване")</f>
        <v>помощ_за_домашно_задаване</v>
      </c>
    </row>
    <row r="3397" spans="1:8" ht="13.2" x14ac:dyDescent="0.25">
      <c r="A3397" s="1" t="str">
        <f ca="1">IFERROR(__xludf.DUMMYFUNCTION("GOOGLETRANSLATE(English!A3397, ""en"", ""bg"")"),"conv_17633")</f>
        <v>conv_17633</v>
      </c>
      <c r="B3397" s="1" t="str">
        <f ca="1">IFERROR(__xludf.DUMMYFUNCTION("GOOGLETRANSLATE(English!B3397, ""en"", ""bg"")"),"физика")</f>
        <v>физика</v>
      </c>
      <c r="C3397" s="1" t="str">
        <f ca="1">IFERROR(__xludf.DUMMYFUNCTION("GOOGLETRANSLATE(English!C3397, ""en"", ""bg"")"),"високо")</f>
        <v>високо</v>
      </c>
      <c r="D3397" s="1" t="str">
        <f ca="1">IFERROR(__xludf.DUMMYFUNCTION("GOOGLETRANSLATE(English!D3397, ""en"", ""bg"")"),"оптика")</f>
        <v>оптика</v>
      </c>
      <c r="E3397" s="1" t="str">
        <f ca="1">IFERROR(__xludf.DUMMYFUNCTION("GOOGLETRANSLATE(English!E3397, ""en"", ""bg"")"),"Помогни ми да уча за теста. Можеш ли да ми обясниш оптиката?")</f>
        <v>Помогни ми да уча за теста. Можеш ли да ми обясниш оптиката?</v>
      </c>
      <c r="F3397" s="1" t="str">
        <f ca="1">IFERROR(__xludf.DUMMYFUNCTION("GOOGLETRANSLATE(English!F3397,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3397" s="1" t="str">
        <f ca="1">IFERROR(__xludf.DUMMYFUNCTION("GOOGLETRANSLATE(English!G3397, ""en"", ""bg"")"),"разговор")</f>
        <v>разговор</v>
      </c>
      <c r="H3397" s="1" t="str">
        <f ca="1">IFERROR(__xludf.DUMMYFUNCTION("GOOGLETRANSLATE(English!H3397, ""en"", ""bg"")"),"образователна_помощ")</f>
        <v>образователна_помощ</v>
      </c>
    </row>
    <row r="3398" spans="1:8" ht="13.2" x14ac:dyDescent="0.25">
      <c r="A3398" s="1" t="str">
        <f ca="1">IFERROR(__xludf.DUMMYFUNCTION("GOOGLETRANSLATE(English!A3398, ""en"", ""bg"")"),"hw_03326")</f>
        <v>hw_03326</v>
      </c>
      <c r="B3398" s="1" t="str">
        <f ca="1">IFERROR(__xludf.DUMMYFUNCTION("GOOGLETRANSLATE(English!B3398, ""en"", ""bg"")"),"биология")</f>
        <v>биология</v>
      </c>
      <c r="C3398" s="1" t="str">
        <f ca="1">IFERROR(__xludf.DUMMYFUNCTION("GOOGLETRANSLATE(English!C3398, ""en"", ""bg"")"),"елементарен")</f>
        <v>елементарен</v>
      </c>
      <c r="D3398" s="1" t="str">
        <f ca="1">IFERROR(__xludf.DUMMYFUNCTION("GOOGLETRANSLATE(English!D3398, ""en"", ""bg"")"),"растения")</f>
        <v>растения</v>
      </c>
      <c r="E3398" s="1" t="str">
        <f ca="1">IFERROR(__xludf.DUMMYFUNCTION("GOOGLETRANSLATE(English!E3398, ""en"", ""bg"")"),"Можете ли да обясните растенията за моя научен проект?")</f>
        <v>Можете ли да обясните растенията за моя научен проект?</v>
      </c>
      <c r="F3398" s="1" t="str">
        <f ca="1">IFERROR(__xludf.DUMMYFUNCTION("GOOGLETRANSLATE(English!F3398,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3398" s="1" t="str">
        <f ca="1">IFERROR(__xludf.DUMMYFUNCTION("GOOGLETRANSLATE(English!G3398, ""en"", ""bg"")"),"помощ_за_домашно_изпълнение")</f>
        <v>помощ_за_домашно_изпълнение</v>
      </c>
      <c r="H3398" s="1" t="str">
        <f ca="1">IFERROR(__xludf.DUMMYFUNCTION("GOOGLETRANSLATE(English!H3398, ""en"", ""bg"")"),"помощ_за_домашно_задаване")</f>
        <v>помощ_за_домашно_задаване</v>
      </c>
    </row>
    <row r="3399" spans="1:8" ht="13.2" x14ac:dyDescent="0.25">
      <c r="A3399" s="1" t="str">
        <f ca="1">IFERROR(__xludf.DUMMYFUNCTION("GOOGLETRANSLATE(English!A3399, ""en"", ""bg"")"),"hw_05358")</f>
        <v>hw_05358</v>
      </c>
      <c r="B3399" s="1" t="str">
        <f ca="1">IFERROR(__xludf.DUMMYFUNCTION("GOOGLETRANSLATE(English!B3399, ""en"", ""bg"")"),"биология")</f>
        <v>биология</v>
      </c>
      <c r="C3399" s="1" t="str">
        <f ca="1">IFERROR(__xludf.DUMMYFUNCTION("GOOGLETRANSLATE(English!C3399, ""en"", ""bg"")"),"елементарен")</f>
        <v>елементарен</v>
      </c>
      <c r="D3399" s="1" t="str">
        <f ca="1">IFERROR(__xludf.DUMMYFUNCTION("GOOGLETRANSLATE(English!D3399, ""en"", ""bg"")"),"сетива")</f>
        <v>сетива</v>
      </c>
      <c r="E3399" s="1" t="str">
        <f ca="1">IFERROR(__xludf.DUMMYFUNCTION("GOOGLETRANSLATE(English!E3399, ""en"", ""bg"")"),"Утре имам тест по сетива. Помогни ми да уча!")</f>
        <v>Утре имам тест по сетива. Помогни ми да уча!</v>
      </c>
      <c r="F3399" s="1" t="str">
        <f ca="1">IFERROR(__xludf.DUMMYFUNCTION("GOOGLETRANSLATE(English!F3399,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3399" s="1" t="str">
        <f ca="1">IFERROR(__xludf.DUMMYFUNCTION("GOOGLETRANSLATE(English!G3399, ""en"", ""bg"")"),"помощ_за_домашно_изпълнение")</f>
        <v>помощ_за_домашно_изпълнение</v>
      </c>
      <c r="H3399" s="1" t="str">
        <f ca="1">IFERROR(__xludf.DUMMYFUNCTION("GOOGLETRANSLATE(English!H3399, ""en"", ""bg"")"),"помощ_за_домашно_задаване")</f>
        <v>помощ_за_домашно_задаване</v>
      </c>
    </row>
    <row r="3400" spans="1:8" ht="13.2" x14ac:dyDescent="0.25">
      <c r="A3400" s="1" t="str">
        <f ca="1">IFERROR(__xludf.DUMMYFUNCTION("GOOGLETRANSLATE(English!A3400, ""en"", ""bg"")"),"hw_13622")</f>
        <v>hw_13622</v>
      </c>
      <c r="B3400" s="1" t="str">
        <f ca="1">IFERROR(__xludf.DUMMYFUNCTION("GOOGLETRANSLATE(English!B3400, ""en"", ""bg"")"),"физика")</f>
        <v>физика</v>
      </c>
      <c r="C3400" s="1" t="str">
        <f ca="1">IFERROR(__xludf.DUMMYFUNCTION("GOOGLETRANSLATE(English!C3400, ""en"", ""bg"")"),"средата")</f>
        <v>средата</v>
      </c>
      <c r="D3400" s="1" t="str">
        <f ca="1">IFERROR(__xludf.DUMMYFUNCTION("GOOGLETRANSLATE(English!D3400, ""en"", ""bg"")"),"основи на електричеството")</f>
        <v>основи на електричеството</v>
      </c>
      <c r="E3400" s="1" t="str">
        <f ca="1">IFERROR(__xludf.DUMMYFUNCTION("GOOGLETRANSLATE(English!E3400, ""en"", ""bg"")"),"Заседнал съм с този проблем с основите на електричеството. Можете ли да помогнете?")</f>
        <v>Заседнал съм с този проблем с основите на електричеството. Можете ли да помогнете?</v>
      </c>
      <c r="F3400" s="1" t="str">
        <f ca="1">IFERROR(__xludf.DUMMYFUNCTION("GOOGLETRANSLATE(English!F3400,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3400" s="1" t="str">
        <f ca="1">IFERROR(__xludf.DUMMYFUNCTION("GOOGLETRANSLATE(English!G3400, ""en"", ""bg"")"),"помощ_за_домашно_изпълнение")</f>
        <v>помощ_за_домашно_изпълнение</v>
      </c>
      <c r="H3400" s="1" t="str">
        <f ca="1">IFERROR(__xludf.DUMMYFUNCTION("GOOGLETRANSLATE(English!H3400, ""en"", ""bg"")"),"помощ_за_домашно_задаване")</f>
        <v>помощ_за_домашно_задаване</v>
      </c>
    </row>
    <row r="3401" spans="1:8" ht="13.2" x14ac:dyDescent="0.25">
      <c r="A3401" s="1" t="str">
        <f ca="1">IFERROR(__xludf.DUMMYFUNCTION("GOOGLETRANSLATE(English!A3401, ""en"", ""bg"")"),"conv_12708")</f>
        <v>conv_12708</v>
      </c>
      <c r="B3401" s="1" t="str">
        <f ca="1">IFERROR(__xludf.DUMMYFUNCTION("GOOGLETRANSLATE(English!B3401, ""en"", ""bg"")"),"биология")</f>
        <v>биология</v>
      </c>
      <c r="C3401" s="1" t="str">
        <f ca="1">IFERROR(__xludf.DUMMYFUNCTION("GOOGLETRANSLATE(English!C3401, ""en"", ""bg"")"),"средата")</f>
        <v>средата</v>
      </c>
      <c r="D3401" s="1" t="str">
        <f ca="1">IFERROR(__xludf.DUMMYFUNCTION("GOOGLETRANSLATE(English!D3401, ""en"", ""bg"")"),"дишане")</f>
        <v>дишане</v>
      </c>
      <c r="E3401" s="1" t="str">
        <f ca="1">IFERROR(__xludf.DUMMYFUNCTION("GOOGLETRANSLATE(English!E3401, ""en"", ""bg"")"),"Не разбирам тази тема. Можете ли да ми кажете за дишането?")</f>
        <v>Не разбирам тази тема. Можете ли да ми кажете за дишането?</v>
      </c>
      <c r="F3401" s="1" t="str">
        <f ca="1">IFERROR(__xludf.DUMMYFUNCTION("GOOGLETRANSLATE(English!F3401,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3401" s="1" t="str">
        <f ca="1">IFERROR(__xludf.DUMMYFUNCTION("GOOGLETRANSLATE(English!G3401, ""en"", ""bg"")"),"разговор")</f>
        <v>разговор</v>
      </c>
      <c r="H3401" s="1" t="str">
        <f ca="1">IFERROR(__xludf.DUMMYFUNCTION("GOOGLETRANSLATE(English!H3401, ""en"", ""bg"")"),"образователна_помощ")</f>
        <v>образователна_помощ</v>
      </c>
    </row>
    <row r="3402" spans="1:8" ht="13.2" x14ac:dyDescent="0.25">
      <c r="A3402" s="1" t="str">
        <f ca="1">IFERROR(__xludf.DUMMYFUNCTION("GOOGLETRANSLATE(English!A3402, ""en"", ""bg"")"),"qa_06187")</f>
        <v>qa_06187</v>
      </c>
      <c r="B3402" s="1" t="str">
        <f ca="1">IFERROR(__xludf.DUMMYFUNCTION("GOOGLETRANSLATE(English!B3402, ""en"", ""bg"")"),"химия")</f>
        <v>химия</v>
      </c>
      <c r="C3402" s="1" t="str">
        <f ca="1">IFERROR(__xludf.DUMMYFUNCTION("GOOGLETRANSLATE(English!C3402, ""en"", ""bg"")"),"средата")</f>
        <v>средата</v>
      </c>
      <c r="D3402" s="1" t="str">
        <f ca="1">IFERROR(__xludf.DUMMYFUNCTION("GOOGLETRANSLATE(English!D3402, ""en"", ""bg"")"),"атоми и молекули")</f>
        <v>атоми и молекули</v>
      </c>
      <c r="E3402" s="1" t="str">
        <f ca="1">IFERROR(__xludf.DUMMYFUNCTION("GOOGLETRANSLATE(English!E3402, ""en"", ""bg"")"),"Защо атомите се свързват помежду си?")</f>
        <v>Защо атомите се свързват помежду си?</v>
      </c>
      <c r="F3402" s="1" t="str">
        <f ca="1">IFERROR(__xludf.DUMMYFUNCTION("GOOGLETRANSLATE(English!F3402,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3402" s="1" t="str">
        <f ca="1">IFERROR(__xludf.DUMMYFUNCTION("GOOGLETRANSLATE(English!G3402, ""en"", ""bg"")"),"direct_qa")</f>
        <v>direct_qa</v>
      </c>
      <c r="H3402" s="1" t="str">
        <f ca="1">IFERROR(__xludf.DUMMYFUNCTION("GOOGLETRANSLATE(English!H3402, ""en"", ""bg"")"),"заявка_за_знание")</f>
        <v>заявка_за_знание</v>
      </c>
    </row>
    <row r="3403" spans="1:8" ht="13.2" x14ac:dyDescent="0.25">
      <c r="A3403" s="1" t="str">
        <f ca="1">IFERROR(__xludf.DUMMYFUNCTION("GOOGLETRANSLATE(English!A3403, ""en"", ""bg"")"),"hw_10335")</f>
        <v>hw_10335</v>
      </c>
      <c r="B3403" s="1" t="str">
        <f ca="1">IFERROR(__xludf.DUMMYFUNCTION("GOOGLETRANSLATE(English!B3403, ""en"", ""bg"")"),"биология")</f>
        <v>биология</v>
      </c>
      <c r="C3403" s="1" t="str">
        <f ca="1">IFERROR(__xludf.DUMMYFUNCTION("GOOGLETRANSLATE(English!C3403, ""en"", ""bg"")"),"високо")</f>
        <v>високо</v>
      </c>
      <c r="D3403" s="1" t="str">
        <f ca="1">IFERROR(__xludf.DUMMYFUNCTION("GOOGLETRANSLATE(English!D3403, ""en"", ""bg"")"),"митоза и мейоза")</f>
        <v>митоза и мейоза</v>
      </c>
      <c r="E3403" s="1" t="str">
        <f ca="1">IFERROR(__xludf.DUMMYFUNCTION("GOOGLETRANSLATE(English!E3403, ""en"", ""bg"")"),"Домашното ми пита за митоза и мейоза. Не го разбирам.")</f>
        <v>Домашното ми пита за митоза и мейоза. Не го разбирам.</v>
      </c>
      <c r="F3403" s="1" t="str">
        <f ca="1">IFERROR(__xludf.DUMMYFUNCTION("GOOGLETRANSLATE(English!F3403,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3403" s="1" t="str">
        <f ca="1">IFERROR(__xludf.DUMMYFUNCTION("GOOGLETRANSLATE(English!G3403, ""en"", ""bg"")"),"помощ_за_домашно_изпълнение")</f>
        <v>помощ_за_домашно_изпълнение</v>
      </c>
      <c r="H3403" s="1" t="str">
        <f ca="1">IFERROR(__xludf.DUMMYFUNCTION("GOOGLETRANSLATE(English!H3403, ""en"", ""bg"")"),"помощ_за_домашно_задаване")</f>
        <v>помощ_за_домашно_задаване</v>
      </c>
    </row>
    <row r="3404" spans="1:8" ht="13.2" x14ac:dyDescent="0.25">
      <c r="A3404" s="1" t="str">
        <f ca="1">IFERROR(__xludf.DUMMYFUNCTION("GOOGLETRANSLATE(English!A3404, ""en"", ""bg"")"),"qa_09121")</f>
        <v>qa_09121</v>
      </c>
      <c r="B3404" s="1" t="str">
        <f ca="1">IFERROR(__xludf.DUMMYFUNCTION("GOOGLETRANSLATE(English!B3404, ""en"", ""bg"")"),"химия")</f>
        <v>химия</v>
      </c>
      <c r="C3404" s="1" t="str">
        <f ca="1">IFERROR(__xludf.DUMMYFUNCTION("GOOGLETRANSLATE(English!C3404, ""en"", ""bg"")"),"елементарен")</f>
        <v>елементарен</v>
      </c>
      <c r="D3404" s="1" t="str">
        <f ca="1">IFERROR(__xludf.DUMMYFUNCTION("GOOGLETRANSLATE(English!D3404, ""en"", ""bg"")"),"разтваряне")</f>
        <v>разтваряне</v>
      </c>
      <c r="E3404" s="1" t="str">
        <f ca="1">IFERROR(__xludf.DUMMYFUNCTION("GOOGLETRANSLATE(English!E3404, ""en"", ""bg"")"),"Защо е важно да се научим да разтваряме?")</f>
        <v>Защо е важно да се научим да разтваряме?</v>
      </c>
      <c r="F3404" s="1" t="str">
        <f ca="1">IFERROR(__xludf.DUMMYFUNCTION("GOOGLETRANSLATE(English!F3404,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3404" s="1" t="str">
        <f ca="1">IFERROR(__xludf.DUMMYFUNCTION("GOOGLETRANSLATE(English!G3404, ""en"", ""bg"")"),"direct_qa")</f>
        <v>direct_qa</v>
      </c>
      <c r="H3404" s="1" t="str">
        <f ca="1">IFERROR(__xludf.DUMMYFUNCTION("GOOGLETRANSLATE(English!H3404, ""en"", ""bg"")"),"заявка_за_знание")</f>
        <v>заявка_за_знание</v>
      </c>
    </row>
    <row r="3405" spans="1:8" ht="13.2" x14ac:dyDescent="0.25">
      <c r="A3405" s="1" t="str">
        <f ca="1">IFERROR(__xludf.DUMMYFUNCTION("GOOGLETRANSLATE(English!A3405, ""en"", ""bg"")"),"qa_02256")</f>
        <v>qa_02256</v>
      </c>
      <c r="B3405" s="1" t="str">
        <f ca="1">IFERROR(__xludf.DUMMYFUNCTION("GOOGLETRANSLATE(English!B3405, ""en"", ""bg"")"),"физика")</f>
        <v>физика</v>
      </c>
      <c r="C3405" s="1" t="str">
        <f ca="1">IFERROR(__xludf.DUMMYFUNCTION("GOOGLETRANSLATE(English!C3405, ""en"", ""bg"")"),"елементарен")</f>
        <v>елементарен</v>
      </c>
      <c r="D3405" s="1" t="str">
        <f ca="1">IFERROR(__xludf.DUMMYFUNCTION("GOOGLETRANSLATE(English!D3405, ""en"", ""bg"")"),"магнити")</f>
        <v>магнити</v>
      </c>
      <c r="E3405" s="1" t="str">
        <f ca="1">IFERROR(__xludf.DUMMYFUNCTION("GOOGLETRANSLATE(English!E3405, ""en"", ""bg"")"),"Как работят магнитите?")</f>
        <v>Как работят магнитите?</v>
      </c>
      <c r="F3405" s="1" t="str">
        <f ca="1">IFERROR(__xludf.DUMMYFUNCTION("GOOGLETRANSLATE(English!F3405,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3405" s="1" t="str">
        <f ca="1">IFERROR(__xludf.DUMMYFUNCTION("GOOGLETRANSLATE(English!G3405, ""en"", ""bg"")"),"direct_qa")</f>
        <v>direct_qa</v>
      </c>
      <c r="H3405" s="1" t="str">
        <f ca="1">IFERROR(__xludf.DUMMYFUNCTION("GOOGLETRANSLATE(English!H3405, ""en"", ""bg"")"),"заявка_за_знание")</f>
        <v>заявка_за_знание</v>
      </c>
    </row>
    <row r="3406" spans="1:8" ht="13.2" x14ac:dyDescent="0.25">
      <c r="A3406" s="1" t="str">
        <f ca="1">IFERROR(__xludf.DUMMYFUNCTION("GOOGLETRANSLATE(English!A3406, ""en"", ""bg"")"),"hw_03960")</f>
        <v>hw_03960</v>
      </c>
      <c r="B3406" s="1" t="str">
        <f ca="1">IFERROR(__xludf.DUMMYFUNCTION("GOOGLETRANSLATE(English!B3406, ""en"", ""bg"")"),"биология")</f>
        <v>биология</v>
      </c>
      <c r="C3406" s="1" t="str">
        <f ca="1">IFERROR(__xludf.DUMMYFUNCTION("GOOGLETRANSLATE(English!C3406, ""en"", ""bg"")"),"елементарен")</f>
        <v>елементарен</v>
      </c>
      <c r="D3406" s="1" t="str">
        <f ca="1">IFERROR(__xludf.DUMMYFUNCTION("GOOGLETRANSLATE(English!D3406, ""en"", ""bg"")"),"местообитания")</f>
        <v>местообитания</v>
      </c>
      <c r="E3406" s="1" t="str">
        <f ca="1">IFERROR(__xludf.DUMMYFUNCTION("GOOGLETRANSLATE(English!E3406, ""en"", ""bg"")"),"Трябва да напиша доклад за местообитанията. Можете ли да ми помогнете да започна?")</f>
        <v>Трябва да напиша доклад за местообитанията. Можете ли да ми помогнете да започна?</v>
      </c>
      <c r="F3406" s="1" t="str">
        <f ca="1">IFERROR(__xludf.DUMMYFUNCTION("GOOGLETRANSLATE(English!F3406,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3406" s="1" t="str">
        <f ca="1">IFERROR(__xludf.DUMMYFUNCTION("GOOGLETRANSLATE(English!G3406, ""en"", ""bg"")"),"помощ_за_домашно_изпълнение")</f>
        <v>помощ_за_домашно_изпълнение</v>
      </c>
      <c r="H3406" s="1" t="str">
        <f ca="1">IFERROR(__xludf.DUMMYFUNCTION("GOOGLETRANSLATE(English!H3406, ""en"", ""bg"")"),"помощ_за_домашно_задаване")</f>
        <v>помощ_за_домашно_задаване</v>
      </c>
    </row>
    <row r="3407" spans="1:8" ht="13.2" x14ac:dyDescent="0.25">
      <c r="A3407" s="1" t="str">
        <f ca="1">IFERROR(__xludf.DUMMYFUNCTION("GOOGLETRANSLATE(English!A3407, ""en"", ""bg"")"),"qa_10008")</f>
        <v>qa_10008</v>
      </c>
      <c r="B3407" s="1" t="str">
        <f ca="1">IFERROR(__xludf.DUMMYFUNCTION("GOOGLETRANSLATE(English!B3407, ""en"", ""bg"")"),"биология")</f>
        <v>биология</v>
      </c>
      <c r="C3407" s="1" t="str">
        <f ca="1">IFERROR(__xludf.DUMMYFUNCTION("GOOGLETRANSLATE(English!C3407, ""en"", ""bg"")"),"високо")</f>
        <v>високо</v>
      </c>
      <c r="D3407" s="1" t="str">
        <f ca="1">IFERROR(__xludf.DUMMYFUNCTION("GOOGLETRANSLATE(English!D3407, ""en"", ""bg"")"),"молекулярна биология")</f>
        <v>молекулярна биология</v>
      </c>
      <c r="E3407" s="1" t="str">
        <f ca="1">IFERROR(__xludf.DUMMYFUNCTION("GOOGLETRANSLATE(English!E3407, ""en"", ""bg"")"),"Защо молекулярната биология е важна в биологията?")</f>
        <v>Защо молекулярната биология е важна в биологията?</v>
      </c>
      <c r="F3407" s="1" t="str">
        <f ca="1">IFERROR(__xludf.DUMMYFUNCTION("GOOGLETRANSLATE(English!F3407,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3407" s="1" t="str">
        <f ca="1">IFERROR(__xludf.DUMMYFUNCTION("GOOGLETRANSLATE(English!G3407, ""en"", ""bg"")"),"direct_qa")</f>
        <v>direct_qa</v>
      </c>
      <c r="H3407" s="1" t="str">
        <f ca="1">IFERROR(__xludf.DUMMYFUNCTION("GOOGLETRANSLATE(English!H3407, ""en"", ""bg"")"),"заявка_за_знание")</f>
        <v>заявка_за_знание</v>
      </c>
    </row>
    <row r="3408" spans="1:8" ht="13.2" x14ac:dyDescent="0.25">
      <c r="A3408" s="1" t="str">
        <f ca="1">IFERROR(__xludf.DUMMYFUNCTION("GOOGLETRANSLATE(English!A3408, ""en"", ""bg"")"),"hw_04849")</f>
        <v>hw_04849</v>
      </c>
      <c r="B3408" s="1" t="str">
        <f ca="1">IFERROR(__xludf.DUMMYFUNCTION("GOOGLETRANSLATE(English!B3408, ""en"", ""bg"")"),"физика")</f>
        <v>физика</v>
      </c>
      <c r="C3408" s="1" t="str">
        <f ca="1">IFERROR(__xludf.DUMMYFUNCTION("GOOGLETRANSLATE(English!C3408, ""en"", ""bg"")"),"средата")</f>
        <v>средата</v>
      </c>
      <c r="D3408" s="1" t="str">
        <f ca="1">IFERROR(__xludf.DUMMYFUNCTION("GOOGLETRANSLATE(English!D3408, ""en"", ""bg"")"),"вълни")</f>
        <v>вълни</v>
      </c>
      <c r="E3408" s="1" t="str">
        <f ca="1">IFERROR(__xludf.DUMMYFUNCTION("GOOGLETRANSLATE(English!E3408, ""en"", ""bg"")"),"Домашното ми по физика е за вълни. Объркващо е!")</f>
        <v>Домашното ми по физика е за вълни. Объркващо е!</v>
      </c>
      <c r="F3408" s="1" t="str">
        <f ca="1">IFERROR(__xludf.DUMMYFUNCTION("GOOGLETRANSLATE(English!F3408,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3408" s="1" t="str">
        <f ca="1">IFERROR(__xludf.DUMMYFUNCTION("GOOGLETRANSLATE(English!G3408, ""en"", ""bg"")"),"помощ_за_домашно_изпълнение")</f>
        <v>помощ_за_домашно_изпълнение</v>
      </c>
      <c r="H3408" s="1" t="str">
        <f ca="1">IFERROR(__xludf.DUMMYFUNCTION("GOOGLETRANSLATE(English!H3408, ""en"", ""bg"")"),"помощ_за_домашно_задаване")</f>
        <v>помощ_за_домашно_задаване</v>
      </c>
    </row>
    <row r="3409" spans="1:8" ht="13.2" x14ac:dyDescent="0.25">
      <c r="A3409" s="1" t="str">
        <f ca="1">IFERROR(__xludf.DUMMYFUNCTION("GOOGLETRANSLATE(English!A3409, ""en"", ""bg"")"),"hw_06800")</f>
        <v>hw_06800</v>
      </c>
      <c r="B3409" s="1" t="str">
        <f ca="1">IFERROR(__xludf.DUMMYFUNCTION("GOOGLETRANSLATE(English!B3409, ""en"", ""bg"")"),"физика")</f>
        <v>физика</v>
      </c>
      <c r="C3409" s="1" t="str">
        <f ca="1">IFERROR(__xludf.DUMMYFUNCTION("GOOGLETRANSLATE(English!C3409, ""en"", ""bg"")"),"средата")</f>
        <v>средата</v>
      </c>
      <c r="D3409" s="1" t="str">
        <f ca="1">IFERROR(__xludf.DUMMYFUNCTION("GOOGLETRANSLATE(English!D3409, ""en"", ""bg"")"),"сили и движение")</f>
        <v>сили и движение</v>
      </c>
      <c r="E3409" s="1" t="str">
        <f ca="1">IFERROR(__xludf.DUMMYFUNCTION("GOOGLETRANSLATE(English!E3409, ""en"", ""bg"")"),"Трябва да разбера силите и движението за изпита си.")</f>
        <v>Трябва да разбера силите и движението за изпита си.</v>
      </c>
      <c r="F3409" s="1" t="str">
        <f ca="1">IFERROR(__xludf.DUMMYFUNCTION("GOOGLETRANSLATE(English!F3409,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3409" s="1" t="str">
        <f ca="1">IFERROR(__xludf.DUMMYFUNCTION("GOOGLETRANSLATE(English!G3409, ""en"", ""bg"")"),"помощ_за_домашно_изпълнение")</f>
        <v>помощ_за_домашно_изпълнение</v>
      </c>
      <c r="H3409" s="1" t="str">
        <f ca="1">IFERROR(__xludf.DUMMYFUNCTION("GOOGLETRANSLATE(English!H3409, ""en"", ""bg"")"),"помощ_за_домашно_задаване")</f>
        <v>помощ_за_домашно_задаване</v>
      </c>
    </row>
    <row r="3410" spans="1:8" ht="13.2" x14ac:dyDescent="0.25">
      <c r="A3410" s="1" t="str">
        <f ca="1">IFERROR(__xludf.DUMMYFUNCTION("GOOGLETRANSLATE(English!A3410, ""en"", ""bg"")"),"hw_05804")</f>
        <v>hw_05804</v>
      </c>
      <c r="B3410" s="1" t="str">
        <f ca="1">IFERROR(__xludf.DUMMYFUNCTION("GOOGLETRANSLATE(English!B3410, ""en"", ""bg"")"),"физика")</f>
        <v>физика</v>
      </c>
      <c r="C3410" s="1" t="str">
        <f ca="1">IFERROR(__xludf.DUMMYFUNCTION("GOOGLETRANSLATE(English!C3410, ""en"", ""bg"")"),"елементарен")</f>
        <v>елементарен</v>
      </c>
      <c r="D3410" s="1" t="str">
        <f ca="1">IFERROR(__xludf.DUMMYFUNCTION("GOOGLETRANSLATE(English!D3410, ""en"", ""bg"")"),"плаващ и потъващ")</f>
        <v>плаващ и потъващ</v>
      </c>
      <c r="E3410" s="1" t="str">
        <f ca="1">IFERROR(__xludf.DUMMYFUNCTION("GOOGLETRANSLATE(English!E3410, ""en"", ""bg"")"),"Домашното ми по физика е за плаване и потъване. Объркващо е!")</f>
        <v>Домашното ми по физика е за плаване и потъване. Объркващо е!</v>
      </c>
      <c r="F3410" s="1" t="str">
        <f ca="1">IFERROR(__xludf.DUMMYFUNCTION("GOOGLETRANSLATE(English!F3410,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410" s="1" t="str">
        <f ca="1">IFERROR(__xludf.DUMMYFUNCTION("GOOGLETRANSLATE(English!G3410, ""en"", ""bg"")"),"помощ_за_домашно_изпълнение")</f>
        <v>помощ_за_домашно_изпълнение</v>
      </c>
      <c r="H3410" s="1" t="str">
        <f ca="1">IFERROR(__xludf.DUMMYFUNCTION("GOOGLETRANSLATE(English!H3410, ""en"", ""bg"")"),"помощ_за_домашно_задаване")</f>
        <v>помощ_за_домашно_задаване</v>
      </c>
    </row>
    <row r="3411" spans="1:8" ht="13.2" x14ac:dyDescent="0.25">
      <c r="A3411" s="1" t="str">
        <f ca="1">IFERROR(__xludf.DUMMYFUNCTION("GOOGLETRANSLATE(English!A3411, ""en"", ""bg"")"),"qa_00052")</f>
        <v>qa_00052</v>
      </c>
      <c r="B3411" s="1" t="str">
        <f ca="1">IFERROR(__xludf.DUMMYFUNCTION("GOOGLETRANSLATE(English!B3411, ""en"", ""bg"")"),"биология")</f>
        <v>биология</v>
      </c>
      <c r="C3411" s="1" t="str">
        <f ca="1">IFERROR(__xludf.DUMMYFUNCTION("GOOGLETRANSLATE(English!C3411, ""en"", ""bg"")"),"високо")</f>
        <v>високо</v>
      </c>
      <c r="D3411" s="1" t="str">
        <f ca="1">IFERROR(__xludf.DUMMYFUNCTION("GOOGLETRANSLATE(English!D3411, ""en"", ""bg"")"),"митоза и мейоза")</f>
        <v>митоза и мейоза</v>
      </c>
      <c r="E3411" s="1" t="str">
        <f ca="1">IFERROR(__xludf.DUMMYFUNCTION("GOOGLETRANSLATE(English!E3411, ""en"", ""bg"")"),"Можете ли да ми разкажете за митозата и мейозата?")</f>
        <v>Можете ли да ми разкажете за митозата и мейозата?</v>
      </c>
      <c r="F3411" s="1" t="str">
        <f ca="1">IFERROR(__xludf.DUMMYFUNCTION("GOOGLETRANSLATE(English!F3411,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3411" s="1" t="str">
        <f ca="1">IFERROR(__xludf.DUMMYFUNCTION("GOOGLETRANSLATE(English!G3411, ""en"", ""bg"")"),"direct_qa")</f>
        <v>direct_qa</v>
      </c>
      <c r="H3411" s="1" t="str">
        <f ca="1">IFERROR(__xludf.DUMMYFUNCTION("GOOGLETRANSLATE(English!H3411, ""en"", ""bg"")"),"заявка_за_знание")</f>
        <v>заявка_за_знание</v>
      </c>
    </row>
    <row r="3412" spans="1:8" ht="13.2" x14ac:dyDescent="0.25">
      <c r="A3412" s="1" t="str">
        <f ca="1">IFERROR(__xludf.DUMMYFUNCTION("GOOGLETRANSLATE(English!A3412, ""en"", ""bg"")"),"conv_05867")</f>
        <v>conv_05867</v>
      </c>
      <c r="B3412" s="1" t="str">
        <f ca="1">IFERROR(__xludf.DUMMYFUNCTION("GOOGLETRANSLATE(English!B3412, ""en"", ""bg"")"),"физика")</f>
        <v>физика</v>
      </c>
      <c r="C3412" s="1" t="str">
        <f ca="1">IFERROR(__xludf.DUMMYFUNCTION("GOOGLETRANSLATE(English!C3412, ""en"", ""bg"")"),"средата")</f>
        <v>средата</v>
      </c>
      <c r="D3412" s="1" t="str">
        <f ca="1">IFERROR(__xludf.DUMMYFUNCTION("GOOGLETRANSLATE(English!D3412, ""en"", ""bg"")"),"плътност")</f>
        <v>плътност</v>
      </c>
      <c r="E3412" s="1" t="str">
        <f ca="1">IFERROR(__xludf.DUMMYFUNCTION("GOOGLETRANSLATE(English!E3412, ""en"", ""bg"")"),"Здравей, преподавателю! Как работи плътността във физиката?")</f>
        <v>Здравей, преподавателю! Как работи плътността във физиката?</v>
      </c>
      <c r="F3412" s="1" t="str">
        <f ca="1">IFERROR(__xludf.DUMMYFUNCTION("GOOGLETRANSLATE(English!F3412,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3412" s="1" t="str">
        <f ca="1">IFERROR(__xludf.DUMMYFUNCTION("GOOGLETRANSLATE(English!G3412, ""en"", ""bg"")"),"разговор")</f>
        <v>разговор</v>
      </c>
      <c r="H3412" s="1" t="str">
        <f ca="1">IFERROR(__xludf.DUMMYFUNCTION("GOOGLETRANSLATE(English!H3412, ""en"", ""bg"")"),"образователна_помощ")</f>
        <v>образователна_помощ</v>
      </c>
    </row>
    <row r="3413" spans="1:8" ht="13.2" x14ac:dyDescent="0.25">
      <c r="A3413" s="1" t="str">
        <f ca="1">IFERROR(__xludf.DUMMYFUNCTION("GOOGLETRANSLATE(English!A3413, ""en"", ""bg"")"),"qa_13452")</f>
        <v>qa_13452</v>
      </c>
      <c r="B3413" s="1" t="str">
        <f ca="1">IFERROR(__xludf.DUMMYFUNCTION("GOOGLETRANSLATE(English!B3413, ""en"", ""bg"")"),"биология")</f>
        <v>биология</v>
      </c>
      <c r="C3413" s="1" t="str">
        <f ca="1">IFERROR(__xludf.DUMMYFUNCTION("GOOGLETRANSLATE(English!C3413, ""en"", ""bg"")"),"средата")</f>
        <v>средата</v>
      </c>
      <c r="D3413" s="1" t="str">
        <f ca="1">IFERROR(__xludf.DUMMYFUNCTION("GOOGLETRANSLATE(English!D3413, ""en"", ""bg"")"),"екосистеми")</f>
        <v>екосистеми</v>
      </c>
      <c r="E3413" s="1" t="str">
        <f ca="1">IFERROR(__xludf.DUMMYFUNCTION("GOOGLETRANSLATE(English!E3413, ""en"", ""bg"")"),"Какво е важно да знаем за екосистемите?")</f>
        <v>Какво е важно да знаем за екосистемите?</v>
      </c>
      <c r="F3413" s="1" t="str">
        <f ca="1">IFERROR(__xludf.DUMMYFUNCTION("GOOGLETRANSLATE(English!F3413,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3413" s="1" t="str">
        <f ca="1">IFERROR(__xludf.DUMMYFUNCTION("GOOGLETRANSLATE(English!G3413, ""en"", ""bg"")"),"direct_qa")</f>
        <v>direct_qa</v>
      </c>
      <c r="H3413" s="1" t="str">
        <f ca="1">IFERROR(__xludf.DUMMYFUNCTION("GOOGLETRANSLATE(English!H3413, ""en"", ""bg"")"),"заявка_за_знание")</f>
        <v>заявка_за_знание</v>
      </c>
    </row>
    <row r="3414" spans="1:8" ht="13.2" x14ac:dyDescent="0.25">
      <c r="A3414" s="1" t="str">
        <f ca="1">IFERROR(__xludf.DUMMYFUNCTION("GOOGLETRANSLATE(English!A3414, ""en"", ""bg"")"),"hw_13603")</f>
        <v>hw_13603</v>
      </c>
      <c r="B3414" s="1" t="str">
        <f ca="1">IFERROR(__xludf.DUMMYFUNCTION("GOOGLETRANSLATE(English!B3414, ""en"", ""bg"")"),"химия")</f>
        <v>химия</v>
      </c>
      <c r="C3414" s="1" t="str">
        <f ca="1">IFERROR(__xludf.DUMMYFUNCTION("GOOGLETRANSLATE(English!C3414, ""en"", ""bg"")"),"средата")</f>
        <v>средата</v>
      </c>
      <c r="D3414" s="1" t="str">
        <f ca="1">IFERROR(__xludf.DUMMYFUNCTION("GOOGLETRANSLATE(English!D3414, ""en"", ""bg"")"),"химични реакции")</f>
        <v>химични реакции</v>
      </c>
      <c r="E3414" s="1" t="str">
        <f ca="1">IFERROR(__xludf.DUMMYFUNCTION("GOOGLETRANSLATE(English!E3414, ""en"", ""bg"")"),"Имам проблеми с химичните реакции в домашното си.")</f>
        <v>Имам проблеми с химичните реакции в домашното си.</v>
      </c>
      <c r="F3414" s="1" t="str">
        <f ca="1">IFERROR(__xludf.DUMMYFUNCTION("GOOGLETRANSLATE(English!F3414,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3414" s="1" t="str">
        <f ca="1">IFERROR(__xludf.DUMMYFUNCTION("GOOGLETRANSLATE(English!G3414, ""en"", ""bg"")"),"помощ_за_домашно_изпълнение")</f>
        <v>помощ_за_домашно_изпълнение</v>
      </c>
      <c r="H3414" s="1" t="str">
        <f ca="1">IFERROR(__xludf.DUMMYFUNCTION("GOOGLETRANSLATE(English!H3414, ""en"", ""bg"")"),"помощ_за_домашно_задаване")</f>
        <v>помощ_за_домашно_задаване</v>
      </c>
    </row>
    <row r="3415" spans="1:8" ht="13.2" x14ac:dyDescent="0.25">
      <c r="A3415" s="1" t="str">
        <f ca="1">IFERROR(__xludf.DUMMYFUNCTION("GOOGLETRANSLATE(English!A3415, ""en"", ""bg"")"),"hw_09039")</f>
        <v>hw_09039</v>
      </c>
      <c r="B3415" s="1" t="str">
        <f ca="1">IFERROR(__xludf.DUMMYFUNCTION("GOOGLETRANSLATE(English!B3415, ""en"", ""bg"")"),"физика")</f>
        <v>физика</v>
      </c>
      <c r="C3415" s="1" t="str">
        <f ca="1">IFERROR(__xludf.DUMMYFUNCTION("GOOGLETRANSLATE(English!C3415, ""en"", ""bg"")"),"елементарен")</f>
        <v>елементарен</v>
      </c>
      <c r="D3415" s="1" t="str">
        <f ca="1">IFERROR(__xludf.DUMMYFUNCTION("GOOGLETRANSLATE(English!D3415, ""en"", ""bg"")"),"светлина и сянка")</f>
        <v>светлина и сянка</v>
      </c>
      <c r="E3415" s="1" t="str">
        <f ca="1">IFERROR(__xludf.DUMMYFUNCTION("GOOGLETRANSLATE(English!E3415, ""en"", ""bg"")"),"Домашното ми по физика е за светлина и сянка. Объркващо е!")</f>
        <v>Домашното ми по физика е за светлина и сянка. Объркващо е!</v>
      </c>
      <c r="F3415" s="1" t="str">
        <f ca="1">IFERROR(__xludf.DUMMYFUNCTION("GOOGLETRANSLATE(English!F3415,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3415" s="1" t="str">
        <f ca="1">IFERROR(__xludf.DUMMYFUNCTION("GOOGLETRANSLATE(English!G3415, ""en"", ""bg"")"),"помощ_за_домашно_изпълнение")</f>
        <v>помощ_за_домашно_изпълнение</v>
      </c>
      <c r="H3415" s="1" t="str">
        <f ca="1">IFERROR(__xludf.DUMMYFUNCTION("GOOGLETRANSLATE(English!H3415, ""en"", ""bg"")"),"помощ_за_домашно_задаване")</f>
        <v>помощ_за_домашно_задаване</v>
      </c>
    </row>
    <row r="3416" spans="1:8" ht="13.2" x14ac:dyDescent="0.25">
      <c r="A3416" s="1" t="str">
        <f ca="1">IFERROR(__xludf.DUMMYFUNCTION("GOOGLETRANSLATE(English!A3416, ""en"", ""bg"")"),"conv_12032")</f>
        <v>conv_12032</v>
      </c>
      <c r="B3416" s="1" t="str">
        <f ca="1">IFERROR(__xludf.DUMMYFUNCTION("GOOGLETRANSLATE(English!B3416, ""en"", ""bg"")"),"биология")</f>
        <v>биология</v>
      </c>
      <c r="C3416" s="1" t="str">
        <f ca="1">IFERROR(__xludf.DUMMYFUNCTION("GOOGLETRANSLATE(English!C3416, ""en"", ""bg"")"),"елементарен")</f>
        <v>елементарен</v>
      </c>
      <c r="D3416" s="1" t="str">
        <f ca="1">IFERROR(__xludf.DUMMYFUNCTION("GOOGLETRANSLATE(English!D3416, ""en"", ""bg"")"),"сетива")</f>
        <v>сетива</v>
      </c>
      <c r="E3416" s="1" t="str">
        <f ca="1">IFERROR(__xludf.DUMMYFUNCTION("GOOGLETRANSLATE(English!E3416, ""en"", ""bg"")"),"Имам научен въпрос. Какво е важно да знаем за сетивата?")</f>
        <v>Имам научен въпрос. Какво е важно да знаем за сетивата?</v>
      </c>
      <c r="F3416" s="1" t="str">
        <f ca="1">IFERROR(__xludf.DUMMYFUNCTION("GOOGLETRANSLATE(English!F3416,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3416" s="1" t="str">
        <f ca="1">IFERROR(__xludf.DUMMYFUNCTION("GOOGLETRANSLATE(English!G3416, ""en"", ""bg"")"),"разговор")</f>
        <v>разговор</v>
      </c>
      <c r="H3416" s="1" t="str">
        <f ca="1">IFERROR(__xludf.DUMMYFUNCTION("GOOGLETRANSLATE(English!H3416, ""en"", ""bg"")"),"образователна_помощ")</f>
        <v>образователна_помощ</v>
      </c>
    </row>
    <row r="3417" spans="1:8" ht="13.2" x14ac:dyDescent="0.25">
      <c r="A3417" s="1" t="str">
        <f ca="1">IFERROR(__xludf.DUMMYFUNCTION("GOOGLETRANSLATE(English!A3417, ""en"", ""bg"")"),"conv_05431")</f>
        <v>conv_05431</v>
      </c>
      <c r="B3417" s="1" t="str">
        <f ca="1">IFERROR(__xludf.DUMMYFUNCTION("GOOGLETRANSLATE(English!B3417, ""en"", ""bg"")"),"биология")</f>
        <v>биология</v>
      </c>
      <c r="C3417" s="1" t="str">
        <f ca="1">IFERROR(__xludf.DUMMYFUNCTION("GOOGLETRANSLATE(English!C3417, ""en"", ""bg"")"),"високо")</f>
        <v>високо</v>
      </c>
      <c r="D3417" s="1" t="str">
        <f ca="1">IFERROR(__xludf.DUMMYFUNCTION("GOOGLETRANSLATE(English!D3417, ""en"", ""bg"")"),"Структура на ДНК")</f>
        <v>Структура на ДНК</v>
      </c>
      <c r="E3417" s="1" t="str">
        <f ca="1">IFERROR(__xludf.DUMMYFUNCTION("GOOGLETRANSLATE(English!E3417, ""en"", ""bg"")"),"Не разбирам тази тема. Какво е важно да знаем за структурата на ДНК?")</f>
        <v>Не разбирам тази тема. Какво е важно да знаем за структурата на ДНК?</v>
      </c>
      <c r="F3417" s="1" t="str">
        <f ca="1">IFERROR(__xludf.DUMMYFUNCTION("GOOGLETRANSLATE(English!F3417,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3417" s="1" t="str">
        <f ca="1">IFERROR(__xludf.DUMMYFUNCTION("GOOGLETRANSLATE(English!G3417, ""en"", ""bg"")"),"разговор")</f>
        <v>разговор</v>
      </c>
      <c r="H3417" s="1" t="str">
        <f ca="1">IFERROR(__xludf.DUMMYFUNCTION("GOOGLETRANSLATE(English!H3417, ""en"", ""bg"")"),"образователна_помощ")</f>
        <v>образователна_помощ</v>
      </c>
    </row>
    <row r="3418" spans="1:8" ht="13.2" x14ac:dyDescent="0.25">
      <c r="A3418" s="1" t="str">
        <f ca="1">IFERROR(__xludf.DUMMYFUNCTION("GOOGLETRANSLATE(English!A3418, ""en"", ""bg"")"),"qa_01596")</f>
        <v>qa_01596</v>
      </c>
      <c r="B3418" s="1" t="str">
        <f ca="1">IFERROR(__xludf.DUMMYFUNCTION("GOOGLETRANSLATE(English!B3418, ""en"", ""bg"")"),"химия")</f>
        <v>химия</v>
      </c>
      <c r="C3418" s="1" t="str">
        <f ca="1">IFERROR(__xludf.DUMMYFUNCTION("GOOGLETRANSLATE(English!C3418, ""en"", ""bg"")"),"елементарен")</f>
        <v>елементарен</v>
      </c>
      <c r="D3418" s="1" t="str">
        <f ca="1">IFERROR(__xludf.DUMMYFUNCTION("GOOGLETRANSLATE(English!D3418, ""en"", ""bg"")"),"безопасност")</f>
        <v>безопасност</v>
      </c>
      <c r="E3418" s="1" t="str">
        <f ca="1">IFERROR(__xludf.DUMMYFUNCTION("GOOGLETRANSLATE(English!E3418, ""en"", ""bg"")"),"Защо е важно да се учим за безопасността?")</f>
        <v>Защо е важно да се учим за безопасността?</v>
      </c>
      <c r="F3418" s="1" t="str">
        <f ca="1">IFERROR(__xludf.DUMMYFUNCTION("GOOGLETRANSLATE(English!F3418,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3418" s="1" t="str">
        <f ca="1">IFERROR(__xludf.DUMMYFUNCTION("GOOGLETRANSLATE(English!G3418, ""en"", ""bg"")"),"direct_qa")</f>
        <v>direct_qa</v>
      </c>
      <c r="H3418" s="1" t="str">
        <f ca="1">IFERROR(__xludf.DUMMYFUNCTION("GOOGLETRANSLATE(English!H3418, ""en"", ""bg"")"),"заявка_за_знание")</f>
        <v>заявка_за_знание</v>
      </c>
    </row>
    <row r="3419" spans="1:8" ht="13.2" x14ac:dyDescent="0.25">
      <c r="A3419" s="1" t="str">
        <f ca="1">IFERROR(__xludf.DUMMYFUNCTION("GOOGLETRANSLATE(English!A3419, ""en"", ""bg"")"),"qa_07053")</f>
        <v>qa_07053</v>
      </c>
      <c r="B3419" s="1" t="str">
        <f ca="1">IFERROR(__xludf.DUMMYFUNCTION("GOOGLETRANSLATE(English!B3419, ""en"", ""bg"")"),"физика")</f>
        <v>физика</v>
      </c>
      <c r="C3419" s="1" t="str">
        <f ca="1">IFERROR(__xludf.DUMMYFUNCTION("GOOGLETRANSLATE(English!C3419, ""en"", ""bg"")"),"елементарен")</f>
        <v>елементарен</v>
      </c>
      <c r="D3419" s="1" t="str">
        <f ca="1">IFERROR(__xludf.DUMMYFUNCTION("GOOGLETRANSLATE(English!D3419, ""en"", ""bg"")"),"горещо и студено")</f>
        <v>горещо и студено</v>
      </c>
      <c r="E3419" s="1" t="str">
        <f ca="1">IFERROR(__xludf.DUMMYFUNCTION("GOOGLETRANSLATE(English!E3419, ""en"", ""bg"")"),"Можете ли да ми обясните какво е топло и студено?")</f>
        <v>Можете ли да ми обясните какво е топло и студено?</v>
      </c>
      <c r="F3419" s="1" t="str">
        <f ca="1">IFERROR(__xludf.DUMMYFUNCTION("GOOGLETRANSLATE(English!F3419,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3419" s="1" t="str">
        <f ca="1">IFERROR(__xludf.DUMMYFUNCTION("GOOGLETRANSLATE(English!G3419, ""en"", ""bg"")"),"direct_qa")</f>
        <v>direct_qa</v>
      </c>
      <c r="H3419" s="1" t="str">
        <f ca="1">IFERROR(__xludf.DUMMYFUNCTION("GOOGLETRANSLATE(English!H3419, ""en"", ""bg"")"),"заявка_за_знание")</f>
        <v>заявка_за_знание</v>
      </c>
    </row>
    <row r="3420" spans="1:8" ht="13.2" x14ac:dyDescent="0.25">
      <c r="A3420" s="1" t="str">
        <f ca="1">IFERROR(__xludf.DUMMYFUNCTION("GOOGLETRANSLATE(English!A3420, ""en"", ""bg"")"),"conv_15832")</f>
        <v>conv_15832</v>
      </c>
      <c r="B3420" s="1" t="str">
        <f ca="1">IFERROR(__xludf.DUMMYFUNCTION("GOOGLETRANSLATE(English!B3420, ""en"", ""bg"")"),"химия")</f>
        <v>химия</v>
      </c>
      <c r="C3420" s="1" t="str">
        <f ca="1">IFERROR(__xludf.DUMMYFUNCTION("GOOGLETRANSLATE(English!C3420, ""en"", ""bg"")"),"високо")</f>
        <v>високо</v>
      </c>
      <c r="D3420" s="1" t="str">
        <f ca="1">IFERROR(__xludf.DUMMYFUNCTION("GOOGLETRANSLATE(English!D3420, ""en"", ""bg"")"),"скорости на реакция")</f>
        <v>скорости на реакция</v>
      </c>
      <c r="E3420" s="1" t="str">
        <f ca="1">IFERROR(__xludf.DUMMYFUNCTION("GOOGLETRANSLATE(English!E3420, ""en"", ""bg"")"),"Имам научен въпрос. Можете ли да ми помогнете да разбера скоростите на реакциите?")</f>
        <v>Имам научен въпрос. Можете ли да ми помогнете да разбера скоростите на реакциите?</v>
      </c>
      <c r="F3420" s="1" t="str">
        <f ca="1">IFERROR(__xludf.DUMMYFUNCTION("GOOGLETRANSLATE(English!F3420,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3420" s="1" t="str">
        <f ca="1">IFERROR(__xludf.DUMMYFUNCTION("GOOGLETRANSLATE(English!G3420, ""en"", ""bg"")"),"разговор")</f>
        <v>разговор</v>
      </c>
      <c r="H3420" s="1" t="str">
        <f ca="1">IFERROR(__xludf.DUMMYFUNCTION("GOOGLETRANSLATE(English!H3420, ""en"", ""bg"")"),"образователна_помощ")</f>
        <v>образователна_помощ</v>
      </c>
    </row>
    <row r="3421" spans="1:8" ht="13.2" x14ac:dyDescent="0.25">
      <c r="A3421" s="1" t="str">
        <f ca="1">IFERROR(__xludf.DUMMYFUNCTION("GOOGLETRANSLATE(English!A3421, ""en"", ""bg"")"),"qa_08720")</f>
        <v>qa_08720</v>
      </c>
      <c r="B3421" s="1" t="str">
        <f ca="1">IFERROR(__xludf.DUMMYFUNCTION("GOOGLETRANSLATE(English!B3421, ""en"", ""bg"")"),"биология")</f>
        <v>биология</v>
      </c>
      <c r="C3421" s="1" t="str">
        <f ca="1">IFERROR(__xludf.DUMMYFUNCTION("GOOGLETRANSLATE(English!C3421, ""en"", ""bg"")"),"средата")</f>
        <v>средата</v>
      </c>
      <c r="D3421" s="1" t="str">
        <f ca="1">IFERROR(__xludf.DUMMYFUNCTION("GOOGLETRANSLATE(English!D3421, ""en"", ""bg"")"),"дишане")</f>
        <v>дишане</v>
      </c>
      <c r="E3421" s="1" t="str">
        <f ca="1">IFERROR(__xludf.DUMMYFUNCTION("GOOGLETRANSLATE(English!E3421, ""en"", ""bg"")"),"Как работи дишането?")</f>
        <v>Как работи дишането?</v>
      </c>
      <c r="F3421" s="1" t="str">
        <f ca="1">IFERROR(__xludf.DUMMYFUNCTION("GOOGLETRANSLATE(English!F3421,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3421" s="1" t="str">
        <f ca="1">IFERROR(__xludf.DUMMYFUNCTION("GOOGLETRANSLATE(English!G3421, ""en"", ""bg"")"),"direct_qa")</f>
        <v>direct_qa</v>
      </c>
      <c r="H3421" s="1" t="str">
        <f ca="1">IFERROR(__xludf.DUMMYFUNCTION("GOOGLETRANSLATE(English!H3421, ""en"", ""bg"")"),"заявка_за_знание")</f>
        <v>заявка_за_знание</v>
      </c>
    </row>
    <row r="3422" spans="1:8" ht="13.2" x14ac:dyDescent="0.25">
      <c r="A3422" s="1" t="str">
        <f ca="1">IFERROR(__xludf.DUMMYFUNCTION("GOOGLETRANSLATE(English!A3422, ""en"", ""bg"")"),"qa_01672")</f>
        <v>qa_01672</v>
      </c>
      <c r="B3422" s="1" t="str">
        <f ca="1">IFERROR(__xludf.DUMMYFUNCTION("GOOGLETRANSLATE(English!B3422, ""en"", ""bg"")"),"биология")</f>
        <v>биология</v>
      </c>
      <c r="C3422" s="1" t="str">
        <f ca="1">IFERROR(__xludf.DUMMYFUNCTION("GOOGLETRANSLATE(English!C3422, ""en"", ""bg"")"),"елементарен")</f>
        <v>елементарен</v>
      </c>
      <c r="D3422" s="1" t="str">
        <f ca="1">IFERROR(__xludf.DUMMYFUNCTION("GOOGLETRANSLATE(English!D3422, ""en"", ""bg"")"),"сетива")</f>
        <v>сетива</v>
      </c>
      <c r="E3422" s="1" t="str">
        <f ca="1">IFERROR(__xludf.DUMMYFUNCTION("GOOGLETRANSLATE(English!E3422, ""en"", ""bg"")"),"Какво е важно да знаем за сетивата?")</f>
        <v>Какво е важно да знаем за сетивата?</v>
      </c>
      <c r="F3422" s="1" t="str">
        <f ca="1">IFERROR(__xludf.DUMMYFUNCTION("GOOGLETRANSLATE(English!F3422,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3422" s="1" t="str">
        <f ca="1">IFERROR(__xludf.DUMMYFUNCTION("GOOGLETRANSLATE(English!G3422, ""en"", ""bg"")"),"direct_qa")</f>
        <v>direct_qa</v>
      </c>
      <c r="H3422" s="1" t="str">
        <f ca="1">IFERROR(__xludf.DUMMYFUNCTION("GOOGLETRANSLATE(English!H3422, ""en"", ""bg"")"),"заявка_за_знание")</f>
        <v>заявка_за_знание</v>
      </c>
    </row>
    <row r="3423" spans="1:8" ht="13.2" x14ac:dyDescent="0.25">
      <c r="A3423" s="1" t="str">
        <f ca="1">IFERROR(__xludf.DUMMYFUNCTION("GOOGLETRANSLATE(English!A3423, ""en"", ""bg"")"),"conv_08855")</f>
        <v>conv_08855</v>
      </c>
      <c r="B3423" s="1" t="str">
        <f ca="1">IFERROR(__xludf.DUMMYFUNCTION("GOOGLETRANSLATE(English!B3423, ""en"", ""bg"")"),"химия")</f>
        <v>химия</v>
      </c>
      <c r="C3423" s="1" t="str">
        <f ca="1">IFERROR(__xludf.DUMMYFUNCTION("GOOGLETRANSLATE(English!C3423, ""en"", ""bg"")"),"средата")</f>
        <v>средата</v>
      </c>
      <c r="D3423" s="1" t="str">
        <f ca="1">IFERROR(__xludf.DUMMYFUNCTION("GOOGLETRANSLATE(English!D3423, ""en"", ""bg"")"),"химични реакции")</f>
        <v>химични реакции</v>
      </c>
      <c r="E3423" s="1" t="str">
        <f ca="1">IFERROR(__xludf.DUMMYFUNCTION("GOOGLETRANSLATE(English!E3423, ""en"", ""bg"")"),"Можете ли да ми помогнете? Какво представляват реагентите и продуктите?")</f>
        <v>Можете ли да ми помогнете? Какво представляват реагентите и продуктите?</v>
      </c>
      <c r="F3423" s="1" t="str">
        <f ca="1">IFERROR(__xludf.DUMMYFUNCTION("GOOGLETRANSLATE(English!F3423,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3423" s="1" t="str">
        <f ca="1">IFERROR(__xludf.DUMMYFUNCTION("GOOGLETRANSLATE(English!G3423, ""en"", ""bg"")"),"разговор")</f>
        <v>разговор</v>
      </c>
      <c r="H3423" s="1" t="str">
        <f ca="1">IFERROR(__xludf.DUMMYFUNCTION("GOOGLETRANSLATE(English!H3423, ""en"", ""bg"")"),"образователна_помощ")</f>
        <v>образователна_помощ</v>
      </c>
    </row>
    <row r="3424" spans="1:8" ht="13.2" x14ac:dyDescent="0.25">
      <c r="A3424" s="1" t="str">
        <f ca="1">IFERROR(__xludf.DUMMYFUNCTION("GOOGLETRANSLATE(English!A3424, ""en"", ""bg"")"),"hw_01799")</f>
        <v>hw_01799</v>
      </c>
      <c r="B3424" s="1" t="str">
        <f ca="1">IFERROR(__xludf.DUMMYFUNCTION("GOOGLETRANSLATE(English!B3424, ""en"", ""bg"")"),"биология")</f>
        <v>биология</v>
      </c>
      <c r="C3424" s="1" t="str">
        <f ca="1">IFERROR(__xludf.DUMMYFUNCTION("GOOGLETRANSLATE(English!C3424, ""en"", ""bg"")"),"елементарен")</f>
        <v>елементарен</v>
      </c>
      <c r="D3424" s="1" t="str">
        <f ca="1">IFERROR(__xludf.DUMMYFUNCTION("GOOGLETRANSLATE(English!D3424, ""en"", ""bg"")"),"основни нужди")</f>
        <v>основни нужди</v>
      </c>
      <c r="E3424" s="1" t="str">
        <f ca="1">IFERROR(__xludf.DUMMYFUNCTION("GOOGLETRANSLATE(English!E3424, ""en"", ""bg"")"),"Можете ли да обясните основните изисквания за моя научен проект?")</f>
        <v>Можете ли да обясните основните изисквания за моя научен проект?</v>
      </c>
      <c r="F3424" s="1" t="str">
        <f ca="1">IFERROR(__xludf.DUMMYFUNCTION("GOOGLETRANSLATE(English!F3424,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3424" s="1" t="str">
        <f ca="1">IFERROR(__xludf.DUMMYFUNCTION("GOOGLETRANSLATE(English!G3424, ""en"", ""bg"")"),"помощ_за_домашно_изпълнение")</f>
        <v>помощ_за_домашно_изпълнение</v>
      </c>
      <c r="H3424" s="1" t="str">
        <f ca="1">IFERROR(__xludf.DUMMYFUNCTION("GOOGLETRANSLATE(English!H3424, ""en"", ""bg"")"),"помощ_за_домашно_задаване")</f>
        <v>помощ_за_домашно_задаване</v>
      </c>
    </row>
    <row r="3425" spans="1:8" ht="13.2" x14ac:dyDescent="0.25">
      <c r="A3425" s="1" t="str">
        <f ca="1">IFERROR(__xludf.DUMMYFUNCTION("GOOGLETRANSLATE(English!A3425, ""en"", ""bg"")"),"qa_10209")</f>
        <v>qa_10209</v>
      </c>
      <c r="B3425" s="1" t="str">
        <f ca="1">IFERROR(__xludf.DUMMYFUNCTION("GOOGLETRANSLATE(English!B3425, ""en"", ""bg"")"),"биология")</f>
        <v>биология</v>
      </c>
      <c r="C3425" s="1" t="str">
        <f ca="1">IFERROR(__xludf.DUMMYFUNCTION("GOOGLETRANSLATE(English!C3425, ""en"", ""bg"")"),"средата")</f>
        <v>средата</v>
      </c>
      <c r="D3425" s="1" t="str">
        <f ca="1">IFERROR(__xludf.DUMMYFUNCTION("GOOGLETRANSLATE(English!D3425, ""en"", ""bg"")"),"размножаване")</f>
        <v>размножаване</v>
      </c>
      <c r="E3425" s="1" t="str">
        <f ca="1">IFERROR(__xludf.DUMMYFUNCTION("GOOGLETRANSLATE(English!E3425, ""en"", ""bg"")"),"Как работи репродукцията?")</f>
        <v>Как работи репродукцията?</v>
      </c>
      <c r="F3425" s="1" t="str">
        <f ca="1">IFERROR(__xludf.DUMMYFUNCTION("GOOGLETRANSLATE(English!F3425,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3425" s="1" t="str">
        <f ca="1">IFERROR(__xludf.DUMMYFUNCTION("GOOGLETRANSLATE(English!G3425, ""en"", ""bg"")"),"direct_qa")</f>
        <v>direct_qa</v>
      </c>
      <c r="H3425" s="1" t="str">
        <f ca="1">IFERROR(__xludf.DUMMYFUNCTION("GOOGLETRANSLATE(English!H3425, ""en"", ""bg"")"),"заявка_за_знание")</f>
        <v>заявка_за_знание</v>
      </c>
    </row>
    <row r="3426" spans="1:8" ht="13.2" x14ac:dyDescent="0.25">
      <c r="A3426" s="1" t="str">
        <f ca="1">IFERROR(__xludf.DUMMYFUNCTION("GOOGLETRANSLATE(English!A3426, ""en"", ""bg"")"),"qa_13544")</f>
        <v>qa_13544</v>
      </c>
      <c r="B3426" s="1" t="str">
        <f ca="1">IFERROR(__xludf.DUMMYFUNCTION("GOOGLETRANSLATE(English!B3426, ""en"", ""bg"")"),"химия")</f>
        <v>химия</v>
      </c>
      <c r="C3426" s="1" t="str">
        <f ca="1">IFERROR(__xludf.DUMMYFUNCTION("GOOGLETRANSLATE(English!C3426, ""en"", ""bg"")"),"високо")</f>
        <v>високо</v>
      </c>
      <c r="D3426" s="1" t="str">
        <f ca="1">IFERROR(__xludf.DUMMYFUNCTION("GOOGLETRANSLATE(English!D3426, ""en"", ""bg"")"),"стехиометрия")</f>
        <v>стехиометрия</v>
      </c>
      <c r="E3426" s="1" t="str">
        <f ca="1">IFERROR(__xludf.DUMMYFUNCTION("GOOGLETRANSLATE(English!E3426, ""en"", ""bg"")"),"Можете ли да ми помогнете да разбера стехиометрията?")</f>
        <v>Можете ли да ми помогнете да разбера стехиометрията?</v>
      </c>
      <c r="F3426" s="1" t="str">
        <f ca="1">IFERROR(__xludf.DUMMYFUNCTION("GOOGLETRANSLATE(English!F3426,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3426" s="1" t="str">
        <f ca="1">IFERROR(__xludf.DUMMYFUNCTION("GOOGLETRANSLATE(English!G3426, ""en"", ""bg"")"),"direct_qa")</f>
        <v>direct_qa</v>
      </c>
      <c r="H3426" s="1" t="str">
        <f ca="1">IFERROR(__xludf.DUMMYFUNCTION("GOOGLETRANSLATE(English!H3426, ""en"", ""bg"")"),"заявка_за_знание")</f>
        <v>заявка_за_знание</v>
      </c>
    </row>
    <row r="3427" spans="1:8" ht="13.2" x14ac:dyDescent="0.25">
      <c r="A3427" s="1" t="str">
        <f ca="1">IFERROR(__xludf.DUMMYFUNCTION("GOOGLETRANSLATE(English!A3427, ""en"", ""bg"")"),"qa_11493")</f>
        <v>qa_11493</v>
      </c>
      <c r="B3427" s="1" t="str">
        <f ca="1">IFERROR(__xludf.DUMMYFUNCTION("GOOGLETRANSLATE(English!B3427, ""en"", ""bg"")"),"биология")</f>
        <v>биология</v>
      </c>
      <c r="C3427" s="1" t="str">
        <f ca="1">IFERROR(__xludf.DUMMYFUNCTION("GOOGLETRANSLATE(English!C3427, ""en"", ""bg"")"),"високо")</f>
        <v>високо</v>
      </c>
      <c r="D3427" s="1" t="str">
        <f ca="1">IFERROR(__xludf.DUMMYFUNCTION("GOOGLETRANSLATE(English!D3427, ""en"", ""bg"")"),"клетъчно дишане")</f>
        <v>клетъчно дишане</v>
      </c>
      <c r="E3427" s="1" t="str">
        <f ca="1">IFERROR(__xludf.DUMMYFUNCTION("GOOGLETRANSLATE(English!E3427, ""en"", ""bg"")"),"Как работи клетъчното дишане?")</f>
        <v>Как работи клетъчното дишане?</v>
      </c>
      <c r="F3427" s="1" t="str">
        <f ca="1">IFERROR(__xludf.DUMMYFUNCTION("GOOGLETRANSLATE(English!F3427,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3427" s="1" t="str">
        <f ca="1">IFERROR(__xludf.DUMMYFUNCTION("GOOGLETRANSLATE(English!G3427, ""en"", ""bg"")"),"direct_qa")</f>
        <v>direct_qa</v>
      </c>
      <c r="H3427" s="1" t="str">
        <f ca="1">IFERROR(__xludf.DUMMYFUNCTION("GOOGLETRANSLATE(English!H3427, ""en"", ""bg"")"),"заявка_за_знание")</f>
        <v>заявка_за_знание</v>
      </c>
    </row>
    <row r="3428" spans="1:8" ht="13.2" x14ac:dyDescent="0.25">
      <c r="A3428" s="1" t="str">
        <f ca="1">IFERROR(__xludf.DUMMYFUNCTION("GOOGLETRANSLATE(English!A3428, ""en"", ""bg"")"),"conv_01053")</f>
        <v>conv_01053</v>
      </c>
      <c r="B3428" s="1" t="str">
        <f ca="1">IFERROR(__xludf.DUMMYFUNCTION("GOOGLETRANSLATE(English!B3428, ""en"", ""bg"")"),"химия")</f>
        <v>химия</v>
      </c>
      <c r="C3428" s="1" t="str">
        <f ca="1">IFERROR(__xludf.DUMMYFUNCTION("GOOGLETRANSLATE(English!C3428, ""en"", ""bg"")"),"елементарен")</f>
        <v>елементарен</v>
      </c>
      <c r="D3428" s="1" t="str">
        <f ca="1">IFERROR(__xludf.DUMMYFUNCTION("GOOGLETRANSLATE(English!D3428, ""en"", ""bg"")"),"твърди вещества, течности, газове")</f>
        <v>твърди вещества, течности, газове</v>
      </c>
      <c r="E3428" s="1" t="str">
        <f ca="1">IFERROR(__xludf.DUMMYFUNCTION("GOOGLETRANSLATE(English!E3428, ""en"", ""bg"")"),"Можете ли да ми обясните това? Какво се случва, когато нагрявате твърдо вещество?")</f>
        <v>Можете ли да ми обясните това? Какво се случва, когато нагрявате твърдо вещество?</v>
      </c>
      <c r="F3428" s="1" t="str">
        <f ca="1">IFERROR(__xludf.DUMMYFUNCTION("GOOGLETRANSLATE(English!F3428,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3428" s="1" t="str">
        <f ca="1">IFERROR(__xludf.DUMMYFUNCTION("GOOGLETRANSLATE(English!G3428, ""en"", ""bg"")"),"разговор")</f>
        <v>разговор</v>
      </c>
      <c r="H3428" s="1" t="str">
        <f ca="1">IFERROR(__xludf.DUMMYFUNCTION("GOOGLETRANSLATE(English!H3428, ""en"", ""bg"")"),"образователна_помощ")</f>
        <v>образователна_помощ</v>
      </c>
    </row>
    <row r="3429" spans="1:8" ht="13.2" x14ac:dyDescent="0.25">
      <c r="A3429" s="1" t="str">
        <f ca="1">IFERROR(__xludf.DUMMYFUNCTION("GOOGLETRANSLATE(English!A3429, ""en"", ""bg"")"),"hw_09079")</f>
        <v>hw_09079</v>
      </c>
      <c r="B3429" s="1" t="str">
        <f ca="1">IFERROR(__xludf.DUMMYFUNCTION("GOOGLETRANSLATE(English!B3429, ""en"", ""bg"")"),"химия")</f>
        <v>химия</v>
      </c>
      <c r="C3429" s="1" t="str">
        <f ca="1">IFERROR(__xludf.DUMMYFUNCTION("GOOGLETRANSLATE(English!C3429, ""en"", ""bg"")"),"средата")</f>
        <v>средата</v>
      </c>
      <c r="D3429" s="1" t="str">
        <f ca="1">IFERROR(__xludf.DUMMYFUNCTION("GOOGLETRANSLATE(English!D3429, ""en"", ""bg"")"),"съединения срещу елементи")</f>
        <v>съединения срещу елементи</v>
      </c>
      <c r="E3429" s="1" t="str">
        <f ca="1">IFERROR(__xludf.DUMMYFUNCTION("GOOGLETRANSLATE(English!E3429,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3429" s="1" t="str">
        <f ca="1">IFERROR(__xludf.DUMMYFUNCTION("GOOGLETRANSLATE(English!F3429,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429" s="1" t="str">
        <f ca="1">IFERROR(__xludf.DUMMYFUNCTION("GOOGLETRANSLATE(English!G3429, ""en"", ""bg"")"),"помощ_за_домашно_изпълнение")</f>
        <v>помощ_за_домашно_изпълнение</v>
      </c>
      <c r="H3429" s="1" t="str">
        <f ca="1">IFERROR(__xludf.DUMMYFUNCTION("GOOGLETRANSLATE(English!H3429, ""en"", ""bg"")"),"помощ_за_домашно_задаване")</f>
        <v>помощ_за_домашно_задаване</v>
      </c>
    </row>
    <row r="3430" spans="1:8" ht="13.2" x14ac:dyDescent="0.25">
      <c r="A3430" s="1" t="str">
        <f ca="1">IFERROR(__xludf.DUMMYFUNCTION("GOOGLETRANSLATE(English!A3430, ""en"", ""bg"")"),"hw_14711")</f>
        <v>hw_14711</v>
      </c>
      <c r="B3430" s="1" t="str">
        <f ca="1">IFERROR(__xludf.DUMMYFUNCTION("GOOGLETRANSLATE(English!B3430, ""en"", ""bg"")"),"биология")</f>
        <v>биология</v>
      </c>
      <c r="C3430" s="1" t="str">
        <f ca="1">IFERROR(__xludf.DUMMYFUNCTION("GOOGLETRANSLATE(English!C3430, ""en"", ""bg"")"),"средата")</f>
        <v>средата</v>
      </c>
      <c r="D3430" s="1" t="str">
        <f ca="1">IFERROR(__xludf.DUMMYFUNCTION("GOOGLETRANSLATE(English!D3430, ""en"", ""bg"")"),"дишане")</f>
        <v>дишане</v>
      </c>
      <c r="E3430" s="1" t="str">
        <f ca="1">IFERROR(__xludf.DUMMYFUNCTION("GOOGLETRANSLATE(English!E3430, ""en"", ""bg"")"),"Утре имам тест по дишане. Помогни ми да уча!")</f>
        <v>Утре имам тест по дишане. Помогни ми да уча!</v>
      </c>
      <c r="F3430" s="1" t="str">
        <f ca="1">IFERROR(__xludf.DUMMYFUNCTION("GOOGLETRANSLATE(English!F3430,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3430" s="1" t="str">
        <f ca="1">IFERROR(__xludf.DUMMYFUNCTION("GOOGLETRANSLATE(English!G3430, ""en"", ""bg"")"),"помощ_за_домашно_изпълнение")</f>
        <v>помощ_за_домашно_изпълнение</v>
      </c>
      <c r="H3430" s="1" t="str">
        <f ca="1">IFERROR(__xludf.DUMMYFUNCTION("GOOGLETRANSLATE(English!H3430, ""en"", ""bg"")"),"помощ_за_домашно_задаване")</f>
        <v>помощ_за_домашно_задаване</v>
      </c>
    </row>
    <row r="3431" spans="1:8" ht="13.2" x14ac:dyDescent="0.25">
      <c r="A3431" s="1" t="str">
        <f ca="1">IFERROR(__xludf.DUMMYFUNCTION("GOOGLETRANSLATE(English!A3431, ""en"", ""bg"")"),"hw_09317")</f>
        <v>hw_09317</v>
      </c>
      <c r="B3431" s="1" t="str">
        <f ca="1">IFERROR(__xludf.DUMMYFUNCTION("GOOGLETRANSLATE(English!B3431, ""en"", ""bg"")"),"физика")</f>
        <v>физика</v>
      </c>
      <c r="C3431" s="1" t="str">
        <f ca="1">IFERROR(__xludf.DUMMYFUNCTION("GOOGLETRANSLATE(English!C3431, ""en"", ""bg"")"),"средата")</f>
        <v>средата</v>
      </c>
      <c r="D3431" s="1" t="str">
        <f ca="1">IFERROR(__xludf.DUMMYFUNCTION("GOOGLETRANSLATE(English!D3431, ""en"", ""bg"")"),"състояния на материята")</f>
        <v>състояния на материята</v>
      </c>
      <c r="E3431" s="1" t="str">
        <f ca="1">IFERROR(__xludf.DUMMYFUNCTION("GOOGLETRANSLATE(English!E3431,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3431" s="1" t="str">
        <f ca="1">IFERROR(__xludf.DUMMYFUNCTION("GOOGLETRANSLATE(English!F3431,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431" s="1" t="str">
        <f ca="1">IFERROR(__xludf.DUMMYFUNCTION("GOOGLETRANSLATE(English!G3431, ""en"", ""bg"")"),"помощ_за_домашно_изпълнение")</f>
        <v>помощ_за_домашно_изпълнение</v>
      </c>
      <c r="H3431" s="1" t="str">
        <f ca="1">IFERROR(__xludf.DUMMYFUNCTION("GOOGLETRANSLATE(English!H3431, ""en"", ""bg"")"),"помощ_за_домашно_задаване")</f>
        <v>помощ_за_домашно_задаване</v>
      </c>
    </row>
    <row r="3432" spans="1:8" ht="13.2" x14ac:dyDescent="0.25">
      <c r="A3432" s="1" t="str">
        <f ca="1">IFERROR(__xludf.DUMMYFUNCTION("GOOGLETRANSLATE(English!A3432, ""en"", ""bg"")"),"conv_12060")</f>
        <v>conv_12060</v>
      </c>
      <c r="B3432" s="1" t="str">
        <f ca="1">IFERROR(__xludf.DUMMYFUNCTION("GOOGLETRANSLATE(English!B3432, ""en"", ""bg"")"),"биология")</f>
        <v>биология</v>
      </c>
      <c r="C3432" s="1" t="str">
        <f ca="1">IFERROR(__xludf.DUMMYFUNCTION("GOOGLETRANSLATE(English!C3432, ""en"", ""bg"")"),"средата")</f>
        <v>средата</v>
      </c>
      <c r="D3432" s="1" t="str">
        <f ca="1">IFERROR(__xludf.DUMMYFUNCTION("GOOGLETRANSLATE(English!D3432, ""en"", ""bg"")"),"клетки")</f>
        <v>клетки</v>
      </c>
      <c r="E3432" s="1" t="str">
        <f ca="1">IFERROR(__xludf.DUMMYFUNCTION("GOOGLETRANSLATE(English!E3432, ""en"", ""bg"")"),"Здравей, преподавателю! Какво прави ядрото?")</f>
        <v>Здравей, преподавателю! Какво прави ядрото?</v>
      </c>
      <c r="F3432" s="1" t="str">
        <f ca="1">IFERROR(__xludf.DUMMYFUNCTION("GOOGLETRANSLATE(English!F3432, ""en"", ""bg"")"),"Ядрото е като мозъка на клетката - то контролира какво прави клетката и съдържа ДНК.")</f>
        <v>Ядрото е като мозъка на клетката - то контролира какво прави клетката и съдържа ДНК.</v>
      </c>
      <c r="G3432" s="1" t="str">
        <f ca="1">IFERROR(__xludf.DUMMYFUNCTION("GOOGLETRANSLATE(English!G3432, ""en"", ""bg"")"),"разговор")</f>
        <v>разговор</v>
      </c>
      <c r="H3432" s="1" t="str">
        <f ca="1">IFERROR(__xludf.DUMMYFUNCTION("GOOGLETRANSLATE(English!H3432, ""en"", ""bg"")"),"образователна_помощ")</f>
        <v>образователна_помощ</v>
      </c>
    </row>
    <row r="3433" spans="1:8" ht="13.2" x14ac:dyDescent="0.25">
      <c r="A3433" s="1" t="str">
        <f ca="1">IFERROR(__xludf.DUMMYFUNCTION("GOOGLETRANSLATE(English!A3433, ""en"", ""bg"")"),"conv_00561")</f>
        <v>conv_00561</v>
      </c>
      <c r="B3433" s="1" t="str">
        <f ca="1">IFERROR(__xludf.DUMMYFUNCTION("GOOGLETRANSLATE(English!B3433, ""en"", ""bg"")"),"физика")</f>
        <v>физика</v>
      </c>
      <c r="C3433" s="1" t="str">
        <f ca="1">IFERROR(__xludf.DUMMYFUNCTION("GOOGLETRANSLATE(English!C3433, ""en"", ""bg"")"),"средата")</f>
        <v>средата</v>
      </c>
      <c r="D3433" s="1" t="str">
        <f ca="1">IFERROR(__xludf.DUMMYFUNCTION("GOOGLETRANSLATE(English!D3433, ""en"", ""bg"")"),"състояния на материята")</f>
        <v>състояния на материята</v>
      </c>
      <c r="E3433" s="1" t="str">
        <f ca="1">IFERROR(__xludf.DUMMYFUNCTION("GOOGLETRANSLATE(English!E3433, ""en"", ""bg"")"),"Не разбирам тази тема. Можете ли да ми обясните състоянията на материята?")</f>
        <v>Не разбирам тази тема. Можете ли да ми обясните състоянията на материята?</v>
      </c>
      <c r="F3433" s="1" t="str">
        <f ca="1">IFERROR(__xludf.DUMMYFUNCTION("GOOGLETRANSLATE(English!F3433,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3433" s="1" t="str">
        <f ca="1">IFERROR(__xludf.DUMMYFUNCTION("GOOGLETRANSLATE(English!G3433, ""en"", ""bg"")"),"разговор")</f>
        <v>разговор</v>
      </c>
      <c r="H3433" s="1" t="str">
        <f ca="1">IFERROR(__xludf.DUMMYFUNCTION("GOOGLETRANSLATE(English!H3433, ""en"", ""bg"")"),"образователна_помощ")</f>
        <v>образователна_помощ</v>
      </c>
    </row>
    <row r="3434" spans="1:8" ht="13.2" x14ac:dyDescent="0.25">
      <c r="A3434" s="1" t="str">
        <f ca="1">IFERROR(__xludf.DUMMYFUNCTION("GOOGLETRANSLATE(English!A3434, ""en"", ""bg"")"),"conv_02876")</f>
        <v>conv_02876</v>
      </c>
      <c r="B3434" s="1" t="str">
        <f ca="1">IFERROR(__xludf.DUMMYFUNCTION("GOOGLETRANSLATE(English!B3434, ""en"", ""bg"")"),"физика")</f>
        <v>физика</v>
      </c>
      <c r="C3434" s="1" t="str">
        <f ca="1">IFERROR(__xludf.DUMMYFUNCTION("GOOGLETRANSLATE(English!C3434, ""en"", ""bg"")"),"високо")</f>
        <v>високо</v>
      </c>
      <c r="D3434" s="1" t="str">
        <f ca="1">IFERROR(__xludf.DUMMYFUNCTION("GOOGLETRANSLATE(English!D3434, ""en"", ""bg"")"),"електромагнетизъм")</f>
        <v>електромагнетизъм</v>
      </c>
      <c r="E3434" s="1" t="str">
        <f ca="1">IFERROR(__xludf.DUMMYFUNCTION("GOOGLETRANSLATE(English!E3434, ""en"", ""bg"")"),"Здравей, преподавателю! Защо електромагнетизмът е важен?")</f>
        <v>Здравей, преподавателю! Защо електромагнетизмът е важен?</v>
      </c>
      <c r="F3434" s="1" t="str">
        <f ca="1">IFERROR(__xludf.DUMMYFUNCTION("GOOGLETRANSLATE(English!F3434,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3434" s="1" t="str">
        <f ca="1">IFERROR(__xludf.DUMMYFUNCTION("GOOGLETRANSLATE(English!G3434, ""en"", ""bg"")"),"разговор")</f>
        <v>разговор</v>
      </c>
      <c r="H3434" s="1" t="str">
        <f ca="1">IFERROR(__xludf.DUMMYFUNCTION("GOOGLETRANSLATE(English!H3434, ""en"", ""bg"")"),"образователна_помощ")</f>
        <v>образователна_помощ</v>
      </c>
    </row>
    <row r="3435" spans="1:8" ht="13.2" x14ac:dyDescent="0.25">
      <c r="A3435" s="1" t="str">
        <f ca="1">IFERROR(__xludf.DUMMYFUNCTION("GOOGLETRANSLATE(English!A3435, ""en"", ""bg"")"),"conv_05372")</f>
        <v>conv_05372</v>
      </c>
      <c r="B3435" s="1" t="str">
        <f ca="1">IFERROR(__xludf.DUMMYFUNCTION("GOOGLETRANSLATE(English!B3435, ""en"", ""bg"")"),"биология")</f>
        <v>биология</v>
      </c>
      <c r="C3435" s="1" t="str">
        <f ca="1">IFERROR(__xludf.DUMMYFUNCTION("GOOGLETRANSLATE(English!C3435, ""en"", ""bg"")"),"елементарен")</f>
        <v>елементарен</v>
      </c>
      <c r="D3435" s="1" t="str">
        <f ca="1">IFERROR(__xludf.DUMMYFUNCTION("GOOGLETRANSLATE(English!D3435, ""en"", ""bg"")"),"растения")</f>
        <v>растения</v>
      </c>
      <c r="E3435" s="1" t="str">
        <f ca="1">IFERROR(__xludf.DUMMYFUNCTION("GOOGLETRANSLATE(English!E3435, ""en"", ""bg"")"),"Помогни ми да уча за теста си. Защо листата обикновено са зелени?")</f>
        <v>Помогни ми да уча за теста си. Защо листата обикновено са зелени?</v>
      </c>
      <c r="F3435" s="1" t="str">
        <f ca="1">IFERROR(__xludf.DUMMYFUNCTION("GOOGLETRANSLATE(English!F3435, ""en"", ""bg"")"),"Листата са зелени, защото съдържат хлорофил, специално вещество, което помага на растенията да улавят слънчевата светлина.")</f>
        <v>Листата са зелени, защото съдържат хлорофил, специално вещество, което помага на растенията да улавят слънчевата светлина.</v>
      </c>
      <c r="G3435" s="1" t="str">
        <f ca="1">IFERROR(__xludf.DUMMYFUNCTION("GOOGLETRANSLATE(English!G3435, ""en"", ""bg"")"),"разговор")</f>
        <v>разговор</v>
      </c>
      <c r="H3435" s="1" t="str">
        <f ca="1">IFERROR(__xludf.DUMMYFUNCTION("GOOGLETRANSLATE(English!H3435, ""en"", ""bg"")"),"образователна_помощ")</f>
        <v>образователна_помощ</v>
      </c>
    </row>
    <row r="3436" spans="1:8" ht="13.2" x14ac:dyDescent="0.25">
      <c r="A3436" s="1" t="str">
        <f ca="1">IFERROR(__xludf.DUMMYFUNCTION("GOOGLETRANSLATE(English!A3436, ""en"", ""bg"")"),"conv_04378")</f>
        <v>conv_04378</v>
      </c>
      <c r="B3436" s="1" t="str">
        <f ca="1">IFERROR(__xludf.DUMMYFUNCTION("GOOGLETRANSLATE(English!B3436, ""en"", ""bg"")"),"химия")</f>
        <v>химия</v>
      </c>
      <c r="C3436" s="1" t="str">
        <f ca="1">IFERROR(__xludf.DUMMYFUNCTION("GOOGLETRANSLATE(English!C3436, ""en"", ""bg"")"),"елементарен")</f>
        <v>елементарен</v>
      </c>
      <c r="D3436" s="1" t="str">
        <f ca="1">IFERROR(__xludf.DUMMYFUNCTION("GOOGLETRANSLATE(English!D3436, ""en"", ""bg"")"),"смесване на материали")</f>
        <v>смесване на материали</v>
      </c>
      <c r="E3436" s="1" t="str">
        <f ca="1">IFERROR(__xludf.DUMMYFUNCTION("GOOGLETRANSLATE(English!E3436, ""en"", ""bg"")"),"Имам научен въпрос: Как може да се отдели солта от водата?")</f>
        <v>Имам научен въпрос: Как може да се отдели солта от водата?</v>
      </c>
      <c r="F3436" s="1" t="str">
        <f ca="1">IFERROR(__xludf.DUMMYFUNCTION("GOOGLETRANSLATE(English!F3436,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3436" s="1" t="str">
        <f ca="1">IFERROR(__xludf.DUMMYFUNCTION("GOOGLETRANSLATE(English!G3436, ""en"", ""bg"")"),"разговор")</f>
        <v>разговор</v>
      </c>
      <c r="H3436" s="1" t="str">
        <f ca="1">IFERROR(__xludf.DUMMYFUNCTION("GOOGLETRANSLATE(English!H3436, ""en"", ""bg"")"),"образователна_помощ")</f>
        <v>образователна_помощ</v>
      </c>
    </row>
    <row r="3437" spans="1:8" ht="13.2" x14ac:dyDescent="0.25">
      <c r="A3437" s="1" t="str">
        <f ca="1">IFERROR(__xludf.DUMMYFUNCTION("GOOGLETRANSLATE(English!A3437, ""en"", ""bg"")"),"qa_02837")</f>
        <v>qa_02837</v>
      </c>
      <c r="B3437" s="1" t="str">
        <f ca="1">IFERROR(__xludf.DUMMYFUNCTION("GOOGLETRANSLATE(English!B3437, ""en"", ""bg"")"),"биология")</f>
        <v>биология</v>
      </c>
      <c r="C3437" s="1" t="str">
        <f ca="1">IFERROR(__xludf.DUMMYFUNCTION("GOOGLETRANSLATE(English!C3437, ""en"", ""bg"")"),"средата")</f>
        <v>средата</v>
      </c>
      <c r="D3437" s="1" t="str">
        <f ca="1">IFERROR(__xludf.DUMMYFUNCTION("GOOGLETRANSLATE(English!D3437, ""en"", ""bg"")"),"клетки")</f>
        <v>клетки</v>
      </c>
      <c r="E3437" s="1" t="str">
        <f ca="1">IFERROR(__xludf.DUMMYFUNCTION("GOOGLETRANSLATE(English!E3437, ""en"", ""bg"")"),"Защо клетките са толкова малки?")</f>
        <v>Защо клетките са толкова малки?</v>
      </c>
      <c r="F3437" s="1" t="str">
        <f ca="1">IFERROR(__xludf.DUMMYFUNCTION("GOOGLETRANSLATE(English!F3437,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3437" s="1" t="str">
        <f ca="1">IFERROR(__xludf.DUMMYFUNCTION("GOOGLETRANSLATE(English!G3437, ""en"", ""bg"")"),"direct_qa")</f>
        <v>direct_qa</v>
      </c>
      <c r="H3437" s="1" t="str">
        <f ca="1">IFERROR(__xludf.DUMMYFUNCTION("GOOGLETRANSLATE(English!H3437, ""en"", ""bg"")"),"заявка_за_знание")</f>
        <v>заявка_за_знание</v>
      </c>
    </row>
    <row r="3438" spans="1:8" ht="13.2" x14ac:dyDescent="0.25">
      <c r="A3438" s="1" t="str">
        <f ca="1">IFERROR(__xludf.DUMMYFUNCTION("GOOGLETRANSLATE(English!A3438, ""en"", ""bg"")"),"qa_09193")</f>
        <v>qa_09193</v>
      </c>
      <c r="B3438" s="1" t="str">
        <f ca="1">IFERROR(__xludf.DUMMYFUNCTION("GOOGLETRANSLATE(English!B3438, ""en"", ""bg"")"),"биология")</f>
        <v>биология</v>
      </c>
      <c r="C3438" s="1" t="str">
        <f ca="1">IFERROR(__xludf.DUMMYFUNCTION("GOOGLETRANSLATE(English!C3438, ""en"", ""bg"")"),"елементарен")</f>
        <v>елементарен</v>
      </c>
      <c r="D3438" s="1" t="str">
        <f ca="1">IFERROR(__xludf.DUMMYFUNCTION("GOOGLETRANSLATE(English!D3438, ""en"", ""bg"")"),"хранителни вериги")</f>
        <v>хранителни вериги</v>
      </c>
      <c r="E3438" s="1" t="str">
        <f ca="1">IFERROR(__xludf.DUMMYFUNCTION("GOOGLETRANSLATE(English!E3438, ""en"", ""bg"")"),"Как работят хранителните вериги?")</f>
        <v>Как работят хранителните вериги?</v>
      </c>
      <c r="F3438" s="1" t="str">
        <f ca="1">IFERROR(__xludf.DUMMYFUNCTION("GOOGLETRANSLATE(English!F3438,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3438" s="1" t="str">
        <f ca="1">IFERROR(__xludf.DUMMYFUNCTION("GOOGLETRANSLATE(English!G3438, ""en"", ""bg"")"),"direct_qa")</f>
        <v>direct_qa</v>
      </c>
      <c r="H3438" s="1" t="str">
        <f ca="1">IFERROR(__xludf.DUMMYFUNCTION("GOOGLETRANSLATE(English!H3438, ""en"", ""bg"")"),"заявка_за_знание")</f>
        <v>заявка_за_знание</v>
      </c>
    </row>
    <row r="3439" spans="1:8" ht="13.2" x14ac:dyDescent="0.25">
      <c r="A3439" s="1" t="str">
        <f ca="1">IFERROR(__xludf.DUMMYFUNCTION("GOOGLETRANSLATE(English!A3439, ""en"", ""bg"")"),"qa_13559")</f>
        <v>qa_13559</v>
      </c>
      <c r="B3439" s="1" t="str">
        <f ca="1">IFERROR(__xludf.DUMMYFUNCTION("GOOGLETRANSLATE(English!B3439, ""en"", ""bg"")"),"физика")</f>
        <v>физика</v>
      </c>
      <c r="C3439" s="1" t="str">
        <f ca="1">IFERROR(__xludf.DUMMYFUNCTION("GOOGLETRANSLATE(English!C3439, ""en"", ""bg"")"),"високо")</f>
        <v>високо</v>
      </c>
      <c r="D3439" s="1" t="str">
        <f ca="1">IFERROR(__xludf.DUMMYFUNCTION("GOOGLETRANSLATE(English!D3439, ""en"", ""bg"")"),"механика")</f>
        <v>механика</v>
      </c>
      <c r="E3439" s="1" t="str">
        <f ca="1">IFERROR(__xludf.DUMMYFUNCTION("GOOGLETRANSLATE(English!E3439, ""en"", ""bg"")"),"Можете ли да ми обясните механиката?")</f>
        <v>Можете ли да ми обясните механиката?</v>
      </c>
      <c r="F3439" s="1" t="str">
        <f ca="1">IFERROR(__xludf.DUMMYFUNCTION("GOOGLETRANSLATE(English!F3439,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3439" s="1" t="str">
        <f ca="1">IFERROR(__xludf.DUMMYFUNCTION("GOOGLETRANSLATE(English!G3439, ""en"", ""bg"")"),"direct_qa")</f>
        <v>direct_qa</v>
      </c>
      <c r="H3439" s="1" t="str">
        <f ca="1">IFERROR(__xludf.DUMMYFUNCTION("GOOGLETRANSLATE(English!H3439, ""en"", ""bg"")"),"заявка_за_знание")</f>
        <v>заявка_за_знание</v>
      </c>
    </row>
    <row r="3440" spans="1:8" ht="13.2" x14ac:dyDescent="0.25">
      <c r="A3440" s="1" t="str">
        <f ca="1">IFERROR(__xludf.DUMMYFUNCTION("GOOGLETRANSLATE(English!A3440, ""en"", ""bg"")"),"hw_04781")</f>
        <v>hw_04781</v>
      </c>
      <c r="B3440" s="1" t="str">
        <f ca="1">IFERROR(__xludf.DUMMYFUNCTION("GOOGLETRANSLATE(English!B3440, ""en"", ""bg"")"),"физика")</f>
        <v>физика</v>
      </c>
      <c r="C3440" s="1" t="str">
        <f ca="1">IFERROR(__xludf.DUMMYFUNCTION("GOOGLETRANSLATE(English!C3440, ""en"", ""bg"")"),"елементарен")</f>
        <v>елементарен</v>
      </c>
      <c r="D3440" s="1" t="str">
        <f ca="1">IFERROR(__xludf.DUMMYFUNCTION("GOOGLETRANSLATE(English!D3440, ""en"", ""bg"")"),"плаващ и потъващ")</f>
        <v>плаващ и потъващ</v>
      </c>
      <c r="E3440" s="1" t="str">
        <f ca="1">IFERROR(__xludf.DUMMYFUNCTION("GOOGLETRANSLATE(English!E3440,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3440" s="1" t="str">
        <f ca="1">IFERROR(__xludf.DUMMYFUNCTION("GOOGLETRANSLATE(English!F3440,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440" s="1" t="str">
        <f ca="1">IFERROR(__xludf.DUMMYFUNCTION("GOOGLETRANSLATE(English!G3440, ""en"", ""bg"")"),"помощ_за_домашно_изпълнение")</f>
        <v>помощ_за_домашно_изпълнение</v>
      </c>
      <c r="H3440" s="1" t="str">
        <f ca="1">IFERROR(__xludf.DUMMYFUNCTION("GOOGLETRANSLATE(English!H3440, ""en"", ""bg"")"),"помощ_за_домашно_задаване")</f>
        <v>помощ_за_домашно_задаване</v>
      </c>
    </row>
    <row r="3441" spans="1:8" ht="13.2" x14ac:dyDescent="0.25">
      <c r="A3441" s="1" t="str">
        <f ca="1">IFERROR(__xludf.DUMMYFUNCTION("GOOGLETRANSLATE(English!A3441, ""en"", ""bg"")"),"qa_05874")</f>
        <v>qa_05874</v>
      </c>
      <c r="B3441" s="1" t="str">
        <f ca="1">IFERROR(__xludf.DUMMYFUNCTION("GOOGLETRANSLATE(English!B3441, ""en"", ""bg"")"),"биология")</f>
        <v>биология</v>
      </c>
      <c r="C3441" s="1" t="str">
        <f ca="1">IFERROR(__xludf.DUMMYFUNCTION("GOOGLETRANSLATE(English!C3441, ""en"", ""bg"")"),"елементарен")</f>
        <v>елементарен</v>
      </c>
      <c r="D3441" s="1" t="str">
        <f ca="1">IFERROR(__xludf.DUMMYFUNCTION("GOOGLETRANSLATE(English!D3441, ""en"", ""bg"")"),"човешкото тяло")</f>
        <v>човешкото тяло</v>
      </c>
      <c r="E3441" s="1" t="str">
        <f ca="1">IFERROR(__xludf.DUMMYFUNCTION("GOOGLETRANSLATE(English!E3441, ""en"", ""bg"")"),"Защо човешкото тяло е важно в биологията?")</f>
        <v>Защо човешкото тяло е важно в биологията?</v>
      </c>
      <c r="F3441" s="1" t="str">
        <f ca="1">IFERROR(__xludf.DUMMYFUNCTION("GOOGLETRANSLATE(English!F3441,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3441" s="1" t="str">
        <f ca="1">IFERROR(__xludf.DUMMYFUNCTION("GOOGLETRANSLATE(English!G3441, ""en"", ""bg"")"),"direct_qa")</f>
        <v>direct_qa</v>
      </c>
      <c r="H3441" s="1" t="str">
        <f ca="1">IFERROR(__xludf.DUMMYFUNCTION("GOOGLETRANSLATE(English!H3441, ""en"", ""bg"")"),"заявка_за_знание")</f>
        <v>заявка_за_знание</v>
      </c>
    </row>
    <row r="3442" spans="1:8" ht="13.2" x14ac:dyDescent="0.25">
      <c r="A3442" s="1" t="str">
        <f ca="1">IFERROR(__xludf.DUMMYFUNCTION("GOOGLETRANSLATE(English!A3442, ""en"", ""bg"")"),"hw_02224")</f>
        <v>hw_02224</v>
      </c>
      <c r="B3442" s="1" t="str">
        <f ca="1">IFERROR(__xludf.DUMMYFUNCTION("GOOGLETRANSLATE(English!B3442, ""en"", ""bg"")"),"физика")</f>
        <v>физика</v>
      </c>
      <c r="C3442" s="1" t="str">
        <f ca="1">IFERROR(__xludf.DUMMYFUNCTION("GOOGLETRANSLATE(English!C3442, ""en"", ""bg"")"),"елементарен")</f>
        <v>елементарен</v>
      </c>
      <c r="D3442" s="1" t="str">
        <f ca="1">IFERROR(__xludf.DUMMYFUNCTION("GOOGLETRANSLATE(English!D3442, ""en"", ""bg"")"),"магнити")</f>
        <v>магнити</v>
      </c>
      <c r="E3442" s="1" t="str">
        <f ca="1">IFERROR(__xludf.DUMMYFUNCTION("GOOGLETRANSLATE(English!E3442, ""en"", ""bg"")"),"Можете ли да решите този въпрос с магнитите заедно с мен?")</f>
        <v>Можете ли да решите този въпрос с магнитите заедно с мен?</v>
      </c>
      <c r="F3442" s="1" t="str">
        <f ca="1">IFERROR(__xludf.DUMMYFUNCTION("GOOGLETRANSLATE(English!F3442,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3442" s="1" t="str">
        <f ca="1">IFERROR(__xludf.DUMMYFUNCTION("GOOGLETRANSLATE(English!G3442, ""en"", ""bg"")"),"помощ_за_домашно_изпълнение")</f>
        <v>помощ_за_домашно_изпълнение</v>
      </c>
      <c r="H3442" s="1" t="str">
        <f ca="1">IFERROR(__xludf.DUMMYFUNCTION("GOOGLETRANSLATE(English!H3442, ""en"", ""bg"")"),"помощ_за_домашно_задаване")</f>
        <v>помощ_за_домашно_задаване</v>
      </c>
    </row>
    <row r="3443" spans="1:8" ht="13.2" x14ac:dyDescent="0.25">
      <c r="A3443" s="1" t="str">
        <f ca="1">IFERROR(__xludf.DUMMYFUNCTION("GOOGLETRANSLATE(English!A3443, ""en"", ""bg"")"),"conv_14286")</f>
        <v>conv_14286</v>
      </c>
      <c r="B3443" s="1" t="str">
        <f ca="1">IFERROR(__xludf.DUMMYFUNCTION("GOOGLETRANSLATE(English!B3443, ""en"", ""bg"")"),"физика")</f>
        <v>физика</v>
      </c>
      <c r="C3443" s="1" t="str">
        <f ca="1">IFERROR(__xludf.DUMMYFUNCTION("GOOGLETRANSLATE(English!C3443, ""en"", ""bg"")"),"средата")</f>
        <v>средата</v>
      </c>
      <c r="D3443" s="1" t="str">
        <f ca="1">IFERROR(__xludf.DUMMYFUNCTION("GOOGLETRANSLATE(English!D3443, ""en"", ""bg"")"),"състояния на материята")</f>
        <v>състояния на материята</v>
      </c>
      <c r="E3443" s="1" t="str">
        <f ca="1">IFERROR(__xludf.DUMMYFUNCTION("GOOGLETRANSLATE(English!E3443, ""en"", ""bg"")"),"Имам научен въпрос. Защо състоянията на материята са важни?")</f>
        <v>Имам научен въпрос. Защо състоянията на материята са важни?</v>
      </c>
      <c r="F3443" s="1" t="str">
        <f ca="1">IFERROR(__xludf.DUMMYFUNCTION("GOOGLETRANSLATE(English!F3443,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3443" s="1" t="str">
        <f ca="1">IFERROR(__xludf.DUMMYFUNCTION("GOOGLETRANSLATE(English!G3443, ""en"", ""bg"")"),"разговор")</f>
        <v>разговор</v>
      </c>
      <c r="H3443" s="1" t="str">
        <f ca="1">IFERROR(__xludf.DUMMYFUNCTION("GOOGLETRANSLATE(English!H3443, ""en"", ""bg"")"),"образователна_помощ")</f>
        <v>образователна_помощ</v>
      </c>
    </row>
    <row r="3444" spans="1:8" ht="13.2" x14ac:dyDescent="0.25">
      <c r="A3444" s="1" t="str">
        <f ca="1">IFERROR(__xludf.DUMMYFUNCTION("GOOGLETRANSLATE(English!A3444, ""en"", ""bg"")"),"qa_12991")</f>
        <v>qa_12991</v>
      </c>
      <c r="B3444" s="1" t="str">
        <f ca="1">IFERROR(__xludf.DUMMYFUNCTION("GOOGLETRANSLATE(English!B3444, ""en"", ""bg"")"),"физика")</f>
        <v>физика</v>
      </c>
      <c r="C3444" s="1" t="str">
        <f ca="1">IFERROR(__xludf.DUMMYFUNCTION("GOOGLETRANSLATE(English!C3444, ""en"", ""bg"")"),"средата")</f>
        <v>средата</v>
      </c>
      <c r="D3444" s="1" t="str">
        <f ca="1">IFERROR(__xludf.DUMMYFUNCTION("GOOGLETRANSLATE(English!D3444, ""en"", ""bg"")"),"прости схеми")</f>
        <v>прости схеми</v>
      </c>
      <c r="E3444" s="1" t="str">
        <f ca="1">IFERROR(__xludf.DUMMYFUNCTION("GOOGLETRANSLATE(English!E3444, ""en"", ""bg"")"),"Какво трябва да знам за прости електрически вериги?")</f>
        <v>Какво трябва да знам за прости електрически вериги?</v>
      </c>
      <c r="F3444" s="1" t="str">
        <f ca="1">IFERROR(__xludf.DUMMYFUNCTION("GOOGLETRANSLATE(English!F3444,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3444" s="1" t="str">
        <f ca="1">IFERROR(__xludf.DUMMYFUNCTION("GOOGLETRANSLATE(English!G3444, ""en"", ""bg"")"),"direct_qa")</f>
        <v>direct_qa</v>
      </c>
      <c r="H3444" s="1" t="str">
        <f ca="1">IFERROR(__xludf.DUMMYFUNCTION("GOOGLETRANSLATE(English!H3444, ""en"", ""bg"")"),"заявка_за_знание")</f>
        <v>заявка_за_знание</v>
      </c>
    </row>
    <row r="3445" spans="1:8" ht="13.2" x14ac:dyDescent="0.25">
      <c r="A3445" s="1" t="str">
        <f ca="1">IFERROR(__xludf.DUMMYFUNCTION("GOOGLETRANSLATE(English!A3445, ""en"", ""bg"")"),"conv_05196")</f>
        <v>conv_05196</v>
      </c>
      <c r="B3445" s="1" t="str">
        <f ca="1">IFERROR(__xludf.DUMMYFUNCTION("GOOGLETRANSLATE(English!B3445, ""en"", ""bg"")"),"физика")</f>
        <v>физика</v>
      </c>
      <c r="C3445" s="1" t="str">
        <f ca="1">IFERROR(__xludf.DUMMYFUNCTION("GOOGLETRANSLATE(English!C3445, ""en"", ""bg"")"),"елементарен")</f>
        <v>елементарен</v>
      </c>
      <c r="D3445" s="1" t="str">
        <f ca="1">IFERROR(__xludf.DUMMYFUNCTION("GOOGLETRANSLATE(English!D3445, ""en"", ""bg"")"),"звук")</f>
        <v>звук</v>
      </c>
      <c r="E3445" s="1" t="str">
        <f ca="1">IFERROR(__xludf.DUMMYFUNCTION("GOOGLETRANSLATE(English!E3445, ""en"", ""bg"")"),"Можете ли да ми помогнете? Можете ли да ми обясните звука?")</f>
        <v>Можете ли да ми помогнете? Можете ли да ми обясните звука?</v>
      </c>
      <c r="F3445" s="1" t="str">
        <f ca="1">IFERROR(__xludf.DUMMYFUNCTION("GOOGLETRANSLATE(English!F3445,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3445" s="1" t="str">
        <f ca="1">IFERROR(__xludf.DUMMYFUNCTION("GOOGLETRANSLATE(English!G3445, ""en"", ""bg"")"),"разговор")</f>
        <v>разговор</v>
      </c>
      <c r="H3445" s="1" t="str">
        <f ca="1">IFERROR(__xludf.DUMMYFUNCTION("GOOGLETRANSLATE(English!H3445, ""en"", ""bg"")"),"образователна_помощ")</f>
        <v>образователна_помощ</v>
      </c>
    </row>
    <row r="3446" spans="1:8" ht="13.2" x14ac:dyDescent="0.25">
      <c r="A3446" s="1" t="str">
        <f ca="1">IFERROR(__xludf.DUMMYFUNCTION("GOOGLETRANSLATE(English!A3446, ""en"", ""bg"")"),"qa_02780")</f>
        <v>qa_02780</v>
      </c>
      <c r="B3446" s="1" t="str">
        <f ca="1">IFERROR(__xludf.DUMMYFUNCTION("GOOGLETRANSLATE(English!B3446, ""en"", ""bg"")"),"химия")</f>
        <v>химия</v>
      </c>
      <c r="C3446" s="1" t="str">
        <f ca="1">IFERROR(__xludf.DUMMYFUNCTION("GOOGLETRANSLATE(English!C3446, ""en"", ""bg"")"),"високо")</f>
        <v>високо</v>
      </c>
      <c r="D3446" s="1" t="str">
        <f ca="1">IFERROR(__xludf.DUMMYFUNCTION("GOOGLETRANSLATE(English!D3446, ""en"", ""bg"")"),"химическо свързване")</f>
        <v>химическо свързване</v>
      </c>
      <c r="E3446" s="1" t="str">
        <f ca="1">IFERROR(__xludf.DUMMYFUNCTION("GOOGLETRANSLATE(English!E3446, ""en"", ""bg"")"),"Как работи химическата връзка в химията?")</f>
        <v>Как работи химическата връзка в химията?</v>
      </c>
      <c r="F3446" s="1" t="str">
        <f ca="1">IFERROR(__xludf.DUMMYFUNCTION("GOOGLETRANSLATE(English!F3446,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3446" s="1" t="str">
        <f ca="1">IFERROR(__xludf.DUMMYFUNCTION("GOOGLETRANSLATE(English!G3446, ""en"", ""bg"")"),"direct_qa")</f>
        <v>direct_qa</v>
      </c>
      <c r="H3446" s="1" t="str">
        <f ca="1">IFERROR(__xludf.DUMMYFUNCTION("GOOGLETRANSLATE(English!H3446, ""en"", ""bg"")"),"заявка_за_знание")</f>
        <v>заявка_за_знание</v>
      </c>
    </row>
    <row r="3447" spans="1:8" ht="13.2" x14ac:dyDescent="0.25">
      <c r="A3447" s="1" t="str">
        <f ca="1">IFERROR(__xludf.DUMMYFUNCTION("GOOGLETRANSLATE(English!A3447, ""en"", ""bg"")"),"conv_04930")</f>
        <v>conv_04930</v>
      </c>
      <c r="B3447" s="1" t="str">
        <f ca="1">IFERROR(__xludf.DUMMYFUNCTION("GOOGLETRANSLATE(English!B3447, ""en"", ""bg"")"),"химия")</f>
        <v>химия</v>
      </c>
      <c r="C3447" s="1" t="str">
        <f ca="1">IFERROR(__xludf.DUMMYFUNCTION("GOOGLETRANSLATE(English!C3447, ""en"", ""bg"")"),"средата")</f>
        <v>средата</v>
      </c>
      <c r="D3447" s="1" t="str">
        <f ca="1">IFERROR(__xludf.DUMMYFUNCTION("GOOGLETRANSLATE(English!D3447, ""en"", ""bg"")"),"атоми и молекули")</f>
        <v>атоми и молекули</v>
      </c>
      <c r="E3447" s="1" t="str">
        <f ca="1">IFERROR(__xludf.DUMMYFUNCTION("GOOGLETRANSLATE(English!E3447, ""en"", ""bg"")"),"Имам нужда от помощ с домашното си. Какво е атом?")</f>
        <v>Имам нужда от помощ с домашното си. Какво е атом?</v>
      </c>
      <c r="F3447" s="1" t="str">
        <f ca="1">IFERROR(__xludf.DUMMYFUNCTION("GOOGLETRANSLATE(English!F3447,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3447" s="1" t="str">
        <f ca="1">IFERROR(__xludf.DUMMYFUNCTION("GOOGLETRANSLATE(English!G3447, ""en"", ""bg"")"),"разговор")</f>
        <v>разговор</v>
      </c>
      <c r="H3447" s="1" t="str">
        <f ca="1">IFERROR(__xludf.DUMMYFUNCTION("GOOGLETRANSLATE(English!H3447, ""en"", ""bg"")"),"образователна_помощ")</f>
        <v>образователна_помощ</v>
      </c>
    </row>
    <row r="3448" spans="1:8" ht="13.2" x14ac:dyDescent="0.25">
      <c r="A3448" s="1" t="str">
        <f ca="1">IFERROR(__xludf.DUMMYFUNCTION("GOOGLETRANSLATE(English!A3448, ""en"", ""bg"")"),"hw_14189")</f>
        <v>hw_14189</v>
      </c>
      <c r="B3448" s="1" t="str">
        <f ca="1">IFERROR(__xludf.DUMMYFUNCTION("GOOGLETRANSLATE(English!B3448, ""en"", ""bg"")"),"биология")</f>
        <v>биология</v>
      </c>
      <c r="C3448" s="1" t="str">
        <f ca="1">IFERROR(__xludf.DUMMYFUNCTION("GOOGLETRANSLATE(English!C3448, ""en"", ""bg"")"),"елементарен")</f>
        <v>елементарен</v>
      </c>
      <c r="D3448" s="1" t="str">
        <f ca="1">IFERROR(__xludf.DUMMYFUNCTION("GOOGLETRANSLATE(English!D3448, ""en"", ""bg"")"),"домашни любимци срещу диви животни")</f>
        <v>домашни любимци срещу диви животни</v>
      </c>
      <c r="E3448" s="1" t="str">
        <f ca="1">IFERROR(__xludf.DUMMYFUNCTION("GOOGLETRANSLATE(English!E3448, ""en"", ""bg"")"),"Можете ли да обясните понятията домашни любимци и диви животни за моя научен проект?")</f>
        <v>Можете ли да обясните понятията домашни любимци и диви животни за моя научен проект?</v>
      </c>
      <c r="F3448" s="1" t="str">
        <f ca="1">IFERROR(__xludf.DUMMYFUNCTION("GOOGLETRANSLATE(English!F3448,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3448" s="1" t="str">
        <f ca="1">IFERROR(__xludf.DUMMYFUNCTION("GOOGLETRANSLATE(English!G3448, ""en"", ""bg"")"),"помощ_за_домашно_изпълнение")</f>
        <v>помощ_за_домашно_изпълнение</v>
      </c>
      <c r="H3448" s="1" t="str">
        <f ca="1">IFERROR(__xludf.DUMMYFUNCTION("GOOGLETRANSLATE(English!H3448, ""en"", ""bg"")"),"помощ_за_домашно_задаване")</f>
        <v>помощ_за_домашно_задаване</v>
      </c>
    </row>
    <row r="3449" spans="1:8" ht="13.2" x14ac:dyDescent="0.25">
      <c r="A3449" s="1" t="str">
        <f ca="1">IFERROR(__xludf.DUMMYFUNCTION("GOOGLETRANSLATE(English!A3449, ""en"", ""bg"")"),"qa_02423")</f>
        <v>qa_02423</v>
      </c>
      <c r="B3449" s="1" t="str">
        <f ca="1">IFERROR(__xludf.DUMMYFUNCTION("GOOGLETRANSLATE(English!B3449, ""en"", ""bg"")"),"химия")</f>
        <v>химия</v>
      </c>
      <c r="C3449" s="1" t="str">
        <f ca="1">IFERROR(__xludf.DUMMYFUNCTION("GOOGLETRANSLATE(English!C3449, ""en"", ""bg"")"),"високо")</f>
        <v>високо</v>
      </c>
      <c r="D3449" s="1" t="str">
        <f ca="1">IFERROR(__xludf.DUMMYFUNCTION("GOOGLETRANSLATE(English!D3449, ""en"", ""bg"")"),"стехиометрия")</f>
        <v>стехиометрия</v>
      </c>
      <c r="E3449" s="1" t="str">
        <f ca="1">IFERROR(__xludf.DUMMYFUNCTION("GOOGLETRANSLATE(English!E3449, ""en"", ""bg"")"),"Какво е стехиометрията?")</f>
        <v>Какво е стехиометрията?</v>
      </c>
      <c r="F3449" s="1" t="str">
        <f ca="1">IFERROR(__xludf.DUMMYFUNCTION("GOOGLETRANSLATE(English!F3449,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3449" s="1" t="str">
        <f ca="1">IFERROR(__xludf.DUMMYFUNCTION("GOOGLETRANSLATE(English!G3449, ""en"", ""bg"")"),"direct_qa")</f>
        <v>direct_qa</v>
      </c>
      <c r="H3449" s="1" t="str">
        <f ca="1">IFERROR(__xludf.DUMMYFUNCTION("GOOGLETRANSLATE(English!H3449, ""en"", ""bg"")"),"заявка_за_знание")</f>
        <v>заявка_за_знание</v>
      </c>
    </row>
    <row r="3450" spans="1:8" ht="13.2" x14ac:dyDescent="0.25">
      <c r="A3450" s="1" t="str">
        <f ca="1">IFERROR(__xludf.DUMMYFUNCTION("GOOGLETRANSLATE(English!A3450, ""en"", ""bg"")"),"conv_04525")</f>
        <v>conv_04525</v>
      </c>
      <c r="B3450" s="1" t="str">
        <f ca="1">IFERROR(__xludf.DUMMYFUNCTION("GOOGLETRANSLATE(English!B3450, ""en"", ""bg"")"),"физика")</f>
        <v>физика</v>
      </c>
      <c r="C3450" s="1" t="str">
        <f ca="1">IFERROR(__xludf.DUMMYFUNCTION("GOOGLETRANSLATE(English!C3450, ""en"", ""bg"")"),"елементарен")</f>
        <v>елементарен</v>
      </c>
      <c r="D3450" s="1" t="str">
        <f ca="1">IFERROR(__xludf.DUMMYFUNCTION("GOOGLETRANSLATE(English!D3450, ""en"", ""bg"")"),"бутане и дърпане")</f>
        <v>бутане и дърпане</v>
      </c>
      <c r="E3450" s="1" t="str">
        <f ca="1">IFERROR(__xludf.DUMMYFUNCTION("GOOGLETRANSLATE(English!E3450, ""en"", ""bg"")"),"Можете ли да ми помогнете? Какво трябва да знам за бутането и дърпането?")</f>
        <v>Можете ли да ми помогнете? Какво трябва да знам за бутането и дърпането?</v>
      </c>
      <c r="F3450" s="1" t="str">
        <f ca="1">IFERROR(__xludf.DUMMYFUNCTION("GOOGLETRANSLATE(English!F3450,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3450" s="1" t="str">
        <f ca="1">IFERROR(__xludf.DUMMYFUNCTION("GOOGLETRANSLATE(English!G3450, ""en"", ""bg"")"),"разговор")</f>
        <v>разговор</v>
      </c>
      <c r="H3450" s="1" t="str">
        <f ca="1">IFERROR(__xludf.DUMMYFUNCTION("GOOGLETRANSLATE(English!H3450, ""en"", ""bg"")"),"образователна_помощ")</f>
        <v>образователна_помощ</v>
      </c>
    </row>
    <row r="3451" spans="1:8" ht="13.2" x14ac:dyDescent="0.25">
      <c r="A3451" s="1" t="str">
        <f ca="1">IFERROR(__xludf.DUMMYFUNCTION("GOOGLETRANSLATE(English!A3451, ""en"", ""bg"")"),"hw_00413")</f>
        <v>hw_00413</v>
      </c>
      <c r="B3451" s="1" t="str">
        <f ca="1">IFERROR(__xludf.DUMMYFUNCTION("GOOGLETRANSLATE(English!B3451, ""en"", ""bg"")"),"химия")</f>
        <v>химия</v>
      </c>
      <c r="C3451" s="1" t="str">
        <f ca="1">IFERROR(__xludf.DUMMYFUNCTION("GOOGLETRANSLATE(English!C3451, ""en"", ""bg"")"),"средата")</f>
        <v>средата</v>
      </c>
      <c r="D3451" s="1" t="str">
        <f ca="1">IFERROR(__xludf.DUMMYFUNCTION("GOOGLETRANSLATE(English!D3451, ""en"", ""bg"")"),"атоми и молекули")</f>
        <v>атоми и молекули</v>
      </c>
      <c r="E3451" s="1" t="str">
        <f ca="1">IFERROR(__xludf.DUMMYFUNCTION("GOOGLETRANSLATE(English!E3451, ""en"", ""bg"")"),"Затруднявам се с атомите и молекулите в домашното си.")</f>
        <v>Затруднявам се с атомите и молекулите в домашното си.</v>
      </c>
      <c r="F3451" s="1" t="str">
        <f ca="1">IFERROR(__xludf.DUMMYFUNCTION("GOOGLETRANSLATE(English!F3451,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451" s="1" t="str">
        <f ca="1">IFERROR(__xludf.DUMMYFUNCTION("GOOGLETRANSLATE(English!G3451, ""en"", ""bg"")"),"помощ_за_домашно_изпълнение")</f>
        <v>помощ_за_домашно_изпълнение</v>
      </c>
      <c r="H3451" s="1" t="str">
        <f ca="1">IFERROR(__xludf.DUMMYFUNCTION("GOOGLETRANSLATE(English!H3451, ""en"", ""bg"")"),"помощ_за_домашно_задаване")</f>
        <v>помощ_за_домашно_задаване</v>
      </c>
    </row>
    <row r="3452" spans="1:8" ht="13.2" x14ac:dyDescent="0.25">
      <c r="A3452" s="1" t="str">
        <f ca="1">IFERROR(__xludf.DUMMYFUNCTION("GOOGLETRANSLATE(English!A3452, ""en"", ""bg"")"),"conv_14403")</f>
        <v>conv_14403</v>
      </c>
      <c r="B3452" s="1" t="str">
        <f ca="1">IFERROR(__xludf.DUMMYFUNCTION("GOOGLETRANSLATE(English!B3452, ""en"", ""bg"")"),"физика")</f>
        <v>физика</v>
      </c>
      <c r="C3452" s="1" t="str">
        <f ca="1">IFERROR(__xludf.DUMMYFUNCTION("GOOGLETRANSLATE(English!C3452, ""en"", ""bg"")"),"средата")</f>
        <v>средата</v>
      </c>
      <c r="D3452" s="1" t="str">
        <f ca="1">IFERROR(__xludf.DUMMYFUNCTION("GOOGLETRANSLATE(English!D3452, ""en"", ""bg"")"),"видове енергия")</f>
        <v>видове енергия</v>
      </c>
      <c r="E3452" s="1" t="str">
        <f ca="1">IFERROR(__xludf.DUMMYFUNCTION("GOOGLETRANSLATE(English!E3452, ""en"", ""bg"")"),"Можете ли да ми обясните това? Какви са различните видове енергия?")</f>
        <v>Можете ли да ми обясните това? Какви са различните видове енергия?</v>
      </c>
      <c r="F3452" s="1" t="str">
        <f ca="1">IFERROR(__xludf.DUMMYFUNCTION("GOOGLETRANSLATE(English!F3452,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3452" s="1" t="str">
        <f ca="1">IFERROR(__xludf.DUMMYFUNCTION("GOOGLETRANSLATE(English!G3452, ""en"", ""bg"")"),"разговор")</f>
        <v>разговор</v>
      </c>
      <c r="H3452" s="1" t="str">
        <f ca="1">IFERROR(__xludf.DUMMYFUNCTION("GOOGLETRANSLATE(English!H3452, ""en"", ""bg"")"),"образователна_помощ")</f>
        <v>образователна_помощ</v>
      </c>
    </row>
    <row r="3453" spans="1:8" ht="13.2" x14ac:dyDescent="0.25">
      <c r="A3453" s="1" t="str">
        <f ca="1">IFERROR(__xludf.DUMMYFUNCTION("GOOGLETRANSLATE(English!A3453, ""en"", ""bg"")"),"hw_04125")</f>
        <v>hw_04125</v>
      </c>
      <c r="B3453" s="1" t="str">
        <f ca="1">IFERROR(__xludf.DUMMYFUNCTION("GOOGLETRANSLATE(English!B3453, ""en"", ""bg"")"),"химия")</f>
        <v>химия</v>
      </c>
      <c r="C3453" s="1" t="str">
        <f ca="1">IFERROR(__xludf.DUMMYFUNCTION("GOOGLETRANSLATE(English!C3453, ""en"", ""bg"")"),"високо")</f>
        <v>високо</v>
      </c>
      <c r="D3453" s="1" t="str">
        <f ca="1">IFERROR(__xludf.DUMMYFUNCTION("GOOGLETRANSLATE(English!D3453, ""en"", ""bg"")"),"електрохимия")</f>
        <v>електрохимия</v>
      </c>
      <c r="E3453" s="1" t="str">
        <f ca="1">IFERROR(__xludf.DUMMYFUNCTION("GOOGLETRANSLATE(English!E3453, ""en"", ""bg"")"),"Не разбирам тази концепция за електрохимия. Моля, обяснете!")</f>
        <v>Не разбирам тази концепция за електрохимия. Моля, обяснете!</v>
      </c>
      <c r="F3453" s="1" t="str">
        <f ca="1">IFERROR(__xludf.DUMMYFUNCTION("GOOGLETRANSLATE(English!F3453,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453" s="1" t="str">
        <f ca="1">IFERROR(__xludf.DUMMYFUNCTION("GOOGLETRANSLATE(English!G3453, ""en"", ""bg"")"),"помощ_за_домашно_изпълнение")</f>
        <v>помощ_за_домашно_изпълнение</v>
      </c>
      <c r="H3453" s="1" t="str">
        <f ca="1">IFERROR(__xludf.DUMMYFUNCTION("GOOGLETRANSLATE(English!H3453, ""en"", ""bg"")"),"помощ_за_домашно_задаване")</f>
        <v>помощ_за_домашно_задаване</v>
      </c>
    </row>
    <row r="3454" spans="1:8" ht="13.2" x14ac:dyDescent="0.25">
      <c r="A3454" s="1" t="str">
        <f ca="1">IFERROR(__xludf.DUMMYFUNCTION("GOOGLETRANSLATE(English!A3454, ""en"", ""bg"")"),"hw_07731")</f>
        <v>hw_07731</v>
      </c>
      <c r="B3454" s="1" t="str">
        <f ca="1">IFERROR(__xludf.DUMMYFUNCTION("GOOGLETRANSLATE(English!B3454, ""en"", ""bg"")"),"биология")</f>
        <v>биология</v>
      </c>
      <c r="C3454" s="1" t="str">
        <f ca="1">IFERROR(__xludf.DUMMYFUNCTION("GOOGLETRANSLATE(English!C3454, ""en"", ""bg"")"),"средата")</f>
        <v>средата</v>
      </c>
      <c r="D3454" s="1" t="str">
        <f ca="1">IFERROR(__xludf.DUMMYFUNCTION("GOOGLETRANSLATE(English!D3454, ""en"", ""bg"")"),"екосистеми")</f>
        <v>екосистеми</v>
      </c>
      <c r="E3454" s="1" t="str">
        <f ca="1">IFERROR(__xludf.DUMMYFUNCTION("GOOGLETRANSLATE(English!E3454, ""en"", ""bg"")"),"Трябва да напиша доклад за екосистемите. Можете ли да ми помогнете да започна?")</f>
        <v>Трябва да напиша доклад за екосистемите. Можете ли да ми помогнете да започна?</v>
      </c>
      <c r="F3454" s="1" t="str">
        <f ca="1">IFERROR(__xludf.DUMMYFUNCTION("GOOGLETRANSLATE(English!F3454,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3454" s="1" t="str">
        <f ca="1">IFERROR(__xludf.DUMMYFUNCTION("GOOGLETRANSLATE(English!G3454, ""en"", ""bg"")"),"помощ_за_домашно_изпълнение")</f>
        <v>помощ_за_домашно_изпълнение</v>
      </c>
      <c r="H3454" s="1" t="str">
        <f ca="1">IFERROR(__xludf.DUMMYFUNCTION("GOOGLETRANSLATE(English!H3454, ""en"", ""bg"")"),"помощ_за_домашно_задаване")</f>
        <v>помощ_за_домашно_задаване</v>
      </c>
    </row>
    <row r="3455" spans="1:8" ht="13.2" x14ac:dyDescent="0.25">
      <c r="A3455" s="1" t="str">
        <f ca="1">IFERROR(__xludf.DUMMYFUNCTION("GOOGLETRANSLATE(English!A3455, ""en"", ""bg"")"),"qa_10905")</f>
        <v>qa_10905</v>
      </c>
      <c r="B3455" s="1" t="str">
        <f ca="1">IFERROR(__xludf.DUMMYFUNCTION("GOOGLETRANSLATE(English!B3455, ""en"", ""bg"")"),"физика")</f>
        <v>физика</v>
      </c>
      <c r="C3455" s="1" t="str">
        <f ca="1">IFERROR(__xludf.DUMMYFUNCTION("GOOGLETRANSLATE(English!C3455, ""en"", ""bg"")"),"високо")</f>
        <v>високо</v>
      </c>
      <c r="D3455" s="1" t="str">
        <f ca="1">IFERROR(__xludf.DUMMYFUNCTION("GOOGLETRANSLATE(English!D3455, ""en"", ""bg"")"),"електромагнетизъм")</f>
        <v>електромагнетизъм</v>
      </c>
      <c r="E3455" s="1" t="str">
        <f ca="1">IFERROR(__xludf.DUMMYFUNCTION("GOOGLETRANSLATE(English!E3455, ""en"", ""bg"")"),"Как работи електромагнетизмът във физиката?")</f>
        <v>Как работи електромагнетизмът във физиката?</v>
      </c>
      <c r="F3455" s="1" t="str">
        <f ca="1">IFERROR(__xludf.DUMMYFUNCTION("GOOGLETRANSLATE(English!F3455,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3455" s="1" t="str">
        <f ca="1">IFERROR(__xludf.DUMMYFUNCTION("GOOGLETRANSLATE(English!G3455, ""en"", ""bg"")"),"direct_qa")</f>
        <v>direct_qa</v>
      </c>
      <c r="H3455" s="1" t="str">
        <f ca="1">IFERROR(__xludf.DUMMYFUNCTION("GOOGLETRANSLATE(English!H3455, ""en"", ""bg"")"),"заявка_за_знание")</f>
        <v>заявка_за_знание</v>
      </c>
    </row>
    <row r="3456" spans="1:8" ht="13.2" x14ac:dyDescent="0.25">
      <c r="A3456" s="1" t="str">
        <f ca="1">IFERROR(__xludf.DUMMYFUNCTION("GOOGLETRANSLATE(English!A3456, ""en"", ""bg"")"),"hw_06770")</f>
        <v>hw_06770</v>
      </c>
      <c r="B3456" s="1" t="str">
        <f ca="1">IFERROR(__xludf.DUMMYFUNCTION("GOOGLETRANSLATE(English!B3456, ""en"", ""bg"")"),"физика")</f>
        <v>физика</v>
      </c>
      <c r="C3456" s="1" t="str">
        <f ca="1">IFERROR(__xludf.DUMMYFUNCTION("GOOGLETRANSLATE(English!C3456, ""en"", ""bg"")"),"елементарен")</f>
        <v>елементарен</v>
      </c>
      <c r="D3456" s="1" t="str">
        <f ca="1">IFERROR(__xludf.DUMMYFUNCTION("GOOGLETRANSLATE(English!D3456, ""en"", ""bg"")"),"плаващ и потъващ")</f>
        <v>плаващ и потъващ</v>
      </c>
      <c r="E3456" s="1" t="str">
        <f ca="1">IFERROR(__xludf.DUMMYFUNCTION("GOOGLETRANSLATE(English!E3456, ""en"", ""bg"")"),"Можеш ли да решиш този плаващ и потъващ въпрос с мен?")</f>
        <v>Можеш ли да решиш този плаващ и потъващ въпрос с мен?</v>
      </c>
      <c r="F3456" s="1" t="str">
        <f ca="1">IFERROR(__xludf.DUMMYFUNCTION("GOOGLETRANSLATE(English!F3456,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456" s="1" t="str">
        <f ca="1">IFERROR(__xludf.DUMMYFUNCTION("GOOGLETRANSLATE(English!G3456, ""en"", ""bg"")"),"помощ_за_домашно_изпълнение")</f>
        <v>помощ_за_домашно_изпълнение</v>
      </c>
      <c r="H3456" s="1" t="str">
        <f ca="1">IFERROR(__xludf.DUMMYFUNCTION("GOOGLETRANSLATE(English!H3456, ""en"", ""bg"")"),"помощ_за_домашно_задаване")</f>
        <v>помощ_за_домашно_задаване</v>
      </c>
    </row>
    <row r="3457" spans="1:8" ht="13.2" x14ac:dyDescent="0.25">
      <c r="A3457" s="1" t="str">
        <f ca="1">IFERROR(__xludf.DUMMYFUNCTION("GOOGLETRANSLATE(English!A3457, ""en"", ""bg"")"),"hw_02081")</f>
        <v>hw_02081</v>
      </c>
      <c r="B3457" s="1" t="str">
        <f ca="1">IFERROR(__xludf.DUMMYFUNCTION("GOOGLETRANSLATE(English!B3457, ""en"", ""bg"")"),"физика")</f>
        <v>физика</v>
      </c>
      <c r="C3457" s="1" t="str">
        <f ca="1">IFERROR(__xludf.DUMMYFUNCTION("GOOGLETRANSLATE(English!C3457, ""en"", ""bg"")"),"средата")</f>
        <v>средата</v>
      </c>
      <c r="D3457" s="1" t="str">
        <f ca="1">IFERROR(__xludf.DUMMYFUNCTION("GOOGLETRANSLATE(English!D3457, ""en"", ""bg"")"),"основи на електричеството")</f>
        <v>основи на електричеството</v>
      </c>
      <c r="E3457" s="1" t="str">
        <f ca="1">IFERROR(__xludf.DUMMYFUNCTION("GOOGLETRANSLATE(English!E3457, ""en"", ""bg"")"),"Можете ли да решите този въпрос по основи на електричеството с мен?")</f>
        <v>Можете ли да решите този въпрос по основи на електричеството с мен?</v>
      </c>
      <c r="F3457" s="1" t="str">
        <f ca="1">IFERROR(__xludf.DUMMYFUNCTION("GOOGLETRANSLATE(English!F3457,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3457" s="1" t="str">
        <f ca="1">IFERROR(__xludf.DUMMYFUNCTION("GOOGLETRANSLATE(English!G3457, ""en"", ""bg"")"),"помощ_за_домашно_изпълнение")</f>
        <v>помощ_за_домашно_изпълнение</v>
      </c>
      <c r="H3457" s="1" t="str">
        <f ca="1">IFERROR(__xludf.DUMMYFUNCTION("GOOGLETRANSLATE(English!H3457, ""en"", ""bg"")"),"помощ_за_домашно_задаване")</f>
        <v>помощ_за_домашно_задаване</v>
      </c>
    </row>
    <row r="3458" spans="1:8" ht="13.2" x14ac:dyDescent="0.25">
      <c r="A3458" s="1" t="str">
        <f ca="1">IFERROR(__xludf.DUMMYFUNCTION("GOOGLETRANSLATE(English!A3458, ""en"", ""bg"")"),"hw_07693")</f>
        <v>hw_07693</v>
      </c>
      <c r="B3458" s="1" t="str">
        <f ca="1">IFERROR(__xludf.DUMMYFUNCTION("GOOGLETRANSLATE(English!B3458, ""en"", ""bg"")"),"биология")</f>
        <v>биология</v>
      </c>
      <c r="C3458" s="1" t="str">
        <f ca="1">IFERROR(__xludf.DUMMYFUNCTION("GOOGLETRANSLATE(English!C3458, ""en"", ""bg"")"),"елементарен")</f>
        <v>елементарен</v>
      </c>
      <c r="D3458" s="1" t="str">
        <f ca="1">IFERROR(__xludf.DUMMYFUNCTION("GOOGLETRANSLATE(English!D3458, ""en"", ""bg"")"),"животни")</f>
        <v>животни</v>
      </c>
      <c r="E3458" s="1" t="str">
        <f ca="1">IFERROR(__xludf.DUMMYFUNCTION("GOOGLETRANSLATE(English!E3458, ""en"", ""bg"")"),"Можете ли да обясните за животните за моя научен проект?")</f>
        <v>Можете ли да обясните за животните за моя научен проект?</v>
      </c>
      <c r="F3458" s="1" t="str">
        <f ca="1">IFERROR(__xludf.DUMMYFUNCTION("GOOGLETRANSLATE(English!F3458,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3458" s="1" t="str">
        <f ca="1">IFERROR(__xludf.DUMMYFUNCTION("GOOGLETRANSLATE(English!G3458, ""en"", ""bg"")"),"помощ_за_домашно_изпълнение")</f>
        <v>помощ_за_домашно_изпълнение</v>
      </c>
      <c r="H3458" s="1" t="str">
        <f ca="1">IFERROR(__xludf.DUMMYFUNCTION("GOOGLETRANSLATE(English!H3458, ""en"", ""bg"")"),"помощ_за_домашно_задаване")</f>
        <v>помощ_за_домашно_задаване</v>
      </c>
    </row>
    <row r="3459" spans="1:8" ht="13.2" x14ac:dyDescent="0.25">
      <c r="A3459" s="1" t="str">
        <f ca="1">IFERROR(__xludf.DUMMYFUNCTION("GOOGLETRANSLATE(English!A3459, ""en"", ""bg"")"),"hw_05850")</f>
        <v>hw_05850</v>
      </c>
      <c r="B3459" s="1" t="str">
        <f ca="1">IFERROR(__xludf.DUMMYFUNCTION("GOOGLETRANSLATE(English!B3459, ""en"", ""bg"")"),"физика")</f>
        <v>физика</v>
      </c>
      <c r="C3459" s="1" t="str">
        <f ca="1">IFERROR(__xludf.DUMMYFUNCTION("GOOGLETRANSLATE(English!C3459, ""en"", ""bg"")"),"елементарен")</f>
        <v>елементарен</v>
      </c>
      <c r="D3459" s="1" t="str">
        <f ca="1">IFERROR(__xludf.DUMMYFUNCTION("GOOGLETRANSLATE(English!D3459, ""en"", ""bg"")"),"магнити")</f>
        <v>магнити</v>
      </c>
      <c r="E3459" s="1" t="str">
        <f ca="1">IFERROR(__xludf.DUMMYFUNCTION("GOOGLETRANSLATE(English!E3459, ""en"", ""bg"")"),"Домашното ми по физика е за магнити. Объркващо е!")</f>
        <v>Домашното ми по физика е за магнити. Объркващо е!</v>
      </c>
      <c r="F3459" s="1" t="str">
        <f ca="1">IFERROR(__xludf.DUMMYFUNCTION("GOOGLETRANSLATE(English!F3459,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3459" s="1" t="str">
        <f ca="1">IFERROR(__xludf.DUMMYFUNCTION("GOOGLETRANSLATE(English!G3459, ""en"", ""bg"")"),"помощ_за_домашно_изпълнение")</f>
        <v>помощ_за_домашно_изпълнение</v>
      </c>
      <c r="H3459" s="1" t="str">
        <f ca="1">IFERROR(__xludf.DUMMYFUNCTION("GOOGLETRANSLATE(English!H3459, ""en"", ""bg"")"),"помощ_за_домашно_задаване")</f>
        <v>помощ_за_домашно_задаване</v>
      </c>
    </row>
    <row r="3460" spans="1:8" ht="13.2" x14ac:dyDescent="0.25">
      <c r="A3460" s="1" t="str">
        <f ca="1">IFERROR(__xludf.DUMMYFUNCTION("GOOGLETRANSLATE(English!A3460, ""en"", ""bg"")"),"hw_01098")</f>
        <v>hw_01098</v>
      </c>
      <c r="B3460" s="1" t="str">
        <f ca="1">IFERROR(__xludf.DUMMYFUNCTION("GOOGLETRANSLATE(English!B3460, ""en"", ""bg"")"),"биология")</f>
        <v>биология</v>
      </c>
      <c r="C3460" s="1" t="str">
        <f ca="1">IFERROR(__xludf.DUMMYFUNCTION("GOOGLETRANSLATE(English!C3460, ""en"", ""bg"")"),"високо")</f>
        <v>високо</v>
      </c>
      <c r="D3460" s="1" t="str">
        <f ca="1">IFERROR(__xludf.DUMMYFUNCTION("GOOGLETRANSLATE(English!D3460, ""en"", ""bg"")"),"молекулярна биология")</f>
        <v>молекулярна биология</v>
      </c>
      <c r="E3460" s="1" t="str">
        <f ca="1">IFERROR(__xludf.DUMMYFUNCTION("GOOGLETRANSLATE(English!E3460, ""en"", ""bg"")"),"Трябва да напиша доклад по молекулярна биология. Можете ли да ми помогнете да започна?")</f>
        <v>Трябва да напиша доклад по молекулярна биология. Можете ли да ми помогнете да започна?</v>
      </c>
      <c r="F3460" s="1" t="str">
        <f ca="1">IFERROR(__xludf.DUMMYFUNCTION("GOOGLETRANSLATE(English!F3460,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3460" s="1" t="str">
        <f ca="1">IFERROR(__xludf.DUMMYFUNCTION("GOOGLETRANSLATE(English!G3460, ""en"", ""bg"")"),"помощ_за_домашно_изпълнение")</f>
        <v>помощ_за_домашно_изпълнение</v>
      </c>
      <c r="H3460" s="1" t="str">
        <f ca="1">IFERROR(__xludf.DUMMYFUNCTION("GOOGLETRANSLATE(English!H3460, ""en"", ""bg"")"),"помощ_за_домашно_задаване")</f>
        <v>помощ_за_домашно_задаване</v>
      </c>
    </row>
    <row r="3461" spans="1:8" ht="13.2" x14ac:dyDescent="0.25">
      <c r="A3461" s="1" t="str">
        <f ca="1">IFERROR(__xludf.DUMMYFUNCTION("GOOGLETRANSLATE(English!A3461, ""en"", ""bg"")"),"hw_03855")</f>
        <v>hw_03855</v>
      </c>
      <c r="B3461" s="1" t="str">
        <f ca="1">IFERROR(__xludf.DUMMYFUNCTION("GOOGLETRANSLATE(English!B3461, ""en"", ""bg"")"),"биология")</f>
        <v>биология</v>
      </c>
      <c r="C3461" s="1" t="str">
        <f ca="1">IFERROR(__xludf.DUMMYFUNCTION("GOOGLETRANSLATE(English!C3461, ""en"", ""bg"")"),"елементарен")</f>
        <v>елементарен</v>
      </c>
      <c r="D3461" s="1" t="str">
        <f ca="1">IFERROR(__xludf.DUMMYFUNCTION("GOOGLETRANSLATE(English!D3461, ""en"", ""bg"")"),"местообитания")</f>
        <v>местообитания</v>
      </c>
      <c r="E3461" s="1" t="str">
        <f ca="1">IFERROR(__xludf.DUMMYFUNCTION("GOOGLETRANSLATE(English!E3461, ""en"", ""bg"")"),"Утре имам тест по местообитания. Помогни ми да уча!")</f>
        <v>Утре имам тест по местообитания. Помогни ми да уча!</v>
      </c>
      <c r="F3461" s="1" t="str">
        <f ca="1">IFERROR(__xludf.DUMMYFUNCTION("GOOGLETRANSLATE(English!F3461,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3461" s="1" t="str">
        <f ca="1">IFERROR(__xludf.DUMMYFUNCTION("GOOGLETRANSLATE(English!G3461, ""en"", ""bg"")"),"помощ_за_домашно_изпълнение")</f>
        <v>помощ_за_домашно_изпълнение</v>
      </c>
      <c r="H3461" s="1" t="str">
        <f ca="1">IFERROR(__xludf.DUMMYFUNCTION("GOOGLETRANSLATE(English!H3461, ""en"", ""bg"")"),"помощ_за_домашно_задаване")</f>
        <v>помощ_за_домашно_задаване</v>
      </c>
    </row>
    <row r="3462" spans="1:8" ht="13.2" x14ac:dyDescent="0.25">
      <c r="A3462" s="1" t="str">
        <f ca="1">IFERROR(__xludf.DUMMYFUNCTION("GOOGLETRANSLATE(English!A3462, ""en"", ""bg"")"),"hw_12788")</f>
        <v>hw_12788</v>
      </c>
      <c r="B3462" s="1" t="str">
        <f ca="1">IFERROR(__xludf.DUMMYFUNCTION("GOOGLETRANSLATE(English!B3462, ""en"", ""bg"")"),"биология")</f>
        <v>биология</v>
      </c>
      <c r="C3462" s="1" t="str">
        <f ca="1">IFERROR(__xludf.DUMMYFUNCTION("GOOGLETRANSLATE(English!C3462, ""en"", ""bg"")"),"високо")</f>
        <v>високо</v>
      </c>
      <c r="D3462" s="1" t="str">
        <f ca="1">IFERROR(__xludf.DUMMYFUNCTION("GOOGLETRANSLATE(English!D3462, ""en"", ""bg"")"),"клетъчно дишане")</f>
        <v>клетъчно дишане</v>
      </c>
      <c r="E3462" s="1" t="str">
        <f ca="1">IFERROR(__xludf.DUMMYFUNCTION("GOOGLETRANSLATE(English!E3462, ""en"", ""bg"")"),"Домашното ми пита за клетъчното дишане. Не го разбирам.")</f>
        <v>Домашното ми пита за клетъчното дишане. Не го разбирам.</v>
      </c>
      <c r="F3462" s="1" t="str">
        <f ca="1">IFERROR(__xludf.DUMMYFUNCTION("GOOGLETRANSLATE(English!F3462,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3462" s="1" t="str">
        <f ca="1">IFERROR(__xludf.DUMMYFUNCTION("GOOGLETRANSLATE(English!G3462, ""en"", ""bg"")"),"помощ_за_домашно_изпълнение")</f>
        <v>помощ_за_домашно_изпълнение</v>
      </c>
      <c r="H3462" s="1" t="str">
        <f ca="1">IFERROR(__xludf.DUMMYFUNCTION("GOOGLETRANSLATE(English!H3462, ""en"", ""bg"")"),"помощ_за_домашно_задаване")</f>
        <v>помощ_за_домашно_задаване</v>
      </c>
    </row>
    <row r="3463" spans="1:8" ht="13.2" x14ac:dyDescent="0.25">
      <c r="A3463" s="1" t="str">
        <f ca="1">IFERROR(__xludf.DUMMYFUNCTION("GOOGLETRANSLATE(English!A3463, ""en"", ""bg"")"),"hw_02967")</f>
        <v>hw_02967</v>
      </c>
      <c r="B3463" s="1" t="str">
        <f ca="1">IFERROR(__xludf.DUMMYFUNCTION("GOOGLETRANSLATE(English!B3463, ""en"", ""bg"")"),"биология")</f>
        <v>биология</v>
      </c>
      <c r="C3463" s="1" t="str">
        <f ca="1">IFERROR(__xludf.DUMMYFUNCTION("GOOGLETRANSLATE(English!C3463, ""en"", ""bg"")"),"средата")</f>
        <v>средата</v>
      </c>
      <c r="D3463" s="1" t="str">
        <f ca="1">IFERROR(__xludf.DUMMYFUNCTION("GOOGLETRANSLATE(English!D3463, ""en"", ""bg"")"),"размножаване")</f>
        <v>размножаване</v>
      </c>
      <c r="E3463" s="1" t="str">
        <f ca="1">IFERROR(__xludf.DUMMYFUNCTION("GOOGLETRANSLATE(English!E3463,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3463" s="1" t="str">
        <f ca="1">IFERROR(__xludf.DUMMYFUNCTION("GOOGLETRANSLATE(English!F3463,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463" s="1" t="str">
        <f ca="1">IFERROR(__xludf.DUMMYFUNCTION("GOOGLETRANSLATE(English!G3463, ""en"", ""bg"")"),"помощ_за_домашно_изпълнение")</f>
        <v>помощ_за_домашно_изпълнение</v>
      </c>
      <c r="H3463" s="1" t="str">
        <f ca="1">IFERROR(__xludf.DUMMYFUNCTION("GOOGLETRANSLATE(English!H3463, ""en"", ""bg"")"),"помощ_за_домашно_задаване")</f>
        <v>помощ_за_домашно_задаване</v>
      </c>
    </row>
    <row r="3464" spans="1:8" ht="13.2" x14ac:dyDescent="0.25">
      <c r="A3464" s="1" t="str">
        <f ca="1">IFERROR(__xludf.DUMMYFUNCTION("GOOGLETRANSLATE(English!A3464, ""en"", ""bg"")"),"conv_04838")</f>
        <v>conv_04838</v>
      </c>
      <c r="B3464" s="1" t="str">
        <f ca="1">IFERROR(__xludf.DUMMYFUNCTION("GOOGLETRANSLATE(English!B3464, ""en"", ""bg"")"),"биология")</f>
        <v>биология</v>
      </c>
      <c r="C3464" s="1" t="str">
        <f ca="1">IFERROR(__xludf.DUMMYFUNCTION("GOOGLETRANSLATE(English!C3464, ""en"", ""bg"")"),"средата")</f>
        <v>средата</v>
      </c>
      <c r="D3464" s="1" t="str">
        <f ca="1">IFERROR(__xludf.DUMMYFUNCTION("GOOGLETRANSLATE(English!D3464, ""en"", ""bg"")"),"екосистеми")</f>
        <v>екосистеми</v>
      </c>
      <c r="E3464" s="1" t="str">
        <f ca="1">IFERROR(__xludf.DUMMYFUNCTION("GOOGLETRANSLATE(English!E3464, ""en"", ""bg"")"),"Не разбирам тази тема. Как функционират екосистемите?")</f>
        <v>Не разбирам тази тема. Как функционират екосистемите?</v>
      </c>
      <c r="F3464" s="1" t="str">
        <f ca="1">IFERROR(__xludf.DUMMYFUNCTION("GOOGLETRANSLATE(English!F3464,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3464" s="1" t="str">
        <f ca="1">IFERROR(__xludf.DUMMYFUNCTION("GOOGLETRANSLATE(English!G3464, ""en"", ""bg"")"),"разговор")</f>
        <v>разговор</v>
      </c>
      <c r="H3464" s="1" t="str">
        <f ca="1">IFERROR(__xludf.DUMMYFUNCTION("GOOGLETRANSLATE(English!H3464, ""en"", ""bg"")"),"образователна_помощ")</f>
        <v>образователна_помощ</v>
      </c>
    </row>
    <row r="3465" spans="1:8" ht="13.2" x14ac:dyDescent="0.25">
      <c r="A3465" s="1" t="str">
        <f ca="1">IFERROR(__xludf.DUMMYFUNCTION("GOOGLETRANSLATE(English!A3465, ""en"", ""bg"")"),"hw_08742")</f>
        <v>hw_08742</v>
      </c>
      <c r="B3465" s="1" t="str">
        <f ca="1">IFERROR(__xludf.DUMMYFUNCTION("GOOGLETRANSLATE(English!B3465, ""en"", ""bg"")"),"физика")</f>
        <v>физика</v>
      </c>
      <c r="C3465" s="1" t="str">
        <f ca="1">IFERROR(__xludf.DUMMYFUNCTION("GOOGLETRANSLATE(English!C3465, ""en"", ""bg"")"),"високо")</f>
        <v>високо</v>
      </c>
      <c r="D3465" s="1" t="str">
        <f ca="1">IFERROR(__xludf.DUMMYFUNCTION("GOOGLETRANSLATE(English!D3465, ""en"", ""bg"")"),"оптика")</f>
        <v>оптика</v>
      </c>
      <c r="E3465" s="1" t="str">
        <f ca="1">IFERROR(__xludf.DUMMYFUNCTION("GOOGLETRANSLATE(English!E3465, ""en"", ""bg"")"),"Заседнал съм с този проблем с оптиката. Можете ли да помогнете?")</f>
        <v>Заседнал съм с този проблем с оптиката. Можете ли да помогнете?</v>
      </c>
      <c r="F3465" s="1" t="str">
        <f ca="1">IFERROR(__xludf.DUMMYFUNCTION("GOOGLETRANSLATE(English!F3465,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3465" s="1" t="str">
        <f ca="1">IFERROR(__xludf.DUMMYFUNCTION("GOOGLETRANSLATE(English!G3465, ""en"", ""bg"")"),"помощ_за_домашно_изпълнение")</f>
        <v>помощ_за_домашно_изпълнение</v>
      </c>
      <c r="H3465" s="1" t="str">
        <f ca="1">IFERROR(__xludf.DUMMYFUNCTION("GOOGLETRANSLATE(English!H3465, ""en"", ""bg"")"),"помощ_за_домашно_задаване")</f>
        <v>помощ_за_домашно_задаване</v>
      </c>
    </row>
    <row r="3466" spans="1:8" ht="13.2" x14ac:dyDescent="0.25">
      <c r="A3466" s="1" t="str">
        <f ca="1">IFERROR(__xludf.DUMMYFUNCTION("GOOGLETRANSLATE(English!A3466, ""en"", ""bg"")"),"conv_05141")</f>
        <v>conv_05141</v>
      </c>
      <c r="B3466" s="1" t="str">
        <f ca="1">IFERROR(__xludf.DUMMYFUNCTION("GOOGLETRANSLATE(English!B3466, ""en"", ""bg"")"),"физика")</f>
        <v>физика</v>
      </c>
      <c r="C3466" s="1" t="str">
        <f ca="1">IFERROR(__xludf.DUMMYFUNCTION("GOOGLETRANSLATE(English!C3466, ""en"", ""bg"")"),"високо")</f>
        <v>високо</v>
      </c>
      <c r="D3466" s="1" t="str">
        <f ca="1">IFERROR(__xludf.DUMMYFUNCTION("GOOGLETRANSLATE(English!D3466, ""en"", ""bg"")"),"атомна структура")</f>
        <v>атомна структура</v>
      </c>
      <c r="E3466" s="1" t="str">
        <f ca="1">IFERROR(__xludf.DUMMYFUNCTION("GOOGLETRANSLATE(English!E3466, ""en"", ""bg"")"),"Здравей, преподавателю! Как работи атомната структура във физиката?")</f>
        <v>Здравей, преподавателю! Как работи атомната структура във физиката?</v>
      </c>
      <c r="F3466" s="1" t="str">
        <f ca="1">IFERROR(__xludf.DUMMYFUNCTION("GOOGLETRANSLATE(English!F3466,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3466" s="1" t="str">
        <f ca="1">IFERROR(__xludf.DUMMYFUNCTION("GOOGLETRANSLATE(English!G3466, ""en"", ""bg"")"),"разговор")</f>
        <v>разговор</v>
      </c>
      <c r="H3466" s="1" t="str">
        <f ca="1">IFERROR(__xludf.DUMMYFUNCTION("GOOGLETRANSLATE(English!H3466, ""en"", ""bg"")"),"образователна_помощ")</f>
        <v>образователна_помощ</v>
      </c>
    </row>
    <row r="3467" spans="1:8" ht="13.2" x14ac:dyDescent="0.25">
      <c r="A3467" s="1" t="str">
        <f ca="1">IFERROR(__xludf.DUMMYFUNCTION("GOOGLETRANSLATE(English!A3467, ""en"", ""bg"")"),"hw_10088")</f>
        <v>hw_10088</v>
      </c>
      <c r="B3467" s="1" t="str">
        <f ca="1">IFERROR(__xludf.DUMMYFUNCTION("GOOGLETRANSLATE(English!B3467, ""en"", ""bg"")"),"физика")</f>
        <v>физика</v>
      </c>
      <c r="C3467" s="1" t="str">
        <f ca="1">IFERROR(__xludf.DUMMYFUNCTION("GOOGLETRANSLATE(English!C3467, ""en"", ""bg"")"),"високо")</f>
        <v>високо</v>
      </c>
      <c r="D3467" s="1" t="str">
        <f ca="1">IFERROR(__xludf.DUMMYFUNCTION("GOOGLETRANSLATE(English!D3467, ""en"", ""bg"")"),"механика")</f>
        <v>механика</v>
      </c>
      <c r="E3467" s="1" t="str">
        <f ca="1">IFERROR(__xludf.DUMMYFUNCTION("GOOGLETRANSLATE(English!E3467, ""en"", ""bg"")"),"Можеш ли да решиш този механичен въпрос с мен?")</f>
        <v>Можеш ли да решиш този механичен въпрос с мен?</v>
      </c>
      <c r="F3467" s="1" t="str">
        <f ca="1">IFERROR(__xludf.DUMMYFUNCTION("GOOGLETRANSLATE(English!F3467,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467" s="1" t="str">
        <f ca="1">IFERROR(__xludf.DUMMYFUNCTION("GOOGLETRANSLATE(English!G3467, ""en"", ""bg"")"),"помощ_за_домашно_изпълнение")</f>
        <v>помощ_за_домашно_изпълнение</v>
      </c>
      <c r="H3467" s="1" t="str">
        <f ca="1">IFERROR(__xludf.DUMMYFUNCTION("GOOGLETRANSLATE(English!H3467, ""en"", ""bg"")"),"помощ_за_домашно_задаване")</f>
        <v>помощ_за_домашно_задаване</v>
      </c>
    </row>
    <row r="3468" spans="1:8" ht="13.2" x14ac:dyDescent="0.25">
      <c r="A3468" s="1" t="str">
        <f ca="1">IFERROR(__xludf.DUMMYFUNCTION("GOOGLETRANSLATE(English!A3468, ""en"", ""bg"")"),"hw_01070")</f>
        <v>hw_01070</v>
      </c>
      <c r="B3468" s="1" t="str">
        <f ca="1">IFERROR(__xludf.DUMMYFUNCTION("GOOGLETRANSLATE(English!B3468, ""en"", ""bg"")"),"физика")</f>
        <v>физика</v>
      </c>
      <c r="C3468" s="1" t="str">
        <f ca="1">IFERROR(__xludf.DUMMYFUNCTION("GOOGLETRANSLATE(English!C3468, ""en"", ""bg"")"),"елементарен")</f>
        <v>елементарен</v>
      </c>
      <c r="D3468" s="1" t="str">
        <f ca="1">IFERROR(__xludf.DUMMYFUNCTION("GOOGLETRANSLATE(English!D3468, ""en"", ""bg"")"),"светлина и сянка")</f>
        <v>светлина и сянка</v>
      </c>
      <c r="E3468" s="1" t="str">
        <f ca="1">IFERROR(__xludf.DUMMYFUNCTION("GOOGLETRANSLATE(English!E3468,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3468" s="1" t="str">
        <f ca="1">IFERROR(__xludf.DUMMYFUNCTION("GOOGLETRANSLATE(English!F3468,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3468" s="1" t="str">
        <f ca="1">IFERROR(__xludf.DUMMYFUNCTION("GOOGLETRANSLATE(English!G3468, ""en"", ""bg"")"),"помощ_за_домашно_изпълнение")</f>
        <v>помощ_за_домашно_изпълнение</v>
      </c>
      <c r="H3468" s="1" t="str">
        <f ca="1">IFERROR(__xludf.DUMMYFUNCTION("GOOGLETRANSLATE(English!H3468, ""en"", ""bg"")"),"помощ_за_домашно_задаване")</f>
        <v>помощ_за_домашно_задаване</v>
      </c>
    </row>
    <row r="3469" spans="1:8" ht="13.2" x14ac:dyDescent="0.25">
      <c r="A3469" s="1" t="str">
        <f ca="1">IFERROR(__xludf.DUMMYFUNCTION("GOOGLETRANSLATE(English!A3469, ""en"", ""bg"")"),"hw_12420")</f>
        <v>hw_12420</v>
      </c>
      <c r="B3469" s="1" t="str">
        <f ca="1">IFERROR(__xludf.DUMMYFUNCTION("GOOGLETRANSLATE(English!B3469, ""en"", ""bg"")"),"биология")</f>
        <v>биология</v>
      </c>
      <c r="C3469" s="1" t="str">
        <f ca="1">IFERROR(__xludf.DUMMYFUNCTION("GOOGLETRANSLATE(English!C3469, ""en"", ""bg"")"),"елементарен")</f>
        <v>елементарен</v>
      </c>
      <c r="D3469" s="1" t="str">
        <f ca="1">IFERROR(__xludf.DUMMYFUNCTION("GOOGLETRANSLATE(English!D3469, ""en"", ""bg"")"),"растения")</f>
        <v>растения</v>
      </c>
      <c r="E3469" s="1" t="str">
        <f ca="1">IFERROR(__xludf.DUMMYFUNCTION("GOOGLETRANSLATE(English!E3469, ""en"", ""bg"")"),"Утре имам тест по растения. Помогни ми да уча!")</f>
        <v>Утре имам тест по растения. Помогни ми да уча!</v>
      </c>
      <c r="F3469" s="1" t="str">
        <f ca="1">IFERROR(__xludf.DUMMYFUNCTION("GOOGLETRANSLATE(English!F3469,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3469" s="1" t="str">
        <f ca="1">IFERROR(__xludf.DUMMYFUNCTION("GOOGLETRANSLATE(English!G3469, ""en"", ""bg"")"),"помощ_за_домашно_изпълнение")</f>
        <v>помощ_за_домашно_изпълнение</v>
      </c>
      <c r="H3469" s="1" t="str">
        <f ca="1">IFERROR(__xludf.DUMMYFUNCTION("GOOGLETRANSLATE(English!H3469, ""en"", ""bg"")"),"помощ_за_домашно_задаване")</f>
        <v>помощ_за_домашно_задаване</v>
      </c>
    </row>
    <row r="3470" spans="1:8" ht="13.2" x14ac:dyDescent="0.25">
      <c r="A3470" s="1" t="str">
        <f ca="1">IFERROR(__xludf.DUMMYFUNCTION("GOOGLETRANSLATE(English!A3470, ""en"", ""bg"")"),"conv_01692")</f>
        <v>conv_01692</v>
      </c>
      <c r="B3470" s="1" t="str">
        <f ca="1">IFERROR(__xludf.DUMMYFUNCTION("GOOGLETRANSLATE(English!B3470, ""en"", ""bg"")"),"физика")</f>
        <v>физика</v>
      </c>
      <c r="C3470" s="1" t="str">
        <f ca="1">IFERROR(__xludf.DUMMYFUNCTION("GOOGLETRANSLATE(English!C3470, ""en"", ""bg"")"),"елементарен")</f>
        <v>елементарен</v>
      </c>
      <c r="D3470" s="1" t="str">
        <f ca="1">IFERROR(__xludf.DUMMYFUNCTION("GOOGLETRANSLATE(English!D3470, ""en"", ""bg"")"),"прости машини")</f>
        <v>прости машини</v>
      </c>
      <c r="E3470" s="1" t="str">
        <f ca="1">IFERROR(__xludf.DUMMYFUNCTION("GOOGLETRANSLATE(English!E3470, ""en"", ""bg"")"),"Имам нужда от помощ с домашното си. Как работят прости машини във физиката?")</f>
        <v>Имам нужда от помощ с домашното си. Как работят прости машини във физиката?</v>
      </c>
      <c r="F3470" s="1" t="str">
        <f ca="1">IFERROR(__xludf.DUMMYFUNCTION("GOOGLETRANSLATE(English!F3470,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3470" s="1" t="str">
        <f ca="1">IFERROR(__xludf.DUMMYFUNCTION("GOOGLETRANSLATE(English!G3470, ""en"", ""bg"")"),"разговор")</f>
        <v>разговор</v>
      </c>
      <c r="H3470" s="1" t="str">
        <f ca="1">IFERROR(__xludf.DUMMYFUNCTION("GOOGLETRANSLATE(English!H3470, ""en"", ""bg"")"),"образователна_помощ")</f>
        <v>образователна_помощ</v>
      </c>
    </row>
    <row r="3471" spans="1:8" ht="13.2" x14ac:dyDescent="0.25">
      <c r="A3471" s="1" t="str">
        <f ca="1">IFERROR(__xludf.DUMMYFUNCTION("GOOGLETRANSLATE(English!A3471, ""en"", ""bg"")"),"hw_06022")</f>
        <v>hw_06022</v>
      </c>
      <c r="B3471" s="1" t="str">
        <f ca="1">IFERROR(__xludf.DUMMYFUNCTION("GOOGLETRANSLATE(English!B3471, ""en"", ""bg"")"),"биология")</f>
        <v>биология</v>
      </c>
      <c r="C3471" s="1" t="str">
        <f ca="1">IFERROR(__xludf.DUMMYFUNCTION("GOOGLETRANSLATE(English!C3471, ""en"", ""bg"")"),"средата")</f>
        <v>средата</v>
      </c>
      <c r="D3471" s="1" t="str">
        <f ca="1">IFERROR(__xludf.DUMMYFUNCTION("GOOGLETRANSLATE(English!D3471, ""en"", ""bg"")"),"фотосинтеза")</f>
        <v>фотосинтеза</v>
      </c>
      <c r="E3471" s="1" t="str">
        <f ca="1">IFERROR(__xludf.DUMMYFUNCTION("GOOGLETRANSLATE(English!E3471, ""en"", ""bg"")"),"Утре имам тест по фотосинтеза. Помогни ми да уча!")</f>
        <v>Утре имам тест по фотосинтеза. Помогни ми да уча!</v>
      </c>
      <c r="F3471" s="1" t="str">
        <f ca="1">IFERROR(__xludf.DUMMYFUNCTION("GOOGLETRANSLATE(English!F3471,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3471" s="1" t="str">
        <f ca="1">IFERROR(__xludf.DUMMYFUNCTION("GOOGLETRANSLATE(English!G3471, ""en"", ""bg"")"),"помощ_за_домашно_изпълнение")</f>
        <v>помощ_за_домашно_изпълнение</v>
      </c>
      <c r="H3471" s="1" t="str">
        <f ca="1">IFERROR(__xludf.DUMMYFUNCTION("GOOGLETRANSLATE(English!H3471, ""en"", ""bg"")"),"помощ_за_домашно_задаване")</f>
        <v>помощ_за_домашно_задаване</v>
      </c>
    </row>
    <row r="3472" spans="1:8" ht="13.2" x14ac:dyDescent="0.25">
      <c r="A3472" s="1" t="str">
        <f ca="1">IFERROR(__xludf.DUMMYFUNCTION("GOOGLETRANSLATE(English!A3472, ""en"", ""bg"")"),"hw_13595")</f>
        <v>hw_13595</v>
      </c>
      <c r="B3472" s="1" t="str">
        <f ca="1">IFERROR(__xludf.DUMMYFUNCTION("GOOGLETRANSLATE(English!B3472, ""en"", ""bg"")"),"биология")</f>
        <v>биология</v>
      </c>
      <c r="C3472" s="1" t="str">
        <f ca="1">IFERROR(__xludf.DUMMYFUNCTION("GOOGLETRANSLATE(English!C3472, ""en"", ""bg"")"),"средата")</f>
        <v>средата</v>
      </c>
      <c r="D3472" s="1" t="str">
        <f ca="1">IFERROR(__xludf.DUMMYFUNCTION("GOOGLETRANSLATE(English!D3472, ""en"", ""bg"")"),"фотосинтеза")</f>
        <v>фотосинтеза</v>
      </c>
      <c r="E3472" s="1" t="str">
        <f ca="1">IFERROR(__xludf.DUMMYFUNCTION("GOOGLETRANSLATE(English!E3472, ""en"", ""bg"")"),"Можете ли да обясните фотосинтезата за моя научен проект?")</f>
        <v>Можете ли да обясните фотосинтезата за моя научен проект?</v>
      </c>
      <c r="F3472" s="1" t="str">
        <f ca="1">IFERROR(__xludf.DUMMYFUNCTION("GOOGLETRANSLATE(English!F3472,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3472" s="1" t="str">
        <f ca="1">IFERROR(__xludf.DUMMYFUNCTION("GOOGLETRANSLATE(English!G3472, ""en"", ""bg"")"),"помощ_за_домашно_изпълнение")</f>
        <v>помощ_за_домашно_изпълнение</v>
      </c>
      <c r="H3472" s="1" t="str">
        <f ca="1">IFERROR(__xludf.DUMMYFUNCTION("GOOGLETRANSLATE(English!H3472, ""en"", ""bg"")"),"помощ_за_домашно_задаване")</f>
        <v>помощ_за_домашно_задаване</v>
      </c>
    </row>
    <row r="3473" spans="1:8" ht="13.2" x14ac:dyDescent="0.25">
      <c r="A3473" s="1" t="str">
        <f ca="1">IFERROR(__xludf.DUMMYFUNCTION("GOOGLETRANSLATE(English!A3473, ""en"", ""bg"")"),"hw_11119")</f>
        <v>hw_11119</v>
      </c>
      <c r="B3473" s="1" t="str">
        <f ca="1">IFERROR(__xludf.DUMMYFUNCTION("GOOGLETRANSLATE(English!B3473, ""en"", ""bg"")"),"физика")</f>
        <v>физика</v>
      </c>
      <c r="C3473" s="1" t="str">
        <f ca="1">IFERROR(__xludf.DUMMYFUNCTION("GOOGLETRANSLATE(English!C3473, ""en"", ""bg"")"),"високо")</f>
        <v>високо</v>
      </c>
      <c r="D3473" s="1" t="str">
        <f ca="1">IFERROR(__xludf.DUMMYFUNCTION("GOOGLETRANSLATE(English!D3473, ""en"", ""bg"")"),"термодинамика")</f>
        <v>термодинамика</v>
      </c>
      <c r="E3473" s="1" t="str">
        <f ca="1">IFERROR(__xludf.DUMMYFUNCTION("GOOGLETRANSLATE(English!E3473, ""en"", ""bg"")"),"Трябва да разбирам термодинамиката за изпита си.")</f>
        <v>Трябва да разбирам термодинамиката за изпита си.</v>
      </c>
      <c r="F3473" s="1" t="str">
        <f ca="1">IFERROR(__xludf.DUMMYFUNCTION("GOOGLETRANSLATE(English!F3473,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3473" s="1" t="str">
        <f ca="1">IFERROR(__xludf.DUMMYFUNCTION("GOOGLETRANSLATE(English!G3473, ""en"", ""bg"")"),"помощ_за_домашно_изпълнение")</f>
        <v>помощ_за_домашно_изпълнение</v>
      </c>
      <c r="H3473" s="1" t="str">
        <f ca="1">IFERROR(__xludf.DUMMYFUNCTION("GOOGLETRANSLATE(English!H3473, ""en"", ""bg"")"),"помощ_за_домашно_задаване")</f>
        <v>помощ_за_домашно_задаване</v>
      </c>
    </row>
    <row r="3474" spans="1:8" ht="13.2" x14ac:dyDescent="0.25">
      <c r="A3474" s="1" t="str">
        <f ca="1">IFERROR(__xludf.DUMMYFUNCTION("GOOGLETRANSLATE(English!A3474, ""en"", ""bg"")"),"hw_12770")</f>
        <v>hw_12770</v>
      </c>
      <c r="B3474" s="1" t="str">
        <f ca="1">IFERROR(__xludf.DUMMYFUNCTION("GOOGLETRANSLATE(English!B3474, ""en"", ""bg"")"),"химия")</f>
        <v>химия</v>
      </c>
      <c r="C3474" s="1" t="str">
        <f ca="1">IFERROR(__xludf.DUMMYFUNCTION("GOOGLETRANSLATE(English!C3474, ""en"", ""bg"")"),"елементарен")</f>
        <v>елементарен</v>
      </c>
      <c r="D3474" s="1" t="str">
        <f ca="1">IFERROR(__xludf.DUMMYFUNCTION("GOOGLETRANSLATE(English!D3474, ""en"", ""bg"")"),"промени в материалите")</f>
        <v>промени в материалите</v>
      </c>
      <c r="E3474" s="1" t="str">
        <f ca="1">IFERROR(__xludf.DUMMYFUNCTION("GOOGLETRANSLATE(English!E3474,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3474" s="1" t="str">
        <f ca="1">IFERROR(__xludf.DUMMYFUNCTION("GOOGLETRANSLATE(English!F3474,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3474" s="1" t="str">
        <f ca="1">IFERROR(__xludf.DUMMYFUNCTION("GOOGLETRANSLATE(English!G3474, ""en"", ""bg"")"),"помощ_за_домашно_изпълнение")</f>
        <v>помощ_за_домашно_изпълнение</v>
      </c>
      <c r="H3474" s="1" t="str">
        <f ca="1">IFERROR(__xludf.DUMMYFUNCTION("GOOGLETRANSLATE(English!H3474, ""en"", ""bg"")"),"помощ_за_домашно_задаване")</f>
        <v>помощ_за_домашно_задаване</v>
      </c>
    </row>
    <row r="3475" spans="1:8" ht="13.2" x14ac:dyDescent="0.25">
      <c r="A3475" s="1" t="str">
        <f ca="1">IFERROR(__xludf.DUMMYFUNCTION("GOOGLETRANSLATE(English!A3475, ""en"", ""bg"")"),"hw_08747")</f>
        <v>hw_08747</v>
      </c>
      <c r="B3475" s="1" t="str">
        <f ca="1">IFERROR(__xludf.DUMMYFUNCTION("GOOGLETRANSLATE(English!B3475, ""en"", ""bg"")"),"химия")</f>
        <v>химия</v>
      </c>
      <c r="C3475" s="1" t="str">
        <f ca="1">IFERROR(__xludf.DUMMYFUNCTION("GOOGLETRANSLATE(English!C3475, ""en"", ""bg"")"),"средата")</f>
        <v>средата</v>
      </c>
      <c r="D3475" s="1" t="str">
        <f ca="1">IFERROR(__xludf.DUMMYFUNCTION("GOOGLETRANSLATE(English!D3475, ""en"", ""bg"")"),"съединения срещу елементи")</f>
        <v>съединения срещу елементи</v>
      </c>
      <c r="E3475" s="1" t="str">
        <f ca="1">IFERROR(__xludf.DUMMYFUNCTION("GOOGLETRANSLATE(English!E3475,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3475" s="1" t="str">
        <f ca="1">IFERROR(__xludf.DUMMYFUNCTION("GOOGLETRANSLATE(English!F3475,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475" s="1" t="str">
        <f ca="1">IFERROR(__xludf.DUMMYFUNCTION("GOOGLETRANSLATE(English!G3475, ""en"", ""bg"")"),"помощ_за_домашно_изпълнение")</f>
        <v>помощ_за_домашно_изпълнение</v>
      </c>
      <c r="H3475" s="1" t="str">
        <f ca="1">IFERROR(__xludf.DUMMYFUNCTION("GOOGLETRANSLATE(English!H3475, ""en"", ""bg"")"),"помощ_за_домашно_задаване")</f>
        <v>помощ_за_домашно_задаване</v>
      </c>
    </row>
    <row r="3476" spans="1:8" ht="13.2" x14ac:dyDescent="0.25">
      <c r="A3476" s="1" t="str">
        <f ca="1">IFERROR(__xludf.DUMMYFUNCTION("GOOGLETRANSLATE(English!A3476, ""en"", ""bg"")"),"qa_01027")</f>
        <v>qa_01027</v>
      </c>
      <c r="B3476" s="1" t="str">
        <f ca="1">IFERROR(__xludf.DUMMYFUNCTION("GOOGLETRANSLATE(English!B3476, ""en"", ""bg"")"),"физика")</f>
        <v>физика</v>
      </c>
      <c r="C3476" s="1" t="str">
        <f ca="1">IFERROR(__xludf.DUMMYFUNCTION("GOOGLETRANSLATE(English!C3476, ""en"", ""bg"")"),"високо")</f>
        <v>високо</v>
      </c>
      <c r="D3476" s="1" t="str">
        <f ca="1">IFERROR(__xludf.DUMMYFUNCTION("GOOGLETRANSLATE(English!D3476, ""en"", ""bg"")"),"електромагнетизъм")</f>
        <v>електромагнетизъм</v>
      </c>
      <c r="E3476" s="1" t="str">
        <f ca="1">IFERROR(__xludf.DUMMYFUNCTION("GOOGLETRANSLATE(English!E3476, ""en"", ""bg"")"),"Какво трябва да знам за електромагнетизма?")</f>
        <v>Какво трябва да знам за електромагнетизма?</v>
      </c>
      <c r="F3476" s="1" t="str">
        <f ca="1">IFERROR(__xludf.DUMMYFUNCTION("GOOGLETRANSLATE(English!F3476,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3476" s="1" t="str">
        <f ca="1">IFERROR(__xludf.DUMMYFUNCTION("GOOGLETRANSLATE(English!G3476, ""en"", ""bg"")"),"direct_qa")</f>
        <v>direct_qa</v>
      </c>
      <c r="H3476" s="1" t="str">
        <f ca="1">IFERROR(__xludf.DUMMYFUNCTION("GOOGLETRANSLATE(English!H3476, ""en"", ""bg"")"),"заявка_за_знание")</f>
        <v>заявка_за_знание</v>
      </c>
    </row>
    <row r="3477" spans="1:8" ht="13.2" x14ac:dyDescent="0.25">
      <c r="A3477" s="1" t="str">
        <f ca="1">IFERROR(__xludf.DUMMYFUNCTION("GOOGLETRANSLATE(English!A3477, ""en"", ""bg"")"),"hw_12030")</f>
        <v>hw_12030</v>
      </c>
      <c r="B3477" s="1" t="str">
        <f ca="1">IFERROR(__xludf.DUMMYFUNCTION("GOOGLETRANSLATE(English!B3477, ""en"", ""bg"")"),"физика")</f>
        <v>физика</v>
      </c>
      <c r="C3477" s="1" t="str">
        <f ca="1">IFERROR(__xludf.DUMMYFUNCTION("GOOGLETRANSLATE(English!C3477, ""en"", ""bg"")"),"средата")</f>
        <v>средата</v>
      </c>
      <c r="D3477" s="1" t="str">
        <f ca="1">IFERROR(__xludf.DUMMYFUNCTION("GOOGLETRANSLATE(English!D3477, ""en"", ""bg"")"),"вълни")</f>
        <v>вълни</v>
      </c>
      <c r="E3477" s="1" t="str">
        <f ca="1">IFERROR(__xludf.DUMMYFUNCTION("GOOGLETRANSLATE(English!E3477, ""en"", ""bg"")"),"Заседнал съм с този проблем с вълните. Можете ли да помогнете?")</f>
        <v>Заседнал съм с този проблем с вълните. Можете ли да помогнете?</v>
      </c>
      <c r="F3477" s="1" t="str">
        <f ca="1">IFERROR(__xludf.DUMMYFUNCTION("GOOGLETRANSLATE(English!F3477,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3477" s="1" t="str">
        <f ca="1">IFERROR(__xludf.DUMMYFUNCTION("GOOGLETRANSLATE(English!G3477, ""en"", ""bg"")"),"помощ_за_домашно_изпълнение")</f>
        <v>помощ_за_домашно_изпълнение</v>
      </c>
      <c r="H3477" s="1" t="str">
        <f ca="1">IFERROR(__xludf.DUMMYFUNCTION("GOOGLETRANSLATE(English!H3477, ""en"", ""bg"")"),"помощ_за_домашно_задаване")</f>
        <v>помощ_за_домашно_задаване</v>
      </c>
    </row>
    <row r="3478" spans="1:8" ht="13.2" x14ac:dyDescent="0.25">
      <c r="A3478" s="1" t="str">
        <f ca="1">IFERROR(__xludf.DUMMYFUNCTION("GOOGLETRANSLATE(English!A3478, ""en"", ""bg"")"),"conv_19851")</f>
        <v>conv_19851</v>
      </c>
      <c r="B3478" s="1" t="str">
        <f ca="1">IFERROR(__xludf.DUMMYFUNCTION("GOOGLETRANSLATE(English!B3478, ""en"", ""bg"")"),"химия")</f>
        <v>химия</v>
      </c>
      <c r="C3478" s="1" t="str">
        <f ca="1">IFERROR(__xludf.DUMMYFUNCTION("GOOGLETRANSLATE(English!C3478, ""en"", ""bg"")"),"средата")</f>
        <v>средата</v>
      </c>
      <c r="D3478" s="1" t="str">
        <f ca="1">IFERROR(__xludf.DUMMYFUNCTION("GOOGLETRANSLATE(English!D3478, ""en"", ""bg"")"),"атоми и молекули")</f>
        <v>атоми и молекули</v>
      </c>
      <c r="E3478" s="1" t="str">
        <f ca="1">IFERROR(__xludf.DUMMYFUNCTION("GOOGLETRANSLATE(English!E3478, ""en"", ""bg"")"),"Можете ли да ми обясните това? От кои части се състои един атом?")</f>
        <v>Можете ли да ми обясните това? От кои части се състои един атом?</v>
      </c>
      <c r="F3478" s="1" t="str">
        <f ca="1">IFERROR(__xludf.DUMMYFUNCTION("GOOGLETRANSLATE(English!F3478,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3478" s="1" t="str">
        <f ca="1">IFERROR(__xludf.DUMMYFUNCTION("GOOGLETRANSLATE(English!G3478, ""en"", ""bg"")"),"разговор")</f>
        <v>разговор</v>
      </c>
      <c r="H3478" s="1" t="str">
        <f ca="1">IFERROR(__xludf.DUMMYFUNCTION("GOOGLETRANSLATE(English!H3478, ""en"", ""bg"")"),"образователна_помощ")</f>
        <v>образователна_помощ</v>
      </c>
    </row>
    <row r="3479" spans="1:8" ht="13.2" x14ac:dyDescent="0.25">
      <c r="A3479" s="1" t="str">
        <f ca="1">IFERROR(__xludf.DUMMYFUNCTION("GOOGLETRANSLATE(English!A3479, ""en"", ""bg"")"),"conv_07760")</f>
        <v>conv_07760</v>
      </c>
      <c r="B3479" s="1" t="str">
        <f ca="1">IFERROR(__xludf.DUMMYFUNCTION("GOOGLETRANSLATE(English!B3479, ""en"", ""bg"")"),"химия")</f>
        <v>химия</v>
      </c>
      <c r="C3479" s="1" t="str">
        <f ca="1">IFERROR(__xludf.DUMMYFUNCTION("GOOGLETRANSLATE(English!C3479, ""en"", ""bg"")"),"елементарен")</f>
        <v>елементарен</v>
      </c>
      <c r="D3479" s="1" t="str">
        <f ca="1">IFERROR(__xludf.DUMMYFUNCTION("GOOGLETRANSLATE(English!D3479, ""en"", ""bg"")"),"безопасност")</f>
        <v>безопасност</v>
      </c>
      <c r="E3479" s="1" t="str">
        <f ca="1">IFERROR(__xludf.DUMMYFUNCTION("GOOGLETRANSLATE(English!E3479, ""en"", ""bg"")"),"Не разбирам тази тема. Можете ли да ми помогнете да разбера безопасността?")</f>
        <v>Не разбирам тази тема. Можете ли да ми помогнете да разбера безопасността?</v>
      </c>
      <c r="F3479" s="1" t="str">
        <f ca="1">IFERROR(__xludf.DUMMYFUNCTION("GOOGLETRANSLATE(English!F3479,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3479" s="1" t="str">
        <f ca="1">IFERROR(__xludf.DUMMYFUNCTION("GOOGLETRANSLATE(English!G3479, ""en"", ""bg"")"),"разговор")</f>
        <v>разговор</v>
      </c>
      <c r="H3479" s="1" t="str">
        <f ca="1">IFERROR(__xludf.DUMMYFUNCTION("GOOGLETRANSLATE(English!H3479, ""en"", ""bg"")"),"образователна_помощ")</f>
        <v>образователна_помощ</v>
      </c>
    </row>
    <row r="3480" spans="1:8" ht="13.2" x14ac:dyDescent="0.25">
      <c r="A3480" s="1" t="str">
        <f ca="1">IFERROR(__xludf.DUMMYFUNCTION("GOOGLETRANSLATE(English!A3480, ""en"", ""bg"")"),"conv_05574")</f>
        <v>conv_05574</v>
      </c>
      <c r="B3480" s="1" t="str">
        <f ca="1">IFERROR(__xludf.DUMMYFUNCTION("GOOGLETRANSLATE(English!B3480, ""en"", ""bg"")"),"химия")</f>
        <v>химия</v>
      </c>
      <c r="C3480" s="1" t="str">
        <f ca="1">IFERROR(__xludf.DUMMYFUNCTION("GOOGLETRANSLATE(English!C3480, ""en"", ""bg"")"),"високо")</f>
        <v>високо</v>
      </c>
      <c r="D3480" s="1" t="str">
        <f ca="1">IFERROR(__xludf.DUMMYFUNCTION("GOOGLETRANSLATE(English!D3480, ""en"", ""bg"")"),"електрохимия")</f>
        <v>електрохимия</v>
      </c>
      <c r="E3480" s="1" t="str">
        <f ca="1">IFERROR(__xludf.DUMMYFUNCTION("GOOGLETRANSLATE(English!E3480, ""en"", ""bg"")"),"Имам нужда от помощ с домашното. Какво представлява електрохимията?")</f>
        <v>Имам нужда от помощ с домашното. Какво представлява електрохимията?</v>
      </c>
      <c r="F3480" s="1" t="str">
        <f ca="1">IFERROR(__xludf.DUMMYFUNCTION("GOOGLETRANSLATE(English!F3480,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3480" s="1" t="str">
        <f ca="1">IFERROR(__xludf.DUMMYFUNCTION("GOOGLETRANSLATE(English!G3480, ""en"", ""bg"")"),"разговор")</f>
        <v>разговор</v>
      </c>
      <c r="H3480" s="1" t="str">
        <f ca="1">IFERROR(__xludf.DUMMYFUNCTION("GOOGLETRANSLATE(English!H3480, ""en"", ""bg"")"),"образователна_помощ")</f>
        <v>образователна_помощ</v>
      </c>
    </row>
    <row r="3481" spans="1:8" ht="13.2" x14ac:dyDescent="0.25">
      <c r="A3481" s="1" t="str">
        <f ca="1">IFERROR(__xludf.DUMMYFUNCTION("GOOGLETRANSLATE(English!A3481, ""en"", ""bg"")"),"qa_05948")</f>
        <v>qa_05948</v>
      </c>
      <c r="B3481" s="1" t="str">
        <f ca="1">IFERROR(__xludf.DUMMYFUNCTION("GOOGLETRANSLATE(English!B3481, ""en"", ""bg"")"),"химия")</f>
        <v>химия</v>
      </c>
      <c r="C3481" s="1" t="str">
        <f ca="1">IFERROR(__xludf.DUMMYFUNCTION("GOOGLETRANSLATE(English!C3481, ""en"", ""bg"")"),"елементарен")</f>
        <v>елементарен</v>
      </c>
      <c r="D3481" s="1" t="str">
        <f ca="1">IFERROR(__xludf.DUMMYFUNCTION("GOOGLETRANSLATE(English!D3481, ""en"", ""bg"")"),"разтваряне")</f>
        <v>разтваряне</v>
      </c>
      <c r="E3481" s="1" t="str">
        <f ca="1">IFERROR(__xludf.DUMMYFUNCTION("GOOGLETRANSLATE(English!E3481, ""en"", ""bg"")"),"Защо е важно да се научим да разтваряме?")</f>
        <v>Защо е важно да се научим да разтваряме?</v>
      </c>
      <c r="F3481" s="1" t="str">
        <f ca="1">IFERROR(__xludf.DUMMYFUNCTION("GOOGLETRANSLATE(English!F3481,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3481" s="1" t="str">
        <f ca="1">IFERROR(__xludf.DUMMYFUNCTION("GOOGLETRANSLATE(English!G3481, ""en"", ""bg"")"),"direct_qa")</f>
        <v>direct_qa</v>
      </c>
      <c r="H3481" s="1" t="str">
        <f ca="1">IFERROR(__xludf.DUMMYFUNCTION("GOOGLETRANSLATE(English!H3481, ""en"", ""bg"")"),"заявка_за_знание")</f>
        <v>заявка_за_знание</v>
      </c>
    </row>
    <row r="3482" spans="1:8" ht="13.2" x14ac:dyDescent="0.25">
      <c r="A3482" s="1" t="str">
        <f ca="1">IFERROR(__xludf.DUMMYFUNCTION("GOOGLETRANSLATE(English!A3482, ""en"", ""bg"")"),"conv_19505")</f>
        <v>conv_19505</v>
      </c>
      <c r="B3482" s="1" t="str">
        <f ca="1">IFERROR(__xludf.DUMMYFUNCTION("GOOGLETRANSLATE(English!B3482, ""en"", ""bg"")"),"физика")</f>
        <v>физика</v>
      </c>
      <c r="C3482" s="1" t="str">
        <f ca="1">IFERROR(__xludf.DUMMYFUNCTION("GOOGLETRANSLATE(English!C3482, ""en"", ""bg"")"),"високо")</f>
        <v>високо</v>
      </c>
      <c r="D3482" s="1" t="str">
        <f ca="1">IFERROR(__xludf.DUMMYFUNCTION("GOOGLETRANSLATE(English!D3482, ""en"", ""bg"")"),"електромагнетизъм")</f>
        <v>електромагнетизъм</v>
      </c>
      <c r="E3482" s="1" t="str">
        <f ca="1">IFERROR(__xludf.DUMMYFUNCTION("GOOGLETRANSLATE(English!E3482, ""en"", ""bg"")"),"Не разбирам тази тема. Можете ли да ми обясните електромагнетизма?")</f>
        <v>Не разбирам тази тема. Можете ли да ми обясните електромагнетизма?</v>
      </c>
      <c r="F3482" s="1" t="str">
        <f ca="1">IFERROR(__xludf.DUMMYFUNCTION("GOOGLETRANSLATE(English!F3482,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3482" s="1" t="str">
        <f ca="1">IFERROR(__xludf.DUMMYFUNCTION("GOOGLETRANSLATE(English!G3482, ""en"", ""bg"")"),"разговор")</f>
        <v>разговор</v>
      </c>
      <c r="H3482" s="1" t="str">
        <f ca="1">IFERROR(__xludf.DUMMYFUNCTION("GOOGLETRANSLATE(English!H3482, ""en"", ""bg"")"),"образователна_помощ")</f>
        <v>образователна_помощ</v>
      </c>
    </row>
    <row r="3483" spans="1:8" ht="13.2" x14ac:dyDescent="0.25">
      <c r="A3483" s="1" t="str">
        <f ca="1">IFERROR(__xludf.DUMMYFUNCTION("GOOGLETRANSLATE(English!A3483, ""en"", ""bg"")"),"hw_14404")</f>
        <v>hw_14404</v>
      </c>
      <c r="B3483" s="1" t="str">
        <f ca="1">IFERROR(__xludf.DUMMYFUNCTION("GOOGLETRANSLATE(English!B3483, ""en"", ""bg"")"),"физика")</f>
        <v>физика</v>
      </c>
      <c r="C3483" s="1" t="str">
        <f ca="1">IFERROR(__xludf.DUMMYFUNCTION("GOOGLETRANSLATE(English!C3483, ""en"", ""bg"")"),"елементарен")</f>
        <v>елементарен</v>
      </c>
      <c r="D3483" s="1" t="str">
        <f ca="1">IFERROR(__xludf.DUMMYFUNCTION("GOOGLETRANSLATE(English!D3483, ""en"", ""bg"")"),"горещо и студено")</f>
        <v>горещо и студено</v>
      </c>
      <c r="E3483" s="1" t="str">
        <f ca="1">IFERROR(__xludf.DUMMYFUNCTION("GOOGLETRANSLATE(English!E3483, ""en"", ""bg"")"),"Можеш ли да решиш този горещ и студен въпрос с мен?")</f>
        <v>Можеш ли да решиш този горещ и студен въпрос с мен?</v>
      </c>
      <c r="F3483" s="1" t="str">
        <f ca="1">IFERROR(__xludf.DUMMYFUNCTION("GOOGLETRANSLATE(English!F3483,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483" s="1" t="str">
        <f ca="1">IFERROR(__xludf.DUMMYFUNCTION("GOOGLETRANSLATE(English!G3483, ""en"", ""bg"")"),"помощ_за_домашно_изпълнение")</f>
        <v>помощ_за_домашно_изпълнение</v>
      </c>
      <c r="H3483" s="1" t="str">
        <f ca="1">IFERROR(__xludf.DUMMYFUNCTION("GOOGLETRANSLATE(English!H3483, ""en"", ""bg"")"),"помощ_за_домашно_задаване")</f>
        <v>помощ_за_домашно_задаване</v>
      </c>
    </row>
    <row r="3484" spans="1:8" ht="13.2" x14ac:dyDescent="0.25">
      <c r="A3484" s="1" t="str">
        <f ca="1">IFERROR(__xludf.DUMMYFUNCTION("GOOGLETRANSLATE(English!A3484, ""en"", ""bg"")"),"hw_01605")</f>
        <v>hw_01605</v>
      </c>
      <c r="B3484" s="1" t="str">
        <f ca="1">IFERROR(__xludf.DUMMYFUNCTION("GOOGLETRANSLATE(English!B3484, ""en"", ""bg"")"),"химия")</f>
        <v>химия</v>
      </c>
      <c r="C3484" s="1" t="str">
        <f ca="1">IFERROR(__xludf.DUMMYFUNCTION("GOOGLETRANSLATE(English!C3484, ""en"", ""bg"")"),"елементарен")</f>
        <v>елементарен</v>
      </c>
      <c r="D3484" s="1" t="str">
        <f ca="1">IFERROR(__xludf.DUMMYFUNCTION("GOOGLETRANSLATE(English!D3484, ""en"", ""bg"")"),"ежедневни химикали")</f>
        <v>ежедневни химикали</v>
      </c>
      <c r="E3484" s="1" t="str">
        <f ca="1">IFERROR(__xludf.DUMMYFUNCTION("GOOGLETRANSLATE(English!E3484, ""en"", ""bg"")"),"Не разбирам тази концепция за ежедневните химикали. Моля, обяснете!")</f>
        <v>Не разбирам тази концепция за ежедневните химикали. Моля, обяснете!</v>
      </c>
      <c r="F3484" s="1" t="str">
        <f ca="1">IFERROR(__xludf.DUMMYFUNCTION("GOOGLETRANSLATE(English!F3484,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3484" s="1" t="str">
        <f ca="1">IFERROR(__xludf.DUMMYFUNCTION("GOOGLETRANSLATE(English!G3484, ""en"", ""bg"")"),"помощ_за_домашно_изпълнение")</f>
        <v>помощ_за_домашно_изпълнение</v>
      </c>
      <c r="H3484" s="1" t="str">
        <f ca="1">IFERROR(__xludf.DUMMYFUNCTION("GOOGLETRANSLATE(English!H3484, ""en"", ""bg"")"),"помощ_за_домашно_задаване")</f>
        <v>помощ_за_домашно_задаване</v>
      </c>
    </row>
    <row r="3485" spans="1:8" ht="13.2" x14ac:dyDescent="0.25">
      <c r="A3485" s="1" t="str">
        <f ca="1">IFERROR(__xludf.DUMMYFUNCTION("GOOGLETRANSLATE(English!A3485, ""en"", ""bg"")"),"qa_05790")</f>
        <v>qa_05790</v>
      </c>
      <c r="B3485" s="1" t="str">
        <f ca="1">IFERROR(__xludf.DUMMYFUNCTION("GOOGLETRANSLATE(English!B3485, ""en"", ""bg"")"),"физика")</f>
        <v>физика</v>
      </c>
      <c r="C3485" s="1" t="str">
        <f ca="1">IFERROR(__xludf.DUMMYFUNCTION("GOOGLETRANSLATE(English!C3485, ""en"", ""bg"")"),"високо")</f>
        <v>високо</v>
      </c>
      <c r="D3485" s="1" t="str">
        <f ca="1">IFERROR(__xludf.DUMMYFUNCTION("GOOGLETRANSLATE(English!D3485, ""en"", ""bg"")"),"атомна структура")</f>
        <v>атомна структура</v>
      </c>
      <c r="E3485" s="1" t="str">
        <f ca="1">IFERROR(__xludf.DUMMYFUNCTION("GOOGLETRANSLATE(English!E3485, ""en"", ""bg"")"),"Можете ли да ми обясните структурата на атома?")</f>
        <v>Можете ли да ми обясните структурата на атома?</v>
      </c>
      <c r="F3485" s="1" t="str">
        <f ca="1">IFERROR(__xludf.DUMMYFUNCTION("GOOGLETRANSLATE(English!F3485,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3485" s="1" t="str">
        <f ca="1">IFERROR(__xludf.DUMMYFUNCTION("GOOGLETRANSLATE(English!G3485, ""en"", ""bg"")"),"direct_qa")</f>
        <v>direct_qa</v>
      </c>
      <c r="H3485" s="1" t="str">
        <f ca="1">IFERROR(__xludf.DUMMYFUNCTION("GOOGLETRANSLATE(English!H3485, ""en"", ""bg"")"),"заявка_за_знание")</f>
        <v>заявка_за_знание</v>
      </c>
    </row>
    <row r="3486" spans="1:8" ht="13.2" x14ac:dyDescent="0.25">
      <c r="A3486" s="1" t="str">
        <f ca="1">IFERROR(__xludf.DUMMYFUNCTION("GOOGLETRANSLATE(English!A3486, ""en"", ""bg"")"),"conv_18513")</f>
        <v>conv_18513</v>
      </c>
      <c r="B3486" s="1" t="str">
        <f ca="1">IFERROR(__xludf.DUMMYFUNCTION("GOOGLETRANSLATE(English!B3486, ""en"", ""bg"")"),"биология")</f>
        <v>биология</v>
      </c>
      <c r="C3486" s="1" t="str">
        <f ca="1">IFERROR(__xludf.DUMMYFUNCTION("GOOGLETRANSLATE(English!C3486, ""en"", ""bg"")"),"средата")</f>
        <v>средата</v>
      </c>
      <c r="D3486" s="1" t="str">
        <f ca="1">IFERROR(__xludf.DUMMYFUNCTION("GOOGLETRANSLATE(English!D3486, ""en"", ""bg"")"),"основи на генетиката")</f>
        <v>основи на генетиката</v>
      </c>
      <c r="E3486" s="1" t="str">
        <f ca="1">IFERROR(__xludf.DUMMYFUNCTION("GOOGLETRANSLATE(English!E3486, ""en"", ""bg"")"),"Не разбирам тази тема. Как работят основите на генетиката?")</f>
        <v>Не разбирам тази тема. Как работят основите на генетиката?</v>
      </c>
      <c r="F3486" s="1" t="str">
        <f ca="1">IFERROR(__xludf.DUMMYFUNCTION("GOOGLETRANSLATE(English!F3486,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3486" s="1" t="str">
        <f ca="1">IFERROR(__xludf.DUMMYFUNCTION("GOOGLETRANSLATE(English!G3486, ""en"", ""bg"")"),"разговор")</f>
        <v>разговор</v>
      </c>
      <c r="H3486" s="1" t="str">
        <f ca="1">IFERROR(__xludf.DUMMYFUNCTION("GOOGLETRANSLATE(English!H3486, ""en"", ""bg"")"),"образователна_помощ")</f>
        <v>образователна_помощ</v>
      </c>
    </row>
    <row r="3487" spans="1:8" ht="13.2" x14ac:dyDescent="0.25">
      <c r="A3487" s="1" t="str">
        <f ca="1">IFERROR(__xludf.DUMMYFUNCTION("GOOGLETRANSLATE(English!A3487, ""en"", ""bg"")"),"hw_00648")</f>
        <v>hw_00648</v>
      </c>
      <c r="B3487" s="1" t="str">
        <f ca="1">IFERROR(__xludf.DUMMYFUNCTION("GOOGLETRANSLATE(English!B3487, ""en"", ""bg"")"),"физика")</f>
        <v>физика</v>
      </c>
      <c r="C3487" s="1" t="str">
        <f ca="1">IFERROR(__xludf.DUMMYFUNCTION("GOOGLETRANSLATE(English!C3487, ""en"", ""bg"")"),"елементарен")</f>
        <v>елементарен</v>
      </c>
      <c r="D3487" s="1" t="str">
        <f ca="1">IFERROR(__xludf.DUMMYFUNCTION("GOOGLETRANSLATE(English!D3487, ""en"", ""bg"")"),"плаващ и потъващ")</f>
        <v>плаващ и потъващ</v>
      </c>
      <c r="E3487" s="1" t="str">
        <f ca="1">IFERROR(__xludf.DUMMYFUNCTION("GOOGLETRANSLATE(English!E3487, ""en"", ""bg"")"),"Трябва да разбера плаването и потъването за изпита си.")</f>
        <v>Трябва да разбера плаването и потъването за изпита си.</v>
      </c>
      <c r="F3487" s="1" t="str">
        <f ca="1">IFERROR(__xludf.DUMMYFUNCTION("GOOGLETRANSLATE(English!F3487,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487" s="1" t="str">
        <f ca="1">IFERROR(__xludf.DUMMYFUNCTION("GOOGLETRANSLATE(English!G3487, ""en"", ""bg"")"),"помощ_за_домашно_изпълнение")</f>
        <v>помощ_за_домашно_изпълнение</v>
      </c>
      <c r="H3487" s="1" t="str">
        <f ca="1">IFERROR(__xludf.DUMMYFUNCTION("GOOGLETRANSLATE(English!H3487, ""en"", ""bg"")"),"помощ_за_домашно_задаване")</f>
        <v>помощ_за_домашно_задаване</v>
      </c>
    </row>
    <row r="3488" spans="1:8" ht="13.2" x14ac:dyDescent="0.25">
      <c r="A3488" s="1" t="str">
        <f ca="1">IFERROR(__xludf.DUMMYFUNCTION("GOOGLETRANSLATE(English!A3488, ""en"", ""bg"")"),"hw_12790")</f>
        <v>hw_12790</v>
      </c>
      <c r="B3488" s="1" t="str">
        <f ca="1">IFERROR(__xludf.DUMMYFUNCTION("GOOGLETRANSLATE(English!B3488, ""en"", ""bg"")"),"физика")</f>
        <v>физика</v>
      </c>
      <c r="C3488" s="1" t="str">
        <f ca="1">IFERROR(__xludf.DUMMYFUNCTION("GOOGLETRANSLATE(English!C3488, ""en"", ""bg"")"),"елементарен")</f>
        <v>елементарен</v>
      </c>
      <c r="D3488" s="1" t="str">
        <f ca="1">IFERROR(__xludf.DUMMYFUNCTION("GOOGLETRANSLATE(English!D3488, ""en"", ""bg"")"),"горещо и студено")</f>
        <v>горещо и студено</v>
      </c>
      <c r="E3488" s="1" t="str">
        <f ca="1">IFERROR(__xludf.DUMMYFUNCTION("GOOGLETRANSLATE(English!E3488, ""en"", ""bg"")"),"Заседнал съм с този проблем с горещината и студените. Можете ли да помогнете?")</f>
        <v>Заседнал съм с този проблем с горещината и студените. Можете ли да помогнете?</v>
      </c>
      <c r="F3488" s="1" t="str">
        <f ca="1">IFERROR(__xludf.DUMMYFUNCTION("GOOGLETRANSLATE(English!F3488,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3488" s="1" t="str">
        <f ca="1">IFERROR(__xludf.DUMMYFUNCTION("GOOGLETRANSLATE(English!G3488, ""en"", ""bg"")"),"помощ_за_домашно_изпълнение")</f>
        <v>помощ_за_домашно_изпълнение</v>
      </c>
      <c r="H3488" s="1" t="str">
        <f ca="1">IFERROR(__xludf.DUMMYFUNCTION("GOOGLETRANSLATE(English!H3488, ""en"", ""bg"")"),"помощ_за_домашно_задаване")</f>
        <v>помощ_за_домашно_задаване</v>
      </c>
    </row>
    <row r="3489" spans="1:8" ht="13.2" x14ac:dyDescent="0.25">
      <c r="A3489" s="1" t="str">
        <f ca="1">IFERROR(__xludf.DUMMYFUNCTION("GOOGLETRANSLATE(English!A3489, ""en"", ""bg"")"),"conv_04676")</f>
        <v>conv_04676</v>
      </c>
      <c r="B3489" s="1" t="str">
        <f ca="1">IFERROR(__xludf.DUMMYFUNCTION("GOOGLETRANSLATE(English!B3489, ""en"", ""bg"")"),"физика")</f>
        <v>физика</v>
      </c>
      <c r="C3489" s="1" t="str">
        <f ca="1">IFERROR(__xludf.DUMMYFUNCTION("GOOGLETRANSLATE(English!C3489, ""en"", ""bg"")"),"високо")</f>
        <v>високо</v>
      </c>
      <c r="D3489" s="1" t="str">
        <f ca="1">IFERROR(__xludf.DUMMYFUNCTION("GOOGLETRANSLATE(English!D3489, ""en"", ""bg"")"),"атомна структура")</f>
        <v>атомна структура</v>
      </c>
      <c r="E3489" s="1" t="str">
        <f ca="1">IFERROR(__xludf.DUMMYFUNCTION("GOOGLETRANSLATE(English!E3489, ""en"", ""bg"")"),"Можете ли да ми обясните това? Защо атомната структура е важна?")</f>
        <v>Можете ли да ми обясните това? Защо атомната структура е важна?</v>
      </c>
      <c r="F3489" s="1" t="str">
        <f ca="1">IFERROR(__xludf.DUMMYFUNCTION("GOOGLETRANSLATE(English!F3489,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3489" s="1" t="str">
        <f ca="1">IFERROR(__xludf.DUMMYFUNCTION("GOOGLETRANSLATE(English!G3489, ""en"", ""bg"")"),"разговор")</f>
        <v>разговор</v>
      </c>
      <c r="H3489" s="1" t="str">
        <f ca="1">IFERROR(__xludf.DUMMYFUNCTION("GOOGLETRANSLATE(English!H3489, ""en"", ""bg"")"),"образователна_помощ")</f>
        <v>образователна_помощ</v>
      </c>
    </row>
    <row r="3490" spans="1:8" ht="13.2" x14ac:dyDescent="0.25">
      <c r="A3490" s="1" t="str">
        <f ca="1">IFERROR(__xludf.DUMMYFUNCTION("GOOGLETRANSLATE(English!A3490, ""en"", ""bg"")"),"hw_09192")</f>
        <v>hw_09192</v>
      </c>
      <c r="B3490" s="1" t="str">
        <f ca="1">IFERROR(__xludf.DUMMYFUNCTION("GOOGLETRANSLATE(English!B3490, ""en"", ""bg"")"),"биология")</f>
        <v>биология</v>
      </c>
      <c r="C3490" s="1" t="str">
        <f ca="1">IFERROR(__xludf.DUMMYFUNCTION("GOOGLETRANSLATE(English!C3490, ""en"", ""bg"")"),"високо")</f>
        <v>високо</v>
      </c>
      <c r="D3490" s="1" t="str">
        <f ca="1">IFERROR(__xludf.DUMMYFUNCTION("GOOGLETRANSLATE(English!D3490, ""en"", ""bg"")"),"клетъчно дишане")</f>
        <v>клетъчно дишане</v>
      </c>
      <c r="E3490" s="1" t="str">
        <f ca="1">IFERROR(__xludf.DUMMYFUNCTION("GOOGLETRANSLATE(English!E3490, ""en"", ""bg"")"),"Утре имам тест по клетъчно дишане. Помогни ми да уча!")</f>
        <v>Утре имам тест по клетъчно дишане. Помогни ми да уча!</v>
      </c>
      <c r="F3490" s="1" t="str">
        <f ca="1">IFERROR(__xludf.DUMMYFUNCTION("GOOGLETRANSLATE(English!F3490,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3490" s="1" t="str">
        <f ca="1">IFERROR(__xludf.DUMMYFUNCTION("GOOGLETRANSLATE(English!G3490, ""en"", ""bg"")"),"помощ_за_домашно_изпълнение")</f>
        <v>помощ_за_домашно_изпълнение</v>
      </c>
      <c r="H3490" s="1" t="str">
        <f ca="1">IFERROR(__xludf.DUMMYFUNCTION("GOOGLETRANSLATE(English!H3490, ""en"", ""bg"")"),"помощ_за_домашно_задаване")</f>
        <v>помощ_за_домашно_задаване</v>
      </c>
    </row>
    <row r="3491" spans="1:8" ht="13.2" x14ac:dyDescent="0.25">
      <c r="A3491" s="1" t="str">
        <f ca="1">IFERROR(__xludf.DUMMYFUNCTION("GOOGLETRANSLATE(English!A3491, ""en"", ""bg"")"),"hw_03295")</f>
        <v>hw_03295</v>
      </c>
      <c r="B3491" s="1" t="str">
        <f ca="1">IFERROR(__xludf.DUMMYFUNCTION("GOOGLETRANSLATE(English!B3491, ""en"", ""bg"")"),"физика")</f>
        <v>физика</v>
      </c>
      <c r="C3491" s="1" t="str">
        <f ca="1">IFERROR(__xludf.DUMMYFUNCTION("GOOGLETRANSLATE(English!C3491, ""en"", ""bg"")"),"средата")</f>
        <v>средата</v>
      </c>
      <c r="D3491" s="1" t="str">
        <f ca="1">IFERROR(__xludf.DUMMYFUNCTION("GOOGLETRANSLATE(English!D3491, ""en"", ""bg"")"),"вълни")</f>
        <v>вълни</v>
      </c>
      <c r="E3491" s="1" t="str">
        <f ca="1">IFERROR(__xludf.DUMMYFUNCTION("GOOGLETRANSLATE(English!E3491, ""en"", ""bg"")"),"Трябва да разбера вълните за изпита си.")</f>
        <v>Трябва да разбера вълните за изпита си.</v>
      </c>
      <c r="F3491" s="1" t="str">
        <f ca="1">IFERROR(__xludf.DUMMYFUNCTION("GOOGLETRANSLATE(English!F3491,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3491" s="1" t="str">
        <f ca="1">IFERROR(__xludf.DUMMYFUNCTION("GOOGLETRANSLATE(English!G3491, ""en"", ""bg"")"),"помощ_за_домашно_изпълнение")</f>
        <v>помощ_за_домашно_изпълнение</v>
      </c>
      <c r="H3491" s="1" t="str">
        <f ca="1">IFERROR(__xludf.DUMMYFUNCTION("GOOGLETRANSLATE(English!H3491, ""en"", ""bg"")"),"помощ_за_домашно_задаване")</f>
        <v>помощ_за_домашно_задаване</v>
      </c>
    </row>
    <row r="3492" spans="1:8" ht="13.2" x14ac:dyDescent="0.25">
      <c r="A3492" s="1" t="str">
        <f ca="1">IFERROR(__xludf.DUMMYFUNCTION("GOOGLETRANSLATE(English!A3492, ""en"", ""bg"")"),"conv_14501")</f>
        <v>conv_14501</v>
      </c>
      <c r="B3492" s="1" t="str">
        <f ca="1">IFERROR(__xludf.DUMMYFUNCTION("GOOGLETRANSLATE(English!B3492, ""en"", ""bg"")"),"биология")</f>
        <v>биология</v>
      </c>
      <c r="C3492" s="1" t="str">
        <f ca="1">IFERROR(__xludf.DUMMYFUNCTION("GOOGLETRANSLATE(English!C3492, ""en"", ""bg"")"),"средата")</f>
        <v>средата</v>
      </c>
      <c r="D3492" s="1" t="str">
        <f ca="1">IFERROR(__xludf.DUMMYFUNCTION("GOOGLETRANSLATE(English!D3492, ""en"", ""bg"")"),"екосистеми")</f>
        <v>екосистеми</v>
      </c>
      <c r="E3492" s="1" t="str">
        <f ca="1">IFERROR(__xludf.DUMMYFUNCTION("GOOGLETRANSLATE(English!E3492, ""en"", ""bg"")"),"Не разбирам тази тема. Как функционират екосистемите?")</f>
        <v>Не разбирам тази тема. Как функционират екосистемите?</v>
      </c>
      <c r="F3492" s="1" t="str">
        <f ca="1">IFERROR(__xludf.DUMMYFUNCTION("GOOGLETRANSLATE(English!F3492,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3492" s="1" t="str">
        <f ca="1">IFERROR(__xludf.DUMMYFUNCTION("GOOGLETRANSLATE(English!G3492, ""en"", ""bg"")"),"разговор")</f>
        <v>разговор</v>
      </c>
      <c r="H3492" s="1" t="str">
        <f ca="1">IFERROR(__xludf.DUMMYFUNCTION("GOOGLETRANSLATE(English!H3492, ""en"", ""bg"")"),"образователна_помощ")</f>
        <v>образователна_помощ</v>
      </c>
    </row>
    <row r="3493" spans="1:8" ht="13.2" x14ac:dyDescent="0.25">
      <c r="A3493" s="1" t="str">
        <f ca="1">IFERROR(__xludf.DUMMYFUNCTION("GOOGLETRANSLATE(English!A3493, ""en"", ""bg"")"),"hw_00230")</f>
        <v>hw_00230</v>
      </c>
      <c r="B3493" s="1" t="str">
        <f ca="1">IFERROR(__xludf.DUMMYFUNCTION("GOOGLETRANSLATE(English!B3493, ""en"", ""bg"")"),"химия")</f>
        <v>химия</v>
      </c>
      <c r="C3493" s="1" t="str">
        <f ca="1">IFERROR(__xludf.DUMMYFUNCTION("GOOGLETRANSLATE(English!C3493, ""en"", ""bg"")"),"високо")</f>
        <v>високо</v>
      </c>
      <c r="D3493" s="1" t="str">
        <f ca="1">IFERROR(__xludf.DUMMYFUNCTION("GOOGLETRANSLATE(English!D3493, ""en"", ""bg"")"),"скорости на реакция")</f>
        <v>скорости на реакция</v>
      </c>
      <c r="E3493" s="1" t="str">
        <f ca="1">IFERROR(__xludf.DUMMYFUNCTION("GOOGLETRANSLATE(English!E3493, ""en"", ""bg"")"),"Имам проблеми с темпото на реакция в домашните си.")</f>
        <v>Имам проблеми с темпото на реакция в домашните си.</v>
      </c>
      <c r="F3493" s="1" t="str">
        <f ca="1">IFERROR(__xludf.DUMMYFUNCTION("GOOGLETRANSLATE(English!F3493,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3493" s="1" t="str">
        <f ca="1">IFERROR(__xludf.DUMMYFUNCTION("GOOGLETRANSLATE(English!G3493, ""en"", ""bg"")"),"помощ_за_домашно_изпълнение")</f>
        <v>помощ_за_домашно_изпълнение</v>
      </c>
      <c r="H3493" s="1" t="str">
        <f ca="1">IFERROR(__xludf.DUMMYFUNCTION("GOOGLETRANSLATE(English!H3493, ""en"", ""bg"")"),"помощ_за_домашно_задаване")</f>
        <v>помощ_за_домашно_задаване</v>
      </c>
    </row>
    <row r="3494" spans="1:8" ht="13.2" x14ac:dyDescent="0.25">
      <c r="A3494" s="1" t="str">
        <f ca="1">IFERROR(__xludf.DUMMYFUNCTION("GOOGLETRANSLATE(English!A3494, ""en"", ""bg"")"),"qa_09220")</f>
        <v>qa_09220</v>
      </c>
      <c r="B3494" s="1" t="str">
        <f ca="1">IFERROR(__xludf.DUMMYFUNCTION("GOOGLETRANSLATE(English!B3494, ""en"", ""bg"")"),"химия")</f>
        <v>химия</v>
      </c>
      <c r="C3494" s="1" t="str">
        <f ca="1">IFERROR(__xludf.DUMMYFUNCTION("GOOGLETRANSLATE(English!C3494, ""en"", ""bg"")"),"елементарен")</f>
        <v>елементарен</v>
      </c>
      <c r="D3494" s="1" t="str">
        <f ca="1">IFERROR(__xludf.DUMMYFUNCTION("GOOGLETRANSLATE(English!D3494, ""en"", ""bg"")"),"твърди вещества, течности, газове")</f>
        <v>твърди вещества, течности, газове</v>
      </c>
      <c r="E3494" s="1" t="str">
        <f ca="1">IFERROR(__xludf.DUMMYFUNCTION("GOOGLETRANSLATE(English!E3494, ""en"", ""bg"")"),"Кои са трите състояния на материята?")</f>
        <v>Кои са трите състояния на материята?</v>
      </c>
      <c r="F3494" s="1" t="str">
        <f ca="1">IFERROR(__xludf.DUMMYFUNCTION("GOOGLETRANSLATE(English!F3494,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3494" s="1" t="str">
        <f ca="1">IFERROR(__xludf.DUMMYFUNCTION("GOOGLETRANSLATE(English!G3494, ""en"", ""bg"")"),"direct_qa")</f>
        <v>direct_qa</v>
      </c>
      <c r="H3494" s="1" t="str">
        <f ca="1">IFERROR(__xludf.DUMMYFUNCTION("GOOGLETRANSLATE(English!H3494, ""en"", ""bg"")"),"заявка_за_знание")</f>
        <v>заявка_за_знание</v>
      </c>
    </row>
    <row r="3495" spans="1:8" ht="13.2" x14ac:dyDescent="0.25">
      <c r="A3495" s="1" t="str">
        <f ca="1">IFERROR(__xludf.DUMMYFUNCTION("GOOGLETRANSLATE(English!A3495, ""en"", ""bg"")"),"conv_05599")</f>
        <v>conv_05599</v>
      </c>
      <c r="B3495" s="1" t="str">
        <f ca="1">IFERROR(__xludf.DUMMYFUNCTION("GOOGLETRANSLATE(English!B3495, ""en"", ""bg"")"),"биология")</f>
        <v>биология</v>
      </c>
      <c r="C3495" s="1" t="str">
        <f ca="1">IFERROR(__xludf.DUMMYFUNCTION("GOOGLETRANSLATE(English!C3495, ""en"", ""bg"")"),"елементарен")</f>
        <v>елементарен</v>
      </c>
      <c r="D3495" s="1" t="str">
        <f ca="1">IFERROR(__xludf.DUMMYFUNCTION("GOOGLETRANSLATE(English!D3495, ""en"", ""bg"")"),"основни нужди")</f>
        <v>основни нужди</v>
      </c>
      <c r="E3495" s="1" t="str">
        <f ca="1">IFERROR(__xludf.DUMMYFUNCTION("GOOGLETRANSLATE(English!E3495, ""en"", ""bg"")"),"Помогнете ми да уча за теста си. Как работят основните потребности?")</f>
        <v>Помогнете ми да уча за теста си. Как работят основните потребности?</v>
      </c>
      <c r="F3495" s="1" t="str">
        <f ca="1">IFERROR(__xludf.DUMMYFUNCTION("GOOGLETRANSLATE(English!F3495,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3495" s="1" t="str">
        <f ca="1">IFERROR(__xludf.DUMMYFUNCTION("GOOGLETRANSLATE(English!G3495, ""en"", ""bg"")"),"разговор")</f>
        <v>разговор</v>
      </c>
      <c r="H3495" s="1" t="str">
        <f ca="1">IFERROR(__xludf.DUMMYFUNCTION("GOOGLETRANSLATE(English!H3495, ""en"", ""bg"")"),"образователна_помощ")</f>
        <v>образователна_помощ</v>
      </c>
    </row>
    <row r="3496" spans="1:8" ht="13.2" x14ac:dyDescent="0.25">
      <c r="A3496" s="1" t="str">
        <f ca="1">IFERROR(__xludf.DUMMYFUNCTION("GOOGLETRANSLATE(English!A3496, ""en"", ""bg"")"),"qa_05789")</f>
        <v>qa_05789</v>
      </c>
      <c r="B3496" s="1" t="str">
        <f ca="1">IFERROR(__xludf.DUMMYFUNCTION("GOOGLETRANSLATE(English!B3496, ""en"", ""bg"")"),"физика")</f>
        <v>физика</v>
      </c>
      <c r="C3496" s="1" t="str">
        <f ca="1">IFERROR(__xludf.DUMMYFUNCTION("GOOGLETRANSLATE(English!C3496, ""en"", ""bg"")"),"средата")</f>
        <v>средата</v>
      </c>
      <c r="D3496" s="1" t="str">
        <f ca="1">IFERROR(__xludf.DUMMYFUNCTION("GOOGLETRANSLATE(English!D3496, ""en"", ""bg"")"),"състояния на материята")</f>
        <v>състояния на материята</v>
      </c>
      <c r="E3496" s="1" t="str">
        <f ca="1">IFERROR(__xludf.DUMMYFUNCTION("GOOGLETRANSLATE(English!E3496, ""en"", ""bg"")"),"Какво трябва да знам за състоянията на материята?")</f>
        <v>Какво трябва да знам за състоянията на материята?</v>
      </c>
      <c r="F3496" s="1" t="str">
        <f ca="1">IFERROR(__xludf.DUMMYFUNCTION("GOOGLETRANSLATE(English!F3496,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3496" s="1" t="str">
        <f ca="1">IFERROR(__xludf.DUMMYFUNCTION("GOOGLETRANSLATE(English!G3496, ""en"", ""bg"")"),"direct_qa")</f>
        <v>direct_qa</v>
      </c>
      <c r="H3496" s="1" t="str">
        <f ca="1">IFERROR(__xludf.DUMMYFUNCTION("GOOGLETRANSLATE(English!H3496, ""en"", ""bg"")"),"заявка_за_знание")</f>
        <v>заявка_за_знание</v>
      </c>
    </row>
    <row r="3497" spans="1:8" ht="13.2" x14ac:dyDescent="0.25">
      <c r="A3497" s="1" t="str">
        <f ca="1">IFERROR(__xludf.DUMMYFUNCTION("GOOGLETRANSLATE(English!A3497, ""en"", ""bg"")"),"hw_04734")</f>
        <v>hw_04734</v>
      </c>
      <c r="B3497" s="1" t="str">
        <f ca="1">IFERROR(__xludf.DUMMYFUNCTION("GOOGLETRANSLATE(English!B3497, ""en"", ""bg"")"),"химия")</f>
        <v>химия</v>
      </c>
      <c r="C3497" s="1" t="str">
        <f ca="1">IFERROR(__xludf.DUMMYFUNCTION("GOOGLETRANSLATE(English!C3497, ""en"", ""bg"")"),"елементарен")</f>
        <v>елементарен</v>
      </c>
      <c r="D3497" s="1" t="str">
        <f ca="1">IFERROR(__xludf.DUMMYFUNCTION("GOOGLETRANSLATE(English!D3497, ""en"", ""bg"")"),"промени в материалите")</f>
        <v>промени в материалите</v>
      </c>
      <c r="E3497" s="1" t="str">
        <f ca="1">IFERROR(__xludf.DUMMYFUNCTION("GOOGLETRANSLATE(English!E3497,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3497" s="1" t="str">
        <f ca="1">IFERROR(__xludf.DUMMYFUNCTION("GOOGLETRANSLATE(English!F3497,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3497" s="1" t="str">
        <f ca="1">IFERROR(__xludf.DUMMYFUNCTION("GOOGLETRANSLATE(English!G3497, ""en"", ""bg"")"),"помощ_за_домашно_изпълнение")</f>
        <v>помощ_за_домашно_изпълнение</v>
      </c>
      <c r="H3497" s="1" t="str">
        <f ca="1">IFERROR(__xludf.DUMMYFUNCTION("GOOGLETRANSLATE(English!H3497, ""en"", ""bg"")"),"помощ_за_домашно_задаване")</f>
        <v>помощ_за_домашно_задаване</v>
      </c>
    </row>
    <row r="3498" spans="1:8" ht="13.2" x14ac:dyDescent="0.25">
      <c r="A3498" s="1" t="str">
        <f ca="1">IFERROR(__xludf.DUMMYFUNCTION("GOOGLETRANSLATE(English!A3498, ""en"", ""bg"")"),"hw_10805")</f>
        <v>hw_10805</v>
      </c>
      <c r="B3498" s="1" t="str">
        <f ca="1">IFERROR(__xludf.DUMMYFUNCTION("GOOGLETRANSLATE(English!B3498, ""en"", ""bg"")"),"биология")</f>
        <v>биология</v>
      </c>
      <c r="C3498" s="1" t="str">
        <f ca="1">IFERROR(__xludf.DUMMYFUNCTION("GOOGLETRANSLATE(English!C3498, ""en"", ""bg"")"),"средата")</f>
        <v>средата</v>
      </c>
      <c r="D3498" s="1" t="str">
        <f ca="1">IFERROR(__xludf.DUMMYFUNCTION("GOOGLETRANSLATE(English!D3498, ""en"", ""bg"")"),"фотосинтеза")</f>
        <v>фотосинтеза</v>
      </c>
      <c r="E3498" s="1" t="str">
        <f ca="1">IFERROR(__xludf.DUMMYFUNCTION("GOOGLETRANSLATE(English!E3498, ""en"", ""bg"")"),"Можете ли да обясните фотосинтезата за моя научен проект?")</f>
        <v>Можете ли да обясните фотосинтезата за моя научен проект?</v>
      </c>
      <c r="F3498" s="1" t="str">
        <f ca="1">IFERROR(__xludf.DUMMYFUNCTION("GOOGLETRANSLATE(English!F3498,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3498" s="1" t="str">
        <f ca="1">IFERROR(__xludf.DUMMYFUNCTION("GOOGLETRANSLATE(English!G3498, ""en"", ""bg"")"),"помощ_за_домашно_изпълнение")</f>
        <v>помощ_за_домашно_изпълнение</v>
      </c>
      <c r="H3498" s="1" t="str">
        <f ca="1">IFERROR(__xludf.DUMMYFUNCTION("GOOGLETRANSLATE(English!H3498, ""en"", ""bg"")"),"помощ_за_домашно_задаване")</f>
        <v>помощ_за_домашно_задаване</v>
      </c>
    </row>
    <row r="3499" spans="1:8" ht="13.2" x14ac:dyDescent="0.25">
      <c r="A3499" s="1" t="str">
        <f ca="1">IFERROR(__xludf.DUMMYFUNCTION("GOOGLETRANSLATE(English!A3499, ""en"", ""bg"")"),"conv_07627")</f>
        <v>conv_07627</v>
      </c>
      <c r="B3499" s="1" t="str">
        <f ca="1">IFERROR(__xludf.DUMMYFUNCTION("GOOGLETRANSLATE(English!B3499, ""en"", ""bg"")"),"биология")</f>
        <v>биология</v>
      </c>
      <c r="C3499" s="1" t="str">
        <f ca="1">IFERROR(__xludf.DUMMYFUNCTION("GOOGLETRANSLATE(English!C3499, ""en"", ""bg"")"),"елементарен")</f>
        <v>елементарен</v>
      </c>
      <c r="D3499" s="1" t="str">
        <f ca="1">IFERROR(__xludf.DUMMYFUNCTION("GOOGLETRANSLATE(English!D3499, ""en"", ""bg"")"),"човешкото тяло")</f>
        <v>човешкото тяло</v>
      </c>
      <c r="E3499" s="1" t="str">
        <f ca="1">IFERROR(__xludf.DUMMYFUNCTION("GOOGLETRANSLATE(English!E3499, ""en"", ""bg"")"),"Имам научен въпрос. Как работи човешкото тяло?")</f>
        <v>Имам научен въпрос. Как работи човешкото тяло?</v>
      </c>
      <c r="F3499" s="1" t="str">
        <f ca="1">IFERROR(__xludf.DUMMYFUNCTION("GOOGLETRANSLATE(English!F3499,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3499" s="1" t="str">
        <f ca="1">IFERROR(__xludf.DUMMYFUNCTION("GOOGLETRANSLATE(English!G3499, ""en"", ""bg"")"),"разговор")</f>
        <v>разговор</v>
      </c>
      <c r="H3499" s="1" t="str">
        <f ca="1">IFERROR(__xludf.DUMMYFUNCTION("GOOGLETRANSLATE(English!H3499, ""en"", ""bg"")"),"образователна_помощ")</f>
        <v>образователна_помощ</v>
      </c>
    </row>
    <row r="3500" spans="1:8" ht="13.2" x14ac:dyDescent="0.25">
      <c r="A3500" s="1" t="str">
        <f ca="1">IFERROR(__xludf.DUMMYFUNCTION("GOOGLETRANSLATE(English!A3500, ""en"", ""bg"")"),"qa_09384")</f>
        <v>qa_09384</v>
      </c>
      <c r="B3500" s="1" t="str">
        <f ca="1">IFERROR(__xludf.DUMMYFUNCTION("GOOGLETRANSLATE(English!B3500, ""en"", ""bg"")"),"физика")</f>
        <v>физика</v>
      </c>
      <c r="C3500" s="1" t="str">
        <f ca="1">IFERROR(__xludf.DUMMYFUNCTION("GOOGLETRANSLATE(English!C3500, ""en"", ""bg"")"),"елементарен")</f>
        <v>елементарен</v>
      </c>
      <c r="D3500" s="1" t="str">
        <f ca="1">IFERROR(__xludf.DUMMYFUNCTION("GOOGLETRANSLATE(English!D3500, ""en"", ""bg"")"),"светлина и сянка")</f>
        <v>светлина и сянка</v>
      </c>
      <c r="E3500" s="1" t="str">
        <f ca="1">IFERROR(__xludf.DUMMYFUNCTION("GOOGLETRANSLATE(English!E3500, ""en"", ""bg"")"),"Какво се случва, когато светлината попадне в огледало?")</f>
        <v>Какво се случва, когато светлината попадне в огледало?</v>
      </c>
      <c r="F3500" s="1" t="str">
        <f ca="1">IFERROR(__xludf.DUMMYFUNCTION("GOOGLETRANSLATE(English!F3500,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3500" s="1" t="str">
        <f ca="1">IFERROR(__xludf.DUMMYFUNCTION("GOOGLETRANSLATE(English!G3500, ""en"", ""bg"")"),"direct_qa")</f>
        <v>direct_qa</v>
      </c>
      <c r="H3500" s="1" t="str">
        <f ca="1">IFERROR(__xludf.DUMMYFUNCTION("GOOGLETRANSLATE(English!H3500, ""en"", ""bg"")"),"заявка_за_знание")</f>
        <v>заявка_за_знание</v>
      </c>
    </row>
    <row r="3501" spans="1:8" ht="13.2" x14ac:dyDescent="0.25">
      <c r="A3501" s="1" t="str">
        <f ca="1">IFERROR(__xludf.DUMMYFUNCTION("GOOGLETRANSLATE(English!A3501, ""en"", ""bg"")"),"conv_00875")</f>
        <v>conv_00875</v>
      </c>
      <c r="B3501" s="1" t="str">
        <f ca="1">IFERROR(__xludf.DUMMYFUNCTION("GOOGLETRANSLATE(English!B3501, ""en"", ""bg"")"),"физика")</f>
        <v>физика</v>
      </c>
      <c r="C3501" s="1" t="str">
        <f ca="1">IFERROR(__xludf.DUMMYFUNCTION("GOOGLETRANSLATE(English!C3501, ""en"", ""bg"")"),"елементарен")</f>
        <v>елементарен</v>
      </c>
      <c r="D3501" s="1" t="str">
        <f ca="1">IFERROR(__xludf.DUMMYFUNCTION("GOOGLETRANSLATE(English!D3501, ""en"", ""bg"")"),"плаващ и потъващ")</f>
        <v>плаващ и потъващ</v>
      </c>
      <c r="E3501" s="1" t="str">
        <f ca="1">IFERROR(__xludf.DUMMYFUNCTION("GOOGLETRANSLATE(English!E3501, ""en"", ""bg"")"),"Можете ли да ми обясните това? Можете ли да ми обясните какво е плаване и потъване?")</f>
        <v>Можете ли да ми обясните това? Можете ли да ми обясните какво е плаване и потъване?</v>
      </c>
      <c r="F3501" s="1" t="str">
        <f ca="1">IFERROR(__xludf.DUMMYFUNCTION("GOOGLETRANSLATE(English!F3501,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3501" s="1" t="str">
        <f ca="1">IFERROR(__xludf.DUMMYFUNCTION("GOOGLETRANSLATE(English!G3501, ""en"", ""bg"")"),"разговор")</f>
        <v>разговор</v>
      </c>
      <c r="H3501" s="1" t="str">
        <f ca="1">IFERROR(__xludf.DUMMYFUNCTION("GOOGLETRANSLATE(English!H3501, ""en"", ""bg"")"),"образователна_помощ")</f>
        <v>образователна_помощ</v>
      </c>
    </row>
    <row r="3502" spans="1:8" ht="13.2" x14ac:dyDescent="0.25">
      <c r="A3502" s="1" t="str">
        <f ca="1">IFERROR(__xludf.DUMMYFUNCTION("GOOGLETRANSLATE(English!A3502, ""en"", ""bg"")"),"conv_10636")</f>
        <v>conv_10636</v>
      </c>
      <c r="B3502" s="1" t="str">
        <f ca="1">IFERROR(__xludf.DUMMYFUNCTION("GOOGLETRANSLATE(English!B3502, ""en"", ""bg"")"),"биология")</f>
        <v>биология</v>
      </c>
      <c r="C3502" s="1" t="str">
        <f ca="1">IFERROR(__xludf.DUMMYFUNCTION("GOOGLETRANSLATE(English!C3502, ""en"", ""bg"")"),"средата")</f>
        <v>средата</v>
      </c>
      <c r="D3502" s="1" t="str">
        <f ca="1">IFERROR(__xludf.DUMMYFUNCTION("GOOGLETRANSLATE(English!D3502, ""en"", ""bg"")"),"размножаване")</f>
        <v>размножаване</v>
      </c>
      <c r="E3502" s="1" t="str">
        <f ca="1">IFERROR(__xludf.DUMMYFUNCTION("GOOGLETRANSLATE(English!E3502, ""en"", ""bg"")"),"Здравей, преподавателю! Защо размножаването е важно в биологията?")</f>
        <v>Здравей, преподавателю! Защо размножаването е важно в биологията?</v>
      </c>
      <c r="F3502" s="1" t="str">
        <f ca="1">IFERROR(__xludf.DUMMYFUNCTION("GOOGLETRANSLATE(English!F3502,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3502" s="1" t="str">
        <f ca="1">IFERROR(__xludf.DUMMYFUNCTION("GOOGLETRANSLATE(English!G3502, ""en"", ""bg"")"),"разговор")</f>
        <v>разговор</v>
      </c>
      <c r="H3502" s="1" t="str">
        <f ca="1">IFERROR(__xludf.DUMMYFUNCTION("GOOGLETRANSLATE(English!H3502, ""en"", ""bg"")"),"образователна_помощ")</f>
        <v>образователна_помощ</v>
      </c>
    </row>
    <row r="3503" spans="1:8" ht="13.2" x14ac:dyDescent="0.25">
      <c r="A3503" s="1" t="str">
        <f ca="1">IFERROR(__xludf.DUMMYFUNCTION("GOOGLETRANSLATE(English!A3503, ""en"", ""bg"")"),"hw_00326")</f>
        <v>hw_00326</v>
      </c>
      <c r="B3503" s="1" t="str">
        <f ca="1">IFERROR(__xludf.DUMMYFUNCTION("GOOGLETRANSLATE(English!B3503, ""en"", ""bg"")"),"биология")</f>
        <v>биология</v>
      </c>
      <c r="C3503" s="1" t="str">
        <f ca="1">IFERROR(__xludf.DUMMYFUNCTION("GOOGLETRANSLATE(English!C3503, ""en"", ""bg"")"),"елементарен")</f>
        <v>елементарен</v>
      </c>
      <c r="D3503" s="1" t="str">
        <f ca="1">IFERROR(__xludf.DUMMYFUNCTION("GOOGLETRANSLATE(English!D3503, ""en"", ""bg"")"),"домашни любимци срещу диви животни")</f>
        <v>домашни любимци срещу диви животни</v>
      </c>
      <c r="E3503" s="1" t="str">
        <f ca="1">IFERROR(__xludf.DUMMYFUNCTION("GOOGLETRANSLATE(English!E3503, ""en"", ""bg"")"),"Трябва да напиша доклад за домашни любимци срещу диви животни. Можете ли да ми помогнете да започна?")</f>
        <v>Трябва да напиша доклад за домашни любимци срещу диви животни. Можете ли да ми помогнете да започна?</v>
      </c>
      <c r="F3503" s="1" t="str">
        <f ca="1">IFERROR(__xludf.DUMMYFUNCTION("GOOGLETRANSLATE(English!F3503,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3503" s="1" t="str">
        <f ca="1">IFERROR(__xludf.DUMMYFUNCTION("GOOGLETRANSLATE(English!G3503, ""en"", ""bg"")"),"помощ_за_домашно_изпълнение")</f>
        <v>помощ_за_домашно_изпълнение</v>
      </c>
      <c r="H3503" s="1" t="str">
        <f ca="1">IFERROR(__xludf.DUMMYFUNCTION("GOOGLETRANSLATE(English!H3503, ""en"", ""bg"")"),"помощ_за_домашно_задаване")</f>
        <v>помощ_за_домашно_задаване</v>
      </c>
    </row>
    <row r="3504" spans="1:8" ht="13.2" x14ac:dyDescent="0.25">
      <c r="A3504" s="1" t="str">
        <f ca="1">IFERROR(__xludf.DUMMYFUNCTION("GOOGLETRANSLATE(English!A3504, ""en"", ""bg"")"),"qa_05250")</f>
        <v>qa_05250</v>
      </c>
      <c r="B3504" s="1" t="str">
        <f ca="1">IFERROR(__xludf.DUMMYFUNCTION("GOOGLETRANSLATE(English!B3504, ""en"", ""bg"")"),"биология")</f>
        <v>биология</v>
      </c>
      <c r="C3504" s="1" t="str">
        <f ca="1">IFERROR(__xludf.DUMMYFUNCTION("GOOGLETRANSLATE(English!C3504, ""en"", ""bg"")"),"елементарен")</f>
        <v>елементарен</v>
      </c>
      <c r="D3504" s="1" t="str">
        <f ca="1">IFERROR(__xludf.DUMMYFUNCTION("GOOGLETRANSLATE(English!D3504, ""en"", ""bg"")"),"хранителни вериги")</f>
        <v>хранителни вериги</v>
      </c>
      <c r="E3504" s="1" t="str">
        <f ca="1">IFERROR(__xludf.DUMMYFUNCTION("GOOGLETRANSLATE(English!E3504, ""en"", ""bg"")"),"Можете ли да ми разкажете за хранителните вериги?")</f>
        <v>Можете ли да ми разкажете за хранителните вериги?</v>
      </c>
      <c r="F3504" s="1" t="str">
        <f ca="1">IFERROR(__xludf.DUMMYFUNCTION("GOOGLETRANSLATE(English!F3504,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3504" s="1" t="str">
        <f ca="1">IFERROR(__xludf.DUMMYFUNCTION("GOOGLETRANSLATE(English!G3504, ""en"", ""bg"")"),"direct_qa")</f>
        <v>direct_qa</v>
      </c>
      <c r="H3504" s="1" t="str">
        <f ca="1">IFERROR(__xludf.DUMMYFUNCTION("GOOGLETRANSLATE(English!H3504, ""en"", ""bg"")"),"заявка_за_знание")</f>
        <v>заявка_за_знание</v>
      </c>
    </row>
    <row r="3505" spans="1:8" ht="13.2" x14ac:dyDescent="0.25">
      <c r="A3505" s="1" t="str">
        <f ca="1">IFERROR(__xludf.DUMMYFUNCTION("GOOGLETRANSLATE(English!A3505, ""en"", ""bg"")"),"conv_18663")</f>
        <v>conv_18663</v>
      </c>
      <c r="B3505" s="1" t="str">
        <f ca="1">IFERROR(__xludf.DUMMYFUNCTION("GOOGLETRANSLATE(English!B3505, ""en"", ""bg"")"),"биология")</f>
        <v>биология</v>
      </c>
      <c r="C3505" s="1" t="str">
        <f ca="1">IFERROR(__xludf.DUMMYFUNCTION("GOOGLETRANSLATE(English!C3505, ""en"", ""bg"")"),"високо")</f>
        <v>високо</v>
      </c>
      <c r="D3505" s="1" t="str">
        <f ca="1">IFERROR(__xludf.DUMMYFUNCTION("GOOGLETRANSLATE(English!D3505, ""en"", ""bg"")"),"молекулярна биология")</f>
        <v>молекулярна биология</v>
      </c>
      <c r="E3505" s="1" t="str">
        <f ca="1">IFERROR(__xludf.DUMMYFUNCTION("GOOGLETRANSLATE(English!E3505, ""en"", ""bg"")"),"Не разбирам тази тема. Защо молекулярната биология е важна в биологията?")</f>
        <v>Не разбирам тази тема. Защо молекулярната биология е важна в биологията?</v>
      </c>
      <c r="F3505" s="1" t="str">
        <f ca="1">IFERROR(__xludf.DUMMYFUNCTION("GOOGLETRANSLATE(English!F3505,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3505" s="1" t="str">
        <f ca="1">IFERROR(__xludf.DUMMYFUNCTION("GOOGLETRANSLATE(English!G3505, ""en"", ""bg"")"),"разговор")</f>
        <v>разговор</v>
      </c>
      <c r="H3505" s="1" t="str">
        <f ca="1">IFERROR(__xludf.DUMMYFUNCTION("GOOGLETRANSLATE(English!H3505, ""en"", ""bg"")"),"образователна_помощ")</f>
        <v>образователна_помощ</v>
      </c>
    </row>
    <row r="3506" spans="1:8" ht="13.2" x14ac:dyDescent="0.25">
      <c r="A3506" s="1" t="str">
        <f ca="1">IFERROR(__xludf.DUMMYFUNCTION("GOOGLETRANSLATE(English!A3506, ""en"", ""bg"")"),"conv_01926")</f>
        <v>conv_01926</v>
      </c>
      <c r="B3506" s="1" t="str">
        <f ca="1">IFERROR(__xludf.DUMMYFUNCTION("GOOGLETRANSLATE(English!B3506, ""en"", ""bg"")"),"биология")</f>
        <v>биология</v>
      </c>
      <c r="C3506" s="1" t="str">
        <f ca="1">IFERROR(__xludf.DUMMYFUNCTION("GOOGLETRANSLATE(English!C3506, ""en"", ""bg"")"),"средата")</f>
        <v>средата</v>
      </c>
      <c r="D3506" s="1" t="str">
        <f ca="1">IFERROR(__xludf.DUMMYFUNCTION("GOOGLETRANSLATE(English!D3506, ""en"", ""bg"")"),"основи на генетиката")</f>
        <v>основи на генетиката</v>
      </c>
      <c r="E3506" s="1" t="str">
        <f ca="1">IFERROR(__xludf.DUMMYFUNCTION("GOOGLETRANSLATE(English!E3506, ""en"", ""bg"")"),"Можете ли да ми помогнете? Какво е важно да знаем за основите на генетиката?")</f>
        <v>Можете ли да ми помогнете? Какво е важно да знаем за основите на генетиката?</v>
      </c>
      <c r="F3506" s="1" t="str">
        <f ca="1">IFERROR(__xludf.DUMMYFUNCTION("GOOGLETRANSLATE(English!F3506,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3506" s="1" t="str">
        <f ca="1">IFERROR(__xludf.DUMMYFUNCTION("GOOGLETRANSLATE(English!G3506, ""en"", ""bg"")"),"разговор")</f>
        <v>разговор</v>
      </c>
      <c r="H3506" s="1" t="str">
        <f ca="1">IFERROR(__xludf.DUMMYFUNCTION("GOOGLETRANSLATE(English!H3506, ""en"", ""bg"")"),"образователна_помощ")</f>
        <v>образователна_помощ</v>
      </c>
    </row>
    <row r="3507" spans="1:8" ht="13.2" x14ac:dyDescent="0.25">
      <c r="A3507" s="1" t="str">
        <f ca="1">IFERROR(__xludf.DUMMYFUNCTION("GOOGLETRANSLATE(English!A3507, ""en"", ""bg"")"),"qa_12744")</f>
        <v>qa_12744</v>
      </c>
      <c r="B3507" s="1" t="str">
        <f ca="1">IFERROR(__xludf.DUMMYFUNCTION("GOOGLETRANSLATE(English!B3507, ""en"", ""bg"")"),"химия")</f>
        <v>химия</v>
      </c>
      <c r="C3507" s="1" t="str">
        <f ca="1">IFERROR(__xludf.DUMMYFUNCTION("GOOGLETRANSLATE(English!C3507, ""en"", ""bg"")"),"високо")</f>
        <v>високо</v>
      </c>
      <c r="D3507" s="1" t="str">
        <f ca="1">IFERROR(__xludf.DUMMYFUNCTION("GOOGLETRANSLATE(English!D3507, ""en"", ""bg"")"),"скорости на реакция")</f>
        <v>скорости на реакция</v>
      </c>
      <c r="E3507" s="1" t="str">
        <f ca="1">IFERROR(__xludf.DUMMYFUNCTION("GOOGLETRANSLATE(English!E3507, ""en"", ""bg"")"),"Какво представляват скоростите на реакция?")</f>
        <v>Какво представляват скоростите на реакция?</v>
      </c>
      <c r="F3507" s="1" t="str">
        <f ca="1">IFERROR(__xludf.DUMMYFUNCTION("GOOGLETRANSLATE(English!F3507,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3507" s="1" t="str">
        <f ca="1">IFERROR(__xludf.DUMMYFUNCTION("GOOGLETRANSLATE(English!G3507, ""en"", ""bg"")"),"direct_qa")</f>
        <v>direct_qa</v>
      </c>
      <c r="H3507" s="1" t="str">
        <f ca="1">IFERROR(__xludf.DUMMYFUNCTION("GOOGLETRANSLATE(English!H3507, ""en"", ""bg"")"),"заявка_за_знание")</f>
        <v>заявка_за_знание</v>
      </c>
    </row>
    <row r="3508" spans="1:8" ht="13.2" x14ac:dyDescent="0.25">
      <c r="A3508" s="1" t="str">
        <f ca="1">IFERROR(__xludf.DUMMYFUNCTION("GOOGLETRANSLATE(English!A3508, ""en"", ""bg"")"),"conv_09569")</f>
        <v>conv_09569</v>
      </c>
      <c r="B3508" s="1" t="str">
        <f ca="1">IFERROR(__xludf.DUMMYFUNCTION("GOOGLETRANSLATE(English!B3508, ""en"", ""bg"")"),"биология")</f>
        <v>биология</v>
      </c>
      <c r="C3508" s="1" t="str">
        <f ca="1">IFERROR(__xludf.DUMMYFUNCTION("GOOGLETRANSLATE(English!C3508, ""en"", ""bg"")"),"средата")</f>
        <v>средата</v>
      </c>
      <c r="D3508" s="1" t="str">
        <f ca="1">IFERROR(__xludf.DUMMYFUNCTION("GOOGLETRANSLATE(English!D3508, ""en"", ""bg"")"),"основи на генетиката")</f>
        <v>основи на генетиката</v>
      </c>
      <c r="E3508" s="1" t="str">
        <f ca="1">IFERROR(__xludf.DUMMYFUNCTION("GOOGLETRANSLATE(English!E3508, ""en"", ""bg"")"),"Помогнете ми да уча за теста си. Защо основите на генетиката са важни в биологията?")</f>
        <v>Помогнете ми да уча за теста си. Защо основите на генетиката са важни в биологията?</v>
      </c>
      <c r="F3508" s="1" t="str">
        <f ca="1">IFERROR(__xludf.DUMMYFUNCTION("GOOGLETRANSLATE(English!F3508,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3508" s="1" t="str">
        <f ca="1">IFERROR(__xludf.DUMMYFUNCTION("GOOGLETRANSLATE(English!G3508, ""en"", ""bg"")"),"разговор")</f>
        <v>разговор</v>
      </c>
      <c r="H3508" s="1" t="str">
        <f ca="1">IFERROR(__xludf.DUMMYFUNCTION("GOOGLETRANSLATE(English!H3508, ""en"", ""bg"")"),"образователна_помощ")</f>
        <v>образователна_помощ</v>
      </c>
    </row>
    <row r="3509" spans="1:8" ht="13.2" x14ac:dyDescent="0.25">
      <c r="A3509" s="1" t="str">
        <f ca="1">IFERROR(__xludf.DUMMYFUNCTION("GOOGLETRANSLATE(English!A3509, ""en"", ""bg"")"),"hw_01868")</f>
        <v>hw_01868</v>
      </c>
      <c r="B3509" s="1" t="str">
        <f ca="1">IFERROR(__xludf.DUMMYFUNCTION("GOOGLETRANSLATE(English!B3509, ""en"", ""bg"")"),"физика")</f>
        <v>физика</v>
      </c>
      <c r="C3509" s="1" t="str">
        <f ca="1">IFERROR(__xludf.DUMMYFUNCTION("GOOGLETRANSLATE(English!C3509, ""en"", ""bg"")"),"средата")</f>
        <v>средата</v>
      </c>
      <c r="D3509" s="1" t="str">
        <f ca="1">IFERROR(__xludf.DUMMYFUNCTION("GOOGLETRANSLATE(English!D3509, ""en"", ""bg"")"),"видове енергия")</f>
        <v>видове енергия</v>
      </c>
      <c r="E3509" s="1" t="str">
        <f ca="1">IFERROR(__xludf.DUMMYFUNCTION("GOOGLETRANSLATE(English!E3509, ""en"", ""bg"")"),"Трябва да разбера видовете енергия за изпита си.")</f>
        <v>Трябва да разбера видовете енергия за изпита си.</v>
      </c>
      <c r="F3509" s="1" t="str">
        <f ca="1">IFERROR(__xludf.DUMMYFUNCTION("GOOGLETRANSLATE(English!F3509,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3509" s="1" t="str">
        <f ca="1">IFERROR(__xludf.DUMMYFUNCTION("GOOGLETRANSLATE(English!G3509, ""en"", ""bg"")"),"помощ_за_домашно_изпълнение")</f>
        <v>помощ_за_домашно_изпълнение</v>
      </c>
      <c r="H3509" s="1" t="str">
        <f ca="1">IFERROR(__xludf.DUMMYFUNCTION("GOOGLETRANSLATE(English!H3509, ""en"", ""bg"")"),"помощ_за_домашно_задаване")</f>
        <v>помощ_за_домашно_задаване</v>
      </c>
    </row>
    <row r="3510" spans="1:8" ht="13.2" x14ac:dyDescent="0.25">
      <c r="A3510" s="1" t="str">
        <f ca="1">IFERROR(__xludf.DUMMYFUNCTION("GOOGLETRANSLATE(English!A3510, ""en"", ""bg"")"),"conv_13522")</f>
        <v>conv_13522</v>
      </c>
      <c r="B3510" s="1" t="str">
        <f ca="1">IFERROR(__xludf.DUMMYFUNCTION("GOOGLETRANSLATE(English!B3510, ""en"", ""bg"")"),"физика")</f>
        <v>физика</v>
      </c>
      <c r="C3510" s="1" t="str">
        <f ca="1">IFERROR(__xludf.DUMMYFUNCTION("GOOGLETRANSLATE(English!C3510, ""en"", ""bg"")"),"средата")</f>
        <v>средата</v>
      </c>
      <c r="D3510" s="1" t="str">
        <f ca="1">IFERROR(__xludf.DUMMYFUNCTION("GOOGLETRANSLATE(English!D3510, ""en"", ""bg"")"),"сили и движение")</f>
        <v>сили и движение</v>
      </c>
      <c r="E3510" s="1" t="str">
        <f ca="1">IFERROR(__xludf.DUMMYFUNCTION("GOOGLETRANSLATE(English!E3510, ""en"", ""bg"")"),"Можете ли да ми помогнете? Как триенето влияе на движението?")</f>
        <v>Можете ли да ми помогнете? Как триенето влияе на движението?</v>
      </c>
      <c r="F3510" s="1" t="str">
        <f ca="1">IFERROR(__xludf.DUMMYFUNCTION("GOOGLETRANSLATE(English!F3510,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3510" s="1" t="str">
        <f ca="1">IFERROR(__xludf.DUMMYFUNCTION("GOOGLETRANSLATE(English!G3510, ""en"", ""bg"")"),"разговор")</f>
        <v>разговор</v>
      </c>
      <c r="H3510" s="1" t="str">
        <f ca="1">IFERROR(__xludf.DUMMYFUNCTION("GOOGLETRANSLATE(English!H3510, ""en"", ""bg"")"),"образователна_помощ")</f>
        <v>образователна_помощ</v>
      </c>
    </row>
    <row r="3511" spans="1:8" ht="13.2" x14ac:dyDescent="0.25">
      <c r="A3511" s="1" t="str">
        <f ca="1">IFERROR(__xludf.DUMMYFUNCTION("GOOGLETRANSLATE(English!A3511, ""en"", ""bg"")"),"qa_12657")</f>
        <v>qa_12657</v>
      </c>
      <c r="B3511" s="1" t="str">
        <f ca="1">IFERROR(__xludf.DUMMYFUNCTION("GOOGLETRANSLATE(English!B3511, ""en"", ""bg"")"),"химия")</f>
        <v>химия</v>
      </c>
      <c r="C3511" s="1" t="str">
        <f ca="1">IFERROR(__xludf.DUMMYFUNCTION("GOOGLETRANSLATE(English!C3511, ""en"", ""bg"")"),"средата")</f>
        <v>средата</v>
      </c>
      <c r="D3511" s="1" t="str">
        <f ca="1">IFERROR(__xludf.DUMMYFUNCTION("GOOGLETRANSLATE(English!D3511, ""en"", ""bg"")"),"химични промени")</f>
        <v>химични промени</v>
      </c>
      <c r="E3511" s="1" t="str">
        <f ca="1">IFERROR(__xludf.DUMMYFUNCTION("GOOGLETRANSLATE(English!E3511, ""en"", ""bg"")"),"Какво представляват химичните промени?")</f>
        <v>Какво представляват химичните промени?</v>
      </c>
      <c r="F3511" s="1" t="str">
        <f ca="1">IFERROR(__xludf.DUMMYFUNCTION("GOOGLETRANSLATE(English!F3511,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3511" s="1" t="str">
        <f ca="1">IFERROR(__xludf.DUMMYFUNCTION("GOOGLETRANSLATE(English!G3511, ""en"", ""bg"")"),"direct_qa")</f>
        <v>direct_qa</v>
      </c>
      <c r="H3511" s="1" t="str">
        <f ca="1">IFERROR(__xludf.DUMMYFUNCTION("GOOGLETRANSLATE(English!H3511, ""en"", ""bg"")"),"заявка_за_знание")</f>
        <v>заявка_за_знание</v>
      </c>
    </row>
    <row r="3512" spans="1:8" ht="13.2" x14ac:dyDescent="0.25">
      <c r="A3512" s="1" t="str">
        <f ca="1">IFERROR(__xludf.DUMMYFUNCTION("GOOGLETRANSLATE(English!A3512, ""en"", ""bg"")"),"hw_07634")</f>
        <v>hw_07634</v>
      </c>
      <c r="B3512" s="1" t="str">
        <f ca="1">IFERROR(__xludf.DUMMYFUNCTION("GOOGLETRANSLATE(English!B3512, ""en"", ""bg"")"),"физика")</f>
        <v>физика</v>
      </c>
      <c r="C3512" s="1" t="str">
        <f ca="1">IFERROR(__xludf.DUMMYFUNCTION("GOOGLETRANSLATE(English!C3512, ""en"", ""bg"")"),"високо")</f>
        <v>високо</v>
      </c>
      <c r="D3512" s="1" t="str">
        <f ca="1">IFERROR(__xludf.DUMMYFUNCTION("GOOGLETRANSLATE(English!D3512, ""en"", ""bg"")"),"механика")</f>
        <v>механика</v>
      </c>
      <c r="E3512" s="1" t="str">
        <f ca="1">IFERROR(__xludf.DUMMYFUNCTION("GOOGLETRANSLATE(English!E3512, ""en"", ""bg"")"),"Можеш ли да решиш този механичен въпрос с мен?")</f>
        <v>Можеш ли да решиш този механичен въпрос с мен?</v>
      </c>
      <c r="F3512" s="1" t="str">
        <f ca="1">IFERROR(__xludf.DUMMYFUNCTION("GOOGLETRANSLATE(English!F3512,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512" s="1" t="str">
        <f ca="1">IFERROR(__xludf.DUMMYFUNCTION("GOOGLETRANSLATE(English!G3512, ""en"", ""bg"")"),"помощ_за_домашно_изпълнение")</f>
        <v>помощ_за_домашно_изпълнение</v>
      </c>
      <c r="H3512" s="1" t="str">
        <f ca="1">IFERROR(__xludf.DUMMYFUNCTION("GOOGLETRANSLATE(English!H3512, ""en"", ""bg"")"),"помощ_за_домашно_задаване")</f>
        <v>помощ_за_домашно_задаване</v>
      </c>
    </row>
    <row r="3513" spans="1:8" ht="13.2" x14ac:dyDescent="0.25">
      <c r="A3513" s="1" t="str">
        <f ca="1">IFERROR(__xludf.DUMMYFUNCTION("GOOGLETRANSLATE(English!A3513, ""en"", ""bg"")"),"hw_14357")</f>
        <v>hw_14357</v>
      </c>
      <c r="B3513" s="1" t="str">
        <f ca="1">IFERROR(__xludf.DUMMYFUNCTION("GOOGLETRANSLATE(English!B3513, ""en"", ""bg"")"),"физика")</f>
        <v>физика</v>
      </c>
      <c r="C3513" s="1" t="str">
        <f ca="1">IFERROR(__xludf.DUMMYFUNCTION("GOOGLETRANSLATE(English!C3513, ""en"", ""bg"")"),"средата")</f>
        <v>средата</v>
      </c>
      <c r="D3513" s="1" t="str">
        <f ca="1">IFERROR(__xludf.DUMMYFUNCTION("GOOGLETRANSLATE(English!D3513, ""en"", ""bg"")"),"състояния на материята")</f>
        <v>състояния на материята</v>
      </c>
      <c r="E3513" s="1" t="str">
        <f ca="1">IFERROR(__xludf.DUMMYFUNCTION("GOOGLETRANSLATE(English!E3513, ""en"", ""bg"")"),"Можете ли да решите този въпрос с мен?")</f>
        <v>Можете ли да решите този въпрос с мен?</v>
      </c>
      <c r="F3513" s="1" t="str">
        <f ca="1">IFERROR(__xludf.DUMMYFUNCTION("GOOGLETRANSLATE(English!F3513,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513" s="1" t="str">
        <f ca="1">IFERROR(__xludf.DUMMYFUNCTION("GOOGLETRANSLATE(English!G3513, ""en"", ""bg"")"),"помощ_за_домашно_изпълнение")</f>
        <v>помощ_за_домашно_изпълнение</v>
      </c>
      <c r="H3513" s="1" t="str">
        <f ca="1">IFERROR(__xludf.DUMMYFUNCTION("GOOGLETRANSLATE(English!H3513, ""en"", ""bg"")"),"помощ_за_домашно_задаване")</f>
        <v>помощ_за_домашно_задаване</v>
      </c>
    </row>
    <row r="3514" spans="1:8" ht="13.2" x14ac:dyDescent="0.25">
      <c r="A3514" s="1" t="str">
        <f ca="1">IFERROR(__xludf.DUMMYFUNCTION("GOOGLETRANSLATE(English!A3514, ""en"", ""bg"")"),"hw_00074")</f>
        <v>hw_00074</v>
      </c>
      <c r="B3514" s="1" t="str">
        <f ca="1">IFERROR(__xludf.DUMMYFUNCTION("GOOGLETRANSLATE(English!B3514, ""en"", ""bg"")"),"химия")</f>
        <v>химия</v>
      </c>
      <c r="C3514" s="1" t="str">
        <f ca="1">IFERROR(__xludf.DUMMYFUNCTION("GOOGLETRANSLATE(English!C3514, ""en"", ""bg"")"),"средата")</f>
        <v>средата</v>
      </c>
      <c r="D3514" s="1" t="str">
        <f ca="1">IFERROR(__xludf.DUMMYFUNCTION("GOOGLETRANSLATE(English!D3514, ""en"", ""bg"")"),"киселини и основи")</f>
        <v>киселини и основи</v>
      </c>
      <c r="E3514" s="1" t="str">
        <f ca="1">IFERROR(__xludf.DUMMYFUNCTION("GOOGLETRANSLATE(English!E3514,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3514" s="1" t="str">
        <f ca="1">IFERROR(__xludf.DUMMYFUNCTION("GOOGLETRANSLATE(English!F3514,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3514" s="1" t="str">
        <f ca="1">IFERROR(__xludf.DUMMYFUNCTION("GOOGLETRANSLATE(English!G3514, ""en"", ""bg"")"),"помощ_за_домашно_изпълнение")</f>
        <v>помощ_за_домашно_изпълнение</v>
      </c>
      <c r="H3514" s="1" t="str">
        <f ca="1">IFERROR(__xludf.DUMMYFUNCTION("GOOGLETRANSLATE(English!H3514, ""en"", ""bg"")"),"помощ_за_домашно_задаване")</f>
        <v>помощ_за_домашно_задаване</v>
      </c>
    </row>
    <row r="3515" spans="1:8" ht="13.2" x14ac:dyDescent="0.25">
      <c r="A3515" s="1" t="str">
        <f ca="1">IFERROR(__xludf.DUMMYFUNCTION("GOOGLETRANSLATE(English!A3515, ""en"", ""bg"")"),"conv_01959")</f>
        <v>conv_01959</v>
      </c>
      <c r="B3515" s="1" t="str">
        <f ca="1">IFERROR(__xludf.DUMMYFUNCTION("GOOGLETRANSLATE(English!B3515, ""en"", ""bg"")"),"физика")</f>
        <v>физика</v>
      </c>
      <c r="C3515" s="1" t="str">
        <f ca="1">IFERROR(__xludf.DUMMYFUNCTION("GOOGLETRANSLATE(English!C3515, ""en"", ""bg"")"),"високо")</f>
        <v>високо</v>
      </c>
      <c r="D3515" s="1" t="str">
        <f ca="1">IFERROR(__xludf.DUMMYFUNCTION("GOOGLETRANSLATE(English!D3515, ""en"", ""bg"")"),"механика")</f>
        <v>механика</v>
      </c>
      <c r="E3515" s="1" t="str">
        <f ca="1">IFERROR(__xludf.DUMMYFUNCTION("GOOGLETRANSLATE(English!E3515, ""en"", ""bg"")"),"Здравей, преподавателю! Как механиката работи във физиката?")</f>
        <v>Здравей, преподавателю! Как механиката работи във физиката?</v>
      </c>
      <c r="F3515" s="1" t="str">
        <f ca="1">IFERROR(__xludf.DUMMYFUNCTION("GOOGLETRANSLATE(English!F3515,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3515" s="1" t="str">
        <f ca="1">IFERROR(__xludf.DUMMYFUNCTION("GOOGLETRANSLATE(English!G3515, ""en"", ""bg"")"),"разговор")</f>
        <v>разговор</v>
      </c>
      <c r="H3515" s="1" t="str">
        <f ca="1">IFERROR(__xludf.DUMMYFUNCTION("GOOGLETRANSLATE(English!H3515, ""en"", ""bg"")"),"образователна_помощ")</f>
        <v>образователна_помощ</v>
      </c>
    </row>
    <row r="3516" spans="1:8" ht="13.2" x14ac:dyDescent="0.25">
      <c r="A3516" s="1" t="str">
        <f ca="1">IFERROR(__xludf.DUMMYFUNCTION("GOOGLETRANSLATE(English!A3516, ""en"", ""bg"")"),"conv_17274")</f>
        <v>conv_17274</v>
      </c>
      <c r="B3516" s="1" t="str">
        <f ca="1">IFERROR(__xludf.DUMMYFUNCTION("GOOGLETRANSLATE(English!B3516, ""en"", ""bg"")"),"химия")</f>
        <v>химия</v>
      </c>
      <c r="C3516" s="1" t="str">
        <f ca="1">IFERROR(__xludf.DUMMYFUNCTION("GOOGLETRANSLATE(English!C3516, ""en"", ""bg"")"),"елементарен")</f>
        <v>елементарен</v>
      </c>
      <c r="D3516" s="1" t="str">
        <f ca="1">IFERROR(__xludf.DUMMYFUNCTION("GOOGLETRANSLATE(English!D3516, ""en"", ""bg"")"),"безопасност")</f>
        <v>безопасност</v>
      </c>
      <c r="E3516" s="1" t="str">
        <f ca="1">IFERROR(__xludf.DUMMYFUNCTION("GOOGLETRANSLATE(English!E3516, ""en"", ""bg"")"),"Помогнете ми да уча за теста. Можете ли да ми помогнете да разбера безопасността?")</f>
        <v>Помогнете ми да уча за теста. Можете ли да ми помогнете да разбера безопасността?</v>
      </c>
      <c r="F3516" s="1" t="str">
        <f ca="1">IFERROR(__xludf.DUMMYFUNCTION("GOOGLETRANSLATE(English!F3516,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3516" s="1" t="str">
        <f ca="1">IFERROR(__xludf.DUMMYFUNCTION("GOOGLETRANSLATE(English!G3516, ""en"", ""bg"")"),"разговор")</f>
        <v>разговор</v>
      </c>
      <c r="H3516" s="1" t="str">
        <f ca="1">IFERROR(__xludf.DUMMYFUNCTION("GOOGLETRANSLATE(English!H3516, ""en"", ""bg"")"),"образователна_помощ")</f>
        <v>образователна_помощ</v>
      </c>
    </row>
    <row r="3517" spans="1:8" ht="13.2" x14ac:dyDescent="0.25">
      <c r="A3517" s="1" t="str">
        <f ca="1">IFERROR(__xludf.DUMMYFUNCTION("GOOGLETRANSLATE(English!A3517, ""en"", ""bg"")"),"hw_07047")</f>
        <v>hw_07047</v>
      </c>
      <c r="B3517" s="1" t="str">
        <f ca="1">IFERROR(__xludf.DUMMYFUNCTION("GOOGLETRANSLATE(English!B3517, ""en"", ""bg"")"),"химия")</f>
        <v>химия</v>
      </c>
      <c r="C3517" s="1" t="str">
        <f ca="1">IFERROR(__xludf.DUMMYFUNCTION("GOOGLETRANSLATE(English!C3517, ""en"", ""bg"")"),"средата")</f>
        <v>средата</v>
      </c>
      <c r="D3517" s="1" t="str">
        <f ca="1">IFERROR(__xludf.DUMMYFUNCTION("GOOGLETRANSLATE(English!D3517, ""en"", ""bg"")"),"атоми и молекули")</f>
        <v>атоми и молекули</v>
      </c>
      <c r="E3517" s="1" t="str">
        <f ca="1">IFERROR(__xludf.DUMMYFUNCTION("GOOGLETRANSLATE(English!E3517,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3517" s="1" t="str">
        <f ca="1">IFERROR(__xludf.DUMMYFUNCTION("GOOGLETRANSLATE(English!F3517,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517" s="1" t="str">
        <f ca="1">IFERROR(__xludf.DUMMYFUNCTION("GOOGLETRANSLATE(English!G3517, ""en"", ""bg"")"),"помощ_за_домашно_изпълнение")</f>
        <v>помощ_за_домашно_изпълнение</v>
      </c>
      <c r="H3517" s="1" t="str">
        <f ca="1">IFERROR(__xludf.DUMMYFUNCTION("GOOGLETRANSLATE(English!H3517, ""en"", ""bg"")"),"помощ_за_домашно_задаване")</f>
        <v>помощ_за_домашно_задаване</v>
      </c>
    </row>
    <row r="3518" spans="1:8" ht="13.2" x14ac:dyDescent="0.25">
      <c r="A3518" s="1" t="str">
        <f ca="1">IFERROR(__xludf.DUMMYFUNCTION("GOOGLETRANSLATE(English!A3518, ""en"", ""bg"")"),"qa_06869")</f>
        <v>qa_06869</v>
      </c>
      <c r="B3518" s="1" t="str">
        <f ca="1">IFERROR(__xludf.DUMMYFUNCTION("GOOGLETRANSLATE(English!B3518, ""en"", ""bg"")"),"химия")</f>
        <v>химия</v>
      </c>
      <c r="C3518" s="1" t="str">
        <f ca="1">IFERROR(__xludf.DUMMYFUNCTION("GOOGLETRANSLATE(English!C3518, ""en"", ""bg"")"),"високо")</f>
        <v>високо</v>
      </c>
      <c r="D3518" s="1" t="str">
        <f ca="1">IFERROR(__xludf.DUMMYFUNCTION("GOOGLETRANSLATE(English!D3518, ""en"", ""bg"")"),"химическо свързване")</f>
        <v>химическо свързване</v>
      </c>
      <c r="E3518" s="1" t="str">
        <f ca="1">IFERROR(__xludf.DUMMYFUNCTION("GOOGLETRANSLATE(English!E3518, ""en"", ""bg"")"),"Защо е важно да се учи химичното свързване?")</f>
        <v>Защо е важно да се учи химичното свързване?</v>
      </c>
      <c r="F3518" s="1" t="str">
        <f ca="1">IFERROR(__xludf.DUMMYFUNCTION("GOOGLETRANSLATE(English!F3518,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3518" s="1" t="str">
        <f ca="1">IFERROR(__xludf.DUMMYFUNCTION("GOOGLETRANSLATE(English!G3518, ""en"", ""bg"")"),"direct_qa")</f>
        <v>direct_qa</v>
      </c>
      <c r="H3518" s="1" t="str">
        <f ca="1">IFERROR(__xludf.DUMMYFUNCTION("GOOGLETRANSLATE(English!H3518, ""en"", ""bg"")"),"заявка_за_знание")</f>
        <v>заявка_за_знание</v>
      </c>
    </row>
    <row r="3519" spans="1:8" ht="13.2" x14ac:dyDescent="0.25">
      <c r="A3519" s="1" t="str">
        <f ca="1">IFERROR(__xludf.DUMMYFUNCTION("GOOGLETRANSLATE(English!A3519, ""en"", ""bg"")"),"qa_06638")</f>
        <v>qa_06638</v>
      </c>
      <c r="B3519" s="1" t="str">
        <f ca="1">IFERROR(__xludf.DUMMYFUNCTION("GOOGLETRANSLATE(English!B3519, ""en"", ""bg"")"),"химия")</f>
        <v>химия</v>
      </c>
      <c r="C3519" s="1" t="str">
        <f ca="1">IFERROR(__xludf.DUMMYFUNCTION("GOOGLETRANSLATE(English!C3519, ""en"", ""bg"")"),"средата")</f>
        <v>средата</v>
      </c>
      <c r="D3519" s="1" t="str">
        <f ca="1">IFERROR(__xludf.DUMMYFUNCTION("GOOGLETRANSLATE(English!D3519, ""en"", ""bg"")"),"основи на периодичната таблица")</f>
        <v>основи на периодичната таблица</v>
      </c>
      <c r="E3519" s="1" t="str">
        <f ca="1">IFERROR(__xludf.DUMMYFUNCTION("GOOGLETRANSLATE(English!E3519,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3519" s="1" t="str">
        <f ca="1">IFERROR(__xludf.DUMMYFUNCTION("GOOGLETRANSLATE(English!F3519,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3519" s="1" t="str">
        <f ca="1">IFERROR(__xludf.DUMMYFUNCTION("GOOGLETRANSLATE(English!G3519, ""en"", ""bg"")"),"direct_qa")</f>
        <v>direct_qa</v>
      </c>
      <c r="H3519" s="1" t="str">
        <f ca="1">IFERROR(__xludf.DUMMYFUNCTION("GOOGLETRANSLATE(English!H3519, ""en"", ""bg"")"),"заявка_за_знание")</f>
        <v>заявка_за_знание</v>
      </c>
    </row>
    <row r="3520" spans="1:8" ht="13.2" x14ac:dyDescent="0.25">
      <c r="A3520" s="1" t="str">
        <f ca="1">IFERROR(__xludf.DUMMYFUNCTION("GOOGLETRANSLATE(English!A3520, ""en"", ""bg"")"),"qa_13310")</f>
        <v>qa_13310</v>
      </c>
      <c r="B3520" s="1" t="str">
        <f ca="1">IFERROR(__xludf.DUMMYFUNCTION("GOOGLETRANSLATE(English!B3520, ""en"", ""bg"")"),"химия")</f>
        <v>химия</v>
      </c>
      <c r="C3520" s="1" t="str">
        <f ca="1">IFERROR(__xludf.DUMMYFUNCTION("GOOGLETRANSLATE(English!C3520, ""en"", ""bg"")"),"елементарен")</f>
        <v>елементарен</v>
      </c>
      <c r="D3520" s="1" t="str">
        <f ca="1">IFERROR(__xludf.DUMMYFUNCTION("GOOGLETRANSLATE(English!D3520, ""en"", ""bg"")"),"смесване на материали")</f>
        <v>смесване на материали</v>
      </c>
      <c r="E3520" s="1" t="str">
        <f ca="1">IFERROR(__xludf.DUMMYFUNCTION("GOOGLETRANSLATE(English!E3520, ""en"", ""bg"")"),"Как можете да отделите солта от водата?")</f>
        <v>Как можете да отделите солта от водата?</v>
      </c>
      <c r="F3520" s="1" t="str">
        <f ca="1">IFERROR(__xludf.DUMMYFUNCTION("GOOGLETRANSLATE(English!F3520,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3520" s="1" t="str">
        <f ca="1">IFERROR(__xludf.DUMMYFUNCTION("GOOGLETRANSLATE(English!G3520, ""en"", ""bg"")"),"direct_qa")</f>
        <v>direct_qa</v>
      </c>
      <c r="H3520" s="1" t="str">
        <f ca="1">IFERROR(__xludf.DUMMYFUNCTION("GOOGLETRANSLATE(English!H3520, ""en"", ""bg"")"),"заявка_за_знание")</f>
        <v>заявка_за_знание</v>
      </c>
    </row>
    <row r="3521" spans="1:8" ht="13.2" x14ac:dyDescent="0.25">
      <c r="A3521" s="1" t="str">
        <f ca="1">IFERROR(__xludf.DUMMYFUNCTION("GOOGLETRANSLATE(English!A3521, ""en"", ""bg"")"),"hw_04786")</f>
        <v>hw_04786</v>
      </c>
      <c r="B3521" s="1" t="str">
        <f ca="1">IFERROR(__xludf.DUMMYFUNCTION("GOOGLETRANSLATE(English!B3521, ""en"", ""bg"")"),"физика")</f>
        <v>физика</v>
      </c>
      <c r="C3521" s="1" t="str">
        <f ca="1">IFERROR(__xludf.DUMMYFUNCTION("GOOGLETRANSLATE(English!C3521, ""en"", ""bg"")"),"елементарен")</f>
        <v>елементарен</v>
      </c>
      <c r="D3521" s="1" t="str">
        <f ca="1">IFERROR(__xludf.DUMMYFUNCTION("GOOGLETRANSLATE(English!D3521, ""en"", ""bg"")"),"светлина и сянка")</f>
        <v>светлина и сянка</v>
      </c>
      <c r="E3521" s="1" t="str">
        <f ca="1">IFERROR(__xludf.DUMMYFUNCTION("GOOGLETRANSLATE(English!E3521,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3521" s="1" t="str">
        <f ca="1">IFERROR(__xludf.DUMMYFUNCTION("GOOGLETRANSLATE(English!F3521,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3521" s="1" t="str">
        <f ca="1">IFERROR(__xludf.DUMMYFUNCTION("GOOGLETRANSLATE(English!G3521, ""en"", ""bg"")"),"помощ_за_домашно_изпълнение")</f>
        <v>помощ_за_домашно_изпълнение</v>
      </c>
      <c r="H3521" s="1" t="str">
        <f ca="1">IFERROR(__xludf.DUMMYFUNCTION("GOOGLETRANSLATE(English!H3521, ""en"", ""bg"")"),"помощ_за_домашно_задаване")</f>
        <v>помощ_за_домашно_задаване</v>
      </c>
    </row>
    <row r="3522" spans="1:8" ht="13.2" x14ac:dyDescent="0.25">
      <c r="A3522" s="1" t="str">
        <f ca="1">IFERROR(__xludf.DUMMYFUNCTION("GOOGLETRANSLATE(English!A3522, ""en"", ""bg"")"),"hw_12991")</f>
        <v>hw_12991</v>
      </c>
      <c r="B3522" s="1" t="str">
        <f ca="1">IFERROR(__xludf.DUMMYFUNCTION("GOOGLETRANSLATE(English!B3522, ""en"", ""bg"")"),"физика")</f>
        <v>физика</v>
      </c>
      <c r="C3522" s="1" t="str">
        <f ca="1">IFERROR(__xludf.DUMMYFUNCTION("GOOGLETRANSLATE(English!C3522, ""en"", ""bg"")"),"елементарен")</f>
        <v>елементарен</v>
      </c>
      <c r="D3522" s="1" t="str">
        <f ca="1">IFERROR(__xludf.DUMMYFUNCTION("GOOGLETRANSLATE(English!D3522, ""en"", ""bg"")"),"прости машини")</f>
        <v>прости машини</v>
      </c>
      <c r="E3522" s="1" t="str">
        <f ca="1">IFERROR(__xludf.DUMMYFUNCTION("GOOGLETRANSLATE(English!E3522, ""en"", ""bg"")"),"Можете ли да решите този прост проблем с машините заедно с мен?")</f>
        <v>Можете ли да решите този прост проблем с машините заедно с мен?</v>
      </c>
      <c r="F3522" s="1" t="str">
        <f ca="1">IFERROR(__xludf.DUMMYFUNCTION("GOOGLETRANSLATE(English!F3522,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3522" s="1" t="str">
        <f ca="1">IFERROR(__xludf.DUMMYFUNCTION("GOOGLETRANSLATE(English!G3522, ""en"", ""bg"")"),"помощ_за_домашно_изпълнение")</f>
        <v>помощ_за_домашно_изпълнение</v>
      </c>
      <c r="H3522" s="1" t="str">
        <f ca="1">IFERROR(__xludf.DUMMYFUNCTION("GOOGLETRANSLATE(English!H3522, ""en"", ""bg"")"),"помощ_за_домашно_задаване")</f>
        <v>помощ_за_домашно_задаване</v>
      </c>
    </row>
    <row r="3523" spans="1:8" ht="13.2" x14ac:dyDescent="0.25">
      <c r="A3523" s="1" t="str">
        <f ca="1">IFERROR(__xludf.DUMMYFUNCTION("GOOGLETRANSLATE(English!A3523, ""en"", ""bg"")"),"hw_07550")</f>
        <v>hw_07550</v>
      </c>
      <c r="B3523" s="1" t="str">
        <f ca="1">IFERROR(__xludf.DUMMYFUNCTION("GOOGLETRANSLATE(English!B3523, ""en"", ""bg"")"),"физика")</f>
        <v>физика</v>
      </c>
      <c r="C3523" s="1" t="str">
        <f ca="1">IFERROR(__xludf.DUMMYFUNCTION("GOOGLETRANSLATE(English!C3523, ""en"", ""bg"")"),"високо")</f>
        <v>високо</v>
      </c>
      <c r="D3523" s="1" t="str">
        <f ca="1">IFERROR(__xludf.DUMMYFUNCTION("GOOGLETRANSLATE(English!D3523, ""en"", ""bg"")"),"атомна структура")</f>
        <v>атомна структура</v>
      </c>
      <c r="E3523" s="1" t="str">
        <f ca="1">IFERROR(__xludf.DUMMYFUNCTION("GOOGLETRANSLATE(English!E3523,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3523" s="1" t="str">
        <f ca="1">IFERROR(__xludf.DUMMYFUNCTION("GOOGLETRANSLATE(English!F3523,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3523" s="1" t="str">
        <f ca="1">IFERROR(__xludf.DUMMYFUNCTION("GOOGLETRANSLATE(English!G3523, ""en"", ""bg"")"),"помощ_за_домашно_изпълнение")</f>
        <v>помощ_за_домашно_изпълнение</v>
      </c>
      <c r="H3523" s="1" t="str">
        <f ca="1">IFERROR(__xludf.DUMMYFUNCTION("GOOGLETRANSLATE(English!H3523, ""en"", ""bg"")"),"помощ_за_домашно_задаване")</f>
        <v>помощ_за_домашно_задаване</v>
      </c>
    </row>
    <row r="3524" spans="1:8" ht="13.2" x14ac:dyDescent="0.25">
      <c r="A3524" s="1" t="str">
        <f ca="1">IFERROR(__xludf.DUMMYFUNCTION("GOOGLETRANSLATE(English!A3524, ""en"", ""bg"")"),"conv_00892")</f>
        <v>conv_00892</v>
      </c>
      <c r="B3524" s="1" t="str">
        <f ca="1">IFERROR(__xludf.DUMMYFUNCTION("GOOGLETRANSLATE(English!B3524, ""en"", ""bg"")"),"биология")</f>
        <v>биология</v>
      </c>
      <c r="C3524" s="1" t="str">
        <f ca="1">IFERROR(__xludf.DUMMYFUNCTION("GOOGLETRANSLATE(English!C3524, ""en"", ""bg"")"),"елементарен")</f>
        <v>елементарен</v>
      </c>
      <c r="D3524" s="1" t="str">
        <f ca="1">IFERROR(__xludf.DUMMYFUNCTION("GOOGLETRANSLATE(English!D3524, ""en"", ""bg"")"),"основни нужди")</f>
        <v>основни нужди</v>
      </c>
      <c r="E3524" s="1" t="str">
        <f ca="1">IFERROR(__xludf.DUMMYFUNCTION("GOOGLETRANSLATE(English!E3524, ""en"", ""bg"")"),"Имам научен въпрос. Можете ли да ми кажете за основните нужди?")</f>
        <v>Имам научен въпрос. Можете ли да ми кажете за основните нужди?</v>
      </c>
      <c r="F3524" s="1" t="str">
        <f ca="1">IFERROR(__xludf.DUMMYFUNCTION("GOOGLETRANSLATE(English!F3524,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3524" s="1" t="str">
        <f ca="1">IFERROR(__xludf.DUMMYFUNCTION("GOOGLETRANSLATE(English!G3524, ""en"", ""bg"")"),"разговор")</f>
        <v>разговор</v>
      </c>
      <c r="H3524" s="1" t="str">
        <f ca="1">IFERROR(__xludf.DUMMYFUNCTION("GOOGLETRANSLATE(English!H3524, ""en"", ""bg"")"),"образователна_помощ")</f>
        <v>образователна_помощ</v>
      </c>
    </row>
    <row r="3525" spans="1:8" ht="13.2" x14ac:dyDescent="0.25">
      <c r="A3525" s="1" t="str">
        <f ca="1">IFERROR(__xludf.DUMMYFUNCTION("GOOGLETRANSLATE(English!A3525, ""en"", ""bg"")"),"qa_14876")</f>
        <v>qa_14876</v>
      </c>
      <c r="B3525" s="1" t="str">
        <f ca="1">IFERROR(__xludf.DUMMYFUNCTION("GOOGLETRANSLATE(English!B3525, ""en"", ""bg"")"),"химия")</f>
        <v>химия</v>
      </c>
      <c r="C3525" s="1" t="str">
        <f ca="1">IFERROR(__xludf.DUMMYFUNCTION("GOOGLETRANSLATE(English!C3525, ""en"", ""bg"")"),"елементарен")</f>
        <v>елементарен</v>
      </c>
      <c r="D3525" s="1" t="str">
        <f ca="1">IFERROR(__xludf.DUMMYFUNCTION("GOOGLETRANSLATE(English!D3525, ""en"", ""bg"")"),"ежедневни химикали")</f>
        <v>ежедневни химикали</v>
      </c>
      <c r="E3525" s="1" t="str">
        <f ca="1">IFERROR(__xludf.DUMMYFUNCTION("GOOGLETRANSLATE(English!E3525, ""en"", ""bg"")"),"Какво представляват ежедневните химикали?")</f>
        <v>Какво представляват ежедневните химикали?</v>
      </c>
      <c r="F3525" s="1" t="str">
        <f ca="1">IFERROR(__xludf.DUMMYFUNCTION("GOOGLETRANSLATE(English!F3525,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3525" s="1" t="str">
        <f ca="1">IFERROR(__xludf.DUMMYFUNCTION("GOOGLETRANSLATE(English!G3525, ""en"", ""bg"")"),"direct_qa")</f>
        <v>direct_qa</v>
      </c>
      <c r="H3525" s="1" t="str">
        <f ca="1">IFERROR(__xludf.DUMMYFUNCTION("GOOGLETRANSLATE(English!H3525, ""en"", ""bg"")"),"заявка_за_знание")</f>
        <v>заявка_за_знание</v>
      </c>
    </row>
    <row r="3526" spans="1:8" ht="13.2" x14ac:dyDescent="0.25">
      <c r="A3526" s="1" t="str">
        <f ca="1">IFERROR(__xludf.DUMMYFUNCTION("GOOGLETRANSLATE(English!A3526, ""en"", ""bg"")"),"conv_01634")</f>
        <v>conv_01634</v>
      </c>
      <c r="B3526" s="1" t="str">
        <f ca="1">IFERROR(__xludf.DUMMYFUNCTION("GOOGLETRANSLATE(English!B3526, ""en"", ""bg"")"),"химия")</f>
        <v>химия</v>
      </c>
      <c r="C3526" s="1" t="str">
        <f ca="1">IFERROR(__xludf.DUMMYFUNCTION("GOOGLETRANSLATE(English!C3526, ""en"", ""bg"")"),"високо")</f>
        <v>високо</v>
      </c>
      <c r="D3526" s="1" t="str">
        <f ca="1">IFERROR(__xludf.DUMMYFUNCTION("GOOGLETRANSLATE(English!D3526, ""en"", ""bg"")"),"равновесие")</f>
        <v>равновесие</v>
      </c>
      <c r="E3526" s="1" t="str">
        <f ca="1">IFERROR(__xludf.DUMMYFUNCTION("GOOGLETRANSLATE(English!E3526, ""en"", ""bg"")"),"Не разбирам тази тема. Можете ли да ми помогнете да разбера какво е равновесие?")</f>
        <v>Не разбирам тази тема. Можете ли да ми помогнете да разбера какво е равновесие?</v>
      </c>
      <c r="F3526" s="1" t="str">
        <f ca="1">IFERROR(__xludf.DUMMYFUNCTION("GOOGLETRANSLATE(English!F3526,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3526" s="1" t="str">
        <f ca="1">IFERROR(__xludf.DUMMYFUNCTION("GOOGLETRANSLATE(English!G3526, ""en"", ""bg"")"),"разговор")</f>
        <v>разговор</v>
      </c>
      <c r="H3526" s="1" t="str">
        <f ca="1">IFERROR(__xludf.DUMMYFUNCTION("GOOGLETRANSLATE(English!H3526, ""en"", ""bg"")"),"образователна_помощ")</f>
        <v>образователна_помощ</v>
      </c>
    </row>
    <row r="3527" spans="1:8" ht="13.2" x14ac:dyDescent="0.25">
      <c r="A3527" s="1" t="str">
        <f ca="1">IFERROR(__xludf.DUMMYFUNCTION("GOOGLETRANSLATE(English!A3527, ""en"", ""bg"")"),"qa_09789")</f>
        <v>qa_09789</v>
      </c>
      <c r="B3527" s="1" t="str">
        <f ca="1">IFERROR(__xludf.DUMMYFUNCTION("GOOGLETRANSLATE(English!B3527, ""en"", ""bg"")"),"биология")</f>
        <v>биология</v>
      </c>
      <c r="C3527" s="1" t="str">
        <f ca="1">IFERROR(__xludf.DUMMYFUNCTION("GOOGLETRANSLATE(English!C3527, ""en"", ""bg"")"),"елементарен")</f>
        <v>елементарен</v>
      </c>
      <c r="D3527" s="1" t="str">
        <f ca="1">IFERROR(__xludf.DUMMYFUNCTION("GOOGLETRANSLATE(English!D3527, ""en"", ""bg"")"),"животни")</f>
        <v>животни</v>
      </c>
      <c r="E3527" s="1" t="str">
        <f ca="1">IFERROR(__xludf.DUMMYFUNCTION("GOOGLETRANSLATE(English!E3527, ""en"", ""bg"")"),"Какво ядат лъвовете?")</f>
        <v>Какво ядат лъвовете?</v>
      </c>
      <c r="F3527" s="1" t="str">
        <f ca="1">IFERROR(__xludf.DUMMYFUNCTION("GOOGLETRANSLATE(English!F3527,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3527" s="1" t="str">
        <f ca="1">IFERROR(__xludf.DUMMYFUNCTION("GOOGLETRANSLATE(English!G3527, ""en"", ""bg"")"),"direct_qa")</f>
        <v>direct_qa</v>
      </c>
      <c r="H3527" s="1" t="str">
        <f ca="1">IFERROR(__xludf.DUMMYFUNCTION("GOOGLETRANSLATE(English!H3527, ""en"", ""bg"")"),"заявка_за_знание")</f>
        <v>заявка_за_знание</v>
      </c>
    </row>
    <row r="3528" spans="1:8" ht="13.2" x14ac:dyDescent="0.25">
      <c r="A3528" s="1" t="str">
        <f ca="1">IFERROR(__xludf.DUMMYFUNCTION("GOOGLETRANSLATE(English!A3528, ""en"", ""bg"")"),"hw_00224")</f>
        <v>hw_00224</v>
      </c>
      <c r="B3528" s="1" t="str">
        <f ca="1">IFERROR(__xludf.DUMMYFUNCTION("GOOGLETRANSLATE(English!B3528, ""en"", ""bg"")"),"биология")</f>
        <v>биология</v>
      </c>
      <c r="C3528" s="1" t="str">
        <f ca="1">IFERROR(__xludf.DUMMYFUNCTION("GOOGLETRANSLATE(English!C3528, ""en"", ""bg"")"),"средата")</f>
        <v>средата</v>
      </c>
      <c r="D3528" s="1" t="str">
        <f ca="1">IFERROR(__xludf.DUMMYFUNCTION("GOOGLETRANSLATE(English!D3528, ""en"", ""bg"")"),"размножаване")</f>
        <v>размножаване</v>
      </c>
      <c r="E3528" s="1" t="str">
        <f ca="1">IFERROR(__xludf.DUMMYFUNCTION("GOOGLETRANSLATE(English!E3528, ""en"", ""bg"")"),"Можете ли да обясните размножаването за моя научен проект?")</f>
        <v>Можете ли да обясните размножаването за моя научен проект?</v>
      </c>
      <c r="F3528" s="1" t="str">
        <f ca="1">IFERROR(__xludf.DUMMYFUNCTION("GOOGLETRANSLATE(English!F3528,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528" s="1" t="str">
        <f ca="1">IFERROR(__xludf.DUMMYFUNCTION("GOOGLETRANSLATE(English!G3528, ""en"", ""bg"")"),"помощ_за_домашно_изпълнение")</f>
        <v>помощ_за_домашно_изпълнение</v>
      </c>
      <c r="H3528" s="1" t="str">
        <f ca="1">IFERROR(__xludf.DUMMYFUNCTION("GOOGLETRANSLATE(English!H3528, ""en"", ""bg"")"),"помощ_за_домашно_задаване")</f>
        <v>помощ_за_домашно_задаване</v>
      </c>
    </row>
    <row r="3529" spans="1:8" ht="13.2" x14ac:dyDescent="0.25">
      <c r="A3529" s="1" t="str">
        <f ca="1">IFERROR(__xludf.DUMMYFUNCTION("GOOGLETRANSLATE(English!A3529, ""en"", ""bg"")"),"conv_15127")</f>
        <v>conv_15127</v>
      </c>
      <c r="B3529" s="1" t="str">
        <f ca="1">IFERROR(__xludf.DUMMYFUNCTION("GOOGLETRANSLATE(English!B3529, ""en"", ""bg"")"),"химия")</f>
        <v>химия</v>
      </c>
      <c r="C3529" s="1" t="str">
        <f ca="1">IFERROR(__xludf.DUMMYFUNCTION("GOOGLETRANSLATE(English!C3529, ""en"", ""bg"")"),"елементарен")</f>
        <v>елементарен</v>
      </c>
      <c r="D3529" s="1" t="str">
        <f ca="1">IFERROR(__xludf.DUMMYFUNCTION("GOOGLETRANSLATE(English!D3529, ""en"", ""bg"")"),"твърди вещества, течности, газове")</f>
        <v>твърди вещества, течности, газове</v>
      </c>
      <c r="E3529" s="1" t="str">
        <f ca="1">IFERROR(__xludf.DUMMYFUNCTION("GOOGLETRANSLATE(English!E3529, ""en"", ""bg"")"),"Можете ли да ми помогнете? Как водата преминава от течност в газообразно състояние?")</f>
        <v>Можете ли да ми помогнете? Как водата преминава от течност в газообразно състояние?</v>
      </c>
      <c r="F3529" s="1" t="str">
        <f ca="1">IFERROR(__xludf.DUMMYFUNCTION("GOOGLETRANSLATE(English!F3529,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3529" s="1" t="str">
        <f ca="1">IFERROR(__xludf.DUMMYFUNCTION("GOOGLETRANSLATE(English!G3529, ""en"", ""bg"")"),"разговор")</f>
        <v>разговор</v>
      </c>
      <c r="H3529" s="1" t="str">
        <f ca="1">IFERROR(__xludf.DUMMYFUNCTION("GOOGLETRANSLATE(English!H3529, ""en"", ""bg"")"),"образователна_помощ")</f>
        <v>образователна_помощ</v>
      </c>
    </row>
    <row r="3530" spans="1:8" ht="13.2" x14ac:dyDescent="0.25">
      <c r="A3530" s="1" t="str">
        <f ca="1">IFERROR(__xludf.DUMMYFUNCTION("GOOGLETRANSLATE(English!A3530, ""en"", ""bg"")"),"qa_14238")</f>
        <v>qa_14238</v>
      </c>
      <c r="B3530" s="1" t="str">
        <f ca="1">IFERROR(__xludf.DUMMYFUNCTION("GOOGLETRANSLATE(English!B3530, ""en"", ""bg"")"),"биология")</f>
        <v>биология</v>
      </c>
      <c r="C3530" s="1" t="str">
        <f ca="1">IFERROR(__xludf.DUMMYFUNCTION("GOOGLETRANSLATE(English!C3530, ""en"", ""bg"")"),"елементарен")</f>
        <v>елементарен</v>
      </c>
      <c r="D3530" s="1" t="str">
        <f ca="1">IFERROR(__xludf.DUMMYFUNCTION("GOOGLETRANSLATE(English!D3530, ""en"", ""bg"")"),"домашни любимци срещу диви животни")</f>
        <v>домашни любимци срещу диви животни</v>
      </c>
      <c r="E3530" s="1" t="str">
        <f ca="1">IFERROR(__xludf.DUMMYFUNCTION("GOOGLETRANSLATE(English!E3530, ""en"", ""bg"")"),"Как се различават домашните любимци от дивите животни?")</f>
        <v>Как се различават домашните любимци от дивите животни?</v>
      </c>
      <c r="F3530" s="1" t="str">
        <f ca="1">IFERROR(__xludf.DUMMYFUNCTION("GOOGLETRANSLATE(English!F3530,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3530" s="1" t="str">
        <f ca="1">IFERROR(__xludf.DUMMYFUNCTION("GOOGLETRANSLATE(English!G3530, ""en"", ""bg"")"),"direct_qa")</f>
        <v>direct_qa</v>
      </c>
      <c r="H3530" s="1" t="str">
        <f ca="1">IFERROR(__xludf.DUMMYFUNCTION("GOOGLETRANSLATE(English!H3530, ""en"", ""bg"")"),"заявка_за_знание")</f>
        <v>заявка_за_знание</v>
      </c>
    </row>
    <row r="3531" spans="1:8" ht="13.2" x14ac:dyDescent="0.25">
      <c r="A3531" s="1" t="str">
        <f ca="1">IFERROR(__xludf.DUMMYFUNCTION("GOOGLETRANSLATE(English!A3531, ""en"", ""bg"")"),"hw_01125")</f>
        <v>hw_01125</v>
      </c>
      <c r="B3531" s="1" t="str">
        <f ca="1">IFERROR(__xludf.DUMMYFUNCTION("GOOGLETRANSLATE(English!B3531, ""en"", ""bg"")"),"биология")</f>
        <v>биология</v>
      </c>
      <c r="C3531" s="1" t="str">
        <f ca="1">IFERROR(__xludf.DUMMYFUNCTION("GOOGLETRANSLATE(English!C3531, ""en"", ""bg"")"),"средата")</f>
        <v>средата</v>
      </c>
      <c r="D3531" s="1" t="str">
        <f ca="1">IFERROR(__xludf.DUMMYFUNCTION("GOOGLETRANSLATE(English!D3531, ""en"", ""bg"")"),"класификация")</f>
        <v>класификация</v>
      </c>
      <c r="E3531" s="1" t="str">
        <f ca="1">IFERROR(__xludf.DUMMYFUNCTION("GOOGLETRANSLATE(English!E3531, ""en"", ""bg"")"),"Можете ли да обясните класификацията за моя научен проект?")</f>
        <v>Можете ли да обясните класификацията за моя научен проект?</v>
      </c>
      <c r="F3531" s="1" t="str">
        <f ca="1">IFERROR(__xludf.DUMMYFUNCTION("GOOGLETRANSLATE(English!F3531,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3531" s="1" t="str">
        <f ca="1">IFERROR(__xludf.DUMMYFUNCTION("GOOGLETRANSLATE(English!G3531, ""en"", ""bg"")"),"помощ_за_домашно_изпълнение")</f>
        <v>помощ_за_домашно_изпълнение</v>
      </c>
      <c r="H3531" s="1" t="str">
        <f ca="1">IFERROR(__xludf.DUMMYFUNCTION("GOOGLETRANSLATE(English!H3531, ""en"", ""bg"")"),"помощ_за_домашно_задаване")</f>
        <v>помощ_за_домашно_задаване</v>
      </c>
    </row>
    <row r="3532" spans="1:8" ht="13.2" x14ac:dyDescent="0.25">
      <c r="A3532" s="1" t="str">
        <f ca="1">IFERROR(__xludf.DUMMYFUNCTION("GOOGLETRANSLATE(English!A3532, ""en"", ""bg"")"),"hw_14939")</f>
        <v>hw_14939</v>
      </c>
      <c r="B3532" s="1" t="str">
        <f ca="1">IFERROR(__xludf.DUMMYFUNCTION("GOOGLETRANSLATE(English!B3532, ""en"", ""bg"")"),"физика")</f>
        <v>физика</v>
      </c>
      <c r="C3532" s="1" t="str">
        <f ca="1">IFERROR(__xludf.DUMMYFUNCTION("GOOGLETRANSLATE(English!C3532, ""en"", ""bg"")"),"високо")</f>
        <v>високо</v>
      </c>
      <c r="D3532" s="1" t="str">
        <f ca="1">IFERROR(__xludf.DUMMYFUNCTION("GOOGLETRANSLATE(English!D3532, ""en"", ""bg"")"),"механика")</f>
        <v>механика</v>
      </c>
      <c r="E3532" s="1" t="str">
        <f ca="1">IFERROR(__xludf.DUMMYFUNCTION("GOOGLETRANSLATE(English!E3532, ""en"", ""bg"")"),"Домашното ми по физика е за механика. Объркващо е!")</f>
        <v>Домашното ми по физика е за механика. Объркващо е!</v>
      </c>
      <c r="F3532" s="1" t="str">
        <f ca="1">IFERROR(__xludf.DUMMYFUNCTION("GOOGLETRANSLATE(English!F3532,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532" s="1" t="str">
        <f ca="1">IFERROR(__xludf.DUMMYFUNCTION("GOOGLETRANSLATE(English!G3532, ""en"", ""bg"")"),"помощ_за_домашно_изпълнение")</f>
        <v>помощ_за_домашно_изпълнение</v>
      </c>
      <c r="H3532" s="1" t="str">
        <f ca="1">IFERROR(__xludf.DUMMYFUNCTION("GOOGLETRANSLATE(English!H3532, ""en"", ""bg"")"),"помощ_за_домашно_задаване")</f>
        <v>помощ_за_домашно_задаване</v>
      </c>
    </row>
    <row r="3533" spans="1:8" ht="13.2" x14ac:dyDescent="0.25">
      <c r="A3533" s="1" t="str">
        <f ca="1">IFERROR(__xludf.DUMMYFUNCTION("GOOGLETRANSLATE(English!A3533, ""en"", ""bg"")"),"qa_01384")</f>
        <v>qa_01384</v>
      </c>
      <c r="B3533" s="1" t="str">
        <f ca="1">IFERROR(__xludf.DUMMYFUNCTION("GOOGLETRANSLATE(English!B3533, ""en"", ""bg"")"),"химия")</f>
        <v>химия</v>
      </c>
      <c r="C3533" s="1" t="str">
        <f ca="1">IFERROR(__xludf.DUMMYFUNCTION("GOOGLETRANSLATE(English!C3533, ""en"", ""bg"")"),"елементарен")</f>
        <v>елементарен</v>
      </c>
      <c r="D3533" s="1" t="str">
        <f ca="1">IFERROR(__xludf.DUMMYFUNCTION("GOOGLETRANSLATE(English!D3533, ""en"", ""bg"")"),"разтваряне")</f>
        <v>разтваряне</v>
      </c>
      <c r="E3533" s="1" t="str">
        <f ca="1">IFERROR(__xludf.DUMMYFUNCTION("GOOGLETRANSLATE(English!E3533, ""en"", ""bg"")"),"Можете ли да ми помогнете да разбера разтварянето?")</f>
        <v>Можете ли да ми помогнете да разбера разтварянето?</v>
      </c>
      <c r="F3533" s="1" t="str">
        <f ca="1">IFERROR(__xludf.DUMMYFUNCTION("GOOGLETRANSLATE(English!F3533,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3533" s="1" t="str">
        <f ca="1">IFERROR(__xludf.DUMMYFUNCTION("GOOGLETRANSLATE(English!G3533, ""en"", ""bg"")"),"direct_qa")</f>
        <v>direct_qa</v>
      </c>
      <c r="H3533" s="1" t="str">
        <f ca="1">IFERROR(__xludf.DUMMYFUNCTION("GOOGLETRANSLATE(English!H3533, ""en"", ""bg"")"),"заявка_за_знание")</f>
        <v>заявка_за_знание</v>
      </c>
    </row>
    <row r="3534" spans="1:8" ht="13.2" x14ac:dyDescent="0.25">
      <c r="A3534" s="1" t="str">
        <f ca="1">IFERROR(__xludf.DUMMYFUNCTION("GOOGLETRANSLATE(English!A3534, ""en"", ""bg"")"),"hw_14688")</f>
        <v>hw_14688</v>
      </c>
      <c r="B3534" s="1" t="str">
        <f ca="1">IFERROR(__xludf.DUMMYFUNCTION("GOOGLETRANSLATE(English!B3534, ""en"", ""bg"")"),"физика")</f>
        <v>физика</v>
      </c>
      <c r="C3534" s="1" t="str">
        <f ca="1">IFERROR(__xludf.DUMMYFUNCTION("GOOGLETRANSLATE(English!C3534, ""en"", ""bg"")"),"средата")</f>
        <v>средата</v>
      </c>
      <c r="D3534" s="1" t="str">
        <f ca="1">IFERROR(__xludf.DUMMYFUNCTION("GOOGLETRANSLATE(English!D3534, ""en"", ""bg"")"),"прости схеми")</f>
        <v>прости схеми</v>
      </c>
      <c r="E3534" s="1" t="str">
        <f ca="1">IFERROR(__xludf.DUMMYFUNCTION("GOOGLETRANSLATE(English!E3534,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3534" s="1" t="str">
        <f ca="1">IFERROR(__xludf.DUMMYFUNCTION("GOOGLETRANSLATE(English!F3534,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534" s="1" t="str">
        <f ca="1">IFERROR(__xludf.DUMMYFUNCTION("GOOGLETRANSLATE(English!G3534, ""en"", ""bg"")"),"помощ_за_домашно_изпълнение")</f>
        <v>помощ_за_домашно_изпълнение</v>
      </c>
      <c r="H3534" s="1" t="str">
        <f ca="1">IFERROR(__xludf.DUMMYFUNCTION("GOOGLETRANSLATE(English!H3534, ""en"", ""bg"")"),"помощ_за_домашно_задаване")</f>
        <v>помощ_за_домашно_задаване</v>
      </c>
    </row>
    <row r="3535" spans="1:8" ht="13.2" x14ac:dyDescent="0.25">
      <c r="A3535" s="1" t="str">
        <f ca="1">IFERROR(__xludf.DUMMYFUNCTION("GOOGLETRANSLATE(English!A3535, ""en"", ""bg"")"),"hw_12739")</f>
        <v>hw_12739</v>
      </c>
      <c r="B3535" s="1" t="str">
        <f ca="1">IFERROR(__xludf.DUMMYFUNCTION("GOOGLETRANSLATE(English!B3535, ""en"", ""bg"")"),"биология")</f>
        <v>биология</v>
      </c>
      <c r="C3535" s="1" t="str">
        <f ca="1">IFERROR(__xludf.DUMMYFUNCTION("GOOGLETRANSLATE(English!C3535, ""en"", ""bg"")"),"високо")</f>
        <v>високо</v>
      </c>
      <c r="D3535" s="1" t="str">
        <f ca="1">IFERROR(__xludf.DUMMYFUNCTION("GOOGLETRANSLATE(English!D3535, ""en"", ""bg"")"),"клетъчно дишане")</f>
        <v>клетъчно дишане</v>
      </c>
      <c r="E3535" s="1" t="str">
        <f ca="1">IFERROR(__xludf.DUMMYFUNCTION("GOOGLETRANSLATE(English!E3535, ""en"", ""bg"")"),"Домашното ми пита за клетъчното дишане. Не го разбирам.")</f>
        <v>Домашното ми пита за клетъчното дишане. Не го разбирам.</v>
      </c>
      <c r="F3535" s="1" t="str">
        <f ca="1">IFERROR(__xludf.DUMMYFUNCTION("GOOGLETRANSLATE(English!F3535,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3535" s="1" t="str">
        <f ca="1">IFERROR(__xludf.DUMMYFUNCTION("GOOGLETRANSLATE(English!G3535, ""en"", ""bg"")"),"помощ_за_домашно_изпълнение")</f>
        <v>помощ_за_домашно_изпълнение</v>
      </c>
      <c r="H3535" s="1" t="str">
        <f ca="1">IFERROR(__xludf.DUMMYFUNCTION("GOOGLETRANSLATE(English!H3535, ""en"", ""bg"")"),"помощ_за_домашно_задаване")</f>
        <v>помощ_за_домашно_задаване</v>
      </c>
    </row>
    <row r="3536" spans="1:8" ht="13.2" x14ac:dyDescent="0.25">
      <c r="A3536" s="1" t="str">
        <f ca="1">IFERROR(__xludf.DUMMYFUNCTION("GOOGLETRANSLATE(English!A3536, ""en"", ""bg"")"),"conv_16924")</f>
        <v>conv_16924</v>
      </c>
      <c r="B3536" s="1" t="str">
        <f ca="1">IFERROR(__xludf.DUMMYFUNCTION("GOOGLETRANSLATE(English!B3536, ""en"", ""bg"")"),"биология")</f>
        <v>биология</v>
      </c>
      <c r="C3536" s="1" t="str">
        <f ca="1">IFERROR(__xludf.DUMMYFUNCTION("GOOGLETRANSLATE(English!C3536, ""en"", ""bg"")"),"средата")</f>
        <v>средата</v>
      </c>
      <c r="D3536" s="1" t="str">
        <f ca="1">IFERROR(__xludf.DUMMYFUNCTION("GOOGLETRANSLATE(English!D3536, ""en"", ""bg"")"),"основи на еволюцията")</f>
        <v>основи на еволюцията</v>
      </c>
      <c r="E3536" s="1" t="str">
        <f ca="1">IFERROR(__xludf.DUMMYFUNCTION("GOOGLETRANSLATE(English!E3536, ""en"", ""bg"")"),"Не разбирам тази тема. Защо основите на еволюцията са важни в биологията?")</f>
        <v>Не разбирам тази тема. Защо основите на еволюцията са важни в биологията?</v>
      </c>
      <c r="F3536" s="1" t="str">
        <f ca="1">IFERROR(__xludf.DUMMYFUNCTION("GOOGLETRANSLATE(English!F3536,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3536" s="1" t="str">
        <f ca="1">IFERROR(__xludf.DUMMYFUNCTION("GOOGLETRANSLATE(English!G3536, ""en"", ""bg"")"),"разговор")</f>
        <v>разговор</v>
      </c>
      <c r="H3536" s="1" t="str">
        <f ca="1">IFERROR(__xludf.DUMMYFUNCTION("GOOGLETRANSLATE(English!H3536, ""en"", ""bg"")"),"образователна_помощ")</f>
        <v>образователна_помощ</v>
      </c>
    </row>
    <row r="3537" spans="1:8" ht="13.2" x14ac:dyDescent="0.25">
      <c r="A3537" s="1" t="str">
        <f ca="1">IFERROR(__xludf.DUMMYFUNCTION("GOOGLETRANSLATE(English!A3537, ""en"", ""bg"")"),"conv_12234")</f>
        <v>conv_12234</v>
      </c>
      <c r="B3537" s="1" t="str">
        <f ca="1">IFERROR(__xludf.DUMMYFUNCTION("GOOGLETRANSLATE(English!B3537, ""en"", ""bg"")"),"физика")</f>
        <v>физика</v>
      </c>
      <c r="C3537" s="1" t="str">
        <f ca="1">IFERROR(__xludf.DUMMYFUNCTION("GOOGLETRANSLATE(English!C3537, ""en"", ""bg"")"),"високо")</f>
        <v>високо</v>
      </c>
      <c r="D3537" s="1" t="str">
        <f ca="1">IFERROR(__xludf.DUMMYFUNCTION("GOOGLETRANSLATE(English!D3537, ""en"", ""bg"")"),"атомна структура")</f>
        <v>атомна структура</v>
      </c>
      <c r="E3537" s="1" t="str">
        <f ca="1">IFERROR(__xludf.DUMMYFUNCTION("GOOGLETRANSLATE(English!E3537, ""en"", ""bg"")"),"Имам научен въпрос. Можете ли да ми обясните структурата на атома?")</f>
        <v>Имам научен въпрос. Можете ли да ми обясните структурата на атома?</v>
      </c>
      <c r="F3537" s="1" t="str">
        <f ca="1">IFERROR(__xludf.DUMMYFUNCTION("GOOGLETRANSLATE(English!F3537,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3537" s="1" t="str">
        <f ca="1">IFERROR(__xludf.DUMMYFUNCTION("GOOGLETRANSLATE(English!G3537, ""en"", ""bg"")"),"разговор")</f>
        <v>разговор</v>
      </c>
      <c r="H3537" s="1" t="str">
        <f ca="1">IFERROR(__xludf.DUMMYFUNCTION("GOOGLETRANSLATE(English!H3537, ""en"", ""bg"")"),"образователна_помощ")</f>
        <v>образователна_помощ</v>
      </c>
    </row>
    <row r="3538" spans="1:8" ht="13.2" x14ac:dyDescent="0.25">
      <c r="A3538" s="1" t="str">
        <f ca="1">IFERROR(__xludf.DUMMYFUNCTION("GOOGLETRANSLATE(English!A3538, ""en"", ""bg"")"),"conv_05072")</f>
        <v>conv_05072</v>
      </c>
      <c r="B3538" s="1" t="str">
        <f ca="1">IFERROR(__xludf.DUMMYFUNCTION("GOOGLETRANSLATE(English!B3538, ""en"", ""bg"")"),"химия")</f>
        <v>химия</v>
      </c>
      <c r="C3538" s="1" t="str">
        <f ca="1">IFERROR(__xludf.DUMMYFUNCTION("GOOGLETRANSLATE(English!C3538, ""en"", ""bg"")"),"средата")</f>
        <v>средата</v>
      </c>
      <c r="D3538" s="1" t="str">
        <f ca="1">IFERROR(__xludf.DUMMYFUNCTION("GOOGLETRANSLATE(English!D3538, ""en"", ""bg"")"),"съединения срещу елементи")</f>
        <v>съединения срещу елементи</v>
      </c>
      <c r="E3538" s="1" t="str">
        <f ca="1">IFERROR(__xludf.DUMMYFUNCTION("GOOGLETRANSLATE(English!E3538, ""en"", ""bg"")"),"Имам нужда от помощ с домашното. Как взаимодействат съединенията и елементите в химията?")</f>
        <v>Имам нужда от помощ с домашното. Как взаимодействат съединенията и елементите в химията?</v>
      </c>
      <c r="F3538" s="1" t="str">
        <f ca="1">IFERROR(__xludf.DUMMYFUNCTION("GOOGLETRANSLATE(English!F3538,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538" s="1" t="str">
        <f ca="1">IFERROR(__xludf.DUMMYFUNCTION("GOOGLETRANSLATE(English!G3538, ""en"", ""bg"")"),"разговор")</f>
        <v>разговор</v>
      </c>
      <c r="H3538" s="1" t="str">
        <f ca="1">IFERROR(__xludf.DUMMYFUNCTION("GOOGLETRANSLATE(English!H3538, ""en"", ""bg"")"),"образователна_помощ")</f>
        <v>образователна_помощ</v>
      </c>
    </row>
    <row r="3539" spans="1:8" ht="13.2" x14ac:dyDescent="0.25">
      <c r="A3539" s="1" t="str">
        <f ca="1">IFERROR(__xludf.DUMMYFUNCTION("GOOGLETRANSLATE(English!A3539, ""en"", ""bg"")"),"conv_12786")</f>
        <v>conv_12786</v>
      </c>
      <c r="B3539" s="1" t="str">
        <f ca="1">IFERROR(__xludf.DUMMYFUNCTION("GOOGLETRANSLATE(English!B3539, ""en"", ""bg"")"),"биология")</f>
        <v>биология</v>
      </c>
      <c r="C3539" s="1" t="str">
        <f ca="1">IFERROR(__xludf.DUMMYFUNCTION("GOOGLETRANSLATE(English!C3539, ""en"", ""bg"")"),"елементарен")</f>
        <v>елементарен</v>
      </c>
      <c r="D3539" s="1" t="str">
        <f ca="1">IFERROR(__xludf.DUMMYFUNCTION("GOOGLETRANSLATE(English!D3539, ""en"", ""bg"")"),"жизнени цикли")</f>
        <v>жизнени цикли</v>
      </c>
      <c r="E3539" s="1" t="str">
        <f ca="1">IFERROR(__xludf.DUMMYFUNCTION("GOOGLETRANSLATE(English!E3539, ""en"", ""bg"")"),"Можете ли да ми помогнете? Защо жизнените цикли са важни в биологията?")</f>
        <v>Можете ли да ми помогнете? Защо жизнените цикли са важни в биологията?</v>
      </c>
      <c r="F3539" s="1" t="str">
        <f ca="1">IFERROR(__xludf.DUMMYFUNCTION("GOOGLETRANSLATE(English!F3539,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3539" s="1" t="str">
        <f ca="1">IFERROR(__xludf.DUMMYFUNCTION("GOOGLETRANSLATE(English!G3539, ""en"", ""bg"")"),"разговор")</f>
        <v>разговор</v>
      </c>
      <c r="H3539" s="1" t="str">
        <f ca="1">IFERROR(__xludf.DUMMYFUNCTION("GOOGLETRANSLATE(English!H3539, ""en"", ""bg"")"),"образователна_помощ")</f>
        <v>образователна_помощ</v>
      </c>
    </row>
    <row r="3540" spans="1:8" ht="13.2" x14ac:dyDescent="0.25">
      <c r="A3540" s="1" t="str">
        <f ca="1">IFERROR(__xludf.DUMMYFUNCTION("GOOGLETRANSLATE(English!A3540, ""en"", ""bg"")"),"hw_05156")</f>
        <v>hw_05156</v>
      </c>
      <c r="B3540" s="1" t="str">
        <f ca="1">IFERROR(__xludf.DUMMYFUNCTION("GOOGLETRANSLATE(English!B3540, ""en"", ""bg"")"),"химия")</f>
        <v>химия</v>
      </c>
      <c r="C3540" s="1" t="str">
        <f ca="1">IFERROR(__xludf.DUMMYFUNCTION("GOOGLETRANSLATE(English!C3540, ""en"", ""bg"")"),"средата")</f>
        <v>средата</v>
      </c>
      <c r="D3540" s="1" t="str">
        <f ca="1">IFERROR(__xludf.DUMMYFUNCTION("GOOGLETRANSLATE(English!D3540, ""en"", ""bg"")"),"атоми и молекули")</f>
        <v>атоми и молекули</v>
      </c>
      <c r="E3540" s="1" t="str">
        <f ca="1">IFERROR(__xludf.DUMMYFUNCTION("GOOGLETRANSLATE(English!E3540,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3540" s="1" t="str">
        <f ca="1">IFERROR(__xludf.DUMMYFUNCTION("GOOGLETRANSLATE(English!F3540,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540" s="1" t="str">
        <f ca="1">IFERROR(__xludf.DUMMYFUNCTION("GOOGLETRANSLATE(English!G3540, ""en"", ""bg"")"),"помощ_за_домашно_изпълнение")</f>
        <v>помощ_за_домашно_изпълнение</v>
      </c>
      <c r="H3540" s="1" t="str">
        <f ca="1">IFERROR(__xludf.DUMMYFUNCTION("GOOGLETRANSLATE(English!H3540, ""en"", ""bg"")"),"помощ_за_домашно_задаване")</f>
        <v>помощ_за_домашно_задаване</v>
      </c>
    </row>
    <row r="3541" spans="1:8" ht="13.2" x14ac:dyDescent="0.25">
      <c r="A3541" s="1" t="str">
        <f ca="1">IFERROR(__xludf.DUMMYFUNCTION("GOOGLETRANSLATE(English!A3541, ""en"", ""bg"")"),"hw_07518")</f>
        <v>hw_07518</v>
      </c>
      <c r="B3541" s="1" t="str">
        <f ca="1">IFERROR(__xludf.DUMMYFUNCTION("GOOGLETRANSLATE(English!B3541, ""en"", ""bg"")"),"химия")</f>
        <v>химия</v>
      </c>
      <c r="C3541" s="1" t="str">
        <f ca="1">IFERROR(__xludf.DUMMYFUNCTION("GOOGLETRANSLATE(English!C3541, ""en"", ""bg"")"),"високо")</f>
        <v>високо</v>
      </c>
      <c r="D3541" s="1" t="str">
        <f ca="1">IFERROR(__xludf.DUMMYFUNCTION("GOOGLETRANSLATE(English!D3541, ""en"", ""bg"")"),"скорости на реакция")</f>
        <v>скорости на реакция</v>
      </c>
      <c r="E3541" s="1" t="str">
        <f ca="1">IFERROR(__xludf.DUMMYFUNCTION("GOOGLETRANSLATE(English!E3541, ""en"", ""bg"")"),"Имам проблеми с темпото на реакция в домашните си.")</f>
        <v>Имам проблеми с темпото на реакция в домашните си.</v>
      </c>
      <c r="F3541" s="1" t="str">
        <f ca="1">IFERROR(__xludf.DUMMYFUNCTION("GOOGLETRANSLATE(English!F3541,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3541" s="1" t="str">
        <f ca="1">IFERROR(__xludf.DUMMYFUNCTION("GOOGLETRANSLATE(English!G3541, ""en"", ""bg"")"),"помощ_за_домашно_изпълнение")</f>
        <v>помощ_за_домашно_изпълнение</v>
      </c>
      <c r="H3541" s="1" t="str">
        <f ca="1">IFERROR(__xludf.DUMMYFUNCTION("GOOGLETRANSLATE(English!H3541, ""en"", ""bg"")"),"помощ_за_домашно_задаване")</f>
        <v>помощ_за_домашно_задаване</v>
      </c>
    </row>
    <row r="3542" spans="1:8" ht="13.2" x14ac:dyDescent="0.25">
      <c r="A3542" s="1" t="str">
        <f ca="1">IFERROR(__xludf.DUMMYFUNCTION("GOOGLETRANSLATE(English!A3542, ""en"", ""bg"")"),"hw_14674")</f>
        <v>hw_14674</v>
      </c>
      <c r="B3542" s="1" t="str">
        <f ca="1">IFERROR(__xludf.DUMMYFUNCTION("GOOGLETRANSLATE(English!B3542, ""en"", ""bg"")"),"химия")</f>
        <v>химия</v>
      </c>
      <c r="C3542" s="1" t="str">
        <f ca="1">IFERROR(__xludf.DUMMYFUNCTION("GOOGLETRANSLATE(English!C3542, ""en"", ""bg"")"),"високо")</f>
        <v>високо</v>
      </c>
      <c r="D3542" s="1" t="str">
        <f ca="1">IFERROR(__xludf.DUMMYFUNCTION("GOOGLETRANSLATE(English!D3542, ""en"", ""bg"")"),"органична химия")</f>
        <v>органична химия</v>
      </c>
      <c r="E3542" s="1" t="str">
        <f ca="1">IFERROR(__xludf.DUMMYFUNCTION("GOOGLETRANSLATE(English!E3542,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3542" s="1" t="str">
        <f ca="1">IFERROR(__xludf.DUMMYFUNCTION("GOOGLETRANSLATE(English!F3542,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542" s="1" t="str">
        <f ca="1">IFERROR(__xludf.DUMMYFUNCTION("GOOGLETRANSLATE(English!G3542, ""en"", ""bg"")"),"помощ_за_домашно_изпълнение")</f>
        <v>помощ_за_домашно_изпълнение</v>
      </c>
      <c r="H3542" s="1" t="str">
        <f ca="1">IFERROR(__xludf.DUMMYFUNCTION("GOOGLETRANSLATE(English!H3542, ""en"", ""bg"")"),"помощ_за_домашно_задаване")</f>
        <v>помощ_за_домашно_задаване</v>
      </c>
    </row>
    <row r="3543" spans="1:8" ht="13.2" x14ac:dyDescent="0.25">
      <c r="A3543" s="1" t="str">
        <f ca="1">IFERROR(__xludf.DUMMYFUNCTION("GOOGLETRANSLATE(English!A3543, ""en"", ""bg"")"),"hw_04403")</f>
        <v>hw_04403</v>
      </c>
      <c r="B3543" s="1" t="str">
        <f ca="1">IFERROR(__xludf.DUMMYFUNCTION("GOOGLETRANSLATE(English!B3543, ""en"", ""bg"")"),"биология")</f>
        <v>биология</v>
      </c>
      <c r="C3543" s="1" t="str">
        <f ca="1">IFERROR(__xludf.DUMMYFUNCTION("GOOGLETRANSLATE(English!C3543, ""en"", ""bg"")"),"високо")</f>
        <v>високо</v>
      </c>
      <c r="D3543" s="1" t="str">
        <f ca="1">IFERROR(__xludf.DUMMYFUNCTION("GOOGLETRANSLATE(English!D3543, ""en"", ""bg"")"),"модели на наследяване")</f>
        <v>модели на наследяване</v>
      </c>
      <c r="E3543" s="1" t="str">
        <f ca="1">IFERROR(__xludf.DUMMYFUNCTION("GOOGLETRANSLATE(English!E3543,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3543" s="1" t="str">
        <f ca="1">IFERROR(__xludf.DUMMYFUNCTION("GOOGLETRANSLATE(English!F3543,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543" s="1" t="str">
        <f ca="1">IFERROR(__xludf.DUMMYFUNCTION("GOOGLETRANSLATE(English!G3543, ""en"", ""bg"")"),"помощ_за_домашно_изпълнение")</f>
        <v>помощ_за_домашно_изпълнение</v>
      </c>
      <c r="H3543" s="1" t="str">
        <f ca="1">IFERROR(__xludf.DUMMYFUNCTION("GOOGLETRANSLATE(English!H3543, ""en"", ""bg"")"),"помощ_за_домашно_задаване")</f>
        <v>помощ_за_домашно_задаване</v>
      </c>
    </row>
    <row r="3544" spans="1:8" ht="13.2" x14ac:dyDescent="0.25">
      <c r="A3544" s="1" t="str">
        <f ca="1">IFERROR(__xludf.DUMMYFUNCTION("GOOGLETRANSLATE(English!A3544, ""en"", ""bg"")"),"conv_15452")</f>
        <v>conv_15452</v>
      </c>
      <c r="B3544" s="1" t="str">
        <f ca="1">IFERROR(__xludf.DUMMYFUNCTION("GOOGLETRANSLATE(English!B3544, ""en"", ""bg"")"),"биология")</f>
        <v>биология</v>
      </c>
      <c r="C3544" s="1" t="str">
        <f ca="1">IFERROR(__xludf.DUMMYFUNCTION("GOOGLETRANSLATE(English!C3544, ""en"", ""bg"")"),"високо")</f>
        <v>високо</v>
      </c>
      <c r="D3544" s="1" t="str">
        <f ca="1">IFERROR(__xludf.DUMMYFUNCTION("GOOGLETRANSLATE(English!D3544, ""en"", ""bg"")"),"модели на наследяване")</f>
        <v>модели на наследяване</v>
      </c>
      <c r="E3544" s="1" t="str">
        <f ca="1">IFERROR(__xludf.DUMMYFUNCTION("GOOGLETRANSLATE(English!E3544, ""en"", ""bg"")"),"Имам нужда от помощ с домашното. Защо моделите на наследяване са важни в биологията?")</f>
        <v>Имам нужда от помощ с домашното. Защо моделите на наследяване са важни в биологията?</v>
      </c>
      <c r="F3544" s="1" t="str">
        <f ca="1">IFERROR(__xludf.DUMMYFUNCTION("GOOGLETRANSLATE(English!F3544,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3544" s="1" t="str">
        <f ca="1">IFERROR(__xludf.DUMMYFUNCTION("GOOGLETRANSLATE(English!G3544, ""en"", ""bg"")"),"разговор")</f>
        <v>разговор</v>
      </c>
      <c r="H3544" s="1" t="str">
        <f ca="1">IFERROR(__xludf.DUMMYFUNCTION("GOOGLETRANSLATE(English!H3544, ""en"", ""bg"")"),"образователна_помощ")</f>
        <v>образователна_помощ</v>
      </c>
    </row>
    <row r="3545" spans="1:8" ht="13.2" x14ac:dyDescent="0.25">
      <c r="A3545" s="1" t="str">
        <f ca="1">IFERROR(__xludf.DUMMYFUNCTION("GOOGLETRANSLATE(English!A3545, ""en"", ""bg"")"),"hw_06124")</f>
        <v>hw_06124</v>
      </c>
      <c r="B3545" s="1" t="str">
        <f ca="1">IFERROR(__xludf.DUMMYFUNCTION("GOOGLETRANSLATE(English!B3545, ""en"", ""bg"")"),"химия")</f>
        <v>химия</v>
      </c>
      <c r="C3545" s="1" t="str">
        <f ca="1">IFERROR(__xludf.DUMMYFUNCTION("GOOGLETRANSLATE(English!C3545, ""en"", ""bg"")"),"елементарен")</f>
        <v>елементарен</v>
      </c>
      <c r="D3545" s="1" t="str">
        <f ca="1">IFERROR(__xludf.DUMMYFUNCTION("GOOGLETRANSLATE(English!D3545, ""en"", ""bg"")"),"безопасност")</f>
        <v>безопасност</v>
      </c>
      <c r="E3545" s="1" t="str">
        <f ca="1">IFERROR(__xludf.DUMMYFUNCTION("GOOGLETRANSLATE(English!E3545,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3545" s="1" t="str">
        <f ca="1">IFERROR(__xludf.DUMMYFUNCTION("GOOGLETRANSLATE(English!F3545,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545" s="1" t="str">
        <f ca="1">IFERROR(__xludf.DUMMYFUNCTION("GOOGLETRANSLATE(English!G3545, ""en"", ""bg"")"),"помощ_за_домашно_изпълнение")</f>
        <v>помощ_за_домашно_изпълнение</v>
      </c>
      <c r="H3545" s="1" t="str">
        <f ca="1">IFERROR(__xludf.DUMMYFUNCTION("GOOGLETRANSLATE(English!H3545, ""en"", ""bg"")"),"помощ_за_домашно_задаване")</f>
        <v>помощ_за_домашно_задаване</v>
      </c>
    </row>
    <row r="3546" spans="1:8" ht="13.2" x14ac:dyDescent="0.25">
      <c r="A3546" s="1" t="str">
        <f ca="1">IFERROR(__xludf.DUMMYFUNCTION("GOOGLETRANSLATE(English!A3546, ""en"", ""bg"")"),"conv_16559")</f>
        <v>conv_16559</v>
      </c>
      <c r="B3546" s="1" t="str">
        <f ca="1">IFERROR(__xludf.DUMMYFUNCTION("GOOGLETRANSLATE(English!B3546, ""en"", ""bg"")"),"физика")</f>
        <v>физика</v>
      </c>
      <c r="C3546" s="1" t="str">
        <f ca="1">IFERROR(__xludf.DUMMYFUNCTION("GOOGLETRANSLATE(English!C3546, ""en"", ""bg"")"),"високо")</f>
        <v>високо</v>
      </c>
      <c r="D3546" s="1" t="str">
        <f ca="1">IFERROR(__xludf.DUMMYFUNCTION("GOOGLETRANSLATE(English!D3546, ""en"", ""bg"")"),"радиоактивност")</f>
        <v>радиоактивност</v>
      </c>
      <c r="E3546" s="1" t="str">
        <f ca="1">IFERROR(__xludf.DUMMYFUNCTION("GOOGLETRANSLATE(English!E3546, ""en"", ""bg"")"),"Можете ли да ми обясните това? Какво трябва да знам за радиоактивността?")</f>
        <v>Можете ли да ми обясните това? Какво трябва да знам за радиоактивността?</v>
      </c>
      <c r="F3546" s="1" t="str">
        <f ca="1">IFERROR(__xludf.DUMMYFUNCTION("GOOGLETRANSLATE(English!F3546,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3546" s="1" t="str">
        <f ca="1">IFERROR(__xludf.DUMMYFUNCTION("GOOGLETRANSLATE(English!G3546, ""en"", ""bg"")"),"разговор")</f>
        <v>разговор</v>
      </c>
      <c r="H3546" s="1" t="str">
        <f ca="1">IFERROR(__xludf.DUMMYFUNCTION("GOOGLETRANSLATE(English!H3546, ""en"", ""bg"")"),"образователна_помощ")</f>
        <v>образователна_помощ</v>
      </c>
    </row>
    <row r="3547" spans="1:8" ht="13.2" x14ac:dyDescent="0.25">
      <c r="A3547" s="1" t="str">
        <f ca="1">IFERROR(__xludf.DUMMYFUNCTION("GOOGLETRANSLATE(English!A3547, ""en"", ""bg"")"),"qa_03679")</f>
        <v>qa_03679</v>
      </c>
      <c r="B3547" s="1" t="str">
        <f ca="1">IFERROR(__xludf.DUMMYFUNCTION("GOOGLETRANSLATE(English!B3547, ""en"", ""bg"")"),"биология")</f>
        <v>биология</v>
      </c>
      <c r="C3547" s="1" t="str">
        <f ca="1">IFERROR(__xludf.DUMMYFUNCTION("GOOGLETRANSLATE(English!C3547, ""en"", ""bg"")"),"елементарен")</f>
        <v>елементарен</v>
      </c>
      <c r="D3547" s="1" t="str">
        <f ca="1">IFERROR(__xludf.DUMMYFUNCTION("GOOGLETRANSLATE(English!D3547, ""en"", ""bg"")"),"сетива")</f>
        <v>сетива</v>
      </c>
      <c r="E3547" s="1" t="str">
        <f ca="1">IFERROR(__xludf.DUMMYFUNCTION("GOOGLETRANSLATE(English!E3547, ""en"", ""bg"")"),"Как работят сетивата?")</f>
        <v>Как работят сетивата?</v>
      </c>
      <c r="F3547" s="1" t="str">
        <f ca="1">IFERROR(__xludf.DUMMYFUNCTION("GOOGLETRANSLATE(English!F3547,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3547" s="1" t="str">
        <f ca="1">IFERROR(__xludf.DUMMYFUNCTION("GOOGLETRANSLATE(English!G3547, ""en"", ""bg"")"),"direct_qa")</f>
        <v>direct_qa</v>
      </c>
      <c r="H3547" s="1" t="str">
        <f ca="1">IFERROR(__xludf.DUMMYFUNCTION("GOOGLETRANSLATE(English!H3547, ""en"", ""bg"")"),"заявка_за_знание")</f>
        <v>заявка_за_знание</v>
      </c>
    </row>
    <row r="3548" spans="1:8" ht="13.2" x14ac:dyDescent="0.25">
      <c r="A3548" s="1" t="str">
        <f ca="1">IFERROR(__xludf.DUMMYFUNCTION("GOOGLETRANSLATE(English!A3548, ""en"", ""bg"")"),"hw_09545")</f>
        <v>hw_09545</v>
      </c>
      <c r="B3548" s="1" t="str">
        <f ca="1">IFERROR(__xludf.DUMMYFUNCTION("GOOGLETRANSLATE(English!B3548, ""en"", ""bg"")"),"химия")</f>
        <v>химия</v>
      </c>
      <c r="C3548" s="1" t="str">
        <f ca="1">IFERROR(__xludf.DUMMYFUNCTION("GOOGLETRANSLATE(English!C3548, ""en"", ""bg"")"),"елементарен")</f>
        <v>елементарен</v>
      </c>
      <c r="D3548" s="1" t="str">
        <f ca="1">IFERROR(__xludf.DUMMYFUNCTION("GOOGLETRANSLATE(English!D3548, ""en"", ""bg"")"),"безопасност")</f>
        <v>безопасност</v>
      </c>
      <c r="E3548" s="1" t="str">
        <f ca="1">IFERROR(__xludf.DUMMYFUNCTION("GOOGLETRANSLATE(English!E3548, ""en"", ""bg"")"),"Трудно ми е с безопасността при домашното.")</f>
        <v>Трудно ми е с безопасността при домашното.</v>
      </c>
      <c r="F3548" s="1" t="str">
        <f ca="1">IFERROR(__xludf.DUMMYFUNCTION("GOOGLETRANSLATE(English!F3548,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548" s="1" t="str">
        <f ca="1">IFERROR(__xludf.DUMMYFUNCTION("GOOGLETRANSLATE(English!G3548, ""en"", ""bg"")"),"помощ_за_домашно_изпълнение")</f>
        <v>помощ_за_домашно_изпълнение</v>
      </c>
      <c r="H3548" s="1" t="str">
        <f ca="1">IFERROR(__xludf.DUMMYFUNCTION("GOOGLETRANSLATE(English!H3548, ""en"", ""bg"")"),"помощ_за_домашно_задаване")</f>
        <v>помощ_за_домашно_задаване</v>
      </c>
    </row>
    <row r="3549" spans="1:8" ht="13.2" x14ac:dyDescent="0.25">
      <c r="A3549" s="1" t="str">
        <f ca="1">IFERROR(__xludf.DUMMYFUNCTION("GOOGLETRANSLATE(English!A3549, ""en"", ""bg"")"),"conv_13724")</f>
        <v>conv_13724</v>
      </c>
      <c r="B3549" s="1" t="str">
        <f ca="1">IFERROR(__xludf.DUMMYFUNCTION("GOOGLETRANSLATE(English!B3549, ""en"", ""bg"")"),"биология")</f>
        <v>биология</v>
      </c>
      <c r="C3549" s="1" t="str">
        <f ca="1">IFERROR(__xludf.DUMMYFUNCTION("GOOGLETRANSLATE(English!C3549, ""en"", ""bg"")"),"средата")</f>
        <v>средата</v>
      </c>
      <c r="D3549" s="1" t="str">
        <f ca="1">IFERROR(__xludf.DUMMYFUNCTION("GOOGLETRANSLATE(English!D3549, ""en"", ""bg"")"),"дишане")</f>
        <v>дишане</v>
      </c>
      <c r="E3549" s="1" t="str">
        <f ca="1">IFERROR(__xludf.DUMMYFUNCTION("GOOGLETRANSLATE(English!E3549, ""en"", ""bg"")"),"Можете ли да ми помогнете? Какво е важно да знаем за дишането?")</f>
        <v>Можете ли да ми помогнете? Какво е важно да знаем за дишането?</v>
      </c>
      <c r="F3549" s="1" t="str">
        <f ca="1">IFERROR(__xludf.DUMMYFUNCTION("GOOGLETRANSLATE(English!F3549,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3549" s="1" t="str">
        <f ca="1">IFERROR(__xludf.DUMMYFUNCTION("GOOGLETRANSLATE(English!G3549, ""en"", ""bg"")"),"разговор")</f>
        <v>разговор</v>
      </c>
      <c r="H3549" s="1" t="str">
        <f ca="1">IFERROR(__xludf.DUMMYFUNCTION("GOOGLETRANSLATE(English!H3549, ""en"", ""bg"")"),"образователна_помощ")</f>
        <v>образователна_помощ</v>
      </c>
    </row>
    <row r="3550" spans="1:8" ht="13.2" x14ac:dyDescent="0.25">
      <c r="A3550" s="1" t="str">
        <f ca="1">IFERROR(__xludf.DUMMYFUNCTION("GOOGLETRANSLATE(English!A3550, ""en"", ""bg"")"),"hw_04165")</f>
        <v>hw_04165</v>
      </c>
      <c r="B3550" s="1" t="str">
        <f ca="1">IFERROR(__xludf.DUMMYFUNCTION("GOOGLETRANSLATE(English!B3550, ""en"", ""bg"")"),"химия")</f>
        <v>химия</v>
      </c>
      <c r="C3550" s="1" t="str">
        <f ca="1">IFERROR(__xludf.DUMMYFUNCTION("GOOGLETRANSLATE(English!C3550, ""en"", ""bg"")"),"средата")</f>
        <v>средата</v>
      </c>
      <c r="D3550" s="1" t="str">
        <f ca="1">IFERROR(__xludf.DUMMYFUNCTION("GOOGLETRANSLATE(English!D3550, ""en"", ""bg"")"),"атоми и молекули")</f>
        <v>атоми и молекули</v>
      </c>
      <c r="E3550" s="1" t="str">
        <f ca="1">IFERROR(__xludf.DUMMYFUNCTION("GOOGLETRANSLATE(English!E3550,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3550" s="1" t="str">
        <f ca="1">IFERROR(__xludf.DUMMYFUNCTION("GOOGLETRANSLATE(English!F3550,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550" s="1" t="str">
        <f ca="1">IFERROR(__xludf.DUMMYFUNCTION("GOOGLETRANSLATE(English!G3550, ""en"", ""bg"")"),"помощ_за_домашно_изпълнение")</f>
        <v>помощ_за_домашно_изпълнение</v>
      </c>
      <c r="H3550" s="1" t="str">
        <f ca="1">IFERROR(__xludf.DUMMYFUNCTION("GOOGLETRANSLATE(English!H3550, ""en"", ""bg"")"),"помощ_за_домашно_задаване")</f>
        <v>помощ_за_домашно_задаване</v>
      </c>
    </row>
    <row r="3551" spans="1:8" ht="13.2" x14ac:dyDescent="0.25">
      <c r="A3551" s="1" t="str">
        <f ca="1">IFERROR(__xludf.DUMMYFUNCTION("GOOGLETRANSLATE(English!A3551, ""en"", ""bg"")"),"conv_13883")</f>
        <v>conv_13883</v>
      </c>
      <c r="B3551" s="1" t="str">
        <f ca="1">IFERROR(__xludf.DUMMYFUNCTION("GOOGLETRANSLATE(English!B3551, ""en"", ""bg"")"),"биология")</f>
        <v>биология</v>
      </c>
      <c r="C3551" s="1" t="str">
        <f ca="1">IFERROR(__xludf.DUMMYFUNCTION("GOOGLETRANSLATE(English!C3551, ""en"", ""bg"")"),"елементарен")</f>
        <v>елементарен</v>
      </c>
      <c r="D3551" s="1" t="str">
        <f ca="1">IFERROR(__xludf.DUMMYFUNCTION("GOOGLETRANSLATE(English!D3551, ""en"", ""bg"")"),"домашни любимци срещу диви животни")</f>
        <v>домашни любимци срещу диви животни</v>
      </c>
      <c r="E3551" s="1" t="str">
        <f ca="1">IFERROR(__xludf.DUMMYFUNCTION("GOOGLETRANSLATE(English!E3551, ""en"", ""bg"")"),"Не разбирам тази тема. Защо домашните любимци срещу дивите животни са важни в биологията?")</f>
        <v>Не разбирам тази тема. Защо домашните любимци срещу дивите животни са важни в биологията?</v>
      </c>
      <c r="F3551" s="1" t="str">
        <f ca="1">IFERROR(__xludf.DUMMYFUNCTION("GOOGLETRANSLATE(English!F3551,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3551" s="1" t="str">
        <f ca="1">IFERROR(__xludf.DUMMYFUNCTION("GOOGLETRANSLATE(English!G3551, ""en"", ""bg"")"),"разговор")</f>
        <v>разговор</v>
      </c>
      <c r="H3551" s="1" t="str">
        <f ca="1">IFERROR(__xludf.DUMMYFUNCTION("GOOGLETRANSLATE(English!H3551, ""en"", ""bg"")"),"образователна_помощ")</f>
        <v>образователна_помощ</v>
      </c>
    </row>
    <row r="3552" spans="1:8" ht="13.2" x14ac:dyDescent="0.25">
      <c r="A3552" s="1" t="str">
        <f ca="1">IFERROR(__xludf.DUMMYFUNCTION("GOOGLETRANSLATE(English!A3552, ""en"", ""bg"")"),"qa_02671")</f>
        <v>qa_02671</v>
      </c>
      <c r="B3552" s="1" t="str">
        <f ca="1">IFERROR(__xludf.DUMMYFUNCTION("GOOGLETRANSLATE(English!B3552, ""en"", ""bg"")"),"физика")</f>
        <v>физика</v>
      </c>
      <c r="C3552" s="1" t="str">
        <f ca="1">IFERROR(__xludf.DUMMYFUNCTION("GOOGLETRANSLATE(English!C3552, ""en"", ""bg"")"),"средата")</f>
        <v>средата</v>
      </c>
      <c r="D3552" s="1" t="str">
        <f ca="1">IFERROR(__xludf.DUMMYFUNCTION("GOOGLETRANSLATE(English!D3552, ""en"", ""bg"")"),"плътност")</f>
        <v>плътност</v>
      </c>
      <c r="E3552" s="1" t="str">
        <f ca="1">IFERROR(__xludf.DUMMYFUNCTION("GOOGLETRANSLATE(English!E3552, ""en"", ""bg"")"),"Как работи плътността във физиката?")</f>
        <v>Как работи плътността във физиката?</v>
      </c>
      <c r="F3552" s="1" t="str">
        <f ca="1">IFERROR(__xludf.DUMMYFUNCTION("GOOGLETRANSLATE(English!F3552,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3552" s="1" t="str">
        <f ca="1">IFERROR(__xludf.DUMMYFUNCTION("GOOGLETRANSLATE(English!G3552, ""en"", ""bg"")"),"direct_qa")</f>
        <v>direct_qa</v>
      </c>
      <c r="H3552" s="1" t="str">
        <f ca="1">IFERROR(__xludf.DUMMYFUNCTION("GOOGLETRANSLATE(English!H3552, ""en"", ""bg"")"),"заявка_за_знание")</f>
        <v>заявка_за_знание</v>
      </c>
    </row>
    <row r="3553" spans="1:8" ht="13.2" x14ac:dyDescent="0.25">
      <c r="A3553" s="1" t="str">
        <f ca="1">IFERROR(__xludf.DUMMYFUNCTION("GOOGLETRANSLATE(English!A3553, ""en"", ""bg"")"),"hw_12291")</f>
        <v>hw_12291</v>
      </c>
      <c r="B3553" s="1" t="str">
        <f ca="1">IFERROR(__xludf.DUMMYFUNCTION("GOOGLETRANSLATE(English!B3553, ""en"", ""bg"")"),"химия")</f>
        <v>химия</v>
      </c>
      <c r="C3553" s="1" t="str">
        <f ca="1">IFERROR(__xludf.DUMMYFUNCTION("GOOGLETRANSLATE(English!C3553, ""en"", ""bg"")"),"елементарен")</f>
        <v>елементарен</v>
      </c>
      <c r="D3553" s="1" t="str">
        <f ca="1">IFERROR(__xludf.DUMMYFUNCTION("GOOGLETRANSLATE(English!D3553, ""en"", ""bg"")"),"безопасност")</f>
        <v>безопасност</v>
      </c>
      <c r="E3553" s="1" t="str">
        <f ca="1">IFERROR(__xludf.DUMMYFUNCTION("GOOGLETRANSLATE(English!E3553, ""en"", ""bg"")"),"Трудно ми е с безопасността при домашното.")</f>
        <v>Трудно ми е с безопасността при домашното.</v>
      </c>
      <c r="F3553" s="1" t="str">
        <f ca="1">IFERROR(__xludf.DUMMYFUNCTION("GOOGLETRANSLATE(English!F3553,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553" s="1" t="str">
        <f ca="1">IFERROR(__xludf.DUMMYFUNCTION("GOOGLETRANSLATE(English!G3553, ""en"", ""bg"")"),"помощ_за_домашно_изпълнение")</f>
        <v>помощ_за_домашно_изпълнение</v>
      </c>
      <c r="H3553" s="1" t="str">
        <f ca="1">IFERROR(__xludf.DUMMYFUNCTION("GOOGLETRANSLATE(English!H3553, ""en"", ""bg"")"),"помощ_за_домашно_задаване")</f>
        <v>помощ_за_домашно_задаване</v>
      </c>
    </row>
    <row r="3554" spans="1:8" ht="13.2" x14ac:dyDescent="0.25">
      <c r="A3554" s="1" t="str">
        <f ca="1">IFERROR(__xludf.DUMMYFUNCTION("GOOGLETRANSLATE(English!A3554, ""en"", ""bg"")"),"hw_05453")</f>
        <v>hw_05453</v>
      </c>
      <c r="B3554" s="1" t="str">
        <f ca="1">IFERROR(__xludf.DUMMYFUNCTION("GOOGLETRANSLATE(English!B3554, ""en"", ""bg"")"),"физика")</f>
        <v>физика</v>
      </c>
      <c r="C3554" s="1" t="str">
        <f ca="1">IFERROR(__xludf.DUMMYFUNCTION("GOOGLETRANSLATE(English!C3554, ""en"", ""bg"")"),"средата")</f>
        <v>средата</v>
      </c>
      <c r="D3554" s="1" t="str">
        <f ca="1">IFERROR(__xludf.DUMMYFUNCTION("GOOGLETRANSLATE(English!D3554, ""en"", ""bg"")"),"основи на електричеството")</f>
        <v>основи на електричеството</v>
      </c>
      <c r="E3554" s="1" t="str">
        <f ca="1">IFERROR(__xludf.DUMMYFUNCTION("GOOGLETRANSLATE(English!E3554,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3554" s="1" t="str">
        <f ca="1">IFERROR(__xludf.DUMMYFUNCTION("GOOGLETRANSLATE(English!F3554,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3554" s="1" t="str">
        <f ca="1">IFERROR(__xludf.DUMMYFUNCTION("GOOGLETRANSLATE(English!G3554, ""en"", ""bg"")"),"помощ_за_домашно_изпълнение")</f>
        <v>помощ_за_домашно_изпълнение</v>
      </c>
      <c r="H3554" s="1" t="str">
        <f ca="1">IFERROR(__xludf.DUMMYFUNCTION("GOOGLETRANSLATE(English!H3554, ""en"", ""bg"")"),"помощ_за_домашно_задаване")</f>
        <v>помощ_за_домашно_задаване</v>
      </c>
    </row>
    <row r="3555" spans="1:8" ht="13.2" x14ac:dyDescent="0.25">
      <c r="A3555" s="1" t="str">
        <f ca="1">IFERROR(__xludf.DUMMYFUNCTION("GOOGLETRANSLATE(English!A3555, ""en"", ""bg"")"),"qa_10748")</f>
        <v>qa_10748</v>
      </c>
      <c r="B3555" s="1" t="str">
        <f ca="1">IFERROR(__xludf.DUMMYFUNCTION("GOOGLETRANSLATE(English!B3555, ""en"", ""bg"")"),"химия")</f>
        <v>химия</v>
      </c>
      <c r="C3555" s="1" t="str">
        <f ca="1">IFERROR(__xludf.DUMMYFUNCTION("GOOGLETRANSLATE(English!C3555, ""en"", ""bg"")"),"елементарен")</f>
        <v>елементарен</v>
      </c>
      <c r="D3555" s="1" t="str">
        <f ca="1">IFERROR(__xludf.DUMMYFUNCTION("GOOGLETRANSLATE(English!D3555, ""en"", ""bg"")"),"промени в материалите")</f>
        <v>промени в материалите</v>
      </c>
      <c r="E3555" s="1" t="str">
        <f ca="1">IFERROR(__xludf.DUMMYFUNCTION("GOOGLETRANSLATE(English!E3555, ""en"", ""bg"")"),"Защо е важно да се изучават промените в материалите?")</f>
        <v>Защо е важно да се изучават промените в материалите?</v>
      </c>
      <c r="F3555" s="1" t="str">
        <f ca="1">IFERROR(__xludf.DUMMYFUNCTION("GOOGLETRANSLATE(English!F3555,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3555" s="1" t="str">
        <f ca="1">IFERROR(__xludf.DUMMYFUNCTION("GOOGLETRANSLATE(English!G3555, ""en"", ""bg"")"),"direct_qa")</f>
        <v>direct_qa</v>
      </c>
      <c r="H3555" s="1" t="str">
        <f ca="1">IFERROR(__xludf.DUMMYFUNCTION("GOOGLETRANSLATE(English!H3555, ""en"", ""bg"")"),"заявка_за_знание")</f>
        <v>заявка_за_знание</v>
      </c>
    </row>
    <row r="3556" spans="1:8" ht="13.2" x14ac:dyDescent="0.25">
      <c r="A3556" s="1" t="str">
        <f ca="1">IFERROR(__xludf.DUMMYFUNCTION("GOOGLETRANSLATE(English!A3556, ""en"", ""bg"")"),"hw_12722")</f>
        <v>hw_12722</v>
      </c>
      <c r="B3556" s="1" t="str">
        <f ca="1">IFERROR(__xludf.DUMMYFUNCTION("GOOGLETRANSLATE(English!B3556, ""en"", ""bg"")"),"биология")</f>
        <v>биология</v>
      </c>
      <c r="C3556" s="1" t="str">
        <f ca="1">IFERROR(__xludf.DUMMYFUNCTION("GOOGLETRANSLATE(English!C3556, ""en"", ""bg"")"),"средата")</f>
        <v>средата</v>
      </c>
      <c r="D3556" s="1" t="str">
        <f ca="1">IFERROR(__xludf.DUMMYFUNCTION("GOOGLETRANSLATE(English!D3556, ""en"", ""bg"")"),"основи на генетиката")</f>
        <v>основи на генетиката</v>
      </c>
      <c r="E3556" s="1" t="str">
        <f ca="1">IFERROR(__xludf.DUMMYFUNCTION("GOOGLETRANSLATE(English!E3556, ""en"", ""bg"")"),"Домашното ми пита за основите на генетиката. Не го разбирам.")</f>
        <v>Домашното ми пита за основите на генетиката. Не го разбирам.</v>
      </c>
      <c r="F3556" s="1" t="str">
        <f ca="1">IFERROR(__xludf.DUMMYFUNCTION("GOOGLETRANSLATE(English!F3556,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3556" s="1" t="str">
        <f ca="1">IFERROR(__xludf.DUMMYFUNCTION("GOOGLETRANSLATE(English!G3556, ""en"", ""bg"")"),"помощ_за_домашно_изпълнение")</f>
        <v>помощ_за_домашно_изпълнение</v>
      </c>
      <c r="H3556" s="1" t="str">
        <f ca="1">IFERROR(__xludf.DUMMYFUNCTION("GOOGLETRANSLATE(English!H3556, ""en"", ""bg"")"),"помощ_за_домашно_задаване")</f>
        <v>помощ_за_домашно_задаване</v>
      </c>
    </row>
    <row r="3557" spans="1:8" ht="13.2" x14ac:dyDescent="0.25">
      <c r="A3557" s="1" t="str">
        <f ca="1">IFERROR(__xludf.DUMMYFUNCTION("GOOGLETRANSLATE(English!A3557, ""en"", ""bg"")"),"conv_00122")</f>
        <v>conv_00122</v>
      </c>
      <c r="B3557" s="1" t="str">
        <f ca="1">IFERROR(__xludf.DUMMYFUNCTION("GOOGLETRANSLATE(English!B3557, ""en"", ""bg"")"),"физика")</f>
        <v>физика</v>
      </c>
      <c r="C3557" s="1" t="str">
        <f ca="1">IFERROR(__xludf.DUMMYFUNCTION("GOOGLETRANSLATE(English!C3557, ""en"", ""bg"")"),"средата")</f>
        <v>средата</v>
      </c>
      <c r="D3557" s="1" t="str">
        <f ca="1">IFERROR(__xludf.DUMMYFUNCTION("GOOGLETRANSLATE(English!D3557, ""en"", ""bg"")"),"прости схеми")</f>
        <v>прости схеми</v>
      </c>
      <c r="E3557" s="1" t="str">
        <f ca="1">IFERROR(__xludf.DUMMYFUNCTION("GOOGLETRANSLATE(English!E3557, ""en"", ""bg"")"),"Имам нужда от помощ с домашното си. Как работят прости електрически вериги във физиката?")</f>
        <v>Имам нужда от помощ с домашното си. Как работят прости електрически вериги във физиката?</v>
      </c>
      <c r="F3557" s="1" t="str">
        <f ca="1">IFERROR(__xludf.DUMMYFUNCTION("GOOGLETRANSLATE(English!F3557,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3557" s="1" t="str">
        <f ca="1">IFERROR(__xludf.DUMMYFUNCTION("GOOGLETRANSLATE(English!G3557, ""en"", ""bg"")"),"разговор")</f>
        <v>разговор</v>
      </c>
      <c r="H3557" s="1" t="str">
        <f ca="1">IFERROR(__xludf.DUMMYFUNCTION("GOOGLETRANSLATE(English!H3557, ""en"", ""bg"")"),"образователна_помощ")</f>
        <v>образователна_помощ</v>
      </c>
    </row>
    <row r="3558" spans="1:8" ht="13.2" x14ac:dyDescent="0.25">
      <c r="A3558" s="1" t="str">
        <f ca="1">IFERROR(__xludf.DUMMYFUNCTION("GOOGLETRANSLATE(English!A3558, ""en"", ""bg"")"),"hw_13193")</f>
        <v>hw_13193</v>
      </c>
      <c r="B3558" s="1" t="str">
        <f ca="1">IFERROR(__xludf.DUMMYFUNCTION("GOOGLETRANSLATE(English!B3558, ""en"", ""bg"")"),"физика")</f>
        <v>физика</v>
      </c>
      <c r="C3558" s="1" t="str">
        <f ca="1">IFERROR(__xludf.DUMMYFUNCTION("GOOGLETRANSLATE(English!C3558, ""en"", ""bg"")"),"високо")</f>
        <v>високо</v>
      </c>
      <c r="D3558" s="1" t="str">
        <f ca="1">IFERROR(__xludf.DUMMYFUNCTION("GOOGLETRANSLATE(English!D3558, ""en"", ""bg"")"),"атомна структура")</f>
        <v>атомна структура</v>
      </c>
      <c r="E3558" s="1" t="str">
        <f ca="1">IFERROR(__xludf.DUMMYFUNCTION("GOOGLETRANSLATE(English!E3558,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3558" s="1" t="str">
        <f ca="1">IFERROR(__xludf.DUMMYFUNCTION("GOOGLETRANSLATE(English!F3558,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3558" s="1" t="str">
        <f ca="1">IFERROR(__xludf.DUMMYFUNCTION("GOOGLETRANSLATE(English!G3558, ""en"", ""bg"")"),"помощ_за_домашно_изпълнение")</f>
        <v>помощ_за_домашно_изпълнение</v>
      </c>
      <c r="H3558" s="1" t="str">
        <f ca="1">IFERROR(__xludf.DUMMYFUNCTION("GOOGLETRANSLATE(English!H3558, ""en"", ""bg"")"),"помощ_за_домашно_задаване")</f>
        <v>помощ_за_домашно_задаване</v>
      </c>
    </row>
    <row r="3559" spans="1:8" ht="13.2" x14ac:dyDescent="0.25">
      <c r="A3559" s="1" t="str">
        <f ca="1">IFERROR(__xludf.DUMMYFUNCTION("GOOGLETRANSLATE(English!A3559, ""en"", ""bg"")"),"hw_00705")</f>
        <v>hw_00705</v>
      </c>
      <c r="B3559" s="1" t="str">
        <f ca="1">IFERROR(__xludf.DUMMYFUNCTION("GOOGLETRANSLATE(English!B3559, ""en"", ""bg"")"),"биология")</f>
        <v>биология</v>
      </c>
      <c r="C3559" s="1" t="str">
        <f ca="1">IFERROR(__xludf.DUMMYFUNCTION("GOOGLETRANSLATE(English!C3559, ""en"", ""bg"")"),"високо")</f>
        <v>високо</v>
      </c>
      <c r="D3559" s="1" t="str">
        <f ca="1">IFERROR(__xludf.DUMMYFUNCTION("GOOGLETRANSLATE(English!D3559, ""en"", ""bg"")"),"синтез на протеини")</f>
        <v>синтез на протеини</v>
      </c>
      <c r="E3559" s="1" t="str">
        <f ca="1">IFERROR(__xludf.DUMMYFUNCTION("GOOGLETRANSLATE(English!E3559, ""en"", ""bg"")"),"Домашното ми пита за синтеза на протеини. Не го разбирам.")</f>
        <v>Домашното ми пита за синтеза на протеини. Не го разбирам.</v>
      </c>
      <c r="F3559" s="1" t="str">
        <f ca="1">IFERROR(__xludf.DUMMYFUNCTION("GOOGLETRANSLATE(English!F3559,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3559" s="1" t="str">
        <f ca="1">IFERROR(__xludf.DUMMYFUNCTION("GOOGLETRANSLATE(English!G3559, ""en"", ""bg"")"),"помощ_за_домашно_изпълнение")</f>
        <v>помощ_за_домашно_изпълнение</v>
      </c>
      <c r="H3559" s="1" t="str">
        <f ca="1">IFERROR(__xludf.DUMMYFUNCTION("GOOGLETRANSLATE(English!H3559, ""en"", ""bg"")"),"помощ_за_домашно_задаване")</f>
        <v>помощ_за_домашно_задаване</v>
      </c>
    </row>
    <row r="3560" spans="1:8" ht="13.2" x14ac:dyDescent="0.25">
      <c r="A3560" s="1" t="str">
        <f ca="1">IFERROR(__xludf.DUMMYFUNCTION("GOOGLETRANSLATE(English!A3560, ""en"", ""bg"")"),"hw_13296")</f>
        <v>hw_13296</v>
      </c>
      <c r="B3560" s="1" t="str">
        <f ca="1">IFERROR(__xludf.DUMMYFUNCTION("GOOGLETRANSLATE(English!B3560, ""en"", ""bg"")"),"биология")</f>
        <v>биология</v>
      </c>
      <c r="C3560" s="1" t="str">
        <f ca="1">IFERROR(__xludf.DUMMYFUNCTION("GOOGLETRANSLATE(English!C3560, ""en"", ""bg"")"),"средата")</f>
        <v>средата</v>
      </c>
      <c r="D3560" s="1" t="str">
        <f ca="1">IFERROR(__xludf.DUMMYFUNCTION("GOOGLETRANSLATE(English!D3560, ""en"", ""bg"")"),"размножаване")</f>
        <v>размножаване</v>
      </c>
      <c r="E3560" s="1" t="str">
        <f ca="1">IFERROR(__xludf.DUMMYFUNCTION("GOOGLETRANSLATE(English!E3560, ""en"", ""bg"")"),"Домашното ми пита за размножаването. Не го разбирам.")</f>
        <v>Домашното ми пита за размножаването. Не го разбирам.</v>
      </c>
      <c r="F3560" s="1" t="str">
        <f ca="1">IFERROR(__xludf.DUMMYFUNCTION("GOOGLETRANSLATE(English!F3560,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560" s="1" t="str">
        <f ca="1">IFERROR(__xludf.DUMMYFUNCTION("GOOGLETRANSLATE(English!G3560, ""en"", ""bg"")"),"помощ_за_домашно_изпълнение")</f>
        <v>помощ_за_домашно_изпълнение</v>
      </c>
      <c r="H3560" s="1" t="str">
        <f ca="1">IFERROR(__xludf.DUMMYFUNCTION("GOOGLETRANSLATE(English!H3560, ""en"", ""bg"")"),"помощ_за_домашно_задаване")</f>
        <v>помощ_за_домашно_задаване</v>
      </c>
    </row>
    <row r="3561" spans="1:8" ht="13.2" x14ac:dyDescent="0.25">
      <c r="A3561" s="1" t="str">
        <f ca="1">IFERROR(__xludf.DUMMYFUNCTION("GOOGLETRANSLATE(English!A3561, ""en"", ""bg"")"),"hw_05493")</f>
        <v>hw_05493</v>
      </c>
      <c r="B3561" s="1" t="str">
        <f ca="1">IFERROR(__xludf.DUMMYFUNCTION("GOOGLETRANSLATE(English!B3561, ""en"", ""bg"")"),"химия")</f>
        <v>химия</v>
      </c>
      <c r="C3561" s="1" t="str">
        <f ca="1">IFERROR(__xludf.DUMMYFUNCTION("GOOGLETRANSLATE(English!C3561, ""en"", ""bg"")"),"елементарен")</f>
        <v>елементарен</v>
      </c>
      <c r="D3561" s="1" t="str">
        <f ca="1">IFERROR(__xludf.DUMMYFUNCTION("GOOGLETRANSLATE(English!D3561, ""en"", ""bg"")"),"ежедневни химикали")</f>
        <v>ежедневни химикали</v>
      </c>
      <c r="E3561" s="1" t="str">
        <f ca="1">IFERROR(__xludf.DUMMYFUNCTION("GOOGLETRANSLATE(English!E3561, ""en"", ""bg"")"),"Не разбирам тази концепция за ежедневните химикали. Моля, обяснете!")</f>
        <v>Не разбирам тази концепция за ежедневните химикали. Моля, обяснете!</v>
      </c>
      <c r="F3561" s="1" t="str">
        <f ca="1">IFERROR(__xludf.DUMMYFUNCTION("GOOGLETRANSLATE(English!F3561,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3561" s="1" t="str">
        <f ca="1">IFERROR(__xludf.DUMMYFUNCTION("GOOGLETRANSLATE(English!G3561, ""en"", ""bg"")"),"помощ_за_домашно_изпълнение")</f>
        <v>помощ_за_домашно_изпълнение</v>
      </c>
      <c r="H3561" s="1" t="str">
        <f ca="1">IFERROR(__xludf.DUMMYFUNCTION("GOOGLETRANSLATE(English!H3561, ""en"", ""bg"")"),"помощ_за_домашно_задаване")</f>
        <v>помощ_за_домашно_задаване</v>
      </c>
    </row>
    <row r="3562" spans="1:8" ht="13.2" x14ac:dyDescent="0.25">
      <c r="A3562" s="1" t="str">
        <f ca="1">IFERROR(__xludf.DUMMYFUNCTION("GOOGLETRANSLATE(English!A3562, ""en"", ""bg"")"),"qa_03478")</f>
        <v>qa_03478</v>
      </c>
      <c r="B3562" s="1" t="str">
        <f ca="1">IFERROR(__xludf.DUMMYFUNCTION("GOOGLETRANSLATE(English!B3562, ""en"", ""bg"")"),"физика")</f>
        <v>физика</v>
      </c>
      <c r="C3562" s="1" t="str">
        <f ca="1">IFERROR(__xludf.DUMMYFUNCTION("GOOGLETRANSLATE(English!C3562, ""en"", ""bg"")"),"средата")</f>
        <v>средата</v>
      </c>
      <c r="D3562" s="1" t="str">
        <f ca="1">IFERROR(__xludf.DUMMYFUNCTION("GOOGLETRANSLATE(English!D3562, ""en"", ""bg"")"),"видове енергия")</f>
        <v>видове енергия</v>
      </c>
      <c r="E3562" s="1" t="str">
        <f ca="1">IFERROR(__xludf.DUMMYFUNCTION("GOOGLETRANSLATE(English!E3562, ""en"", ""bg"")"),"Как се променя енергията от един вид в друг?")</f>
        <v>Как се променя енергията от един вид в друг?</v>
      </c>
      <c r="F3562" s="1" t="str">
        <f ca="1">IFERROR(__xludf.DUMMYFUNCTION("GOOGLETRANSLATE(English!F3562,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3562" s="1" t="str">
        <f ca="1">IFERROR(__xludf.DUMMYFUNCTION("GOOGLETRANSLATE(English!G3562, ""en"", ""bg"")"),"direct_qa")</f>
        <v>direct_qa</v>
      </c>
      <c r="H3562" s="1" t="str">
        <f ca="1">IFERROR(__xludf.DUMMYFUNCTION("GOOGLETRANSLATE(English!H3562, ""en"", ""bg"")"),"заявка_за_знание")</f>
        <v>заявка_за_знание</v>
      </c>
    </row>
    <row r="3563" spans="1:8" ht="13.2" x14ac:dyDescent="0.25">
      <c r="A3563" s="1" t="str">
        <f ca="1">IFERROR(__xludf.DUMMYFUNCTION("GOOGLETRANSLATE(English!A3563, ""en"", ""bg"")"),"hw_10651")</f>
        <v>hw_10651</v>
      </c>
      <c r="B3563" s="1" t="str">
        <f ca="1">IFERROR(__xludf.DUMMYFUNCTION("GOOGLETRANSLATE(English!B3563, ""en"", ""bg"")"),"биология")</f>
        <v>биология</v>
      </c>
      <c r="C3563" s="1" t="str">
        <f ca="1">IFERROR(__xludf.DUMMYFUNCTION("GOOGLETRANSLATE(English!C3563, ""en"", ""bg"")"),"средата")</f>
        <v>средата</v>
      </c>
      <c r="D3563" s="1" t="str">
        <f ca="1">IFERROR(__xludf.DUMMYFUNCTION("GOOGLETRANSLATE(English!D3563, ""en"", ""bg"")"),"основи на еволюцията")</f>
        <v>основи на еволюцията</v>
      </c>
      <c r="E3563" s="1" t="str">
        <f ca="1">IFERROR(__xludf.DUMMYFUNCTION("GOOGLETRANSLATE(English!E3563, ""en"", ""bg"")"),"Можете ли да обясните основите на еволюцията за моя научен проект?")</f>
        <v>Можете ли да обясните основите на еволюцията за моя научен проект?</v>
      </c>
      <c r="F3563" s="1" t="str">
        <f ca="1">IFERROR(__xludf.DUMMYFUNCTION("GOOGLETRANSLATE(English!F3563,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3563" s="1" t="str">
        <f ca="1">IFERROR(__xludf.DUMMYFUNCTION("GOOGLETRANSLATE(English!G3563, ""en"", ""bg"")"),"помощ_за_домашно_изпълнение")</f>
        <v>помощ_за_домашно_изпълнение</v>
      </c>
      <c r="H3563" s="1" t="str">
        <f ca="1">IFERROR(__xludf.DUMMYFUNCTION("GOOGLETRANSLATE(English!H3563, ""en"", ""bg"")"),"помощ_за_домашно_задаване")</f>
        <v>помощ_за_домашно_задаване</v>
      </c>
    </row>
    <row r="3564" spans="1:8" ht="13.2" x14ac:dyDescent="0.25">
      <c r="A3564" s="1" t="str">
        <f ca="1">IFERROR(__xludf.DUMMYFUNCTION("GOOGLETRANSLATE(English!A3564, ""en"", ""bg"")"),"conv_08192")</f>
        <v>conv_08192</v>
      </c>
      <c r="B3564" s="1" t="str">
        <f ca="1">IFERROR(__xludf.DUMMYFUNCTION("GOOGLETRANSLATE(English!B3564, ""en"", ""bg"")"),"химия")</f>
        <v>химия</v>
      </c>
      <c r="C3564" s="1" t="str">
        <f ca="1">IFERROR(__xludf.DUMMYFUNCTION("GOOGLETRANSLATE(English!C3564, ""en"", ""bg"")"),"високо")</f>
        <v>високо</v>
      </c>
      <c r="D3564" s="1" t="str">
        <f ca="1">IFERROR(__xludf.DUMMYFUNCTION("GOOGLETRANSLATE(English!D3564, ""en"", ""bg"")"),"електрохимия")</f>
        <v>електрохимия</v>
      </c>
      <c r="E3564" s="1" t="str">
        <f ca="1">IFERROR(__xludf.DUMMYFUNCTION("GOOGLETRANSLATE(English!E3564, ""en"", ""bg"")"),"Не разбирам тази тема. Какво е електрохимия?")</f>
        <v>Не разбирам тази тема. Какво е електрохимия?</v>
      </c>
      <c r="F3564" s="1" t="str">
        <f ca="1">IFERROR(__xludf.DUMMYFUNCTION("GOOGLETRANSLATE(English!F3564,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3564" s="1" t="str">
        <f ca="1">IFERROR(__xludf.DUMMYFUNCTION("GOOGLETRANSLATE(English!G3564, ""en"", ""bg"")"),"разговор")</f>
        <v>разговор</v>
      </c>
      <c r="H3564" s="1" t="str">
        <f ca="1">IFERROR(__xludf.DUMMYFUNCTION("GOOGLETRANSLATE(English!H3564, ""en"", ""bg"")"),"образователна_помощ")</f>
        <v>образователна_помощ</v>
      </c>
    </row>
    <row r="3565" spans="1:8" ht="13.2" x14ac:dyDescent="0.25">
      <c r="A3565" s="1" t="str">
        <f ca="1">IFERROR(__xludf.DUMMYFUNCTION("GOOGLETRANSLATE(English!A3565, ""en"", ""bg"")"),"conv_15543")</f>
        <v>conv_15543</v>
      </c>
      <c r="B3565" s="1" t="str">
        <f ca="1">IFERROR(__xludf.DUMMYFUNCTION("GOOGLETRANSLATE(English!B3565, ""en"", ""bg"")"),"физика")</f>
        <v>физика</v>
      </c>
      <c r="C3565" s="1" t="str">
        <f ca="1">IFERROR(__xludf.DUMMYFUNCTION("GOOGLETRANSLATE(English!C3565, ""en"", ""bg"")"),"елементарен")</f>
        <v>елементарен</v>
      </c>
      <c r="D3565" s="1" t="str">
        <f ca="1">IFERROR(__xludf.DUMMYFUNCTION("GOOGLETRANSLATE(English!D3565, ""en"", ""bg"")"),"плаващ и потъващ")</f>
        <v>плаващ и потъващ</v>
      </c>
      <c r="E3565" s="1" t="str">
        <f ca="1">IFERROR(__xludf.DUMMYFUNCTION("GOOGLETRANSLATE(English!E3565, ""en"", ""bg"")"),"Можете ли да ми обясните това? Какво трябва да знам за плаването и потъването?")</f>
        <v>Можете ли да ми обясните това? Какво трябва да знам за плаването и потъването?</v>
      </c>
      <c r="F3565" s="1" t="str">
        <f ca="1">IFERROR(__xludf.DUMMYFUNCTION("GOOGLETRANSLATE(English!F3565,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3565" s="1" t="str">
        <f ca="1">IFERROR(__xludf.DUMMYFUNCTION("GOOGLETRANSLATE(English!G3565, ""en"", ""bg"")"),"разговор")</f>
        <v>разговор</v>
      </c>
      <c r="H3565" s="1" t="str">
        <f ca="1">IFERROR(__xludf.DUMMYFUNCTION("GOOGLETRANSLATE(English!H3565, ""en"", ""bg"")"),"образователна_помощ")</f>
        <v>образователна_помощ</v>
      </c>
    </row>
    <row r="3566" spans="1:8" ht="13.2" x14ac:dyDescent="0.25">
      <c r="A3566" s="1" t="str">
        <f ca="1">IFERROR(__xludf.DUMMYFUNCTION("GOOGLETRANSLATE(English!A3566, ""en"", ""bg"")"),"conv_11487")</f>
        <v>conv_11487</v>
      </c>
      <c r="B3566" s="1" t="str">
        <f ca="1">IFERROR(__xludf.DUMMYFUNCTION("GOOGLETRANSLATE(English!B3566, ""en"", ""bg"")"),"химия")</f>
        <v>химия</v>
      </c>
      <c r="C3566" s="1" t="str">
        <f ca="1">IFERROR(__xludf.DUMMYFUNCTION("GOOGLETRANSLATE(English!C3566, ""en"", ""bg"")"),"средата")</f>
        <v>средата</v>
      </c>
      <c r="D3566" s="1" t="str">
        <f ca="1">IFERROR(__xludf.DUMMYFUNCTION("GOOGLETRANSLATE(English!D3566, ""en"", ""bg"")"),"съединения срещу елементи")</f>
        <v>съединения срещу елементи</v>
      </c>
      <c r="E3566" s="1" t="str">
        <f ca="1">IFERROR(__xludf.DUMMYFUNCTION("GOOGLETRANSLATE(English!E3566, ""en"", ""bg"")"),"Можете ли да ми обясните това? Как взаимодействат съединенията и елементите в химията?")</f>
        <v>Можете ли да ми обясните това? Как взаимодействат съединенията и елементите в химията?</v>
      </c>
      <c r="F3566" s="1" t="str">
        <f ca="1">IFERROR(__xludf.DUMMYFUNCTION("GOOGLETRANSLATE(English!F3566,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566" s="1" t="str">
        <f ca="1">IFERROR(__xludf.DUMMYFUNCTION("GOOGLETRANSLATE(English!G3566, ""en"", ""bg"")"),"разговор")</f>
        <v>разговор</v>
      </c>
      <c r="H3566" s="1" t="str">
        <f ca="1">IFERROR(__xludf.DUMMYFUNCTION("GOOGLETRANSLATE(English!H3566, ""en"", ""bg"")"),"образователна_помощ")</f>
        <v>образователна_помощ</v>
      </c>
    </row>
    <row r="3567" spans="1:8" ht="13.2" x14ac:dyDescent="0.25">
      <c r="A3567" s="1" t="str">
        <f ca="1">IFERROR(__xludf.DUMMYFUNCTION("GOOGLETRANSLATE(English!A3567, ""en"", ""bg"")"),"conv_15745")</f>
        <v>conv_15745</v>
      </c>
      <c r="B3567" s="1" t="str">
        <f ca="1">IFERROR(__xludf.DUMMYFUNCTION("GOOGLETRANSLATE(English!B3567, ""en"", ""bg"")"),"химия")</f>
        <v>химия</v>
      </c>
      <c r="C3567" s="1" t="str">
        <f ca="1">IFERROR(__xludf.DUMMYFUNCTION("GOOGLETRANSLATE(English!C3567, ""en"", ""bg"")"),"елементарен")</f>
        <v>елементарен</v>
      </c>
      <c r="D3567" s="1" t="str">
        <f ca="1">IFERROR(__xludf.DUMMYFUNCTION("GOOGLETRANSLATE(English!D3567, ""en"", ""bg"")"),"безопасност")</f>
        <v>безопасност</v>
      </c>
      <c r="E3567" s="1" t="str">
        <f ca="1">IFERROR(__xludf.DUMMYFUNCTION("GOOGLETRANSLATE(English!E3567, ""en"", ""bg"")"),"Можете ли да ми обясните това? Как работи безопасността в химията?")</f>
        <v>Можете ли да ми обясните това? Как работи безопасността в химията?</v>
      </c>
      <c r="F3567" s="1" t="str">
        <f ca="1">IFERROR(__xludf.DUMMYFUNCTION("GOOGLETRANSLATE(English!F3567,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3567" s="1" t="str">
        <f ca="1">IFERROR(__xludf.DUMMYFUNCTION("GOOGLETRANSLATE(English!G3567, ""en"", ""bg"")"),"разговор")</f>
        <v>разговор</v>
      </c>
      <c r="H3567" s="1" t="str">
        <f ca="1">IFERROR(__xludf.DUMMYFUNCTION("GOOGLETRANSLATE(English!H3567, ""en"", ""bg"")"),"образователна_помощ")</f>
        <v>образователна_помощ</v>
      </c>
    </row>
    <row r="3568" spans="1:8" ht="13.2" x14ac:dyDescent="0.25">
      <c r="A3568" s="1" t="str">
        <f ca="1">IFERROR(__xludf.DUMMYFUNCTION("GOOGLETRANSLATE(English!A3568, ""en"", ""bg"")"),"conv_17081")</f>
        <v>conv_17081</v>
      </c>
      <c r="B3568" s="1" t="str">
        <f ca="1">IFERROR(__xludf.DUMMYFUNCTION("GOOGLETRANSLATE(English!B3568, ""en"", ""bg"")"),"химия")</f>
        <v>химия</v>
      </c>
      <c r="C3568" s="1" t="str">
        <f ca="1">IFERROR(__xludf.DUMMYFUNCTION("GOOGLETRANSLATE(English!C3568, ""en"", ""bg"")"),"високо")</f>
        <v>високо</v>
      </c>
      <c r="D3568" s="1" t="str">
        <f ca="1">IFERROR(__xludf.DUMMYFUNCTION("GOOGLETRANSLATE(English!D3568, ""en"", ""bg"")"),"електрохимия")</f>
        <v>електрохимия</v>
      </c>
      <c r="E3568" s="1" t="str">
        <f ca="1">IFERROR(__xludf.DUMMYFUNCTION("GOOGLETRANSLATE(English!E3568, ""en"", ""bg"")"),"Здравей, преподавателю! Защо е важно да се учи електрохимия?")</f>
        <v>Здравей, преподавателю! Защо е важно да се учи електрохимия?</v>
      </c>
      <c r="F3568" s="1" t="str">
        <f ca="1">IFERROR(__xludf.DUMMYFUNCTION("GOOGLETRANSLATE(English!F3568,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3568" s="1" t="str">
        <f ca="1">IFERROR(__xludf.DUMMYFUNCTION("GOOGLETRANSLATE(English!G3568, ""en"", ""bg"")"),"разговор")</f>
        <v>разговор</v>
      </c>
      <c r="H3568" s="1" t="str">
        <f ca="1">IFERROR(__xludf.DUMMYFUNCTION("GOOGLETRANSLATE(English!H3568, ""en"", ""bg"")"),"образователна_помощ")</f>
        <v>образователна_помощ</v>
      </c>
    </row>
    <row r="3569" spans="1:8" ht="13.2" x14ac:dyDescent="0.25">
      <c r="A3569" s="1" t="str">
        <f ca="1">IFERROR(__xludf.DUMMYFUNCTION("GOOGLETRANSLATE(English!A3569, ""en"", ""bg"")"),"conv_04533")</f>
        <v>conv_04533</v>
      </c>
      <c r="B3569" s="1" t="str">
        <f ca="1">IFERROR(__xludf.DUMMYFUNCTION("GOOGLETRANSLATE(English!B3569, ""en"", ""bg"")"),"химия")</f>
        <v>химия</v>
      </c>
      <c r="C3569" s="1" t="str">
        <f ca="1">IFERROR(__xludf.DUMMYFUNCTION("GOOGLETRANSLATE(English!C3569, ""en"", ""bg"")"),"високо")</f>
        <v>високо</v>
      </c>
      <c r="D3569" s="1" t="str">
        <f ca="1">IFERROR(__xludf.DUMMYFUNCTION("GOOGLETRANSLATE(English!D3569, ""en"", ""bg"")"),"стехиометрия")</f>
        <v>стехиометрия</v>
      </c>
      <c r="E3569" s="1" t="str">
        <f ca="1">IFERROR(__xludf.DUMMYFUNCTION("GOOGLETRANSLATE(English!E3569, ""en"", ""bg"")"),"Имам научен въпрос. Защо е важно да се учи стехиометрията?")</f>
        <v>Имам научен въпрос. Защо е важно да се учи стехиометрията?</v>
      </c>
      <c r="F3569" s="1" t="str">
        <f ca="1">IFERROR(__xludf.DUMMYFUNCTION("GOOGLETRANSLATE(English!F3569,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3569" s="1" t="str">
        <f ca="1">IFERROR(__xludf.DUMMYFUNCTION("GOOGLETRANSLATE(English!G3569, ""en"", ""bg"")"),"разговор")</f>
        <v>разговор</v>
      </c>
      <c r="H3569" s="1" t="str">
        <f ca="1">IFERROR(__xludf.DUMMYFUNCTION("GOOGLETRANSLATE(English!H3569, ""en"", ""bg"")"),"образователна_помощ")</f>
        <v>образователна_помощ</v>
      </c>
    </row>
    <row r="3570" spans="1:8" ht="13.2" x14ac:dyDescent="0.25">
      <c r="A3570" s="1" t="str">
        <f ca="1">IFERROR(__xludf.DUMMYFUNCTION("GOOGLETRANSLATE(English!A3570, ""en"", ""bg"")"),"hw_14015")</f>
        <v>hw_14015</v>
      </c>
      <c r="B3570" s="1" t="str">
        <f ca="1">IFERROR(__xludf.DUMMYFUNCTION("GOOGLETRANSLATE(English!B3570, ""en"", ""bg"")"),"биология")</f>
        <v>биология</v>
      </c>
      <c r="C3570" s="1" t="str">
        <f ca="1">IFERROR(__xludf.DUMMYFUNCTION("GOOGLETRANSLATE(English!C3570, ""en"", ""bg"")"),"елементарен")</f>
        <v>елементарен</v>
      </c>
      <c r="D3570" s="1" t="str">
        <f ca="1">IFERROR(__xludf.DUMMYFUNCTION("GOOGLETRANSLATE(English!D3570, ""en"", ""bg"")"),"местообитания")</f>
        <v>местообитания</v>
      </c>
      <c r="E3570" s="1" t="str">
        <f ca="1">IFERROR(__xludf.DUMMYFUNCTION("GOOGLETRANSLATE(English!E3570, ""en"", ""bg"")"),"Домашното ми пита за местообитанията. Не го разбирам.")</f>
        <v>Домашното ми пита за местообитанията. Не го разбирам.</v>
      </c>
      <c r="F3570" s="1" t="str">
        <f ca="1">IFERROR(__xludf.DUMMYFUNCTION("GOOGLETRANSLATE(English!F3570,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3570" s="1" t="str">
        <f ca="1">IFERROR(__xludf.DUMMYFUNCTION("GOOGLETRANSLATE(English!G3570, ""en"", ""bg"")"),"помощ_за_домашно_изпълнение")</f>
        <v>помощ_за_домашно_изпълнение</v>
      </c>
      <c r="H3570" s="1" t="str">
        <f ca="1">IFERROR(__xludf.DUMMYFUNCTION("GOOGLETRANSLATE(English!H3570, ""en"", ""bg"")"),"помощ_за_домашно_задаване")</f>
        <v>помощ_за_домашно_задаване</v>
      </c>
    </row>
    <row r="3571" spans="1:8" ht="13.2" x14ac:dyDescent="0.25">
      <c r="A3571" s="1" t="str">
        <f ca="1">IFERROR(__xludf.DUMMYFUNCTION("GOOGLETRANSLATE(English!A3571, ""en"", ""bg"")"),"hw_12242")</f>
        <v>hw_12242</v>
      </c>
      <c r="B3571" s="1" t="str">
        <f ca="1">IFERROR(__xludf.DUMMYFUNCTION("GOOGLETRANSLATE(English!B3571, ""en"", ""bg"")"),"биология")</f>
        <v>биология</v>
      </c>
      <c r="C3571" s="1" t="str">
        <f ca="1">IFERROR(__xludf.DUMMYFUNCTION("GOOGLETRANSLATE(English!C3571, ""en"", ""bg"")"),"високо")</f>
        <v>високо</v>
      </c>
      <c r="D3571" s="1" t="str">
        <f ca="1">IFERROR(__xludf.DUMMYFUNCTION("GOOGLETRANSLATE(English!D3571, ""en"", ""bg"")"),"модели на наследяване")</f>
        <v>модели на наследяване</v>
      </c>
      <c r="E3571" s="1" t="str">
        <f ca="1">IFERROR(__xludf.DUMMYFUNCTION("GOOGLETRANSLATE(English!E3571,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3571" s="1" t="str">
        <f ca="1">IFERROR(__xludf.DUMMYFUNCTION("GOOGLETRANSLATE(English!F3571,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571" s="1" t="str">
        <f ca="1">IFERROR(__xludf.DUMMYFUNCTION("GOOGLETRANSLATE(English!G3571, ""en"", ""bg"")"),"помощ_за_домашно_изпълнение")</f>
        <v>помощ_за_домашно_изпълнение</v>
      </c>
      <c r="H3571" s="1" t="str">
        <f ca="1">IFERROR(__xludf.DUMMYFUNCTION("GOOGLETRANSLATE(English!H3571, ""en"", ""bg"")"),"помощ_за_домашно_задаване")</f>
        <v>помощ_за_домашно_задаване</v>
      </c>
    </row>
    <row r="3572" spans="1:8" ht="13.2" x14ac:dyDescent="0.25">
      <c r="A3572" s="1" t="str">
        <f ca="1">IFERROR(__xludf.DUMMYFUNCTION("GOOGLETRANSLATE(English!A3572, ""en"", ""bg"")"),"hw_08695")</f>
        <v>hw_08695</v>
      </c>
      <c r="B3572" s="1" t="str">
        <f ca="1">IFERROR(__xludf.DUMMYFUNCTION("GOOGLETRANSLATE(English!B3572, ""en"", ""bg"")"),"химия")</f>
        <v>химия</v>
      </c>
      <c r="C3572" s="1" t="str">
        <f ca="1">IFERROR(__xludf.DUMMYFUNCTION("GOOGLETRANSLATE(English!C3572, ""en"", ""bg"")"),"високо")</f>
        <v>високо</v>
      </c>
      <c r="D3572" s="1" t="str">
        <f ca="1">IFERROR(__xludf.DUMMYFUNCTION("GOOGLETRANSLATE(English!D3572, ""en"", ""bg"")"),"органична химия")</f>
        <v>органична химия</v>
      </c>
      <c r="E3572" s="1" t="str">
        <f ca="1">IFERROR(__xludf.DUMMYFUNCTION("GOOGLETRANSLATE(English!E3572, ""en"", ""bg"")"),"Можете ли да ми помогнете с изчисленията в органичната химия?")</f>
        <v>Можете ли да ми помогнете с изчисленията в органичната химия?</v>
      </c>
      <c r="F3572" s="1" t="str">
        <f ca="1">IFERROR(__xludf.DUMMYFUNCTION("GOOGLETRANSLATE(English!F3572,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572" s="1" t="str">
        <f ca="1">IFERROR(__xludf.DUMMYFUNCTION("GOOGLETRANSLATE(English!G3572, ""en"", ""bg"")"),"помощ_за_домашно_изпълнение")</f>
        <v>помощ_за_домашно_изпълнение</v>
      </c>
      <c r="H3572" s="1" t="str">
        <f ca="1">IFERROR(__xludf.DUMMYFUNCTION("GOOGLETRANSLATE(English!H3572, ""en"", ""bg"")"),"помощ_за_домашно_задаване")</f>
        <v>помощ_за_домашно_задаване</v>
      </c>
    </row>
    <row r="3573" spans="1:8" ht="13.2" x14ac:dyDescent="0.25">
      <c r="A3573" s="1" t="str">
        <f ca="1">IFERROR(__xludf.DUMMYFUNCTION("GOOGLETRANSLATE(English!A3573, ""en"", ""bg"")"),"hw_07685")</f>
        <v>hw_07685</v>
      </c>
      <c r="B3573" s="1" t="str">
        <f ca="1">IFERROR(__xludf.DUMMYFUNCTION("GOOGLETRANSLATE(English!B3573, ""en"", ""bg"")"),"биология")</f>
        <v>биология</v>
      </c>
      <c r="C3573" s="1" t="str">
        <f ca="1">IFERROR(__xludf.DUMMYFUNCTION("GOOGLETRANSLATE(English!C3573, ""en"", ""bg"")"),"високо")</f>
        <v>високо</v>
      </c>
      <c r="D3573" s="1" t="str">
        <f ca="1">IFERROR(__xludf.DUMMYFUNCTION("GOOGLETRANSLATE(English!D3573, ""en"", ""bg"")"),"синтез на протеини")</f>
        <v>синтез на протеини</v>
      </c>
      <c r="E3573" s="1" t="str">
        <f ca="1">IFERROR(__xludf.DUMMYFUNCTION("GOOGLETRANSLATE(English!E3573, ""en"", ""bg"")"),"Домашното ми пита за синтеза на протеини. Не го разбирам.")</f>
        <v>Домашното ми пита за синтеза на протеини. Не го разбирам.</v>
      </c>
      <c r="F3573" s="1" t="str">
        <f ca="1">IFERROR(__xludf.DUMMYFUNCTION("GOOGLETRANSLATE(English!F3573,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3573" s="1" t="str">
        <f ca="1">IFERROR(__xludf.DUMMYFUNCTION("GOOGLETRANSLATE(English!G3573, ""en"", ""bg"")"),"помощ_за_домашно_изпълнение")</f>
        <v>помощ_за_домашно_изпълнение</v>
      </c>
      <c r="H3573" s="1" t="str">
        <f ca="1">IFERROR(__xludf.DUMMYFUNCTION("GOOGLETRANSLATE(English!H3573, ""en"", ""bg"")"),"помощ_за_домашно_задаване")</f>
        <v>помощ_за_домашно_задаване</v>
      </c>
    </row>
    <row r="3574" spans="1:8" ht="13.2" x14ac:dyDescent="0.25">
      <c r="A3574" s="1" t="str">
        <f ca="1">IFERROR(__xludf.DUMMYFUNCTION("GOOGLETRANSLATE(English!A3574, ""en"", ""bg"")"),"qa_01678")</f>
        <v>qa_01678</v>
      </c>
      <c r="B3574" s="1" t="str">
        <f ca="1">IFERROR(__xludf.DUMMYFUNCTION("GOOGLETRANSLATE(English!B3574, ""en"", ""bg"")"),"биология")</f>
        <v>биология</v>
      </c>
      <c r="C3574" s="1" t="str">
        <f ca="1">IFERROR(__xludf.DUMMYFUNCTION("GOOGLETRANSLATE(English!C3574, ""en"", ""bg"")"),"елементарен")</f>
        <v>елементарен</v>
      </c>
      <c r="D3574" s="1" t="str">
        <f ca="1">IFERROR(__xludf.DUMMYFUNCTION("GOOGLETRANSLATE(English!D3574, ""en"", ""bg"")"),"растения")</f>
        <v>растения</v>
      </c>
      <c r="E3574" s="1" t="str">
        <f ca="1">IFERROR(__xludf.DUMMYFUNCTION("GOOGLETRANSLATE(English!E3574, ""en"", ""bg"")"),"Как растенията сами си произвеждат храна?")</f>
        <v>Как растенията сами си произвеждат храна?</v>
      </c>
      <c r="F3574" s="1" t="str">
        <f ca="1">IFERROR(__xludf.DUMMYFUNCTION("GOOGLETRANSLATE(English!F3574, ""en"", ""bg"")"),"Растенията произвеждат храна чрез фотосинтеза - те използват слънчева светлина, вода и въздух, за да създадат захар за енергия.")</f>
        <v>Растенията произвеждат храна чрез фотосинтеза - те използват слънчева светлина, вода и въздух, за да създадат захар за енергия.</v>
      </c>
      <c r="G3574" s="1" t="str">
        <f ca="1">IFERROR(__xludf.DUMMYFUNCTION("GOOGLETRANSLATE(English!G3574, ""en"", ""bg"")"),"direct_qa")</f>
        <v>direct_qa</v>
      </c>
      <c r="H3574" s="1" t="str">
        <f ca="1">IFERROR(__xludf.DUMMYFUNCTION("GOOGLETRANSLATE(English!H3574, ""en"", ""bg"")"),"заявка_за_знание")</f>
        <v>заявка_за_знание</v>
      </c>
    </row>
    <row r="3575" spans="1:8" ht="13.2" x14ac:dyDescent="0.25">
      <c r="A3575" s="1" t="str">
        <f ca="1">IFERROR(__xludf.DUMMYFUNCTION("GOOGLETRANSLATE(English!A3575, ""en"", ""bg"")"),"qa_10838")</f>
        <v>qa_10838</v>
      </c>
      <c r="B3575" s="1" t="str">
        <f ca="1">IFERROR(__xludf.DUMMYFUNCTION("GOOGLETRANSLATE(English!B3575, ""en"", ""bg"")"),"биология")</f>
        <v>биология</v>
      </c>
      <c r="C3575" s="1" t="str">
        <f ca="1">IFERROR(__xludf.DUMMYFUNCTION("GOOGLETRANSLATE(English!C3575, ""en"", ""bg"")"),"средата")</f>
        <v>средата</v>
      </c>
      <c r="D3575" s="1" t="str">
        <f ca="1">IFERROR(__xludf.DUMMYFUNCTION("GOOGLETRANSLATE(English!D3575, ""en"", ""bg"")"),"фотосинтеза")</f>
        <v>фотосинтеза</v>
      </c>
      <c r="E3575" s="1" t="str">
        <f ca="1">IFERROR(__xludf.DUMMYFUNCTION("GOOGLETRANSLATE(English!E3575, ""en"", ""bg"")"),"Можете ли да ми разкажете за фотосинтезата?")</f>
        <v>Можете ли да ми разкажете за фотосинтезата?</v>
      </c>
      <c r="F3575" s="1" t="str">
        <f ca="1">IFERROR(__xludf.DUMMYFUNCTION("GOOGLETRANSLATE(English!F3575,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3575" s="1" t="str">
        <f ca="1">IFERROR(__xludf.DUMMYFUNCTION("GOOGLETRANSLATE(English!G3575, ""en"", ""bg"")"),"direct_qa")</f>
        <v>direct_qa</v>
      </c>
      <c r="H3575" s="1" t="str">
        <f ca="1">IFERROR(__xludf.DUMMYFUNCTION("GOOGLETRANSLATE(English!H3575, ""en"", ""bg"")"),"заявка_за_знание")</f>
        <v>заявка_за_знание</v>
      </c>
    </row>
    <row r="3576" spans="1:8" ht="13.2" x14ac:dyDescent="0.25">
      <c r="A3576" s="1" t="str">
        <f ca="1">IFERROR(__xludf.DUMMYFUNCTION("GOOGLETRANSLATE(English!A3576, ""en"", ""bg"")"),"hw_00622")</f>
        <v>hw_00622</v>
      </c>
      <c r="B3576" s="1" t="str">
        <f ca="1">IFERROR(__xludf.DUMMYFUNCTION("GOOGLETRANSLATE(English!B3576, ""en"", ""bg"")"),"химия")</f>
        <v>химия</v>
      </c>
      <c r="C3576" s="1" t="str">
        <f ca="1">IFERROR(__xludf.DUMMYFUNCTION("GOOGLETRANSLATE(English!C3576, ""en"", ""bg"")"),"високо")</f>
        <v>високо</v>
      </c>
      <c r="D3576" s="1" t="str">
        <f ca="1">IFERROR(__xludf.DUMMYFUNCTION("GOOGLETRANSLATE(English!D3576, ""en"", ""bg"")"),"стехиометрия")</f>
        <v>стехиометрия</v>
      </c>
      <c r="E3576" s="1" t="str">
        <f ca="1">IFERROR(__xludf.DUMMYFUNCTION("GOOGLETRANSLATE(English!E3576, ""en"", ""bg"")"),"Затруднявам се със стехиометрията в домашното си.")</f>
        <v>Затруднявам се със стехиометрията в домашното си.</v>
      </c>
      <c r="F3576" s="1" t="str">
        <f ca="1">IFERROR(__xludf.DUMMYFUNCTION("GOOGLETRANSLATE(English!F3576,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3576" s="1" t="str">
        <f ca="1">IFERROR(__xludf.DUMMYFUNCTION("GOOGLETRANSLATE(English!G3576, ""en"", ""bg"")"),"помощ_за_домашно_изпълнение")</f>
        <v>помощ_за_домашно_изпълнение</v>
      </c>
      <c r="H3576" s="1" t="str">
        <f ca="1">IFERROR(__xludf.DUMMYFUNCTION("GOOGLETRANSLATE(English!H3576, ""en"", ""bg"")"),"помощ_за_домашно_задаване")</f>
        <v>помощ_за_домашно_задаване</v>
      </c>
    </row>
    <row r="3577" spans="1:8" ht="13.2" x14ac:dyDescent="0.25">
      <c r="A3577" s="1" t="str">
        <f ca="1">IFERROR(__xludf.DUMMYFUNCTION("GOOGLETRANSLATE(English!A3577, ""en"", ""bg"")"),"conv_15295")</f>
        <v>conv_15295</v>
      </c>
      <c r="B3577" s="1" t="str">
        <f ca="1">IFERROR(__xludf.DUMMYFUNCTION("GOOGLETRANSLATE(English!B3577, ""en"", ""bg"")"),"химия")</f>
        <v>химия</v>
      </c>
      <c r="C3577" s="1" t="str">
        <f ca="1">IFERROR(__xludf.DUMMYFUNCTION("GOOGLETRANSLATE(English!C3577, ""en"", ""bg"")"),"средата")</f>
        <v>средата</v>
      </c>
      <c r="D3577" s="1" t="str">
        <f ca="1">IFERROR(__xludf.DUMMYFUNCTION("GOOGLETRANSLATE(English!D3577, ""en"", ""bg"")"),"съединения срещу елементи")</f>
        <v>съединения срещу елементи</v>
      </c>
      <c r="E3577" s="1" t="str">
        <f ca="1">IFERROR(__xludf.DUMMYFUNCTION("GOOGLETRANSLATE(English!E3577, ""en"", ""bg"")"),"Имам научен въпрос. Как взаимодействат съединенията и елементите в химията?")</f>
        <v>Имам научен въпрос. Как взаимодействат съединенията и елементите в химията?</v>
      </c>
      <c r="F3577" s="1" t="str">
        <f ca="1">IFERROR(__xludf.DUMMYFUNCTION("GOOGLETRANSLATE(English!F3577,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577" s="1" t="str">
        <f ca="1">IFERROR(__xludf.DUMMYFUNCTION("GOOGLETRANSLATE(English!G3577, ""en"", ""bg"")"),"разговор")</f>
        <v>разговор</v>
      </c>
      <c r="H3577" s="1" t="str">
        <f ca="1">IFERROR(__xludf.DUMMYFUNCTION("GOOGLETRANSLATE(English!H3577, ""en"", ""bg"")"),"образователна_помощ")</f>
        <v>образователна_помощ</v>
      </c>
    </row>
    <row r="3578" spans="1:8" ht="13.2" x14ac:dyDescent="0.25">
      <c r="A3578" s="1" t="str">
        <f ca="1">IFERROR(__xludf.DUMMYFUNCTION("GOOGLETRANSLATE(English!A3578, ""en"", ""bg"")"),"conv_09777")</f>
        <v>conv_09777</v>
      </c>
      <c r="B3578" s="1" t="str">
        <f ca="1">IFERROR(__xludf.DUMMYFUNCTION("GOOGLETRANSLATE(English!B3578, ""en"", ""bg"")"),"физика")</f>
        <v>физика</v>
      </c>
      <c r="C3578" s="1" t="str">
        <f ca="1">IFERROR(__xludf.DUMMYFUNCTION("GOOGLETRANSLATE(English!C3578, ""en"", ""bg"")"),"елементарен")</f>
        <v>елементарен</v>
      </c>
      <c r="D3578" s="1" t="str">
        <f ca="1">IFERROR(__xludf.DUMMYFUNCTION("GOOGLETRANSLATE(English!D3578, ""en"", ""bg"")"),"светлина и сянка")</f>
        <v>светлина и сянка</v>
      </c>
      <c r="E3578" s="1" t="str">
        <f ca="1">IFERROR(__xludf.DUMMYFUNCTION("GOOGLETRANSLATE(English!E3578, ""en"", ""bg"")"),"Имам научен въпрос. Какво е светлина?")</f>
        <v>Имам научен въпрос. Какво е светлина?</v>
      </c>
      <c r="F3578" s="1" t="str">
        <f ca="1">IFERROR(__xludf.DUMMYFUNCTION("GOOGLETRANSLATE(English!F3578,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3578" s="1" t="str">
        <f ca="1">IFERROR(__xludf.DUMMYFUNCTION("GOOGLETRANSLATE(English!G3578, ""en"", ""bg"")"),"разговор")</f>
        <v>разговор</v>
      </c>
      <c r="H3578" s="1" t="str">
        <f ca="1">IFERROR(__xludf.DUMMYFUNCTION("GOOGLETRANSLATE(English!H3578, ""en"", ""bg"")"),"образователна_помощ")</f>
        <v>образователна_помощ</v>
      </c>
    </row>
    <row r="3579" spans="1:8" ht="13.2" x14ac:dyDescent="0.25">
      <c r="A3579" s="1" t="str">
        <f ca="1">IFERROR(__xludf.DUMMYFUNCTION("GOOGLETRANSLATE(English!A3579, ""en"", ""bg"")"),"hw_10346")</f>
        <v>hw_10346</v>
      </c>
      <c r="B3579" s="1" t="str">
        <f ca="1">IFERROR(__xludf.DUMMYFUNCTION("GOOGLETRANSLATE(English!B3579, ""en"", ""bg"")"),"химия")</f>
        <v>химия</v>
      </c>
      <c r="C3579" s="1" t="str">
        <f ca="1">IFERROR(__xludf.DUMMYFUNCTION("GOOGLETRANSLATE(English!C3579, ""en"", ""bg"")"),"средата")</f>
        <v>средата</v>
      </c>
      <c r="D3579" s="1" t="str">
        <f ca="1">IFERROR(__xludf.DUMMYFUNCTION("GOOGLETRANSLATE(English!D3579, ""en"", ""bg"")"),"основи на периодичната таблица")</f>
        <v>основи на периодичната таблица</v>
      </c>
      <c r="E3579" s="1" t="str">
        <f ca="1">IFERROR(__xludf.DUMMYFUNCTION("GOOGLETRANSLATE(English!E3579, ""en"", ""bg"")"),"Можете ли да ми помогнете с основните изчисления на периодичната таблица?")</f>
        <v>Можете ли да ми помогнете с основните изчисления на периодичната таблица?</v>
      </c>
      <c r="F3579" s="1" t="str">
        <f ca="1">IFERROR(__xludf.DUMMYFUNCTION("GOOGLETRANSLATE(English!F3579,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3579" s="1" t="str">
        <f ca="1">IFERROR(__xludf.DUMMYFUNCTION("GOOGLETRANSLATE(English!G3579, ""en"", ""bg"")"),"помощ_за_домашно_изпълнение")</f>
        <v>помощ_за_домашно_изпълнение</v>
      </c>
      <c r="H3579" s="1" t="str">
        <f ca="1">IFERROR(__xludf.DUMMYFUNCTION("GOOGLETRANSLATE(English!H3579, ""en"", ""bg"")"),"помощ_за_домашно_задаване")</f>
        <v>помощ_за_домашно_задаване</v>
      </c>
    </row>
    <row r="3580" spans="1:8" ht="13.2" x14ac:dyDescent="0.25">
      <c r="A3580" s="1" t="str">
        <f ca="1">IFERROR(__xludf.DUMMYFUNCTION("GOOGLETRANSLATE(English!A3580, ""en"", ""bg"")"),"conv_02466")</f>
        <v>conv_02466</v>
      </c>
      <c r="B3580" s="1" t="str">
        <f ca="1">IFERROR(__xludf.DUMMYFUNCTION("GOOGLETRANSLATE(English!B3580, ""en"", ""bg"")"),"физика")</f>
        <v>физика</v>
      </c>
      <c r="C3580" s="1" t="str">
        <f ca="1">IFERROR(__xludf.DUMMYFUNCTION("GOOGLETRANSLATE(English!C3580, ""en"", ""bg"")"),"елементарен")</f>
        <v>елементарен</v>
      </c>
      <c r="D3580" s="1" t="str">
        <f ca="1">IFERROR(__xludf.DUMMYFUNCTION("GOOGLETRANSLATE(English!D3580, ""en"", ""bg"")"),"горещо и студено")</f>
        <v>горещо и студено</v>
      </c>
      <c r="E3580" s="1" t="str">
        <f ca="1">IFERROR(__xludf.DUMMYFUNCTION("GOOGLETRANSLATE(English!E3580, ""en"", ""bg"")"),"Здравей, преподавателю! Какво трябва да знам за топлото и студеното?")</f>
        <v>Здравей, преподавателю! Какво трябва да знам за топлото и студеното?</v>
      </c>
      <c r="F3580" s="1" t="str">
        <f ca="1">IFERROR(__xludf.DUMMYFUNCTION("GOOGLETRANSLATE(English!F3580,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3580" s="1" t="str">
        <f ca="1">IFERROR(__xludf.DUMMYFUNCTION("GOOGLETRANSLATE(English!G3580, ""en"", ""bg"")"),"разговор")</f>
        <v>разговор</v>
      </c>
      <c r="H3580" s="1" t="str">
        <f ca="1">IFERROR(__xludf.DUMMYFUNCTION("GOOGLETRANSLATE(English!H3580, ""en"", ""bg"")"),"образователна_помощ")</f>
        <v>образователна_помощ</v>
      </c>
    </row>
    <row r="3581" spans="1:8" ht="13.2" x14ac:dyDescent="0.25">
      <c r="A3581" s="1" t="str">
        <f ca="1">IFERROR(__xludf.DUMMYFUNCTION("GOOGLETRANSLATE(English!A3581, ""en"", ""bg"")"),"qa_12614")</f>
        <v>qa_12614</v>
      </c>
      <c r="B3581" s="1" t="str">
        <f ca="1">IFERROR(__xludf.DUMMYFUNCTION("GOOGLETRANSLATE(English!B3581, ""en"", ""bg"")"),"химия")</f>
        <v>химия</v>
      </c>
      <c r="C3581" s="1" t="str">
        <f ca="1">IFERROR(__xludf.DUMMYFUNCTION("GOOGLETRANSLATE(English!C3581, ""en"", ""bg"")"),"високо")</f>
        <v>високо</v>
      </c>
      <c r="D3581" s="1" t="str">
        <f ca="1">IFERROR(__xludf.DUMMYFUNCTION("GOOGLETRANSLATE(English!D3581, ""en"", ""bg"")"),"органична химия")</f>
        <v>органична химия</v>
      </c>
      <c r="E3581" s="1" t="str">
        <f ca="1">IFERROR(__xludf.DUMMYFUNCTION("GOOGLETRANSLATE(English!E3581, ""en"", ""bg"")"),"Можете ли да ми помогнете да разбера органичната химия?")</f>
        <v>Можете ли да ми помогнете да разбера органичната химия?</v>
      </c>
      <c r="F3581" s="1" t="str">
        <f ca="1">IFERROR(__xludf.DUMMYFUNCTION("GOOGLETRANSLATE(English!F3581,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3581" s="1" t="str">
        <f ca="1">IFERROR(__xludf.DUMMYFUNCTION("GOOGLETRANSLATE(English!G3581, ""en"", ""bg"")"),"direct_qa")</f>
        <v>direct_qa</v>
      </c>
      <c r="H3581" s="1" t="str">
        <f ca="1">IFERROR(__xludf.DUMMYFUNCTION("GOOGLETRANSLATE(English!H3581, ""en"", ""bg"")"),"заявка_за_знание")</f>
        <v>заявка_за_знание</v>
      </c>
    </row>
    <row r="3582" spans="1:8" ht="13.2" x14ac:dyDescent="0.25">
      <c r="A3582" s="1" t="str">
        <f ca="1">IFERROR(__xludf.DUMMYFUNCTION("GOOGLETRANSLATE(English!A3582, ""en"", ""bg"")"),"hw_08779")</f>
        <v>hw_08779</v>
      </c>
      <c r="B3582" s="1" t="str">
        <f ca="1">IFERROR(__xludf.DUMMYFUNCTION("GOOGLETRANSLATE(English!B3582, ""en"", ""bg"")"),"биология")</f>
        <v>биология</v>
      </c>
      <c r="C3582" s="1" t="str">
        <f ca="1">IFERROR(__xludf.DUMMYFUNCTION("GOOGLETRANSLATE(English!C3582, ""en"", ""bg"")"),"елементарен")</f>
        <v>елементарен</v>
      </c>
      <c r="D3582" s="1" t="str">
        <f ca="1">IFERROR(__xludf.DUMMYFUNCTION("GOOGLETRANSLATE(English!D3582, ""en"", ""bg"")"),"домашни любимци срещу диви животни")</f>
        <v>домашни любимци срещу диви животни</v>
      </c>
      <c r="E3582" s="1" t="str">
        <f ca="1">IFERROR(__xludf.DUMMYFUNCTION("GOOGLETRANSLATE(English!E3582, ""en"", ""bg"")"),"Можете ли да обясните понятията домашни любимци и диви животни за моя научен проект?")</f>
        <v>Можете ли да обясните понятията домашни любимци и диви животни за моя научен проект?</v>
      </c>
      <c r="F3582" s="1" t="str">
        <f ca="1">IFERROR(__xludf.DUMMYFUNCTION("GOOGLETRANSLATE(English!F3582,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3582" s="1" t="str">
        <f ca="1">IFERROR(__xludf.DUMMYFUNCTION("GOOGLETRANSLATE(English!G3582, ""en"", ""bg"")"),"помощ_за_домашно_изпълнение")</f>
        <v>помощ_за_домашно_изпълнение</v>
      </c>
      <c r="H3582" s="1" t="str">
        <f ca="1">IFERROR(__xludf.DUMMYFUNCTION("GOOGLETRANSLATE(English!H3582, ""en"", ""bg"")"),"помощ_за_домашно_задаване")</f>
        <v>помощ_за_домашно_задаване</v>
      </c>
    </row>
    <row r="3583" spans="1:8" ht="13.2" x14ac:dyDescent="0.25">
      <c r="A3583" s="1" t="str">
        <f ca="1">IFERROR(__xludf.DUMMYFUNCTION("GOOGLETRANSLATE(English!A3583, ""en"", ""bg"")"),"conv_17848")</f>
        <v>conv_17848</v>
      </c>
      <c r="B3583" s="1" t="str">
        <f ca="1">IFERROR(__xludf.DUMMYFUNCTION("GOOGLETRANSLATE(English!B3583, ""en"", ""bg"")"),"химия")</f>
        <v>химия</v>
      </c>
      <c r="C3583" s="1" t="str">
        <f ca="1">IFERROR(__xludf.DUMMYFUNCTION("GOOGLETRANSLATE(English!C3583, ""en"", ""bg"")"),"високо")</f>
        <v>високо</v>
      </c>
      <c r="D3583" s="1" t="str">
        <f ca="1">IFERROR(__xludf.DUMMYFUNCTION("GOOGLETRANSLATE(English!D3583, ""en"", ""bg"")"),"скорости на реакция")</f>
        <v>скорости на реакция</v>
      </c>
      <c r="E3583" s="1" t="str">
        <f ca="1">IFERROR(__xludf.DUMMYFUNCTION("GOOGLETRANSLATE(English!E3583, ""en"", ""bg"")"),"Помогнете ми да уча за теста. Какво представляват скоростите на реакция?")</f>
        <v>Помогнете ми да уча за теста. Какво представляват скоростите на реакция?</v>
      </c>
      <c r="F3583" s="1" t="str">
        <f ca="1">IFERROR(__xludf.DUMMYFUNCTION("GOOGLETRANSLATE(English!F3583,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3583" s="1" t="str">
        <f ca="1">IFERROR(__xludf.DUMMYFUNCTION("GOOGLETRANSLATE(English!G3583, ""en"", ""bg"")"),"разговор")</f>
        <v>разговор</v>
      </c>
      <c r="H3583" s="1" t="str">
        <f ca="1">IFERROR(__xludf.DUMMYFUNCTION("GOOGLETRANSLATE(English!H3583, ""en"", ""bg"")"),"образователна_помощ")</f>
        <v>образователна_помощ</v>
      </c>
    </row>
    <row r="3584" spans="1:8" ht="13.2" x14ac:dyDescent="0.25">
      <c r="A3584" s="1" t="str">
        <f ca="1">IFERROR(__xludf.DUMMYFUNCTION("GOOGLETRANSLATE(English!A3584, ""en"", ""bg"")"),"conv_04759")</f>
        <v>conv_04759</v>
      </c>
      <c r="B3584" s="1" t="str">
        <f ca="1">IFERROR(__xludf.DUMMYFUNCTION("GOOGLETRANSLATE(English!B3584, ""en"", ""bg"")"),"физика")</f>
        <v>физика</v>
      </c>
      <c r="C3584" s="1" t="str">
        <f ca="1">IFERROR(__xludf.DUMMYFUNCTION("GOOGLETRANSLATE(English!C3584, ""en"", ""bg"")"),"елементарен")</f>
        <v>елементарен</v>
      </c>
      <c r="D3584" s="1" t="str">
        <f ca="1">IFERROR(__xludf.DUMMYFUNCTION("GOOGLETRANSLATE(English!D3584, ""en"", ""bg"")"),"магнити")</f>
        <v>магнити</v>
      </c>
      <c r="E3584" s="1" t="str">
        <f ca="1">IFERROR(__xludf.DUMMYFUNCTION("GOOGLETRANSLATE(English!E3584, ""en"", ""bg"")"),"Помогни ми да уча за теста. Можеш ли да направиш магнит по-силен?")</f>
        <v>Помогни ми да уча за теста. Можеш ли да направиш магнит по-силен?</v>
      </c>
      <c r="F3584" s="1" t="str">
        <f ca="1">IFERROR(__xludf.DUMMYFUNCTION("GOOGLETRANSLATE(English!F3584,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3584" s="1" t="str">
        <f ca="1">IFERROR(__xludf.DUMMYFUNCTION("GOOGLETRANSLATE(English!G3584, ""en"", ""bg"")"),"разговор")</f>
        <v>разговор</v>
      </c>
      <c r="H3584" s="1" t="str">
        <f ca="1">IFERROR(__xludf.DUMMYFUNCTION("GOOGLETRANSLATE(English!H3584, ""en"", ""bg"")"),"образователна_помощ")</f>
        <v>образователна_помощ</v>
      </c>
    </row>
    <row r="3585" spans="1:8" ht="13.2" x14ac:dyDescent="0.25">
      <c r="A3585" s="1" t="str">
        <f ca="1">IFERROR(__xludf.DUMMYFUNCTION("GOOGLETRANSLATE(English!A3585, ""en"", ""bg"")"),"conv_16575")</f>
        <v>conv_16575</v>
      </c>
      <c r="B3585" s="1" t="str">
        <f ca="1">IFERROR(__xludf.DUMMYFUNCTION("GOOGLETRANSLATE(English!B3585, ""en"", ""bg"")"),"химия")</f>
        <v>химия</v>
      </c>
      <c r="C3585" s="1" t="str">
        <f ca="1">IFERROR(__xludf.DUMMYFUNCTION("GOOGLETRANSLATE(English!C3585, ""en"", ""bg"")"),"високо")</f>
        <v>високо</v>
      </c>
      <c r="D3585" s="1" t="str">
        <f ca="1">IFERROR(__xludf.DUMMYFUNCTION("GOOGLETRANSLATE(English!D3585, ""en"", ""bg"")"),"стехиометрия")</f>
        <v>стехиометрия</v>
      </c>
      <c r="E3585" s="1" t="str">
        <f ca="1">IFERROR(__xludf.DUMMYFUNCTION("GOOGLETRANSLATE(English!E3585, ""en"", ""bg"")"),"Можете ли да ми обясните това? Можете ли да ми помогнете да разбера стехиометрията?")</f>
        <v>Можете ли да ми обясните това? Можете ли да ми помогнете да разбера стехиометрията?</v>
      </c>
      <c r="F3585" s="1" t="str">
        <f ca="1">IFERROR(__xludf.DUMMYFUNCTION("GOOGLETRANSLATE(English!F3585,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3585" s="1" t="str">
        <f ca="1">IFERROR(__xludf.DUMMYFUNCTION("GOOGLETRANSLATE(English!G3585, ""en"", ""bg"")"),"разговор")</f>
        <v>разговор</v>
      </c>
      <c r="H3585" s="1" t="str">
        <f ca="1">IFERROR(__xludf.DUMMYFUNCTION("GOOGLETRANSLATE(English!H3585, ""en"", ""bg"")"),"образователна_помощ")</f>
        <v>образователна_помощ</v>
      </c>
    </row>
    <row r="3586" spans="1:8" ht="13.2" x14ac:dyDescent="0.25">
      <c r="A3586" s="1" t="str">
        <f ca="1">IFERROR(__xludf.DUMMYFUNCTION("GOOGLETRANSLATE(English!A3586, ""en"", ""bg"")"),"conv_01608")</f>
        <v>conv_01608</v>
      </c>
      <c r="B3586" s="1" t="str">
        <f ca="1">IFERROR(__xludf.DUMMYFUNCTION("GOOGLETRANSLATE(English!B3586, ""en"", ""bg"")"),"биология")</f>
        <v>биология</v>
      </c>
      <c r="C3586" s="1" t="str">
        <f ca="1">IFERROR(__xludf.DUMMYFUNCTION("GOOGLETRANSLATE(English!C3586, ""en"", ""bg"")"),"високо")</f>
        <v>високо</v>
      </c>
      <c r="D3586" s="1" t="str">
        <f ca="1">IFERROR(__xludf.DUMMYFUNCTION("GOOGLETRANSLATE(English!D3586, ""en"", ""bg"")"),"митоза и мейоза")</f>
        <v>митоза и мейоза</v>
      </c>
      <c r="E3586" s="1" t="str">
        <f ca="1">IFERROR(__xludf.DUMMYFUNCTION("GOOGLETRANSLATE(English!E3586, ""en"", ""bg"")"),"Можете ли да ми помогнете? Какво е важно да знаем за митозата и мейозата?")</f>
        <v>Можете ли да ми помогнете? Какво е важно да знаем за митозата и мейозата?</v>
      </c>
      <c r="F3586" s="1" t="str">
        <f ca="1">IFERROR(__xludf.DUMMYFUNCTION("GOOGLETRANSLATE(English!F3586,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3586" s="1" t="str">
        <f ca="1">IFERROR(__xludf.DUMMYFUNCTION("GOOGLETRANSLATE(English!G3586, ""en"", ""bg"")"),"разговор")</f>
        <v>разговор</v>
      </c>
      <c r="H3586" s="1" t="str">
        <f ca="1">IFERROR(__xludf.DUMMYFUNCTION("GOOGLETRANSLATE(English!H3586, ""en"", ""bg"")"),"образователна_помощ")</f>
        <v>образователна_помощ</v>
      </c>
    </row>
    <row r="3587" spans="1:8" ht="13.2" x14ac:dyDescent="0.25">
      <c r="A3587" s="1" t="str">
        <f ca="1">IFERROR(__xludf.DUMMYFUNCTION("GOOGLETRANSLATE(English!A3587, ""en"", ""bg"")"),"qa_14653")</f>
        <v>qa_14653</v>
      </c>
      <c r="B3587" s="1" t="str">
        <f ca="1">IFERROR(__xludf.DUMMYFUNCTION("GOOGLETRANSLATE(English!B3587, ""en"", ""bg"")"),"биология")</f>
        <v>биология</v>
      </c>
      <c r="C3587" s="1" t="str">
        <f ca="1">IFERROR(__xludf.DUMMYFUNCTION("GOOGLETRANSLATE(English!C3587, ""en"", ""bg"")"),"средата")</f>
        <v>средата</v>
      </c>
      <c r="D3587" s="1" t="str">
        <f ca="1">IFERROR(__xludf.DUMMYFUNCTION("GOOGLETRANSLATE(English!D3587, ""en"", ""bg"")"),"размножаване")</f>
        <v>размножаване</v>
      </c>
      <c r="E3587" s="1" t="str">
        <f ca="1">IFERROR(__xludf.DUMMYFUNCTION("GOOGLETRANSLATE(English!E3587, ""en"", ""bg"")"),"Какво е важно да знаем за размножаването?")</f>
        <v>Какво е важно да знаем за размножаването?</v>
      </c>
      <c r="F3587" s="1" t="str">
        <f ca="1">IFERROR(__xludf.DUMMYFUNCTION("GOOGLETRANSLATE(English!F3587,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3587" s="1" t="str">
        <f ca="1">IFERROR(__xludf.DUMMYFUNCTION("GOOGLETRANSLATE(English!G3587, ""en"", ""bg"")"),"direct_qa")</f>
        <v>direct_qa</v>
      </c>
      <c r="H3587" s="1" t="str">
        <f ca="1">IFERROR(__xludf.DUMMYFUNCTION("GOOGLETRANSLATE(English!H3587, ""en"", ""bg"")"),"заявка_за_знание")</f>
        <v>заявка_за_знание</v>
      </c>
    </row>
    <row r="3588" spans="1:8" ht="13.2" x14ac:dyDescent="0.25">
      <c r="A3588" s="1" t="str">
        <f ca="1">IFERROR(__xludf.DUMMYFUNCTION("GOOGLETRANSLATE(English!A3588, ""en"", ""bg"")"),"hw_10807")</f>
        <v>hw_10807</v>
      </c>
      <c r="B3588" s="1" t="str">
        <f ca="1">IFERROR(__xludf.DUMMYFUNCTION("GOOGLETRANSLATE(English!B3588, ""en"", ""bg"")"),"биология")</f>
        <v>биология</v>
      </c>
      <c r="C3588" s="1" t="str">
        <f ca="1">IFERROR(__xludf.DUMMYFUNCTION("GOOGLETRANSLATE(English!C3588, ""en"", ""bg"")"),"високо")</f>
        <v>високо</v>
      </c>
      <c r="D3588" s="1" t="str">
        <f ca="1">IFERROR(__xludf.DUMMYFUNCTION("GOOGLETRANSLATE(English!D3588, ""en"", ""bg"")"),"клетъчно дишане")</f>
        <v>клетъчно дишане</v>
      </c>
      <c r="E3588" s="1" t="str">
        <f ca="1">IFERROR(__xludf.DUMMYFUNCTION("GOOGLETRANSLATE(English!E3588,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3588" s="1" t="str">
        <f ca="1">IFERROR(__xludf.DUMMYFUNCTION("GOOGLETRANSLATE(English!F3588,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3588" s="1" t="str">
        <f ca="1">IFERROR(__xludf.DUMMYFUNCTION("GOOGLETRANSLATE(English!G3588, ""en"", ""bg"")"),"помощ_за_домашно_изпълнение")</f>
        <v>помощ_за_домашно_изпълнение</v>
      </c>
      <c r="H3588" s="1" t="str">
        <f ca="1">IFERROR(__xludf.DUMMYFUNCTION("GOOGLETRANSLATE(English!H3588, ""en"", ""bg"")"),"помощ_за_домашно_задаване")</f>
        <v>помощ_за_домашно_задаване</v>
      </c>
    </row>
    <row r="3589" spans="1:8" ht="13.2" x14ac:dyDescent="0.25">
      <c r="A3589" s="1" t="str">
        <f ca="1">IFERROR(__xludf.DUMMYFUNCTION("GOOGLETRANSLATE(English!A3589, ""en"", ""bg"")"),"hw_04329")</f>
        <v>hw_04329</v>
      </c>
      <c r="B3589" s="1" t="str">
        <f ca="1">IFERROR(__xludf.DUMMYFUNCTION("GOOGLETRANSLATE(English!B3589, ""en"", ""bg"")"),"химия")</f>
        <v>химия</v>
      </c>
      <c r="C3589" s="1" t="str">
        <f ca="1">IFERROR(__xludf.DUMMYFUNCTION("GOOGLETRANSLATE(English!C3589, ""en"", ""bg"")"),"средата")</f>
        <v>средата</v>
      </c>
      <c r="D3589" s="1" t="str">
        <f ca="1">IFERROR(__xludf.DUMMYFUNCTION("GOOGLETRANSLATE(English!D3589, ""en"", ""bg"")"),"съединения срещу елементи")</f>
        <v>съединения срещу елементи</v>
      </c>
      <c r="E3589" s="1" t="str">
        <f ca="1">IFERROR(__xludf.DUMMYFUNCTION("GOOGLETRANSLATE(English!E3589, ""en"", ""bg"")"),"Не разбирам тази концепция за съединенията срещу елементите. Моля, обяснете!")</f>
        <v>Не разбирам тази концепция за съединенията срещу елементите. Моля, обяснете!</v>
      </c>
      <c r="F3589" s="1" t="str">
        <f ca="1">IFERROR(__xludf.DUMMYFUNCTION("GOOGLETRANSLATE(English!F3589,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589" s="1" t="str">
        <f ca="1">IFERROR(__xludf.DUMMYFUNCTION("GOOGLETRANSLATE(English!G3589, ""en"", ""bg"")"),"помощ_за_домашно_изпълнение")</f>
        <v>помощ_за_домашно_изпълнение</v>
      </c>
      <c r="H3589" s="1" t="str">
        <f ca="1">IFERROR(__xludf.DUMMYFUNCTION("GOOGLETRANSLATE(English!H3589, ""en"", ""bg"")"),"помощ_за_домашно_задаване")</f>
        <v>помощ_за_домашно_задаване</v>
      </c>
    </row>
    <row r="3590" spans="1:8" ht="13.2" x14ac:dyDescent="0.25">
      <c r="A3590" s="1" t="str">
        <f ca="1">IFERROR(__xludf.DUMMYFUNCTION("GOOGLETRANSLATE(English!A3590, ""en"", ""bg"")"),"conv_05940")</f>
        <v>conv_05940</v>
      </c>
      <c r="B3590" s="1" t="str">
        <f ca="1">IFERROR(__xludf.DUMMYFUNCTION("GOOGLETRANSLATE(English!B3590, ""en"", ""bg"")"),"физика")</f>
        <v>физика</v>
      </c>
      <c r="C3590" s="1" t="str">
        <f ca="1">IFERROR(__xludf.DUMMYFUNCTION("GOOGLETRANSLATE(English!C3590, ""en"", ""bg"")"),"средата")</f>
        <v>средата</v>
      </c>
      <c r="D3590" s="1" t="str">
        <f ca="1">IFERROR(__xludf.DUMMYFUNCTION("GOOGLETRANSLATE(English!D3590, ""en"", ""bg"")"),"видове енергия")</f>
        <v>видове енергия</v>
      </c>
      <c r="E3590" s="1" t="str">
        <f ca="1">IFERROR(__xludf.DUMMYFUNCTION("GOOGLETRANSLATE(English!E3590, ""en"", ""bg"")"),"Имам научен въпрос: Какви са различните видове енергия?")</f>
        <v>Имам научен въпрос: Какви са различните видове енергия?</v>
      </c>
      <c r="F3590" s="1" t="str">
        <f ca="1">IFERROR(__xludf.DUMMYFUNCTION("GOOGLETRANSLATE(English!F3590,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3590" s="1" t="str">
        <f ca="1">IFERROR(__xludf.DUMMYFUNCTION("GOOGLETRANSLATE(English!G3590, ""en"", ""bg"")"),"разговор")</f>
        <v>разговор</v>
      </c>
      <c r="H3590" s="1" t="str">
        <f ca="1">IFERROR(__xludf.DUMMYFUNCTION("GOOGLETRANSLATE(English!H3590, ""en"", ""bg"")"),"образователна_помощ")</f>
        <v>образователна_помощ</v>
      </c>
    </row>
    <row r="3591" spans="1:8" ht="13.2" x14ac:dyDescent="0.25">
      <c r="A3591" s="1" t="str">
        <f ca="1">IFERROR(__xludf.DUMMYFUNCTION("GOOGLETRANSLATE(English!A3591, ""en"", ""bg"")"),"qa_14331")</f>
        <v>qa_14331</v>
      </c>
      <c r="B3591" s="1" t="str">
        <f ca="1">IFERROR(__xludf.DUMMYFUNCTION("GOOGLETRANSLATE(English!B3591, ""en"", ""bg"")"),"физика")</f>
        <v>физика</v>
      </c>
      <c r="C3591" s="1" t="str">
        <f ca="1">IFERROR(__xludf.DUMMYFUNCTION("GOOGLETRANSLATE(English!C3591, ""en"", ""bg"")"),"високо")</f>
        <v>високо</v>
      </c>
      <c r="D3591" s="1" t="str">
        <f ca="1">IFERROR(__xludf.DUMMYFUNCTION("GOOGLETRANSLATE(English!D3591, ""en"", ""bg"")"),"оптика")</f>
        <v>оптика</v>
      </c>
      <c r="E3591" s="1" t="str">
        <f ca="1">IFERROR(__xludf.DUMMYFUNCTION("GOOGLETRANSLATE(English!E3591, ""en"", ""bg"")"),"Какво трябва да знам за оптиката?")</f>
        <v>Какво трябва да знам за оптиката?</v>
      </c>
      <c r="F3591" s="1" t="str">
        <f ca="1">IFERROR(__xludf.DUMMYFUNCTION("GOOGLETRANSLATE(English!F3591,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3591" s="1" t="str">
        <f ca="1">IFERROR(__xludf.DUMMYFUNCTION("GOOGLETRANSLATE(English!G3591, ""en"", ""bg"")"),"direct_qa")</f>
        <v>direct_qa</v>
      </c>
      <c r="H3591" s="1" t="str">
        <f ca="1">IFERROR(__xludf.DUMMYFUNCTION("GOOGLETRANSLATE(English!H3591, ""en"", ""bg"")"),"заявка_за_знание")</f>
        <v>заявка_за_знание</v>
      </c>
    </row>
    <row r="3592" spans="1:8" ht="13.2" x14ac:dyDescent="0.25">
      <c r="A3592" s="1" t="str">
        <f ca="1">IFERROR(__xludf.DUMMYFUNCTION("GOOGLETRANSLATE(English!A3592, ""en"", ""bg"")"),"hw_05613")</f>
        <v>hw_05613</v>
      </c>
      <c r="B3592" s="1" t="str">
        <f ca="1">IFERROR(__xludf.DUMMYFUNCTION("GOOGLETRANSLATE(English!B3592, ""en"", ""bg"")"),"химия")</f>
        <v>химия</v>
      </c>
      <c r="C3592" s="1" t="str">
        <f ca="1">IFERROR(__xludf.DUMMYFUNCTION("GOOGLETRANSLATE(English!C3592, ""en"", ""bg"")"),"високо")</f>
        <v>високо</v>
      </c>
      <c r="D3592" s="1" t="str">
        <f ca="1">IFERROR(__xludf.DUMMYFUNCTION("GOOGLETRANSLATE(English!D3592, ""en"", ""bg"")"),"скорости на реакция")</f>
        <v>скорости на реакция</v>
      </c>
      <c r="E3592" s="1" t="str">
        <f ca="1">IFERROR(__xludf.DUMMYFUNCTION("GOOGLETRANSLATE(English!E3592, ""en"", ""bg"")"),"Не разбирам тази концепция за скоростта на реакцията. Моля, обяснете!")</f>
        <v>Не разбирам тази концепция за скоростта на реакцията. Моля, обяснете!</v>
      </c>
      <c r="F3592" s="1" t="str">
        <f ca="1">IFERROR(__xludf.DUMMYFUNCTION("GOOGLETRANSLATE(English!F3592,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3592" s="1" t="str">
        <f ca="1">IFERROR(__xludf.DUMMYFUNCTION("GOOGLETRANSLATE(English!G3592, ""en"", ""bg"")"),"помощ_за_домашно_изпълнение")</f>
        <v>помощ_за_домашно_изпълнение</v>
      </c>
      <c r="H3592" s="1" t="str">
        <f ca="1">IFERROR(__xludf.DUMMYFUNCTION("GOOGLETRANSLATE(English!H3592, ""en"", ""bg"")"),"помощ_за_домашно_задаване")</f>
        <v>помощ_за_домашно_задаване</v>
      </c>
    </row>
    <row r="3593" spans="1:8" ht="13.2" x14ac:dyDescent="0.25">
      <c r="A3593" s="1" t="str">
        <f ca="1">IFERROR(__xludf.DUMMYFUNCTION("GOOGLETRANSLATE(English!A3593, ""en"", ""bg"")"),"qa_13988")</f>
        <v>qa_13988</v>
      </c>
      <c r="B3593" s="1" t="str">
        <f ca="1">IFERROR(__xludf.DUMMYFUNCTION("GOOGLETRANSLATE(English!B3593, ""en"", ""bg"")"),"физика")</f>
        <v>физика</v>
      </c>
      <c r="C3593" s="1" t="str">
        <f ca="1">IFERROR(__xludf.DUMMYFUNCTION("GOOGLETRANSLATE(English!C3593, ""en"", ""bg"")"),"високо")</f>
        <v>високо</v>
      </c>
      <c r="D3593" s="1" t="str">
        <f ca="1">IFERROR(__xludf.DUMMYFUNCTION("GOOGLETRANSLATE(English!D3593, ""en"", ""bg"")"),"радиоактивност")</f>
        <v>радиоактивност</v>
      </c>
      <c r="E3593" s="1" t="str">
        <f ca="1">IFERROR(__xludf.DUMMYFUNCTION("GOOGLETRANSLATE(English!E3593, ""en"", ""bg"")"),"Как работи радиоактивността във физиката?")</f>
        <v>Как работи радиоактивността във физиката?</v>
      </c>
      <c r="F3593" s="1" t="str">
        <f ca="1">IFERROR(__xludf.DUMMYFUNCTION("GOOGLETRANSLATE(English!F3593, ""en"", ""bg"")"),"Радиоактивността действа според научни принципи, които можем да наблюдаваме и измерваме.")</f>
        <v>Радиоактивността действа според научни принципи, които можем да наблюдаваме и измерваме.</v>
      </c>
      <c r="G3593" s="1" t="str">
        <f ca="1">IFERROR(__xludf.DUMMYFUNCTION("GOOGLETRANSLATE(English!G3593, ""en"", ""bg"")"),"direct_qa")</f>
        <v>direct_qa</v>
      </c>
      <c r="H3593" s="1" t="str">
        <f ca="1">IFERROR(__xludf.DUMMYFUNCTION("GOOGLETRANSLATE(English!H3593, ""en"", ""bg"")"),"заявка_за_знание")</f>
        <v>заявка_за_знание</v>
      </c>
    </row>
    <row r="3594" spans="1:8" ht="13.2" x14ac:dyDescent="0.25">
      <c r="A3594" s="1" t="str">
        <f ca="1">IFERROR(__xludf.DUMMYFUNCTION("GOOGLETRANSLATE(English!A3594, ""en"", ""bg"")"),"qa_00379")</f>
        <v>qa_00379</v>
      </c>
      <c r="B3594" s="1" t="str">
        <f ca="1">IFERROR(__xludf.DUMMYFUNCTION("GOOGLETRANSLATE(English!B3594, ""en"", ""bg"")"),"биология")</f>
        <v>биология</v>
      </c>
      <c r="C3594" s="1" t="str">
        <f ca="1">IFERROR(__xludf.DUMMYFUNCTION("GOOGLETRANSLATE(English!C3594, ""en"", ""bg"")"),"високо")</f>
        <v>високо</v>
      </c>
      <c r="D3594" s="1" t="str">
        <f ca="1">IFERROR(__xludf.DUMMYFUNCTION("GOOGLETRANSLATE(English!D3594, ""en"", ""bg"")"),"клетъчно дишане")</f>
        <v>клетъчно дишане</v>
      </c>
      <c r="E3594" s="1" t="str">
        <f ca="1">IFERROR(__xludf.DUMMYFUNCTION("GOOGLETRANSLATE(English!E3594, ""en"", ""bg"")"),"Какво е важно да знаем за клетъчното дишане?")</f>
        <v>Какво е важно да знаем за клетъчното дишане?</v>
      </c>
      <c r="F3594" s="1" t="str">
        <f ca="1">IFERROR(__xludf.DUMMYFUNCTION("GOOGLETRANSLATE(English!F3594,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3594" s="1" t="str">
        <f ca="1">IFERROR(__xludf.DUMMYFUNCTION("GOOGLETRANSLATE(English!G3594, ""en"", ""bg"")"),"direct_qa")</f>
        <v>direct_qa</v>
      </c>
      <c r="H3594" s="1" t="str">
        <f ca="1">IFERROR(__xludf.DUMMYFUNCTION("GOOGLETRANSLATE(English!H3594, ""en"", ""bg"")"),"заявка_за_знание")</f>
        <v>заявка_за_знание</v>
      </c>
    </row>
    <row r="3595" spans="1:8" ht="13.2" x14ac:dyDescent="0.25">
      <c r="A3595" s="1" t="str">
        <f ca="1">IFERROR(__xludf.DUMMYFUNCTION("GOOGLETRANSLATE(English!A3595, ""en"", ""bg"")"),"qa_07945")</f>
        <v>qa_07945</v>
      </c>
      <c r="B3595" s="1" t="str">
        <f ca="1">IFERROR(__xludf.DUMMYFUNCTION("GOOGLETRANSLATE(English!B3595, ""en"", ""bg"")"),"физика")</f>
        <v>физика</v>
      </c>
      <c r="C3595" s="1" t="str">
        <f ca="1">IFERROR(__xludf.DUMMYFUNCTION("GOOGLETRANSLATE(English!C3595, ""en"", ""bg"")"),"елементарен")</f>
        <v>елементарен</v>
      </c>
      <c r="D3595" s="1" t="str">
        <f ca="1">IFERROR(__xludf.DUMMYFUNCTION("GOOGLETRANSLATE(English!D3595, ""en"", ""bg"")"),"светлина и сянка")</f>
        <v>светлина и сянка</v>
      </c>
      <c r="E3595" s="1" t="str">
        <f ca="1">IFERROR(__xludf.DUMMYFUNCTION("GOOGLETRANSLATE(English!E3595, ""en"", ""bg"")"),"Как се правят сенките?")</f>
        <v>Как се правят сенките?</v>
      </c>
      <c r="F3595" s="1" t="str">
        <f ca="1">IFERROR(__xludf.DUMMYFUNCTION("GOOGLETRANSLATE(English!F3595,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3595" s="1" t="str">
        <f ca="1">IFERROR(__xludf.DUMMYFUNCTION("GOOGLETRANSLATE(English!G3595, ""en"", ""bg"")"),"direct_qa")</f>
        <v>direct_qa</v>
      </c>
      <c r="H3595" s="1" t="str">
        <f ca="1">IFERROR(__xludf.DUMMYFUNCTION("GOOGLETRANSLATE(English!H3595, ""en"", ""bg"")"),"заявка_за_знание")</f>
        <v>заявка_за_знание</v>
      </c>
    </row>
    <row r="3596" spans="1:8" ht="13.2" x14ac:dyDescent="0.25">
      <c r="A3596" s="1" t="str">
        <f ca="1">IFERROR(__xludf.DUMMYFUNCTION("GOOGLETRANSLATE(English!A3596, ""en"", ""bg"")"),"conv_08397")</f>
        <v>conv_08397</v>
      </c>
      <c r="B3596" s="1" t="str">
        <f ca="1">IFERROR(__xludf.DUMMYFUNCTION("GOOGLETRANSLATE(English!B3596, ""en"", ""bg"")"),"физика")</f>
        <v>физика</v>
      </c>
      <c r="C3596" s="1" t="str">
        <f ca="1">IFERROR(__xludf.DUMMYFUNCTION("GOOGLETRANSLATE(English!C3596, ""en"", ""bg"")"),"средата")</f>
        <v>средата</v>
      </c>
      <c r="D3596" s="1" t="str">
        <f ca="1">IFERROR(__xludf.DUMMYFUNCTION("GOOGLETRANSLATE(English!D3596, ""en"", ""bg"")"),"състояния на материята")</f>
        <v>състояния на материята</v>
      </c>
      <c r="E3596" s="1" t="str">
        <f ca="1">IFERROR(__xludf.DUMMYFUNCTION("GOOGLETRANSLATE(English!E3596, ""en"", ""bg"")"),"Здравей, преподавателю! Защо състоянията на материята са важни?")</f>
        <v>Здравей, преподавателю! Защо състоянията на материята са важни?</v>
      </c>
      <c r="F3596" s="1" t="str">
        <f ca="1">IFERROR(__xludf.DUMMYFUNCTION("GOOGLETRANSLATE(English!F3596,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3596" s="1" t="str">
        <f ca="1">IFERROR(__xludf.DUMMYFUNCTION("GOOGLETRANSLATE(English!G3596, ""en"", ""bg"")"),"разговор")</f>
        <v>разговор</v>
      </c>
      <c r="H3596" s="1" t="str">
        <f ca="1">IFERROR(__xludf.DUMMYFUNCTION("GOOGLETRANSLATE(English!H3596, ""en"", ""bg"")"),"образователна_помощ")</f>
        <v>образователна_помощ</v>
      </c>
    </row>
    <row r="3597" spans="1:8" ht="13.2" x14ac:dyDescent="0.25">
      <c r="A3597" s="1" t="str">
        <f ca="1">IFERROR(__xludf.DUMMYFUNCTION("GOOGLETRANSLATE(English!A3597, ""en"", ""bg"")"),"conv_07020")</f>
        <v>conv_07020</v>
      </c>
      <c r="B3597" s="1" t="str">
        <f ca="1">IFERROR(__xludf.DUMMYFUNCTION("GOOGLETRANSLATE(English!B3597, ""en"", ""bg"")"),"физика")</f>
        <v>физика</v>
      </c>
      <c r="C3597" s="1" t="str">
        <f ca="1">IFERROR(__xludf.DUMMYFUNCTION("GOOGLETRANSLATE(English!C3597, ""en"", ""bg"")"),"елементарен")</f>
        <v>елементарен</v>
      </c>
      <c r="D3597" s="1" t="str">
        <f ca="1">IFERROR(__xludf.DUMMYFUNCTION("GOOGLETRANSLATE(English!D3597, ""en"", ""bg"")"),"светлина и сянка")</f>
        <v>светлина и сянка</v>
      </c>
      <c r="E3597" s="1" t="str">
        <f ca="1">IFERROR(__xludf.DUMMYFUNCTION("GOOGLETRANSLATE(English!E3597, ""en"", ""bg"")"),"Здравей, преподавателю! Какво се случва, когато светлината попадне в огледало?")</f>
        <v>Здравей, преподавателю! Какво се случва, когато светлината попадне в огледало?</v>
      </c>
      <c r="F3597" s="1" t="str">
        <f ca="1">IFERROR(__xludf.DUMMYFUNCTION("GOOGLETRANSLATE(English!F3597,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3597" s="1" t="str">
        <f ca="1">IFERROR(__xludf.DUMMYFUNCTION("GOOGLETRANSLATE(English!G3597, ""en"", ""bg"")"),"разговор")</f>
        <v>разговор</v>
      </c>
      <c r="H3597" s="1" t="str">
        <f ca="1">IFERROR(__xludf.DUMMYFUNCTION("GOOGLETRANSLATE(English!H3597, ""en"", ""bg"")"),"образователна_помощ")</f>
        <v>образователна_помощ</v>
      </c>
    </row>
    <row r="3598" spans="1:8" ht="13.2" x14ac:dyDescent="0.25">
      <c r="A3598" s="1" t="str">
        <f ca="1">IFERROR(__xludf.DUMMYFUNCTION("GOOGLETRANSLATE(English!A3598, ""en"", ""bg"")"),"conv_11877")</f>
        <v>conv_11877</v>
      </c>
      <c r="B3598" s="1" t="str">
        <f ca="1">IFERROR(__xludf.DUMMYFUNCTION("GOOGLETRANSLATE(English!B3598, ""en"", ""bg"")"),"физика")</f>
        <v>физика</v>
      </c>
      <c r="C3598" s="1" t="str">
        <f ca="1">IFERROR(__xludf.DUMMYFUNCTION("GOOGLETRANSLATE(English!C3598, ""en"", ""bg"")"),"високо")</f>
        <v>високо</v>
      </c>
      <c r="D3598" s="1" t="str">
        <f ca="1">IFERROR(__xludf.DUMMYFUNCTION("GOOGLETRANSLATE(English!D3598, ""en"", ""bg"")"),"електромагнетизъм")</f>
        <v>електромагнетизъм</v>
      </c>
      <c r="E3598" s="1" t="str">
        <f ca="1">IFERROR(__xludf.DUMMYFUNCTION("GOOGLETRANSLATE(English!E3598, ""en"", ""bg"")"),"Помогнете ми да се подготвя за теста. Какво трябва да знам за електромагнетизма?")</f>
        <v>Помогнете ми да се подготвя за теста. Какво трябва да знам за електромагнетизма?</v>
      </c>
      <c r="F3598" s="1" t="str">
        <f ca="1">IFERROR(__xludf.DUMMYFUNCTION("GOOGLETRANSLATE(English!F3598,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3598" s="1" t="str">
        <f ca="1">IFERROR(__xludf.DUMMYFUNCTION("GOOGLETRANSLATE(English!G3598, ""en"", ""bg"")"),"разговор")</f>
        <v>разговор</v>
      </c>
      <c r="H3598" s="1" t="str">
        <f ca="1">IFERROR(__xludf.DUMMYFUNCTION("GOOGLETRANSLATE(English!H3598, ""en"", ""bg"")"),"образователна_помощ")</f>
        <v>образователна_помощ</v>
      </c>
    </row>
    <row r="3599" spans="1:8" ht="13.2" x14ac:dyDescent="0.25">
      <c r="A3599" s="1" t="str">
        <f ca="1">IFERROR(__xludf.DUMMYFUNCTION("GOOGLETRANSLATE(English!A3599, ""en"", ""bg"")"),"hw_07670")</f>
        <v>hw_07670</v>
      </c>
      <c r="B3599" s="1" t="str">
        <f ca="1">IFERROR(__xludf.DUMMYFUNCTION("GOOGLETRANSLATE(English!B3599, ""en"", ""bg"")"),"биология")</f>
        <v>биология</v>
      </c>
      <c r="C3599" s="1" t="str">
        <f ca="1">IFERROR(__xludf.DUMMYFUNCTION("GOOGLETRANSLATE(English!C3599, ""en"", ""bg"")"),"елементарен")</f>
        <v>елементарен</v>
      </c>
      <c r="D3599" s="1" t="str">
        <f ca="1">IFERROR(__xludf.DUMMYFUNCTION("GOOGLETRANSLATE(English!D3599, ""en"", ""bg"")"),"сетива")</f>
        <v>сетива</v>
      </c>
      <c r="E3599" s="1" t="str">
        <f ca="1">IFERROR(__xludf.DUMMYFUNCTION("GOOGLETRANSLATE(English!E3599, ""en"", ""bg"")"),"Утре имам тест по сетива. Помогни ми да уча!")</f>
        <v>Утре имам тест по сетива. Помогни ми да уча!</v>
      </c>
      <c r="F3599" s="1" t="str">
        <f ca="1">IFERROR(__xludf.DUMMYFUNCTION("GOOGLETRANSLATE(English!F3599,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3599" s="1" t="str">
        <f ca="1">IFERROR(__xludf.DUMMYFUNCTION("GOOGLETRANSLATE(English!G3599, ""en"", ""bg"")"),"помощ_за_домашно_изпълнение")</f>
        <v>помощ_за_домашно_изпълнение</v>
      </c>
      <c r="H3599" s="1" t="str">
        <f ca="1">IFERROR(__xludf.DUMMYFUNCTION("GOOGLETRANSLATE(English!H3599, ""en"", ""bg"")"),"помощ_за_домашно_задаване")</f>
        <v>помощ_за_домашно_задаване</v>
      </c>
    </row>
    <row r="3600" spans="1:8" ht="13.2" x14ac:dyDescent="0.25">
      <c r="A3600" s="1" t="str">
        <f ca="1">IFERROR(__xludf.DUMMYFUNCTION("GOOGLETRANSLATE(English!A3600, ""en"", ""bg"")"),"hw_02045")</f>
        <v>hw_02045</v>
      </c>
      <c r="B3600" s="1" t="str">
        <f ca="1">IFERROR(__xludf.DUMMYFUNCTION("GOOGLETRANSLATE(English!B3600, ""en"", ""bg"")"),"химия")</f>
        <v>химия</v>
      </c>
      <c r="C3600" s="1" t="str">
        <f ca="1">IFERROR(__xludf.DUMMYFUNCTION("GOOGLETRANSLATE(English!C3600, ""en"", ""bg"")"),"високо")</f>
        <v>високо</v>
      </c>
      <c r="D3600" s="1" t="str">
        <f ca="1">IFERROR(__xludf.DUMMYFUNCTION("GOOGLETRANSLATE(English!D3600, ""en"", ""bg"")"),"химическо свързване")</f>
        <v>химическо свързване</v>
      </c>
      <c r="E3600" s="1" t="str">
        <f ca="1">IFERROR(__xludf.DUMMYFUNCTION("GOOGLETRANSLATE(English!E3600, ""en"", ""bg"")"),"Имам проблеми с химичните връзки в домашното си.")</f>
        <v>Имам проблеми с химичните връзки в домашното си.</v>
      </c>
      <c r="F3600" s="1" t="str">
        <f ca="1">IFERROR(__xludf.DUMMYFUNCTION("GOOGLETRANSLATE(English!F3600,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600" s="1" t="str">
        <f ca="1">IFERROR(__xludf.DUMMYFUNCTION("GOOGLETRANSLATE(English!G3600, ""en"", ""bg"")"),"помощ_за_домашно_изпълнение")</f>
        <v>помощ_за_домашно_изпълнение</v>
      </c>
      <c r="H3600" s="1" t="str">
        <f ca="1">IFERROR(__xludf.DUMMYFUNCTION("GOOGLETRANSLATE(English!H3600, ""en"", ""bg"")"),"помощ_за_домашно_задаване")</f>
        <v>помощ_за_домашно_задаване</v>
      </c>
    </row>
    <row r="3601" spans="1:8" ht="13.2" x14ac:dyDescent="0.25">
      <c r="A3601" s="1" t="str">
        <f ca="1">IFERROR(__xludf.DUMMYFUNCTION("GOOGLETRANSLATE(English!A3601, ""en"", ""bg"")"),"conv_18558")</f>
        <v>conv_18558</v>
      </c>
      <c r="B3601" s="1" t="str">
        <f ca="1">IFERROR(__xludf.DUMMYFUNCTION("GOOGLETRANSLATE(English!B3601, ""en"", ""bg"")"),"химия")</f>
        <v>химия</v>
      </c>
      <c r="C3601" s="1" t="str">
        <f ca="1">IFERROR(__xludf.DUMMYFUNCTION("GOOGLETRANSLATE(English!C3601, ""en"", ""bg"")"),"високо")</f>
        <v>високо</v>
      </c>
      <c r="D3601" s="1" t="str">
        <f ca="1">IFERROR(__xludf.DUMMYFUNCTION("GOOGLETRANSLATE(English!D3601, ""en"", ""bg"")"),"химическо свързване")</f>
        <v>химическо свързване</v>
      </c>
      <c r="E3601" s="1" t="str">
        <f ca="1">IFERROR(__xludf.DUMMYFUNCTION("GOOGLETRANSLATE(English!E3601, ""en"", ""bg"")"),"Помогнете ми да уча за теста. Какво представлява химичното свързване?")</f>
        <v>Помогнете ми да уча за теста. Какво представлява химичното свързване?</v>
      </c>
      <c r="F3601" s="1" t="str">
        <f ca="1">IFERROR(__xludf.DUMMYFUNCTION("GOOGLETRANSLATE(English!F3601,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3601" s="1" t="str">
        <f ca="1">IFERROR(__xludf.DUMMYFUNCTION("GOOGLETRANSLATE(English!G3601, ""en"", ""bg"")"),"разговор")</f>
        <v>разговор</v>
      </c>
      <c r="H3601" s="1" t="str">
        <f ca="1">IFERROR(__xludf.DUMMYFUNCTION("GOOGLETRANSLATE(English!H3601, ""en"", ""bg"")"),"образователна_помощ")</f>
        <v>образователна_помощ</v>
      </c>
    </row>
    <row r="3602" spans="1:8" ht="13.2" x14ac:dyDescent="0.25">
      <c r="A3602" s="1" t="str">
        <f ca="1">IFERROR(__xludf.DUMMYFUNCTION("GOOGLETRANSLATE(English!A3602, ""en"", ""bg"")"),"qa_12660")</f>
        <v>qa_12660</v>
      </c>
      <c r="B3602" s="1" t="str">
        <f ca="1">IFERROR(__xludf.DUMMYFUNCTION("GOOGLETRANSLATE(English!B3602, ""en"", ""bg"")"),"биология")</f>
        <v>биология</v>
      </c>
      <c r="C3602" s="1" t="str">
        <f ca="1">IFERROR(__xludf.DUMMYFUNCTION("GOOGLETRANSLATE(English!C3602, ""en"", ""bg"")"),"елементарен")</f>
        <v>елементарен</v>
      </c>
      <c r="D3602" s="1" t="str">
        <f ca="1">IFERROR(__xludf.DUMMYFUNCTION("GOOGLETRANSLATE(English!D3602, ""en"", ""bg"")"),"хранителни вериги")</f>
        <v>хранителни вериги</v>
      </c>
      <c r="E3602" s="1" t="str">
        <f ca="1">IFERROR(__xludf.DUMMYFUNCTION("GOOGLETRANSLATE(English!E3602, ""en"", ""bg"")"),"Как работят хранителните вериги?")</f>
        <v>Как работят хранителните вериги?</v>
      </c>
      <c r="F3602" s="1" t="str">
        <f ca="1">IFERROR(__xludf.DUMMYFUNCTION("GOOGLETRANSLATE(English!F3602,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3602" s="1" t="str">
        <f ca="1">IFERROR(__xludf.DUMMYFUNCTION("GOOGLETRANSLATE(English!G3602, ""en"", ""bg"")"),"direct_qa")</f>
        <v>direct_qa</v>
      </c>
      <c r="H3602" s="1" t="str">
        <f ca="1">IFERROR(__xludf.DUMMYFUNCTION("GOOGLETRANSLATE(English!H3602, ""en"", ""bg"")"),"заявка_за_знание")</f>
        <v>заявка_за_знание</v>
      </c>
    </row>
    <row r="3603" spans="1:8" ht="13.2" x14ac:dyDescent="0.25">
      <c r="A3603" s="1" t="str">
        <f ca="1">IFERROR(__xludf.DUMMYFUNCTION("GOOGLETRANSLATE(English!A3603, ""en"", ""bg"")"),"conv_01827")</f>
        <v>conv_01827</v>
      </c>
      <c r="B3603" s="1" t="str">
        <f ca="1">IFERROR(__xludf.DUMMYFUNCTION("GOOGLETRANSLATE(English!B3603, ""en"", ""bg"")"),"биология")</f>
        <v>биология</v>
      </c>
      <c r="C3603" s="1" t="str">
        <f ca="1">IFERROR(__xludf.DUMMYFUNCTION("GOOGLETRANSLATE(English!C3603, ""en"", ""bg"")"),"средата")</f>
        <v>средата</v>
      </c>
      <c r="D3603" s="1" t="str">
        <f ca="1">IFERROR(__xludf.DUMMYFUNCTION("GOOGLETRANSLATE(English!D3603, ""en"", ""bg"")"),"фотосинтеза")</f>
        <v>фотосинтеза</v>
      </c>
      <c r="E3603" s="1" t="str">
        <f ca="1">IFERROR(__xludf.DUMMYFUNCTION("GOOGLETRANSLATE(English!E3603, ""en"", ""bg"")"),"Помогни ми да уча за теста. Можеш ли да ми разкажеш за фотосинтезата?")</f>
        <v>Помогни ми да уча за теста. Можеш ли да ми разкажеш за фотосинтезата?</v>
      </c>
      <c r="F3603" s="1" t="str">
        <f ca="1">IFERROR(__xludf.DUMMYFUNCTION("GOOGLETRANSLATE(English!F3603,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3603" s="1" t="str">
        <f ca="1">IFERROR(__xludf.DUMMYFUNCTION("GOOGLETRANSLATE(English!G3603, ""en"", ""bg"")"),"разговор")</f>
        <v>разговор</v>
      </c>
      <c r="H3603" s="1" t="str">
        <f ca="1">IFERROR(__xludf.DUMMYFUNCTION("GOOGLETRANSLATE(English!H3603, ""en"", ""bg"")"),"образователна_помощ")</f>
        <v>образователна_помощ</v>
      </c>
    </row>
    <row r="3604" spans="1:8" ht="13.2" x14ac:dyDescent="0.25">
      <c r="A3604" s="1" t="str">
        <f ca="1">IFERROR(__xludf.DUMMYFUNCTION("GOOGLETRANSLATE(English!A3604, ""en"", ""bg"")"),"qa_10276")</f>
        <v>qa_10276</v>
      </c>
      <c r="B3604" s="1" t="str">
        <f ca="1">IFERROR(__xludf.DUMMYFUNCTION("GOOGLETRANSLATE(English!B3604, ""en"", ""bg"")"),"химия")</f>
        <v>химия</v>
      </c>
      <c r="C3604" s="1" t="str">
        <f ca="1">IFERROR(__xludf.DUMMYFUNCTION("GOOGLETRANSLATE(English!C3604, ""en"", ""bg"")"),"високо")</f>
        <v>високо</v>
      </c>
      <c r="D3604" s="1" t="str">
        <f ca="1">IFERROR(__xludf.DUMMYFUNCTION("GOOGLETRANSLATE(English!D3604, ""en"", ""bg"")"),"стехиометрия")</f>
        <v>стехиометрия</v>
      </c>
      <c r="E3604" s="1" t="str">
        <f ca="1">IFERROR(__xludf.DUMMYFUNCTION("GOOGLETRANSLATE(English!E3604, ""en"", ""bg"")"),"Можете ли да ми помогнете да разбера стехиометрията?")</f>
        <v>Можете ли да ми помогнете да разбера стехиометрията?</v>
      </c>
      <c r="F3604" s="1" t="str">
        <f ca="1">IFERROR(__xludf.DUMMYFUNCTION("GOOGLETRANSLATE(English!F3604,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3604" s="1" t="str">
        <f ca="1">IFERROR(__xludf.DUMMYFUNCTION("GOOGLETRANSLATE(English!G3604, ""en"", ""bg"")"),"direct_qa")</f>
        <v>direct_qa</v>
      </c>
      <c r="H3604" s="1" t="str">
        <f ca="1">IFERROR(__xludf.DUMMYFUNCTION("GOOGLETRANSLATE(English!H3604, ""en"", ""bg"")"),"заявка_за_знание")</f>
        <v>заявка_за_знание</v>
      </c>
    </row>
    <row r="3605" spans="1:8" ht="13.2" x14ac:dyDescent="0.25">
      <c r="A3605" s="1" t="str">
        <f ca="1">IFERROR(__xludf.DUMMYFUNCTION("GOOGLETRANSLATE(English!A3605, ""en"", ""bg"")"),"qa_12942")</f>
        <v>qa_12942</v>
      </c>
      <c r="B3605" s="1" t="str">
        <f ca="1">IFERROR(__xludf.DUMMYFUNCTION("GOOGLETRANSLATE(English!B3605, ""en"", ""bg"")"),"физика")</f>
        <v>физика</v>
      </c>
      <c r="C3605" s="1" t="str">
        <f ca="1">IFERROR(__xludf.DUMMYFUNCTION("GOOGLETRANSLATE(English!C3605, ""en"", ""bg"")"),"елементарен")</f>
        <v>елементарен</v>
      </c>
      <c r="D3605" s="1" t="str">
        <f ca="1">IFERROR(__xludf.DUMMYFUNCTION("GOOGLETRANSLATE(English!D3605, ""en"", ""bg"")"),"бутане и дърпане")</f>
        <v>бутане и дърпане</v>
      </c>
      <c r="E3605" s="1" t="str">
        <f ca="1">IFERROR(__xludf.DUMMYFUNCTION("GOOGLETRANSLATE(English!E3605, ""en"", ""bg"")"),"Как работят бутането и дърпането във физиката?")</f>
        <v>Как работят бутането и дърпането във физиката?</v>
      </c>
      <c r="F3605" s="1" t="str">
        <f ca="1">IFERROR(__xludf.DUMMYFUNCTION("GOOGLETRANSLATE(English!F3605,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3605" s="1" t="str">
        <f ca="1">IFERROR(__xludf.DUMMYFUNCTION("GOOGLETRANSLATE(English!G3605, ""en"", ""bg"")"),"direct_qa")</f>
        <v>direct_qa</v>
      </c>
      <c r="H3605" s="1" t="str">
        <f ca="1">IFERROR(__xludf.DUMMYFUNCTION("GOOGLETRANSLATE(English!H3605, ""en"", ""bg"")"),"заявка_за_знание")</f>
        <v>заявка_за_знание</v>
      </c>
    </row>
    <row r="3606" spans="1:8" ht="13.2" x14ac:dyDescent="0.25">
      <c r="A3606" s="1" t="str">
        <f ca="1">IFERROR(__xludf.DUMMYFUNCTION("GOOGLETRANSLATE(English!A3606, ""en"", ""bg"")"),"hw_08975")</f>
        <v>hw_08975</v>
      </c>
      <c r="B3606" s="1" t="str">
        <f ca="1">IFERROR(__xludf.DUMMYFUNCTION("GOOGLETRANSLATE(English!B3606, ""en"", ""bg"")"),"химия")</f>
        <v>химия</v>
      </c>
      <c r="C3606" s="1" t="str">
        <f ca="1">IFERROR(__xludf.DUMMYFUNCTION("GOOGLETRANSLATE(English!C3606, ""en"", ""bg"")"),"средата")</f>
        <v>средата</v>
      </c>
      <c r="D3606" s="1" t="str">
        <f ca="1">IFERROR(__xludf.DUMMYFUNCTION("GOOGLETRANSLATE(English!D3606, ""en"", ""bg"")"),"химични промени")</f>
        <v>химични промени</v>
      </c>
      <c r="E3606" s="1" t="str">
        <f ca="1">IFERROR(__xludf.DUMMYFUNCTION("GOOGLETRANSLATE(English!E3606,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3606" s="1" t="str">
        <f ca="1">IFERROR(__xludf.DUMMYFUNCTION("GOOGLETRANSLATE(English!F3606,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606" s="1" t="str">
        <f ca="1">IFERROR(__xludf.DUMMYFUNCTION("GOOGLETRANSLATE(English!G3606, ""en"", ""bg"")"),"помощ_за_домашно_изпълнение")</f>
        <v>помощ_за_домашно_изпълнение</v>
      </c>
      <c r="H3606" s="1" t="str">
        <f ca="1">IFERROR(__xludf.DUMMYFUNCTION("GOOGLETRANSLATE(English!H3606, ""en"", ""bg"")"),"помощ_за_домашно_задаване")</f>
        <v>помощ_за_домашно_задаване</v>
      </c>
    </row>
    <row r="3607" spans="1:8" ht="13.2" x14ac:dyDescent="0.25">
      <c r="A3607" s="1" t="str">
        <f ca="1">IFERROR(__xludf.DUMMYFUNCTION("GOOGLETRANSLATE(English!A3607, ""en"", ""bg"")"),"qa_01315")</f>
        <v>qa_01315</v>
      </c>
      <c r="B3607" s="1" t="str">
        <f ca="1">IFERROR(__xludf.DUMMYFUNCTION("GOOGLETRANSLATE(English!B3607, ""en"", ""bg"")"),"химия")</f>
        <v>химия</v>
      </c>
      <c r="C3607" s="1" t="str">
        <f ca="1">IFERROR(__xludf.DUMMYFUNCTION("GOOGLETRANSLATE(English!C3607, ""en"", ""bg"")"),"високо")</f>
        <v>високо</v>
      </c>
      <c r="D3607" s="1" t="str">
        <f ca="1">IFERROR(__xludf.DUMMYFUNCTION("GOOGLETRANSLATE(English!D3607, ""en"", ""bg"")"),"органична химия")</f>
        <v>органична химия</v>
      </c>
      <c r="E3607" s="1" t="str">
        <f ca="1">IFERROR(__xludf.DUMMYFUNCTION("GOOGLETRANSLATE(English!E3607, ""en"", ""bg"")"),"Какво представлява органичната химия?")</f>
        <v>Какво представлява органичната химия?</v>
      </c>
      <c r="F3607" s="1" t="str">
        <f ca="1">IFERROR(__xludf.DUMMYFUNCTION("GOOGLETRANSLATE(English!F3607,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3607" s="1" t="str">
        <f ca="1">IFERROR(__xludf.DUMMYFUNCTION("GOOGLETRANSLATE(English!G3607, ""en"", ""bg"")"),"direct_qa")</f>
        <v>direct_qa</v>
      </c>
      <c r="H3607" s="1" t="str">
        <f ca="1">IFERROR(__xludf.DUMMYFUNCTION("GOOGLETRANSLATE(English!H3607, ""en"", ""bg"")"),"заявка_за_знание")</f>
        <v>заявка_за_знание</v>
      </c>
    </row>
    <row r="3608" spans="1:8" ht="13.2" x14ac:dyDescent="0.25">
      <c r="A3608" s="1" t="str">
        <f ca="1">IFERROR(__xludf.DUMMYFUNCTION("GOOGLETRANSLATE(English!A3608, ""en"", ""bg"")"),"conv_13470")</f>
        <v>conv_13470</v>
      </c>
      <c r="B3608" s="1" t="str">
        <f ca="1">IFERROR(__xludf.DUMMYFUNCTION("GOOGLETRANSLATE(English!B3608, ""en"", ""bg"")"),"биология")</f>
        <v>биология</v>
      </c>
      <c r="C3608" s="1" t="str">
        <f ca="1">IFERROR(__xludf.DUMMYFUNCTION("GOOGLETRANSLATE(English!C3608, ""en"", ""bg"")"),"елементарен")</f>
        <v>елементарен</v>
      </c>
      <c r="D3608" s="1" t="str">
        <f ca="1">IFERROR(__xludf.DUMMYFUNCTION("GOOGLETRANSLATE(English!D3608, ""en"", ""bg"")"),"хранителни вериги")</f>
        <v>хранителни вериги</v>
      </c>
      <c r="E3608" s="1" t="str">
        <f ca="1">IFERROR(__xludf.DUMMYFUNCTION("GOOGLETRANSLATE(English!E3608, ""en"", ""bg"")"),"Здравей, преподавателю! Можеш ли да ми разкажеш за хранителните вериги?")</f>
        <v>Здравей, преподавателю! Можеш ли да ми разкажеш за хранителните вериги?</v>
      </c>
      <c r="F3608" s="1" t="str">
        <f ca="1">IFERROR(__xludf.DUMMYFUNCTION("GOOGLETRANSLATE(English!F3608,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3608" s="1" t="str">
        <f ca="1">IFERROR(__xludf.DUMMYFUNCTION("GOOGLETRANSLATE(English!G3608, ""en"", ""bg"")"),"разговор")</f>
        <v>разговор</v>
      </c>
      <c r="H3608" s="1" t="str">
        <f ca="1">IFERROR(__xludf.DUMMYFUNCTION("GOOGLETRANSLATE(English!H3608, ""en"", ""bg"")"),"образователна_помощ")</f>
        <v>образователна_помощ</v>
      </c>
    </row>
    <row r="3609" spans="1:8" ht="13.2" x14ac:dyDescent="0.25">
      <c r="A3609" s="1" t="str">
        <f ca="1">IFERROR(__xludf.DUMMYFUNCTION("GOOGLETRANSLATE(English!A3609, ""en"", ""bg"")"),"hw_05700")</f>
        <v>hw_05700</v>
      </c>
      <c r="B3609" s="1" t="str">
        <f ca="1">IFERROR(__xludf.DUMMYFUNCTION("GOOGLETRANSLATE(English!B3609, ""en"", ""bg"")"),"физика")</f>
        <v>физика</v>
      </c>
      <c r="C3609" s="1" t="str">
        <f ca="1">IFERROR(__xludf.DUMMYFUNCTION("GOOGLETRANSLATE(English!C3609, ""en"", ""bg"")"),"високо")</f>
        <v>високо</v>
      </c>
      <c r="D3609" s="1" t="str">
        <f ca="1">IFERROR(__xludf.DUMMYFUNCTION("GOOGLETRANSLATE(English!D3609, ""en"", ""bg"")"),"електромагнетизъм")</f>
        <v>електромагнетизъм</v>
      </c>
      <c r="E3609" s="1" t="str">
        <f ca="1">IFERROR(__xludf.DUMMYFUNCTION("GOOGLETRANSLATE(English!E3609, ""en"", ""bg"")"),"Можете ли да решите този въпрос по електромагнетизъм с мен?")</f>
        <v>Можете ли да решите този въпрос по електромагнетизъм с мен?</v>
      </c>
      <c r="F3609" s="1" t="str">
        <f ca="1">IFERROR(__xludf.DUMMYFUNCTION("GOOGLETRANSLATE(English!F3609,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3609" s="1" t="str">
        <f ca="1">IFERROR(__xludf.DUMMYFUNCTION("GOOGLETRANSLATE(English!G3609, ""en"", ""bg"")"),"помощ_за_домашно_изпълнение")</f>
        <v>помощ_за_домашно_изпълнение</v>
      </c>
      <c r="H3609" s="1" t="str">
        <f ca="1">IFERROR(__xludf.DUMMYFUNCTION("GOOGLETRANSLATE(English!H3609, ""en"", ""bg"")"),"помощ_за_домашно_задаване")</f>
        <v>помощ_за_домашно_задаване</v>
      </c>
    </row>
    <row r="3610" spans="1:8" ht="13.2" x14ac:dyDescent="0.25">
      <c r="A3610" s="1" t="str">
        <f ca="1">IFERROR(__xludf.DUMMYFUNCTION("GOOGLETRANSLATE(English!A3610, ""en"", ""bg"")"),"hw_09637")</f>
        <v>hw_09637</v>
      </c>
      <c r="B3610" s="1" t="str">
        <f ca="1">IFERROR(__xludf.DUMMYFUNCTION("GOOGLETRANSLATE(English!B3610, ""en"", ""bg"")"),"химия")</f>
        <v>химия</v>
      </c>
      <c r="C3610" s="1" t="str">
        <f ca="1">IFERROR(__xludf.DUMMYFUNCTION("GOOGLETRANSLATE(English!C3610, ""en"", ""bg"")"),"средата")</f>
        <v>средата</v>
      </c>
      <c r="D3610" s="1" t="str">
        <f ca="1">IFERROR(__xludf.DUMMYFUNCTION("GOOGLETRANSLATE(English!D3610, ""en"", ""bg"")"),"съединения срещу елементи")</f>
        <v>съединения срещу елементи</v>
      </c>
      <c r="E3610" s="1" t="str">
        <f ca="1">IFERROR(__xludf.DUMMYFUNCTION("GOOGLETRANSLATE(English!E3610, ""en"", ""bg"")"),"Затруднявам се със сравнението на съединенията и елементите в домашното си.")</f>
        <v>Затруднявам се със сравнението на съединенията и елементите в домашното си.</v>
      </c>
      <c r="F3610" s="1" t="str">
        <f ca="1">IFERROR(__xludf.DUMMYFUNCTION("GOOGLETRANSLATE(English!F3610,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610" s="1" t="str">
        <f ca="1">IFERROR(__xludf.DUMMYFUNCTION("GOOGLETRANSLATE(English!G3610, ""en"", ""bg"")"),"помощ_за_домашно_изпълнение")</f>
        <v>помощ_за_домашно_изпълнение</v>
      </c>
      <c r="H3610" s="1" t="str">
        <f ca="1">IFERROR(__xludf.DUMMYFUNCTION("GOOGLETRANSLATE(English!H3610, ""en"", ""bg"")"),"помощ_за_домашно_задаване")</f>
        <v>помощ_за_домашно_задаване</v>
      </c>
    </row>
    <row r="3611" spans="1:8" ht="13.2" x14ac:dyDescent="0.25">
      <c r="A3611" s="1" t="str">
        <f ca="1">IFERROR(__xludf.DUMMYFUNCTION("GOOGLETRANSLATE(English!A3611, ""en"", ""bg"")"),"hw_10462")</f>
        <v>hw_10462</v>
      </c>
      <c r="B3611" s="1" t="str">
        <f ca="1">IFERROR(__xludf.DUMMYFUNCTION("GOOGLETRANSLATE(English!B3611, ""en"", ""bg"")"),"биология")</f>
        <v>биология</v>
      </c>
      <c r="C3611" s="1" t="str">
        <f ca="1">IFERROR(__xludf.DUMMYFUNCTION("GOOGLETRANSLATE(English!C3611, ""en"", ""bg"")"),"елементарен")</f>
        <v>елементарен</v>
      </c>
      <c r="D3611" s="1" t="str">
        <f ca="1">IFERROR(__xludf.DUMMYFUNCTION("GOOGLETRANSLATE(English!D3611, ""en"", ""bg"")"),"основни нужди")</f>
        <v>основни нужди</v>
      </c>
      <c r="E3611" s="1" t="str">
        <f ca="1">IFERROR(__xludf.DUMMYFUNCTION("GOOGLETRANSLATE(English!E3611, ""en"", ""bg"")"),"Домашното ми пита за основни нужди. Не го разбирам.")</f>
        <v>Домашното ми пита за основни нужди. Не го разбирам.</v>
      </c>
      <c r="F3611" s="1" t="str">
        <f ca="1">IFERROR(__xludf.DUMMYFUNCTION("GOOGLETRANSLATE(English!F3611,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3611" s="1" t="str">
        <f ca="1">IFERROR(__xludf.DUMMYFUNCTION("GOOGLETRANSLATE(English!G3611, ""en"", ""bg"")"),"помощ_за_домашно_изпълнение")</f>
        <v>помощ_за_домашно_изпълнение</v>
      </c>
      <c r="H3611" s="1" t="str">
        <f ca="1">IFERROR(__xludf.DUMMYFUNCTION("GOOGLETRANSLATE(English!H3611, ""en"", ""bg"")"),"помощ_за_домашно_задаване")</f>
        <v>помощ_за_домашно_задаване</v>
      </c>
    </row>
    <row r="3612" spans="1:8" ht="13.2" x14ac:dyDescent="0.25">
      <c r="A3612" s="1" t="str">
        <f ca="1">IFERROR(__xludf.DUMMYFUNCTION("GOOGLETRANSLATE(English!A3612, ""en"", ""bg"")"),"hw_12912")</f>
        <v>hw_12912</v>
      </c>
      <c r="B3612" s="1" t="str">
        <f ca="1">IFERROR(__xludf.DUMMYFUNCTION("GOOGLETRANSLATE(English!B3612, ""en"", ""bg"")"),"химия")</f>
        <v>химия</v>
      </c>
      <c r="C3612" s="1" t="str">
        <f ca="1">IFERROR(__xludf.DUMMYFUNCTION("GOOGLETRANSLATE(English!C3612, ""en"", ""bg"")"),"елементарен")</f>
        <v>елементарен</v>
      </c>
      <c r="D3612" s="1" t="str">
        <f ca="1">IFERROR(__xludf.DUMMYFUNCTION("GOOGLETRANSLATE(English!D3612, ""en"", ""bg"")"),"промени в материалите")</f>
        <v>промени в материалите</v>
      </c>
      <c r="E3612" s="1" t="str">
        <f ca="1">IFERROR(__xludf.DUMMYFUNCTION("GOOGLETRANSLATE(English!E3612,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3612" s="1" t="str">
        <f ca="1">IFERROR(__xludf.DUMMYFUNCTION("GOOGLETRANSLATE(English!F3612,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3612" s="1" t="str">
        <f ca="1">IFERROR(__xludf.DUMMYFUNCTION("GOOGLETRANSLATE(English!G3612, ""en"", ""bg"")"),"помощ_за_домашно_изпълнение")</f>
        <v>помощ_за_домашно_изпълнение</v>
      </c>
      <c r="H3612" s="1" t="str">
        <f ca="1">IFERROR(__xludf.DUMMYFUNCTION("GOOGLETRANSLATE(English!H3612, ""en"", ""bg"")"),"помощ_за_домашно_задаване")</f>
        <v>помощ_за_домашно_задаване</v>
      </c>
    </row>
    <row r="3613" spans="1:8" ht="13.2" x14ac:dyDescent="0.25">
      <c r="A3613" s="1" t="str">
        <f ca="1">IFERROR(__xludf.DUMMYFUNCTION("GOOGLETRANSLATE(English!A3613, ""en"", ""bg"")"),"qa_05276")</f>
        <v>qa_05276</v>
      </c>
      <c r="B3613" s="1" t="str">
        <f ca="1">IFERROR(__xludf.DUMMYFUNCTION("GOOGLETRANSLATE(English!B3613, ""en"", ""bg"")"),"биология")</f>
        <v>биология</v>
      </c>
      <c r="C3613" s="1" t="str">
        <f ca="1">IFERROR(__xludf.DUMMYFUNCTION("GOOGLETRANSLATE(English!C3613, ""en"", ""bg"")"),"високо")</f>
        <v>високо</v>
      </c>
      <c r="D3613" s="1" t="str">
        <f ca="1">IFERROR(__xludf.DUMMYFUNCTION("GOOGLETRANSLATE(English!D3613, ""en"", ""bg"")"),"клетъчно дишане")</f>
        <v>клетъчно дишане</v>
      </c>
      <c r="E3613" s="1" t="str">
        <f ca="1">IFERROR(__xludf.DUMMYFUNCTION("GOOGLETRANSLATE(English!E3613, ""en"", ""bg"")"),"Защо клетъчното дишане е важно в биологията?")</f>
        <v>Защо клетъчното дишане е важно в биологията?</v>
      </c>
      <c r="F3613" s="1" t="str">
        <f ca="1">IFERROR(__xludf.DUMMYFUNCTION("GOOGLETRANSLATE(English!F3613,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613" s="1" t="str">
        <f ca="1">IFERROR(__xludf.DUMMYFUNCTION("GOOGLETRANSLATE(English!G3613, ""en"", ""bg"")"),"direct_qa")</f>
        <v>direct_qa</v>
      </c>
      <c r="H3613" s="1" t="str">
        <f ca="1">IFERROR(__xludf.DUMMYFUNCTION("GOOGLETRANSLATE(English!H3613, ""en"", ""bg"")"),"заявка_за_знание")</f>
        <v>заявка_за_знание</v>
      </c>
    </row>
    <row r="3614" spans="1:8" ht="13.2" x14ac:dyDescent="0.25">
      <c r="A3614" s="1" t="str">
        <f ca="1">IFERROR(__xludf.DUMMYFUNCTION("GOOGLETRANSLATE(English!A3614, ""en"", ""bg"")"),"conv_00194")</f>
        <v>conv_00194</v>
      </c>
      <c r="B3614" s="1" t="str">
        <f ca="1">IFERROR(__xludf.DUMMYFUNCTION("GOOGLETRANSLATE(English!B3614, ""en"", ""bg"")"),"химия")</f>
        <v>химия</v>
      </c>
      <c r="C3614" s="1" t="str">
        <f ca="1">IFERROR(__xludf.DUMMYFUNCTION("GOOGLETRANSLATE(English!C3614, ""en"", ""bg"")"),"високо")</f>
        <v>високо</v>
      </c>
      <c r="D3614" s="1" t="str">
        <f ca="1">IFERROR(__xludf.DUMMYFUNCTION("GOOGLETRANSLATE(English!D3614, ""en"", ""bg"")"),"стехиометрия")</f>
        <v>стехиометрия</v>
      </c>
      <c r="E3614" s="1" t="str">
        <f ca="1">IFERROR(__xludf.DUMMYFUNCTION("GOOGLETRANSLATE(English!E3614, ""en"", ""bg"")"),"Можете ли да ми помогнете? Как работи стехиометрията в химията?")</f>
        <v>Можете ли да ми помогнете? Как работи стехиометрията в химията?</v>
      </c>
      <c r="F3614" s="1" t="str">
        <f ca="1">IFERROR(__xludf.DUMMYFUNCTION("GOOGLETRANSLATE(English!F3614,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3614" s="1" t="str">
        <f ca="1">IFERROR(__xludf.DUMMYFUNCTION("GOOGLETRANSLATE(English!G3614, ""en"", ""bg"")"),"разговор")</f>
        <v>разговор</v>
      </c>
      <c r="H3614" s="1" t="str">
        <f ca="1">IFERROR(__xludf.DUMMYFUNCTION("GOOGLETRANSLATE(English!H3614, ""en"", ""bg"")"),"образователна_помощ")</f>
        <v>образователна_помощ</v>
      </c>
    </row>
    <row r="3615" spans="1:8" ht="13.2" x14ac:dyDescent="0.25">
      <c r="A3615" s="1" t="str">
        <f ca="1">IFERROR(__xludf.DUMMYFUNCTION("GOOGLETRANSLATE(English!A3615, ""en"", ""bg"")"),"qa_14081")</f>
        <v>qa_14081</v>
      </c>
      <c r="B3615" s="1" t="str">
        <f ca="1">IFERROR(__xludf.DUMMYFUNCTION("GOOGLETRANSLATE(English!B3615, ""en"", ""bg"")"),"биология")</f>
        <v>биология</v>
      </c>
      <c r="C3615" s="1" t="str">
        <f ca="1">IFERROR(__xludf.DUMMYFUNCTION("GOOGLETRANSLATE(English!C3615, ""en"", ""bg"")"),"високо")</f>
        <v>високо</v>
      </c>
      <c r="D3615" s="1" t="str">
        <f ca="1">IFERROR(__xludf.DUMMYFUNCTION("GOOGLETRANSLATE(English!D3615, ""en"", ""bg"")"),"митоза и мейоза")</f>
        <v>митоза и мейоза</v>
      </c>
      <c r="E3615" s="1" t="str">
        <f ca="1">IFERROR(__xludf.DUMMYFUNCTION("GOOGLETRANSLATE(English!E3615, ""en"", ""bg"")"),"Как протичат митозата и мейозата?")</f>
        <v>Как протичат митозата и мейозата?</v>
      </c>
      <c r="F3615" s="1" t="str">
        <f ca="1">IFERROR(__xludf.DUMMYFUNCTION("GOOGLETRANSLATE(English!F3615,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3615" s="1" t="str">
        <f ca="1">IFERROR(__xludf.DUMMYFUNCTION("GOOGLETRANSLATE(English!G3615, ""en"", ""bg"")"),"direct_qa")</f>
        <v>direct_qa</v>
      </c>
      <c r="H3615" s="1" t="str">
        <f ca="1">IFERROR(__xludf.DUMMYFUNCTION("GOOGLETRANSLATE(English!H3615, ""en"", ""bg"")"),"заявка_за_знание")</f>
        <v>заявка_за_знание</v>
      </c>
    </row>
    <row r="3616" spans="1:8" ht="13.2" x14ac:dyDescent="0.25">
      <c r="A3616" s="1" t="str">
        <f ca="1">IFERROR(__xludf.DUMMYFUNCTION("GOOGLETRANSLATE(English!A3616, ""en"", ""bg"")"),"hw_00185")</f>
        <v>hw_00185</v>
      </c>
      <c r="B3616" s="1" t="str">
        <f ca="1">IFERROR(__xludf.DUMMYFUNCTION("GOOGLETRANSLATE(English!B3616, ""en"", ""bg"")"),"химия")</f>
        <v>химия</v>
      </c>
      <c r="C3616" s="1" t="str">
        <f ca="1">IFERROR(__xludf.DUMMYFUNCTION("GOOGLETRANSLATE(English!C3616, ""en"", ""bg"")"),"средата")</f>
        <v>средата</v>
      </c>
      <c r="D3616" s="1" t="str">
        <f ca="1">IFERROR(__xludf.DUMMYFUNCTION("GOOGLETRANSLATE(English!D3616, ""en"", ""bg"")"),"атоми и молекули")</f>
        <v>атоми и молекули</v>
      </c>
      <c r="E3616" s="1" t="str">
        <f ca="1">IFERROR(__xludf.DUMMYFUNCTION("GOOGLETRANSLATE(English!E3616,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3616" s="1" t="str">
        <f ca="1">IFERROR(__xludf.DUMMYFUNCTION("GOOGLETRANSLATE(English!F3616,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616" s="1" t="str">
        <f ca="1">IFERROR(__xludf.DUMMYFUNCTION("GOOGLETRANSLATE(English!G3616, ""en"", ""bg"")"),"помощ_за_домашно_изпълнение")</f>
        <v>помощ_за_домашно_изпълнение</v>
      </c>
      <c r="H3616" s="1" t="str">
        <f ca="1">IFERROR(__xludf.DUMMYFUNCTION("GOOGLETRANSLATE(English!H3616, ""en"", ""bg"")"),"помощ_за_домашно_задаване")</f>
        <v>помощ_за_домашно_задаване</v>
      </c>
    </row>
    <row r="3617" spans="1:8" ht="13.2" x14ac:dyDescent="0.25">
      <c r="A3617" s="1" t="str">
        <f ca="1">IFERROR(__xludf.DUMMYFUNCTION("GOOGLETRANSLATE(English!A3617, ""en"", ""bg"")"),"hw_11499")</f>
        <v>hw_11499</v>
      </c>
      <c r="B3617" s="1" t="str">
        <f ca="1">IFERROR(__xludf.DUMMYFUNCTION("GOOGLETRANSLATE(English!B3617, ""en"", ""bg"")"),"физика")</f>
        <v>физика</v>
      </c>
      <c r="C3617" s="1" t="str">
        <f ca="1">IFERROR(__xludf.DUMMYFUNCTION("GOOGLETRANSLATE(English!C3617, ""en"", ""bg"")"),"елементарен")</f>
        <v>елементарен</v>
      </c>
      <c r="D3617" s="1" t="str">
        <f ca="1">IFERROR(__xludf.DUMMYFUNCTION("GOOGLETRANSLATE(English!D3617, ""en"", ""bg"")"),"плаващ и потъващ")</f>
        <v>плаващ и потъващ</v>
      </c>
      <c r="E3617" s="1" t="str">
        <f ca="1">IFERROR(__xludf.DUMMYFUNCTION("GOOGLETRANSLATE(English!E3617, ""en"", ""bg"")"),"Домашното ми по физика е за плаване и потъване. Объркващо е!")</f>
        <v>Домашното ми по физика е за плаване и потъване. Объркващо е!</v>
      </c>
      <c r="F3617" s="1" t="str">
        <f ca="1">IFERROR(__xludf.DUMMYFUNCTION("GOOGLETRANSLATE(English!F3617,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617" s="1" t="str">
        <f ca="1">IFERROR(__xludf.DUMMYFUNCTION("GOOGLETRANSLATE(English!G3617, ""en"", ""bg"")"),"помощ_за_домашно_изпълнение")</f>
        <v>помощ_за_домашно_изпълнение</v>
      </c>
      <c r="H3617" s="1" t="str">
        <f ca="1">IFERROR(__xludf.DUMMYFUNCTION("GOOGLETRANSLATE(English!H3617, ""en"", ""bg"")"),"помощ_за_домашно_задаване")</f>
        <v>помощ_за_домашно_задаване</v>
      </c>
    </row>
    <row r="3618" spans="1:8" ht="13.2" x14ac:dyDescent="0.25">
      <c r="A3618" s="1" t="str">
        <f ca="1">IFERROR(__xludf.DUMMYFUNCTION("GOOGLETRANSLATE(English!A3618, ""en"", ""bg"")"),"hw_03154")</f>
        <v>hw_03154</v>
      </c>
      <c r="B3618" s="1" t="str">
        <f ca="1">IFERROR(__xludf.DUMMYFUNCTION("GOOGLETRANSLATE(English!B3618, ""en"", ""bg"")"),"физика")</f>
        <v>физика</v>
      </c>
      <c r="C3618" s="1" t="str">
        <f ca="1">IFERROR(__xludf.DUMMYFUNCTION("GOOGLETRANSLATE(English!C3618, ""en"", ""bg"")"),"високо")</f>
        <v>високо</v>
      </c>
      <c r="D3618" s="1" t="str">
        <f ca="1">IFERROR(__xludf.DUMMYFUNCTION("GOOGLETRANSLATE(English!D3618, ""en"", ""bg"")"),"механика")</f>
        <v>механика</v>
      </c>
      <c r="E3618" s="1" t="str">
        <f ca="1">IFERROR(__xludf.DUMMYFUNCTION("GOOGLETRANSLATE(English!E3618, ""en"", ""bg"")"),"Можеш ли да решиш този механичен въпрос с мен?")</f>
        <v>Можеш ли да решиш този механичен въпрос с мен?</v>
      </c>
      <c r="F3618" s="1" t="str">
        <f ca="1">IFERROR(__xludf.DUMMYFUNCTION("GOOGLETRANSLATE(English!F3618,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618" s="1" t="str">
        <f ca="1">IFERROR(__xludf.DUMMYFUNCTION("GOOGLETRANSLATE(English!G3618, ""en"", ""bg"")"),"помощ_за_домашно_изпълнение")</f>
        <v>помощ_за_домашно_изпълнение</v>
      </c>
      <c r="H3618" s="1" t="str">
        <f ca="1">IFERROR(__xludf.DUMMYFUNCTION("GOOGLETRANSLATE(English!H3618, ""en"", ""bg"")"),"помощ_за_домашно_задаване")</f>
        <v>помощ_за_домашно_задаване</v>
      </c>
    </row>
    <row r="3619" spans="1:8" ht="13.2" x14ac:dyDescent="0.25">
      <c r="A3619" s="1" t="str">
        <f ca="1">IFERROR(__xludf.DUMMYFUNCTION("GOOGLETRANSLATE(English!A3619, ""en"", ""bg"")"),"hw_14200")</f>
        <v>hw_14200</v>
      </c>
      <c r="B3619" s="1" t="str">
        <f ca="1">IFERROR(__xludf.DUMMYFUNCTION("GOOGLETRANSLATE(English!B3619, ""en"", ""bg"")"),"биология")</f>
        <v>биология</v>
      </c>
      <c r="C3619" s="1" t="str">
        <f ca="1">IFERROR(__xludf.DUMMYFUNCTION("GOOGLETRANSLATE(English!C3619, ""en"", ""bg"")"),"средата")</f>
        <v>средата</v>
      </c>
      <c r="D3619" s="1" t="str">
        <f ca="1">IFERROR(__xludf.DUMMYFUNCTION("GOOGLETRANSLATE(English!D3619, ""en"", ""bg"")"),"размножаване")</f>
        <v>размножаване</v>
      </c>
      <c r="E3619" s="1" t="str">
        <f ca="1">IFERROR(__xludf.DUMMYFUNCTION("GOOGLETRANSLATE(English!E3619, ""en"", ""bg"")"),"Домашното ми пита за размножаването. Не го разбирам.")</f>
        <v>Домашното ми пита за размножаването. Не го разбирам.</v>
      </c>
      <c r="F3619" s="1" t="str">
        <f ca="1">IFERROR(__xludf.DUMMYFUNCTION("GOOGLETRANSLATE(English!F3619,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619" s="1" t="str">
        <f ca="1">IFERROR(__xludf.DUMMYFUNCTION("GOOGLETRANSLATE(English!G3619, ""en"", ""bg"")"),"помощ_за_домашно_изпълнение")</f>
        <v>помощ_за_домашно_изпълнение</v>
      </c>
      <c r="H3619" s="1" t="str">
        <f ca="1">IFERROR(__xludf.DUMMYFUNCTION("GOOGLETRANSLATE(English!H3619, ""en"", ""bg"")"),"помощ_за_домашно_задаване")</f>
        <v>помощ_за_домашно_задаване</v>
      </c>
    </row>
    <row r="3620" spans="1:8" ht="13.2" x14ac:dyDescent="0.25">
      <c r="A3620" s="1" t="str">
        <f ca="1">IFERROR(__xludf.DUMMYFUNCTION("GOOGLETRANSLATE(English!A3620, ""en"", ""bg"")"),"qa_08538")</f>
        <v>qa_08538</v>
      </c>
      <c r="B3620" s="1" t="str">
        <f ca="1">IFERROR(__xludf.DUMMYFUNCTION("GOOGLETRANSLATE(English!B3620, ""en"", ""bg"")"),"химия")</f>
        <v>химия</v>
      </c>
      <c r="C3620" s="1" t="str">
        <f ca="1">IFERROR(__xludf.DUMMYFUNCTION("GOOGLETRANSLATE(English!C3620, ""en"", ""bg"")"),"високо")</f>
        <v>високо</v>
      </c>
      <c r="D3620" s="1" t="str">
        <f ca="1">IFERROR(__xludf.DUMMYFUNCTION("GOOGLETRANSLATE(English!D3620, ""en"", ""bg"")"),"скорости на реакция")</f>
        <v>скорости на реакция</v>
      </c>
      <c r="E3620" s="1" t="str">
        <f ca="1">IFERROR(__xludf.DUMMYFUNCTION("GOOGLETRANSLATE(English!E3620,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3620" s="1" t="str">
        <f ca="1">IFERROR(__xludf.DUMMYFUNCTION("GOOGLETRANSLATE(English!F3620,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3620" s="1" t="str">
        <f ca="1">IFERROR(__xludf.DUMMYFUNCTION("GOOGLETRANSLATE(English!G3620, ""en"", ""bg"")"),"direct_qa")</f>
        <v>direct_qa</v>
      </c>
      <c r="H3620" s="1" t="str">
        <f ca="1">IFERROR(__xludf.DUMMYFUNCTION("GOOGLETRANSLATE(English!H3620, ""en"", ""bg"")"),"заявка_за_знание")</f>
        <v>заявка_за_знание</v>
      </c>
    </row>
    <row r="3621" spans="1:8" ht="13.2" x14ac:dyDescent="0.25">
      <c r="A3621" s="1" t="str">
        <f ca="1">IFERROR(__xludf.DUMMYFUNCTION("GOOGLETRANSLATE(English!A3621, ""en"", ""bg"")"),"hw_07938")</f>
        <v>hw_07938</v>
      </c>
      <c r="B3621" s="1" t="str">
        <f ca="1">IFERROR(__xludf.DUMMYFUNCTION("GOOGLETRANSLATE(English!B3621, ""en"", ""bg"")"),"химия")</f>
        <v>химия</v>
      </c>
      <c r="C3621" s="1" t="str">
        <f ca="1">IFERROR(__xludf.DUMMYFUNCTION("GOOGLETRANSLATE(English!C3621, ""en"", ""bg"")"),"средата")</f>
        <v>средата</v>
      </c>
      <c r="D3621" s="1" t="str">
        <f ca="1">IFERROR(__xludf.DUMMYFUNCTION("GOOGLETRANSLATE(English!D3621, ""en"", ""bg"")"),"основи на периодичната таблица")</f>
        <v>основи на периодичната таблица</v>
      </c>
      <c r="E3621" s="1" t="str">
        <f ca="1">IFERROR(__xludf.DUMMYFUNCTION("GOOGLETRANSLATE(English!E3621, ""en"", ""bg"")"),"Имам затруднения с основите на периодичната таблица в домашното си.")</f>
        <v>Имам затруднения с основите на периодичната таблица в домашното си.</v>
      </c>
      <c r="F3621" s="1" t="str">
        <f ca="1">IFERROR(__xludf.DUMMYFUNCTION("GOOGLETRANSLATE(English!F3621,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3621" s="1" t="str">
        <f ca="1">IFERROR(__xludf.DUMMYFUNCTION("GOOGLETRANSLATE(English!G3621, ""en"", ""bg"")"),"помощ_за_домашно_изпълнение")</f>
        <v>помощ_за_домашно_изпълнение</v>
      </c>
      <c r="H3621" s="1" t="str">
        <f ca="1">IFERROR(__xludf.DUMMYFUNCTION("GOOGLETRANSLATE(English!H3621, ""en"", ""bg"")"),"помощ_за_домашно_задаване")</f>
        <v>помощ_за_домашно_задаване</v>
      </c>
    </row>
    <row r="3622" spans="1:8" ht="13.2" x14ac:dyDescent="0.25">
      <c r="A3622" s="1" t="str">
        <f ca="1">IFERROR(__xludf.DUMMYFUNCTION("GOOGLETRANSLATE(English!A3622, ""en"", ""bg"")"),"conv_05839")</f>
        <v>conv_05839</v>
      </c>
      <c r="B3622" s="1" t="str">
        <f ca="1">IFERROR(__xludf.DUMMYFUNCTION("GOOGLETRANSLATE(English!B3622, ""en"", ""bg"")"),"химия")</f>
        <v>химия</v>
      </c>
      <c r="C3622" s="1" t="str">
        <f ca="1">IFERROR(__xludf.DUMMYFUNCTION("GOOGLETRANSLATE(English!C3622, ""en"", ""bg"")"),"средата")</f>
        <v>средата</v>
      </c>
      <c r="D3622" s="1" t="str">
        <f ca="1">IFERROR(__xludf.DUMMYFUNCTION("GOOGLETRANSLATE(English!D3622, ""en"", ""bg"")"),"атоми и молекули")</f>
        <v>атоми и молекули</v>
      </c>
      <c r="E3622" s="1" t="str">
        <f ca="1">IFERROR(__xludf.DUMMYFUNCTION("GOOGLETRANSLATE(English!E3622, ""en"", ""bg"")"),"Имам научен въпрос. Защо атомите се свързват?")</f>
        <v>Имам научен въпрос. Защо атомите се свързват?</v>
      </c>
      <c r="F3622" s="1" t="str">
        <f ca="1">IFERROR(__xludf.DUMMYFUNCTION("GOOGLETRANSLATE(English!F3622,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3622" s="1" t="str">
        <f ca="1">IFERROR(__xludf.DUMMYFUNCTION("GOOGLETRANSLATE(English!G3622, ""en"", ""bg"")"),"разговор")</f>
        <v>разговор</v>
      </c>
      <c r="H3622" s="1" t="str">
        <f ca="1">IFERROR(__xludf.DUMMYFUNCTION("GOOGLETRANSLATE(English!H3622, ""en"", ""bg"")"),"образователна_помощ")</f>
        <v>образователна_помощ</v>
      </c>
    </row>
    <row r="3623" spans="1:8" ht="13.2" x14ac:dyDescent="0.25">
      <c r="A3623" s="1" t="str">
        <f ca="1">IFERROR(__xludf.DUMMYFUNCTION("GOOGLETRANSLATE(English!A3623, ""en"", ""bg"")"),"hw_06896")</f>
        <v>hw_06896</v>
      </c>
      <c r="B3623" s="1" t="str">
        <f ca="1">IFERROR(__xludf.DUMMYFUNCTION("GOOGLETRANSLATE(English!B3623, ""en"", ""bg"")"),"физика")</f>
        <v>физика</v>
      </c>
      <c r="C3623" s="1" t="str">
        <f ca="1">IFERROR(__xludf.DUMMYFUNCTION("GOOGLETRANSLATE(English!C3623, ""en"", ""bg"")"),"средата")</f>
        <v>средата</v>
      </c>
      <c r="D3623" s="1" t="str">
        <f ca="1">IFERROR(__xludf.DUMMYFUNCTION("GOOGLETRANSLATE(English!D3623, ""en"", ""bg"")"),"състояния на материята")</f>
        <v>състояния на материята</v>
      </c>
      <c r="E3623" s="1" t="str">
        <f ca="1">IFERROR(__xludf.DUMMYFUNCTION("GOOGLETRANSLATE(English!E3623, ""en"", ""bg"")"),"Можете ли да решите този въпрос с мен?")</f>
        <v>Можете ли да решите този въпрос с мен?</v>
      </c>
      <c r="F3623" s="1" t="str">
        <f ca="1">IFERROR(__xludf.DUMMYFUNCTION("GOOGLETRANSLATE(English!F3623,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3623" s="1" t="str">
        <f ca="1">IFERROR(__xludf.DUMMYFUNCTION("GOOGLETRANSLATE(English!G3623, ""en"", ""bg"")"),"помощ_за_домашно_изпълнение")</f>
        <v>помощ_за_домашно_изпълнение</v>
      </c>
      <c r="H3623" s="1" t="str">
        <f ca="1">IFERROR(__xludf.DUMMYFUNCTION("GOOGLETRANSLATE(English!H3623, ""en"", ""bg"")"),"помощ_за_домашно_задаване")</f>
        <v>помощ_за_домашно_задаване</v>
      </c>
    </row>
    <row r="3624" spans="1:8" ht="13.2" x14ac:dyDescent="0.25">
      <c r="A3624" s="1" t="str">
        <f ca="1">IFERROR(__xludf.DUMMYFUNCTION("GOOGLETRANSLATE(English!A3624, ""en"", ""bg"")"),"conv_11914")</f>
        <v>conv_11914</v>
      </c>
      <c r="B3624" s="1" t="str">
        <f ca="1">IFERROR(__xludf.DUMMYFUNCTION("GOOGLETRANSLATE(English!B3624, ""en"", ""bg"")"),"химия")</f>
        <v>химия</v>
      </c>
      <c r="C3624" s="1" t="str">
        <f ca="1">IFERROR(__xludf.DUMMYFUNCTION("GOOGLETRANSLATE(English!C3624, ""en"", ""bg"")"),"високо")</f>
        <v>високо</v>
      </c>
      <c r="D3624" s="1" t="str">
        <f ca="1">IFERROR(__xludf.DUMMYFUNCTION("GOOGLETRANSLATE(English!D3624, ""en"", ""bg"")"),"равновесие")</f>
        <v>равновесие</v>
      </c>
      <c r="E3624" s="1" t="str">
        <f ca="1">IFERROR(__xludf.DUMMYFUNCTION("GOOGLETRANSLATE(English!E3624, ""en"", ""bg"")"),"Имам научен въпрос. Как работи равновесието в химията?")</f>
        <v>Имам научен въпрос. Как работи равновесието в химията?</v>
      </c>
      <c r="F3624" s="1" t="str">
        <f ca="1">IFERROR(__xludf.DUMMYFUNCTION("GOOGLETRANSLATE(English!F3624,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3624" s="1" t="str">
        <f ca="1">IFERROR(__xludf.DUMMYFUNCTION("GOOGLETRANSLATE(English!G3624, ""en"", ""bg"")"),"разговор")</f>
        <v>разговор</v>
      </c>
      <c r="H3624" s="1" t="str">
        <f ca="1">IFERROR(__xludf.DUMMYFUNCTION("GOOGLETRANSLATE(English!H3624, ""en"", ""bg"")"),"образователна_помощ")</f>
        <v>образователна_помощ</v>
      </c>
    </row>
    <row r="3625" spans="1:8" ht="13.2" x14ac:dyDescent="0.25">
      <c r="A3625" s="1" t="str">
        <f ca="1">IFERROR(__xludf.DUMMYFUNCTION("GOOGLETRANSLATE(English!A3625, ""en"", ""bg"")"),"qa_02769")</f>
        <v>qa_02769</v>
      </c>
      <c r="B3625" s="1" t="str">
        <f ca="1">IFERROR(__xludf.DUMMYFUNCTION("GOOGLETRANSLATE(English!B3625, ""en"", ""bg"")"),"физика")</f>
        <v>физика</v>
      </c>
      <c r="C3625" s="1" t="str">
        <f ca="1">IFERROR(__xludf.DUMMYFUNCTION("GOOGLETRANSLATE(English!C3625, ""en"", ""bg"")"),"елементарен")</f>
        <v>елементарен</v>
      </c>
      <c r="D3625" s="1" t="str">
        <f ca="1">IFERROR(__xludf.DUMMYFUNCTION("GOOGLETRANSLATE(English!D3625, ""en"", ""bg"")"),"светлина и сянка")</f>
        <v>светлина и сянка</v>
      </c>
      <c r="E3625" s="1" t="str">
        <f ca="1">IFERROR(__xludf.DUMMYFUNCTION("GOOGLETRANSLATE(English!E3625, ""en"", ""bg"")"),"Как се правят сенките?")</f>
        <v>Как се правят сенките?</v>
      </c>
      <c r="F3625" s="1" t="str">
        <f ca="1">IFERROR(__xludf.DUMMYFUNCTION("GOOGLETRANSLATE(English!F3625,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3625" s="1" t="str">
        <f ca="1">IFERROR(__xludf.DUMMYFUNCTION("GOOGLETRANSLATE(English!G3625, ""en"", ""bg"")"),"direct_qa")</f>
        <v>direct_qa</v>
      </c>
      <c r="H3625" s="1" t="str">
        <f ca="1">IFERROR(__xludf.DUMMYFUNCTION("GOOGLETRANSLATE(English!H3625, ""en"", ""bg"")"),"заявка_за_знание")</f>
        <v>заявка_за_знание</v>
      </c>
    </row>
    <row r="3626" spans="1:8" ht="13.2" x14ac:dyDescent="0.25">
      <c r="A3626" s="1" t="str">
        <f ca="1">IFERROR(__xludf.DUMMYFUNCTION("GOOGLETRANSLATE(English!A3626, ""en"", ""bg"")"),"conv_14473")</f>
        <v>conv_14473</v>
      </c>
      <c r="B3626" s="1" t="str">
        <f ca="1">IFERROR(__xludf.DUMMYFUNCTION("GOOGLETRANSLATE(English!B3626, ""en"", ""bg"")"),"биология")</f>
        <v>биология</v>
      </c>
      <c r="C3626" s="1" t="str">
        <f ca="1">IFERROR(__xludf.DUMMYFUNCTION("GOOGLETRANSLATE(English!C3626, ""en"", ""bg"")"),"средата")</f>
        <v>средата</v>
      </c>
      <c r="D3626" s="1" t="str">
        <f ca="1">IFERROR(__xludf.DUMMYFUNCTION("GOOGLETRANSLATE(English!D3626, ""en"", ""bg"")"),"дишане")</f>
        <v>дишане</v>
      </c>
      <c r="E3626" s="1" t="str">
        <f ca="1">IFERROR(__xludf.DUMMYFUNCTION("GOOGLETRANSLATE(English!E3626, ""en"", ""bg"")"),"Не разбирам тази тема. Как работи дишането?")</f>
        <v>Не разбирам тази тема. Как работи дишането?</v>
      </c>
      <c r="F3626" s="1" t="str">
        <f ca="1">IFERROR(__xludf.DUMMYFUNCTION("GOOGLETRANSLATE(English!F3626,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3626" s="1" t="str">
        <f ca="1">IFERROR(__xludf.DUMMYFUNCTION("GOOGLETRANSLATE(English!G3626, ""en"", ""bg"")"),"разговор")</f>
        <v>разговор</v>
      </c>
      <c r="H3626" s="1" t="str">
        <f ca="1">IFERROR(__xludf.DUMMYFUNCTION("GOOGLETRANSLATE(English!H3626, ""en"", ""bg"")"),"образователна_помощ")</f>
        <v>образователна_помощ</v>
      </c>
    </row>
    <row r="3627" spans="1:8" ht="13.2" x14ac:dyDescent="0.25">
      <c r="A3627" s="1" t="str">
        <f ca="1">IFERROR(__xludf.DUMMYFUNCTION("GOOGLETRANSLATE(English!A3627, ""en"", ""bg"")"),"conv_01919")</f>
        <v>conv_01919</v>
      </c>
      <c r="B3627" s="1" t="str">
        <f ca="1">IFERROR(__xludf.DUMMYFUNCTION("GOOGLETRANSLATE(English!B3627, ""en"", ""bg"")"),"биология")</f>
        <v>биология</v>
      </c>
      <c r="C3627" s="1" t="str">
        <f ca="1">IFERROR(__xludf.DUMMYFUNCTION("GOOGLETRANSLATE(English!C3627, ""en"", ""bg"")"),"високо")</f>
        <v>високо</v>
      </c>
      <c r="D3627" s="1" t="str">
        <f ca="1">IFERROR(__xludf.DUMMYFUNCTION("GOOGLETRANSLATE(English!D3627, ""en"", ""bg"")"),"синтез на протеини")</f>
        <v>синтез на протеини</v>
      </c>
      <c r="E3627" s="1" t="str">
        <f ca="1">IFERROR(__xludf.DUMMYFUNCTION("GOOGLETRANSLATE(English!E3627, ""en"", ""bg"")"),"Можете ли да ми обясните това? Можете ли да ми разкажете за синтеза на протеини?")</f>
        <v>Можете ли да ми обясните това? Можете ли да ми разкажете за синтеза на протеини?</v>
      </c>
      <c r="F3627" s="1" t="str">
        <f ca="1">IFERROR(__xludf.DUMMYFUNCTION("GOOGLETRANSLATE(English!F3627,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627" s="1" t="str">
        <f ca="1">IFERROR(__xludf.DUMMYFUNCTION("GOOGLETRANSLATE(English!G3627, ""en"", ""bg"")"),"разговор")</f>
        <v>разговор</v>
      </c>
      <c r="H3627" s="1" t="str">
        <f ca="1">IFERROR(__xludf.DUMMYFUNCTION("GOOGLETRANSLATE(English!H3627, ""en"", ""bg"")"),"образователна_помощ")</f>
        <v>образователна_помощ</v>
      </c>
    </row>
    <row r="3628" spans="1:8" ht="13.2" x14ac:dyDescent="0.25">
      <c r="A3628" s="1" t="str">
        <f ca="1">IFERROR(__xludf.DUMMYFUNCTION("GOOGLETRANSLATE(English!A3628, ""en"", ""bg"")"),"hw_07235")</f>
        <v>hw_07235</v>
      </c>
      <c r="B3628" s="1" t="str">
        <f ca="1">IFERROR(__xludf.DUMMYFUNCTION("GOOGLETRANSLATE(English!B3628, ""en"", ""bg"")"),"химия")</f>
        <v>химия</v>
      </c>
      <c r="C3628" s="1" t="str">
        <f ca="1">IFERROR(__xludf.DUMMYFUNCTION("GOOGLETRANSLATE(English!C3628, ""en"", ""bg"")"),"средата")</f>
        <v>средата</v>
      </c>
      <c r="D3628" s="1" t="str">
        <f ca="1">IFERROR(__xludf.DUMMYFUNCTION("GOOGLETRANSLATE(English!D3628, ""en"", ""bg"")"),"химични реакции")</f>
        <v>химични реакции</v>
      </c>
      <c r="E3628" s="1" t="str">
        <f ca="1">IFERROR(__xludf.DUMMYFUNCTION("GOOGLETRANSLATE(English!E3628, ""en"", ""bg"")"),"Имам проблеми с химичните реакции в домашното си.")</f>
        <v>Имам проблеми с химичните реакции в домашното си.</v>
      </c>
      <c r="F3628" s="1" t="str">
        <f ca="1">IFERROR(__xludf.DUMMYFUNCTION("GOOGLETRANSLATE(English!F3628,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3628" s="1" t="str">
        <f ca="1">IFERROR(__xludf.DUMMYFUNCTION("GOOGLETRANSLATE(English!G3628, ""en"", ""bg"")"),"помощ_за_домашно_изпълнение")</f>
        <v>помощ_за_домашно_изпълнение</v>
      </c>
      <c r="H3628" s="1" t="str">
        <f ca="1">IFERROR(__xludf.DUMMYFUNCTION("GOOGLETRANSLATE(English!H3628, ""en"", ""bg"")"),"помощ_за_домашно_задаване")</f>
        <v>помощ_за_домашно_задаване</v>
      </c>
    </row>
    <row r="3629" spans="1:8" ht="13.2" x14ac:dyDescent="0.25">
      <c r="A3629" s="1" t="str">
        <f ca="1">IFERROR(__xludf.DUMMYFUNCTION("GOOGLETRANSLATE(English!A3629, ""en"", ""bg"")"),"conv_10068")</f>
        <v>conv_10068</v>
      </c>
      <c r="B3629" s="1" t="str">
        <f ca="1">IFERROR(__xludf.DUMMYFUNCTION("GOOGLETRANSLATE(English!B3629, ""en"", ""bg"")"),"физика")</f>
        <v>физика</v>
      </c>
      <c r="C3629" s="1" t="str">
        <f ca="1">IFERROR(__xludf.DUMMYFUNCTION("GOOGLETRANSLATE(English!C3629, ""en"", ""bg"")"),"високо")</f>
        <v>високо</v>
      </c>
      <c r="D3629" s="1" t="str">
        <f ca="1">IFERROR(__xludf.DUMMYFUNCTION("GOOGLETRANSLATE(English!D3629, ""en"", ""bg"")"),"електромагнетизъм")</f>
        <v>електромагнетизъм</v>
      </c>
      <c r="E3629" s="1" t="str">
        <f ca="1">IFERROR(__xludf.DUMMYFUNCTION("GOOGLETRANSLATE(English!E3629, ""en"", ""bg"")"),"Здравей, преподавателю! Как работи електромагнетизмът във физиката?")</f>
        <v>Здравей, преподавателю! Как работи електромагнетизмът във физиката?</v>
      </c>
      <c r="F3629" s="1" t="str">
        <f ca="1">IFERROR(__xludf.DUMMYFUNCTION("GOOGLETRANSLATE(English!F3629,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3629" s="1" t="str">
        <f ca="1">IFERROR(__xludf.DUMMYFUNCTION("GOOGLETRANSLATE(English!G3629, ""en"", ""bg"")"),"разговор")</f>
        <v>разговор</v>
      </c>
      <c r="H3629" s="1" t="str">
        <f ca="1">IFERROR(__xludf.DUMMYFUNCTION("GOOGLETRANSLATE(English!H3629, ""en"", ""bg"")"),"образователна_помощ")</f>
        <v>образователна_помощ</v>
      </c>
    </row>
    <row r="3630" spans="1:8" ht="13.2" x14ac:dyDescent="0.25">
      <c r="A3630" s="1" t="str">
        <f ca="1">IFERROR(__xludf.DUMMYFUNCTION("GOOGLETRANSLATE(English!A3630, ""en"", ""bg"")"),"conv_15881")</f>
        <v>conv_15881</v>
      </c>
      <c r="B3630" s="1" t="str">
        <f ca="1">IFERROR(__xludf.DUMMYFUNCTION("GOOGLETRANSLATE(English!B3630, ""en"", ""bg"")"),"химия")</f>
        <v>химия</v>
      </c>
      <c r="C3630" s="1" t="str">
        <f ca="1">IFERROR(__xludf.DUMMYFUNCTION("GOOGLETRANSLATE(English!C3630, ""en"", ""bg"")"),"елементарен")</f>
        <v>елементарен</v>
      </c>
      <c r="D3630" s="1" t="str">
        <f ca="1">IFERROR(__xludf.DUMMYFUNCTION("GOOGLETRANSLATE(English!D3630, ""en"", ""bg"")"),"ежедневни химикали")</f>
        <v>ежедневни химикали</v>
      </c>
      <c r="E3630" s="1" t="str">
        <f ca="1">IFERROR(__xludf.DUMMYFUNCTION("GOOGLETRANSLATE(English!E3630, ""en"", ""bg"")"),"Можете ли да ми обясните това? Можете ли да ми помогнете да разбера ежедневните химикали?")</f>
        <v>Можете ли да ми обясните това? Можете ли да ми помогнете да разбера ежедневните химикали?</v>
      </c>
      <c r="F3630" s="1" t="str">
        <f ca="1">IFERROR(__xludf.DUMMYFUNCTION("GOOGLETRANSLATE(English!F3630,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3630" s="1" t="str">
        <f ca="1">IFERROR(__xludf.DUMMYFUNCTION("GOOGLETRANSLATE(English!G3630, ""en"", ""bg"")"),"разговор")</f>
        <v>разговор</v>
      </c>
      <c r="H3630" s="1" t="str">
        <f ca="1">IFERROR(__xludf.DUMMYFUNCTION("GOOGLETRANSLATE(English!H3630, ""en"", ""bg"")"),"образователна_помощ")</f>
        <v>образователна_помощ</v>
      </c>
    </row>
    <row r="3631" spans="1:8" ht="13.2" x14ac:dyDescent="0.25">
      <c r="A3631" s="1" t="str">
        <f ca="1">IFERROR(__xludf.DUMMYFUNCTION("GOOGLETRANSLATE(English!A3631, ""en"", ""bg"")"),"qa_09336")</f>
        <v>qa_09336</v>
      </c>
      <c r="B3631" s="1" t="str">
        <f ca="1">IFERROR(__xludf.DUMMYFUNCTION("GOOGLETRANSLATE(English!B3631, ""en"", ""bg"")"),"физика")</f>
        <v>физика</v>
      </c>
      <c r="C3631" s="1" t="str">
        <f ca="1">IFERROR(__xludf.DUMMYFUNCTION("GOOGLETRANSLATE(English!C3631, ""en"", ""bg"")"),"средата")</f>
        <v>средата</v>
      </c>
      <c r="D3631" s="1" t="str">
        <f ca="1">IFERROR(__xludf.DUMMYFUNCTION("GOOGLETRANSLATE(English!D3631, ""en"", ""bg"")"),"вълни")</f>
        <v>вълни</v>
      </c>
      <c r="E3631" s="1" t="str">
        <f ca="1">IFERROR(__xludf.DUMMYFUNCTION("GOOGLETRANSLATE(English!E3631, ""en"", ""bg"")"),"Защо вълните са важни?")</f>
        <v>Защо вълните са важни?</v>
      </c>
      <c r="F3631" s="1" t="str">
        <f ca="1">IFERROR(__xludf.DUMMYFUNCTION("GOOGLETRANSLATE(English!F3631,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3631" s="1" t="str">
        <f ca="1">IFERROR(__xludf.DUMMYFUNCTION("GOOGLETRANSLATE(English!G3631, ""en"", ""bg"")"),"direct_qa")</f>
        <v>direct_qa</v>
      </c>
      <c r="H3631" s="1" t="str">
        <f ca="1">IFERROR(__xludf.DUMMYFUNCTION("GOOGLETRANSLATE(English!H3631, ""en"", ""bg"")"),"заявка_за_знание")</f>
        <v>заявка_за_знание</v>
      </c>
    </row>
    <row r="3632" spans="1:8" ht="13.2" x14ac:dyDescent="0.25">
      <c r="A3632" s="1" t="str">
        <f ca="1">IFERROR(__xludf.DUMMYFUNCTION("GOOGLETRANSLATE(English!A3632, ""en"", ""bg"")"),"hw_00049")</f>
        <v>hw_00049</v>
      </c>
      <c r="B3632" s="1" t="str">
        <f ca="1">IFERROR(__xludf.DUMMYFUNCTION("GOOGLETRANSLATE(English!B3632, ""en"", ""bg"")"),"химия")</f>
        <v>химия</v>
      </c>
      <c r="C3632" s="1" t="str">
        <f ca="1">IFERROR(__xludf.DUMMYFUNCTION("GOOGLETRANSLATE(English!C3632, ""en"", ""bg"")"),"средата")</f>
        <v>средата</v>
      </c>
      <c r="D3632" s="1" t="str">
        <f ca="1">IFERROR(__xludf.DUMMYFUNCTION("GOOGLETRANSLATE(English!D3632, ""en"", ""bg"")"),"химични реакции")</f>
        <v>химични реакции</v>
      </c>
      <c r="E3632" s="1" t="str">
        <f ca="1">IFERROR(__xludf.DUMMYFUNCTION("GOOGLETRANSLATE(English!E3632, ""en"", ""bg"")"),"Можете ли да ми помогнете с изчисленията на химичните реакции?")</f>
        <v>Можете ли да ми помогнете с изчисленията на химичните реакции?</v>
      </c>
      <c r="F3632" s="1" t="str">
        <f ca="1">IFERROR(__xludf.DUMMYFUNCTION("GOOGLETRANSLATE(English!F3632,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3632" s="1" t="str">
        <f ca="1">IFERROR(__xludf.DUMMYFUNCTION("GOOGLETRANSLATE(English!G3632, ""en"", ""bg"")"),"помощ_за_домашно_изпълнение")</f>
        <v>помощ_за_домашно_изпълнение</v>
      </c>
      <c r="H3632" s="1" t="str">
        <f ca="1">IFERROR(__xludf.DUMMYFUNCTION("GOOGLETRANSLATE(English!H3632, ""en"", ""bg"")"),"помощ_за_домашно_задаване")</f>
        <v>помощ_за_домашно_задаване</v>
      </c>
    </row>
    <row r="3633" spans="1:8" ht="13.2" x14ac:dyDescent="0.25">
      <c r="A3633" s="1" t="str">
        <f ca="1">IFERROR(__xludf.DUMMYFUNCTION("GOOGLETRANSLATE(English!A3633, ""en"", ""bg"")"),"conv_07804")</f>
        <v>conv_07804</v>
      </c>
      <c r="B3633" s="1" t="str">
        <f ca="1">IFERROR(__xludf.DUMMYFUNCTION("GOOGLETRANSLATE(English!B3633, ""en"", ""bg"")"),"химия")</f>
        <v>химия</v>
      </c>
      <c r="C3633" s="1" t="str">
        <f ca="1">IFERROR(__xludf.DUMMYFUNCTION("GOOGLETRANSLATE(English!C3633, ""en"", ""bg"")"),"средата")</f>
        <v>средата</v>
      </c>
      <c r="D3633" s="1" t="str">
        <f ca="1">IFERROR(__xludf.DUMMYFUNCTION("GOOGLETRANSLATE(English!D3633, ""en"", ""bg"")"),"атоми и молекули")</f>
        <v>атоми и молекули</v>
      </c>
      <c r="E3633" s="1" t="str">
        <f ca="1">IFERROR(__xludf.DUMMYFUNCTION("GOOGLETRANSLATE(English!E3633, ""en"", ""bg"")"),"Можете ли да ми обясните това? Какво е атом?")</f>
        <v>Можете ли да ми обясните това? Какво е атом?</v>
      </c>
      <c r="F3633" s="1" t="str">
        <f ca="1">IFERROR(__xludf.DUMMYFUNCTION("GOOGLETRANSLATE(English!F3633,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3633" s="1" t="str">
        <f ca="1">IFERROR(__xludf.DUMMYFUNCTION("GOOGLETRANSLATE(English!G3633, ""en"", ""bg"")"),"разговор")</f>
        <v>разговор</v>
      </c>
      <c r="H3633" s="1" t="str">
        <f ca="1">IFERROR(__xludf.DUMMYFUNCTION("GOOGLETRANSLATE(English!H3633, ""en"", ""bg"")"),"образователна_помощ")</f>
        <v>образователна_помощ</v>
      </c>
    </row>
    <row r="3634" spans="1:8" ht="13.2" x14ac:dyDescent="0.25">
      <c r="A3634" s="1" t="str">
        <f ca="1">IFERROR(__xludf.DUMMYFUNCTION("GOOGLETRANSLATE(English!A3634, ""en"", ""bg"")"),"conv_00302")</f>
        <v>conv_00302</v>
      </c>
      <c r="B3634" s="1" t="str">
        <f ca="1">IFERROR(__xludf.DUMMYFUNCTION("GOOGLETRANSLATE(English!B3634, ""en"", ""bg"")"),"биология")</f>
        <v>биология</v>
      </c>
      <c r="C3634" s="1" t="str">
        <f ca="1">IFERROR(__xludf.DUMMYFUNCTION("GOOGLETRANSLATE(English!C3634, ""en"", ""bg"")"),"средата")</f>
        <v>средата</v>
      </c>
      <c r="D3634" s="1" t="str">
        <f ca="1">IFERROR(__xludf.DUMMYFUNCTION("GOOGLETRANSLATE(English!D3634, ""en"", ""bg"")"),"клетки")</f>
        <v>клетки</v>
      </c>
      <c r="E3634" s="1" t="str">
        <f ca="1">IFERROR(__xludf.DUMMYFUNCTION("GOOGLETRANSLATE(English!E3634, ""en"", ""bg"")"),"Можете ли да ми обясните това? Защо клетките са толкова малки?")</f>
        <v>Можете ли да ми обясните това? Защо клетките са толкова малки?</v>
      </c>
      <c r="F3634" s="1" t="str">
        <f ca="1">IFERROR(__xludf.DUMMYFUNCTION("GOOGLETRANSLATE(English!F3634,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3634" s="1" t="str">
        <f ca="1">IFERROR(__xludf.DUMMYFUNCTION("GOOGLETRANSLATE(English!G3634, ""en"", ""bg"")"),"разговор")</f>
        <v>разговор</v>
      </c>
      <c r="H3634" s="1" t="str">
        <f ca="1">IFERROR(__xludf.DUMMYFUNCTION("GOOGLETRANSLATE(English!H3634, ""en"", ""bg"")"),"образователна_помощ")</f>
        <v>образователна_помощ</v>
      </c>
    </row>
    <row r="3635" spans="1:8" ht="13.2" x14ac:dyDescent="0.25">
      <c r="A3635" s="1" t="str">
        <f ca="1">IFERROR(__xludf.DUMMYFUNCTION("GOOGLETRANSLATE(English!A3635, ""en"", ""bg"")"),"hw_00981")</f>
        <v>hw_00981</v>
      </c>
      <c r="B3635" s="1" t="str">
        <f ca="1">IFERROR(__xludf.DUMMYFUNCTION("GOOGLETRANSLATE(English!B3635, ""en"", ""bg"")"),"химия")</f>
        <v>химия</v>
      </c>
      <c r="C3635" s="1" t="str">
        <f ca="1">IFERROR(__xludf.DUMMYFUNCTION("GOOGLETRANSLATE(English!C3635, ""en"", ""bg"")"),"елементарен")</f>
        <v>елементарен</v>
      </c>
      <c r="D3635" s="1" t="str">
        <f ca="1">IFERROR(__xludf.DUMMYFUNCTION("GOOGLETRANSLATE(English!D3635, ""en"", ""bg"")"),"безопасност")</f>
        <v>безопасност</v>
      </c>
      <c r="E3635" s="1" t="str">
        <f ca="1">IFERROR(__xludf.DUMMYFUNCTION("GOOGLETRANSLATE(English!E3635, ""en"", ""bg"")"),"Можете ли да ми помогнете с изчисленията за безопасност?")</f>
        <v>Можете ли да ми помогнете с изчисленията за безопасност?</v>
      </c>
      <c r="F3635" s="1" t="str">
        <f ca="1">IFERROR(__xludf.DUMMYFUNCTION("GOOGLETRANSLATE(English!F3635,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635" s="1" t="str">
        <f ca="1">IFERROR(__xludf.DUMMYFUNCTION("GOOGLETRANSLATE(English!G3635, ""en"", ""bg"")"),"помощ_за_домашно_изпълнение")</f>
        <v>помощ_за_домашно_изпълнение</v>
      </c>
      <c r="H3635" s="1" t="str">
        <f ca="1">IFERROR(__xludf.DUMMYFUNCTION("GOOGLETRANSLATE(English!H3635, ""en"", ""bg"")"),"помощ_за_домашно_задаване")</f>
        <v>помощ_за_домашно_задаване</v>
      </c>
    </row>
    <row r="3636" spans="1:8" ht="13.2" x14ac:dyDescent="0.25">
      <c r="A3636" s="1" t="str">
        <f ca="1">IFERROR(__xludf.DUMMYFUNCTION("GOOGLETRANSLATE(English!A3636, ""en"", ""bg"")"),"hw_05820")</f>
        <v>hw_05820</v>
      </c>
      <c r="B3636" s="1" t="str">
        <f ca="1">IFERROR(__xludf.DUMMYFUNCTION("GOOGLETRANSLATE(English!B3636, ""en"", ""bg"")"),"биология")</f>
        <v>биология</v>
      </c>
      <c r="C3636" s="1" t="str">
        <f ca="1">IFERROR(__xludf.DUMMYFUNCTION("GOOGLETRANSLATE(English!C3636, ""en"", ""bg"")"),"средата")</f>
        <v>средата</v>
      </c>
      <c r="D3636" s="1" t="str">
        <f ca="1">IFERROR(__xludf.DUMMYFUNCTION("GOOGLETRANSLATE(English!D3636, ""en"", ""bg"")"),"размножаване")</f>
        <v>размножаване</v>
      </c>
      <c r="E3636" s="1" t="str">
        <f ca="1">IFERROR(__xludf.DUMMYFUNCTION("GOOGLETRANSLATE(English!E3636, ""en"", ""bg"")"),"Утре имам тест по репродукция. Помогни ми да уча!")</f>
        <v>Утре имам тест по репродукция. Помогни ми да уча!</v>
      </c>
      <c r="F3636" s="1" t="str">
        <f ca="1">IFERROR(__xludf.DUMMYFUNCTION("GOOGLETRANSLATE(English!F3636,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636" s="1" t="str">
        <f ca="1">IFERROR(__xludf.DUMMYFUNCTION("GOOGLETRANSLATE(English!G3636, ""en"", ""bg"")"),"помощ_за_домашно_изпълнение")</f>
        <v>помощ_за_домашно_изпълнение</v>
      </c>
      <c r="H3636" s="1" t="str">
        <f ca="1">IFERROR(__xludf.DUMMYFUNCTION("GOOGLETRANSLATE(English!H3636, ""en"", ""bg"")"),"помощ_за_домашно_задаване")</f>
        <v>помощ_за_домашно_задаване</v>
      </c>
    </row>
    <row r="3637" spans="1:8" ht="13.2" x14ac:dyDescent="0.25">
      <c r="A3637" s="1" t="str">
        <f ca="1">IFERROR(__xludf.DUMMYFUNCTION("GOOGLETRANSLATE(English!A3637, ""en"", ""bg"")"),"conv_06627")</f>
        <v>conv_06627</v>
      </c>
      <c r="B3637" s="1" t="str">
        <f ca="1">IFERROR(__xludf.DUMMYFUNCTION("GOOGLETRANSLATE(English!B3637, ""en"", ""bg"")"),"химия")</f>
        <v>химия</v>
      </c>
      <c r="C3637" s="1" t="str">
        <f ca="1">IFERROR(__xludf.DUMMYFUNCTION("GOOGLETRANSLATE(English!C3637, ""en"", ""bg"")"),"средата")</f>
        <v>средата</v>
      </c>
      <c r="D3637" s="1" t="str">
        <f ca="1">IFERROR(__xludf.DUMMYFUNCTION("GOOGLETRANSLATE(English!D3637, ""en"", ""bg"")"),"киселини и основи")</f>
        <v>киселини и основи</v>
      </c>
      <c r="E3637" s="1" t="str">
        <f ca="1">IFERROR(__xludf.DUMMYFUNCTION("GOOGLETRANSLATE(English!E3637, ""en"", ""bg"")"),"Имам нужда от помощ с домашното. Какво представляват киселините и основите?")</f>
        <v>Имам нужда от помощ с домашното. Какво представляват киселините и основите?</v>
      </c>
      <c r="F3637" s="1" t="str">
        <f ca="1">IFERROR(__xludf.DUMMYFUNCTION("GOOGLETRANSLATE(English!F3637,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3637" s="1" t="str">
        <f ca="1">IFERROR(__xludf.DUMMYFUNCTION("GOOGLETRANSLATE(English!G3637, ""en"", ""bg"")"),"разговор")</f>
        <v>разговор</v>
      </c>
      <c r="H3637" s="1" t="str">
        <f ca="1">IFERROR(__xludf.DUMMYFUNCTION("GOOGLETRANSLATE(English!H3637, ""en"", ""bg"")"),"образователна_помощ")</f>
        <v>образователна_помощ</v>
      </c>
    </row>
    <row r="3638" spans="1:8" ht="13.2" x14ac:dyDescent="0.25">
      <c r="A3638" s="1" t="str">
        <f ca="1">IFERROR(__xludf.DUMMYFUNCTION("GOOGLETRANSLATE(English!A3638, ""en"", ""bg"")"),"conv_09463")</f>
        <v>conv_09463</v>
      </c>
      <c r="B3638" s="1" t="str">
        <f ca="1">IFERROR(__xludf.DUMMYFUNCTION("GOOGLETRANSLATE(English!B3638, ""en"", ""bg"")"),"физика")</f>
        <v>физика</v>
      </c>
      <c r="C3638" s="1" t="str">
        <f ca="1">IFERROR(__xludf.DUMMYFUNCTION("GOOGLETRANSLATE(English!C3638, ""en"", ""bg"")"),"високо")</f>
        <v>високо</v>
      </c>
      <c r="D3638" s="1" t="str">
        <f ca="1">IFERROR(__xludf.DUMMYFUNCTION("GOOGLETRANSLATE(English!D3638, ""en"", ""bg"")"),"атомна структура")</f>
        <v>атомна структура</v>
      </c>
      <c r="E3638" s="1" t="str">
        <f ca="1">IFERROR(__xludf.DUMMYFUNCTION("GOOGLETRANSLATE(English!E3638, ""en"", ""bg"")"),"Имам нужда от помощ с домашното си. Как работи атомната структура във физиката?")</f>
        <v>Имам нужда от помощ с домашното си. Как работи атомната структура във физиката?</v>
      </c>
      <c r="F3638" s="1" t="str">
        <f ca="1">IFERROR(__xludf.DUMMYFUNCTION("GOOGLETRANSLATE(English!F3638,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3638" s="1" t="str">
        <f ca="1">IFERROR(__xludf.DUMMYFUNCTION("GOOGLETRANSLATE(English!G3638, ""en"", ""bg"")"),"разговор")</f>
        <v>разговор</v>
      </c>
      <c r="H3638" s="1" t="str">
        <f ca="1">IFERROR(__xludf.DUMMYFUNCTION("GOOGLETRANSLATE(English!H3638, ""en"", ""bg"")"),"образователна_помощ")</f>
        <v>образователна_помощ</v>
      </c>
    </row>
    <row r="3639" spans="1:8" ht="13.2" x14ac:dyDescent="0.25">
      <c r="A3639" s="1" t="str">
        <f ca="1">IFERROR(__xludf.DUMMYFUNCTION("GOOGLETRANSLATE(English!A3639, ""en"", ""bg"")"),"conv_05926")</f>
        <v>conv_05926</v>
      </c>
      <c r="B3639" s="1" t="str">
        <f ca="1">IFERROR(__xludf.DUMMYFUNCTION("GOOGLETRANSLATE(English!B3639, ""en"", ""bg"")"),"биология")</f>
        <v>биология</v>
      </c>
      <c r="C3639" s="1" t="str">
        <f ca="1">IFERROR(__xludf.DUMMYFUNCTION("GOOGLETRANSLATE(English!C3639, ""en"", ""bg"")"),"елементарен")</f>
        <v>елементарен</v>
      </c>
      <c r="D3639" s="1" t="str">
        <f ca="1">IFERROR(__xludf.DUMMYFUNCTION("GOOGLETRANSLATE(English!D3639, ""en"", ""bg"")"),"основни нужди")</f>
        <v>основни нужди</v>
      </c>
      <c r="E3639" s="1" t="str">
        <f ca="1">IFERROR(__xludf.DUMMYFUNCTION("GOOGLETRANSLATE(English!E3639, ""en"", ""bg"")"),"Здравей, преподавател! Можеш ли да ми кажеш за основните нужди?")</f>
        <v>Здравей, преподавател! Можеш ли да ми кажеш за основните нужди?</v>
      </c>
      <c r="F3639" s="1" t="str">
        <f ca="1">IFERROR(__xludf.DUMMYFUNCTION("GOOGLETRANSLATE(English!F3639,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3639" s="1" t="str">
        <f ca="1">IFERROR(__xludf.DUMMYFUNCTION("GOOGLETRANSLATE(English!G3639, ""en"", ""bg"")"),"разговор")</f>
        <v>разговор</v>
      </c>
      <c r="H3639" s="1" t="str">
        <f ca="1">IFERROR(__xludf.DUMMYFUNCTION("GOOGLETRANSLATE(English!H3639, ""en"", ""bg"")"),"образователна_помощ")</f>
        <v>образователна_помощ</v>
      </c>
    </row>
    <row r="3640" spans="1:8" ht="13.2" x14ac:dyDescent="0.25">
      <c r="A3640" s="1" t="str">
        <f ca="1">IFERROR(__xludf.DUMMYFUNCTION("GOOGLETRANSLATE(English!A3640, ""en"", ""bg"")"),"conv_05207")</f>
        <v>conv_05207</v>
      </c>
      <c r="B3640" s="1" t="str">
        <f ca="1">IFERROR(__xludf.DUMMYFUNCTION("GOOGLETRANSLATE(English!B3640, ""en"", ""bg"")"),"биология")</f>
        <v>биология</v>
      </c>
      <c r="C3640" s="1" t="str">
        <f ca="1">IFERROR(__xludf.DUMMYFUNCTION("GOOGLETRANSLATE(English!C3640, ""en"", ""bg"")"),"средата")</f>
        <v>средата</v>
      </c>
      <c r="D3640" s="1" t="str">
        <f ca="1">IFERROR(__xludf.DUMMYFUNCTION("GOOGLETRANSLATE(English!D3640, ""en"", ""bg"")"),"фотосинтеза")</f>
        <v>фотосинтеза</v>
      </c>
      <c r="E3640" s="1" t="str">
        <f ca="1">IFERROR(__xludf.DUMMYFUNCTION("GOOGLETRANSLATE(English!E3640, ""en"", ""bg"")"),"Не разбирам тази тема. Какво е важно да знаем за фотосинтезата?")</f>
        <v>Не разбирам тази тема. Какво е важно да знаем за фотосинтезата?</v>
      </c>
      <c r="F3640" s="1" t="str">
        <f ca="1">IFERROR(__xludf.DUMMYFUNCTION("GOOGLETRANSLATE(English!F3640,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3640" s="1" t="str">
        <f ca="1">IFERROR(__xludf.DUMMYFUNCTION("GOOGLETRANSLATE(English!G3640, ""en"", ""bg"")"),"разговор")</f>
        <v>разговор</v>
      </c>
      <c r="H3640" s="1" t="str">
        <f ca="1">IFERROR(__xludf.DUMMYFUNCTION("GOOGLETRANSLATE(English!H3640, ""en"", ""bg"")"),"образователна_помощ")</f>
        <v>образователна_помощ</v>
      </c>
    </row>
    <row r="3641" spans="1:8" ht="13.2" x14ac:dyDescent="0.25">
      <c r="A3641" s="1" t="str">
        <f ca="1">IFERROR(__xludf.DUMMYFUNCTION("GOOGLETRANSLATE(English!A3641, ""en"", ""bg"")"),"hw_01927")</f>
        <v>hw_01927</v>
      </c>
      <c r="B3641" s="1" t="str">
        <f ca="1">IFERROR(__xludf.DUMMYFUNCTION("GOOGLETRANSLATE(English!B3641, ""en"", ""bg"")"),"химия")</f>
        <v>химия</v>
      </c>
      <c r="C3641" s="1" t="str">
        <f ca="1">IFERROR(__xludf.DUMMYFUNCTION("GOOGLETRANSLATE(English!C3641, ""en"", ""bg"")"),"средата")</f>
        <v>средата</v>
      </c>
      <c r="D3641" s="1" t="str">
        <f ca="1">IFERROR(__xludf.DUMMYFUNCTION("GOOGLETRANSLATE(English!D3641, ""en"", ""bg"")"),"съединения срещу елементи")</f>
        <v>съединения срещу елементи</v>
      </c>
      <c r="E3641" s="1" t="str">
        <f ca="1">IFERROR(__xludf.DUMMYFUNCTION("GOOGLETRANSLATE(English!E3641,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3641" s="1" t="str">
        <f ca="1">IFERROR(__xludf.DUMMYFUNCTION("GOOGLETRANSLATE(English!F3641,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641" s="1" t="str">
        <f ca="1">IFERROR(__xludf.DUMMYFUNCTION("GOOGLETRANSLATE(English!G3641, ""en"", ""bg"")"),"помощ_за_домашно_изпълнение")</f>
        <v>помощ_за_домашно_изпълнение</v>
      </c>
      <c r="H3641" s="1" t="str">
        <f ca="1">IFERROR(__xludf.DUMMYFUNCTION("GOOGLETRANSLATE(English!H3641, ""en"", ""bg"")"),"помощ_за_домашно_задаване")</f>
        <v>помощ_за_домашно_задаване</v>
      </c>
    </row>
    <row r="3642" spans="1:8" ht="13.2" x14ac:dyDescent="0.25">
      <c r="A3642" s="1" t="str">
        <f ca="1">IFERROR(__xludf.DUMMYFUNCTION("GOOGLETRANSLATE(English!A3642, ""en"", ""bg"")"),"qa_02581")</f>
        <v>qa_02581</v>
      </c>
      <c r="B3642" s="1" t="str">
        <f ca="1">IFERROR(__xludf.DUMMYFUNCTION("GOOGLETRANSLATE(English!B3642, ""en"", ""bg"")"),"химия")</f>
        <v>химия</v>
      </c>
      <c r="C3642" s="1" t="str">
        <f ca="1">IFERROR(__xludf.DUMMYFUNCTION("GOOGLETRANSLATE(English!C3642, ""en"", ""bg"")"),"средата")</f>
        <v>средата</v>
      </c>
      <c r="D3642" s="1" t="str">
        <f ca="1">IFERROR(__xludf.DUMMYFUNCTION("GOOGLETRANSLATE(English!D3642, ""en"", ""bg"")"),"основи на периодичната таблица")</f>
        <v>основи на периодичната таблица</v>
      </c>
      <c r="E3642" s="1" t="str">
        <f ca="1">IFERROR(__xludf.DUMMYFUNCTION("GOOGLETRANSLATE(English!E3642,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3642" s="1" t="str">
        <f ca="1">IFERROR(__xludf.DUMMYFUNCTION("GOOGLETRANSLATE(English!F3642,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3642" s="1" t="str">
        <f ca="1">IFERROR(__xludf.DUMMYFUNCTION("GOOGLETRANSLATE(English!G3642, ""en"", ""bg"")"),"direct_qa")</f>
        <v>direct_qa</v>
      </c>
      <c r="H3642" s="1" t="str">
        <f ca="1">IFERROR(__xludf.DUMMYFUNCTION("GOOGLETRANSLATE(English!H3642, ""en"", ""bg"")"),"заявка_за_знание")</f>
        <v>заявка_за_знание</v>
      </c>
    </row>
    <row r="3643" spans="1:8" ht="13.2" x14ac:dyDescent="0.25">
      <c r="A3643" s="1" t="str">
        <f ca="1">IFERROR(__xludf.DUMMYFUNCTION("GOOGLETRANSLATE(English!A3643, ""en"", ""bg"")"),"hw_02815")</f>
        <v>hw_02815</v>
      </c>
      <c r="B3643" s="1" t="str">
        <f ca="1">IFERROR(__xludf.DUMMYFUNCTION("GOOGLETRANSLATE(English!B3643, ""en"", ""bg"")"),"химия")</f>
        <v>химия</v>
      </c>
      <c r="C3643" s="1" t="str">
        <f ca="1">IFERROR(__xludf.DUMMYFUNCTION("GOOGLETRANSLATE(English!C3643, ""en"", ""bg"")"),"елементарен")</f>
        <v>елементарен</v>
      </c>
      <c r="D3643" s="1" t="str">
        <f ca="1">IFERROR(__xludf.DUMMYFUNCTION("GOOGLETRANSLATE(English!D3643, ""en"", ""bg"")"),"разтваряне")</f>
        <v>разтваряне</v>
      </c>
      <c r="E3643" s="1" t="str">
        <f ca="1">IFERROR(__xludf.DUMMYFUNCTION("GOOGLETRANSLATE(English!E3643, ""en"", ""bg"")"),"Можете ли да ми помогнете с изчисленията за разтваряне?")</f>
        <v>Можете ли да ми помогнете с изчисленията за разтваряне?</v>
      </c>
      <c r="F3643" s="1" t="str">
        <f ca="1">IFERROR(__xludf.DUMMYFUNCTION("GOOGLETRANSLATE(English!F3643,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3643" s="1" t="str">
        <f ca="1">IFERROR(__xludf.DUMMYFUNCTION("GOOGLETRANSLATE(English!G3643, ""en"", ""bg"")"),"помощ_за_домашно_изпълнение")</f>
        <v>помощ_за_домашно_изпълнение</v>
      </c>
      <c r="H3643" s="1" t="str">
        <f ca="1">IFERROR(__xludf.DUMMYFUNCTION("GOOGLETRANSLATE(English!H3643, ""en"", ""bg"")"),"помощ_за_домашно_задаване")</f>
        <v>помощ_за_домашно_задаване</v>
      </c>
    </row>
    <row r="3644" spans="1:8" ht="13.2" x14ac:dyDescent="0.25">
      <c r="A3644" s="1" t="str">
        <f ca="1">IFERROR(__xludf.DUMMYFUNCTION("GOOGLETRANSLATE(English!A3644, ""en"", ""bg"")"),"conv_03321")</f>
        <v>conv_03321</v>
      </c>
      <c r="B3644" s="1" t="str">
        <f ca="1">IFERROR(__xludf.DUMMYFUNCTION("GOOGLETRANSLATE(English!B3644, ""en"", ""bg"")"),"биология")</f>
        <v>биология</v>
      </c>
      <c r="C3644" s="1" t="str">
        <f ca="1">IFERROR(__xludf.DUMMYFUNCTION("GOOGLETRANSLATE(English!C3644, ""en"", ""bg"")"),"високо")</f>
        <v>високо</v>
      </c>
      <c r="D3644" s="1" t="str">
        <f ca="1">IFERROR(__xludf.DUMMYFUNCTION("GOOGLETRANSLATE(English!D3644, ""en"", ""bg"")"),"клетъчно дишане")</f>
        <v>клетъчно дишане</v>
      </c>
      <c r="E3644" s="1" t="str">
        <f ca="1">IFERROR(__xludf.DUMMYFUNCTION("GOOGLETRANSLATE(English!E3644, ""en"", ""bg"")"),"Не разбирам тази тема. Как работи клетъчното дишане?")</f>
        <v>Не разбирам тази тема. Как работи клетъчното дишане?</v>
      </c>
      <c r="F3644" s="1" t="str">
        <f ca="1">IFERROR(__xludf.DUMMYFUNCTION("GOOGLETRANSLATE(English!F3644,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3644" s="1" t="str">
        <f ca="1">IFERROR(__xludf.DUMMYFUNCTION("GOOGLETRANSLATE(English!G3644, ""en"", ""bg"")"),"разговор")</f>
        <v>разговор</v>
      </c>
      <c r="H3644" s="1" t="str">
        <f ca="1">IFERROR(__xludf.DUMMYFUNCTION("GOOGLETRANSLATE(English!H3644, ""en"", ""bg"")"),"образователна_помощ")</f>
        <v>образователна_помощ</v>
      </c>
    </row>
    <row r="3645" spans="1:8" ht="13.2" x14ac:dyDescent="0.25">
      <c r="A3645" s="1" t="str">
        <f ca="1">IFERROR(__xludf.DUMMYFUNCTION("GOOGLETRANSLATE(English!A3645, ""en"", ""bg"")"),"conv_07048")</f>
        <v>conv_07048</v>
      </c>
      <c r="B3645" s="1" t="str">
        <f ca="1">IFERROR(__xludf.DUMMYFUNCTION("GOOGLETRANSLATE(English!B3645, ""en"", ""bg"")"),"физика")</f>
        <v>физика</v>
      </c>
      <c r="C3645" s="1" t="str">
        <f ca="1">IFERROR(__xludf.DUMMYFUNCTION("GOOGLETRANSLATE(English!C3645, ""en"", ""bg"")"),"елементарен")</f>
        <v>елементарен</v>
      </c>
      <c r="D3645" s="1" t="str">
        <f ca="1">IFERROR(__xludf.DUMMYFUNCTION("GOOGLETRANSLATE(English!D3645, ""en"", ""bg"")"),"прости машини")</f>
        <v>прости машини</v>
      </c>
      <c r="E3645" s="1" t="str">
        <f ca="1">IFERROR(__xludf.DUMMYFUNCTION("GOOGLETRANSLATE(English!E3645, ""en"", ""bg"")"),"Можете ли да ми помогнете? Как работят прости машини във физиката?")</f>
        <v>Можете ли да ми помогнете? Как работят прости машини във физиката?</v>
      </c>
      <c r="F3645" s="1" t="str">
        <f ca="1">IFERROR(__xludf.DUMMYFUNCTION("GOOGLETRANSLATE(English!F3645,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3645" s="1" t="str">
        <f ca="1">IFERROR(__xludf.DUMMYFUNCTION("GOOGLETRANSLATE(English!G3645, ""en"", ""bg"")"),"разговор")</f>
        <v>разговор</v>
      </c>
      <c r="H3645" s="1" t="str">
        <f ca="1">IFERROR(__xludf.DUMMYFUNCTION("GOOGLETRANSLATE(English!H3645, ""en"", ""bg"")"),"образователна_помощ")</f>
        <v>образователна_помощ</v>
      </c>
    </row>
    <row r="3646" spans="1:8" ht="13.2" x14ac:dyDescent="0.25">
      <c r="A3646" s="1" t="str">
        <f ca="1">IFERROR(__xludf.DUMMYFUNCTION("GOOGLETRANSLATE(English!A3646, ""en"", ""bg"")"),"hw_02072")</f>
        <v>hw_02072</v>
      </c>
      <c r="B3646" s="1" t="str">
        <f ca="1">IFERROR(__xludf.DUMMYFUNCTION("GOOGLETRANSLATE(English!B3646, ""en"", ""bg"")"),"химия")</f>
        <v>химия</v>
      </c>
      <c r="C3646" s="1" t="str">
        <f ca="1">IFERROR(__xludf.DUMMYFUNCTION("GOOGLETRANSLATE(English!C3646, ""en"", ""bg"")"),"средата")</f>
        <v>средата</v>
      </c>
      <c r="D3646" s="1" t="str">
        <f ca="1">IFERROR(__xludf.DUMMYFUNCTION("GOOGLETRANSLATE(English!D3646, ""en"", ""bg"")"),"химични реакции")</f>
        <v>химични реакции</v>
      </c>
      <c r="E3646" s="1" t="str">
        <f ca="1">IFERROR(__xludf.DUMMYFUNCTION("GOOGLETRANSLATE(English!E3646, ""en"", ""bg"")"),"Можете ли да ми помогнете с изчисленията на химичните реакции?")</f>
        <v>Можете ли да ми помогнете с изчисленията на химичните реакции?</v>
      </c>
      <c r="F3646" s="1" t="str">
        <f ca="1">IFERROR(__xludf.DUMMYFUNCTION("GOOGLETRANSLATE(English!F3646,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3646" s="1" t="str">
        <f ca="1">IFERROR(__xludf.DUMMYFUNCTION("GOOGLETRANSLATE(English!G3646, ""en"", ""bg"")"),"помощ_за_домашно_изпълнение")</f>
        <v>помощ_за_домашно_изпълнение</v>
      </c>
      <c r="H3646" s="1" t="str">
        <f ca="1">IFERROR(__xludf.DUMMYFUNCTION("GOOGLETRANSLATE(English!H3646, ""en"", ""bg"")"),"помощ_за_домашно_задаване")</f>
        <v>помощ_за_домашно_задаване</v>
      </c>
    </row>
    <row r="3647" spans="1:8" ht="13.2" x14ac:dyDescent="0.25">
      <c r="A3647" s="1" t="str">
        <f ca="1">IFERROR(__xludf.DUMMYFUNCTION("GOOGLETRANSLATE(English!A3647, ""en"", ""bg"")"),"qa_05183")</f>
        <v>qa_05183</v>
      </c>
      <c r="B3647" s="1" t="str">
        <f ca="1">IFERROR(__xludf.DUMMYFUNCTION("GOOGLETRANSLATE(English!B3647, ""en"", ""bg"")"),"физика")</f>
        <v>физика</v>
      </c>
      <c r="C3647" s="1" t="str">
        <f ca="1">IFERROR(__xludf.DUMMYFUNCTION("GOOGLETRANSLATE(English!C3647, ""en"", ""bg"")"),"високо")</f>
        <v>високо</v>
      </c>
      <c r="D3647" s="1" t="str">
        <f ca="1">IFERROR(__xludf.DUMMYFUNCTION("GOOGLETRANSLATE(English!D3647, ""en"", ""bg"")"),"термодинамика")</f>
        <v>термодинамика</v>
      </c>
      <c r="E3647" s="1" t="str">
        <f ca="1">IFERROR(__xludf.DUMMYFUNCTION("GOOGLETRANSLATE(English!E3647, ""en"", ""bg"")"),"Какво трябва да знам за термодинамиката?")</f>
        <v>Какво трябва да знам за термодинамиката?</v>
      </c>
      <c r="F3647" s="1" t="str">
        <f ca="1">IFERROR(__xludf.DUMMYFUNCTION("GOOGLETRANSLATE(English!F3647,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3647" s="1" t="str">
        <f ca="1">IFERROR(__xludf.DUMMYFUNCTION("GOOGLETRANSLATE(English!G3647, ""en"", ""bg"")"),"direct_qa")</f>
        <v>direct_qa</v>
      </c>
      <c r="H3647" s="1" t="str">
        <f ca="1">IFERROR(__xludf.DUMMYFUNCTION("GOOGLETRANSLATE(English!H3647, ""en"", ""bg"")"),"заявка_за_знание")</f>
        <v>заявка_за_знание</v>
      </c>
    </row>
    <row r="3648" spans="1:8" ht="13.2" x14ac:dyDescent="0.25">
      <c r="A3648" s="1" t="str">
        <f ca="1">IFERROR(__xludf.DUMMYFUNCTION("GOOGLETRANSLATE(English!A3648, ""en"", ""bg"")"),"qa_05279")</f>
        <v>qa_05279</v>
      </c>
      <c r="B3648" s="1" t="str">
        <f ca="1">IFERROR(__xludf.DUMMYFUNCTION("GOOGLETRANSLATE(English!B3648, ""en"", ""bg"")"),"химия")</f>
        <v>химия</v>
      </c>
      <c r="C3648" s="1" t="str">
        <f ca="1">IFERROR(__xludf.DUMMYFUNCTION("GOOGLETRANSLATE(English!C3648, ""en"", ""bg"")"),"високо")</f>
        <v>високо</v>
      </c>
      <c r="D3648" s="1" t="str">
        <f ca="1">IFERROR(__xludf.DUMMYFUNCTION("GOOGLETRANSLATE(English!D3648, ""en"", ""bg"")"),"електрохимия")</f>
        <v>електрохимия</v>
      </c>
      <c r="E3648" s="1" t="str">
        <f ca="1">IFERROR(__xludf.DUMMYFUNCTION("GOOGLETRANSLATE(English!E3648, ""en"", ""bg"")"),"Какво представлява електрохимията?")</f>
        <v>Какво представлява електрохимията?</v>
      </c>
      <c r="F3648" s="1" t="str">
        <f ca="1">IFERROR(__xludf.DUMMYFUNCTION("GOOGLETRANSLATE(English!F3648,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3648" s="1" t="str">
        <f ca="1">IFERROR(__xludf.DUMMYFUNCTION("GOOGLETRANSLATE(English!G3648, ""en"", ""bg"")"),"direct_qa")</f>
        <v>direct_qa</v>
      </c>
      <c r="H3648" s="1" t="str">
        <f ca="1">IFERROR(__xludf.DUMMYFUNCTION("GOOGLETRANSLATE(English!H3648, ""en"", ""bg"")"),"заявка_за_знание")</f>
        <v>заявка_за_знание</v>
      </c>
    </row>
    <row r="3649" spans="1:8" ht="13.2" x14ac:dyDescent="0.25">
      <c r="A3649" s="1" t="str">
        <f ca="1">IFERROR(__xludf.DUMMYFUNCTION("GOOGLETRANSLATE(English!A3649, ""en"", ""bg"")"),"hw_03030")</f>
        <v>hw_03030</v>
      </c>
      <c r="B3649" s="1" t="str">
        <f ca="1">IFERROR(__xludf.DUMMYFUNCTION("GOOGLETRANSLATE(English!B3649, ""en"", ""bg"")"),"физика")</f>
        <v>физика</v>
      </c>
      <c r="C3649" s="1" t="str">
        <f ca="1">IFERROR(__xludf.DUMMYFUNCTION("GOOGLETRANSLATE(English!C3649, ""en"", ""bg"")"),"високо")</f>
        <v>високо</v>
      </c>
      <c r="D3649" s="1" t="str">
        <f ca="1">IFERROR(__xludf.DUMMYFUNCTION("GOOGLETRANSLATE(English!D3649, ""en"", ""bg"")"),"атомна структура")</f>
        <v>атомна структура</v>
      </c>
      <c r="E3649" s="1" t="str">
        <f ca="1">IFERROR(__xludf.DUMMYFUNCTION("GOOGLETRANSLATE(English!E3649, ""en"", ""bg"")"),"Можете ли да решите този въпрос за атомната структура с мен?")</f>
        <v>Можете ли да решите този въпрос за атомната структура с мен?</v>
      </c>
      <c r="F3649" s="1" t="str">
        <f ca="1">IFERROR(__xludf.DUMMYFUNCTION("GOOGLETRANSLATE(English!F3649,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3649" s="1" t="str">
        <f ca="1">IFERROR(__xludf.DUMMYFUNCTION("GOOGLETRANSLATE(English!G3649, ""en"", ""bg"")"),"помощ_за_домашно_изпълнение")</f>
        <v>помощ_за_домашно_изпълнение</v>
      </c>
      <c r="H3649" s="1" t="str">
        <f ca="1">IFERROR(__xludf.DUMMYFUNCTION("GOOGLETRANSLATE(English!H3649, ""en"", ""bg"")"),"помощ_за_домашно_задаване")</f>
        <v>помощ_за_домашно_задаване</v>
      </c>
    </row>
    <row r="3650" spans="1:8" ht="13.2" x14ac:dyDescent="0.25">
      <c r="A3650" s="1" t="str">
        <f ca="1">IFERROR(__xludf.DUMMYFUNCTION("GOOGLETRANSLATE(English!A3650, ""en"", ""bg"")"),"conv_12896")</f>
        <v>conv_12896</v>
      </c>
      <c r="B3650" s="1" t="str">
        <f ca="1">IFERROR(__xludf.DUMMYFUNCTION("GOOGLETRANSLATE(English!B3650, ""en"", ""bg"")"),"физика")</f>
        <v>физика</v>
      </c>
      <c r="C3650" s="1" t="str">
        <f ca="1">IFERROR(__xludf.DUMMYFUNCTION("GOOGLETRANSLATE(English!C3650, ""en"", ""bg"")"),"елементарен")</f>
        <v>елементарен</v>
      </c>
      <c r="D3650" s="1" t="str">
        <f ca="1">IFERROR(__xludf.DUMMYFUNCTION("GOOGLETRANSLATE(English!D3650, ""en"", ""bg"")"),"звук")</f>
        <v>звук</v>
      </c>
      <c r="E3650" s="1" t="str">
        <f ca="1">IFERROR(__xludf.DUMMYFUNCTION("GOOGLETRANSLATE(English!E3650, ""en"", ""bg"")"),"Не разбирам тази тема. Можете ли да ми обясните звука?")</f>
        <v>Не разбирам тази тема. Можете ли да ми обясните звука?</v>
      </c>
      <c r="F3650" s="1" t="str">
        <f ca="1">IFERROR(__xludf.DUMMYFUNCTION("GOOGLETRANSLATE(English!F3650,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3650" s="1" t="str">
        <f ca="1">IFERROR(__xludf.DUMMYFUNCTION("GOOGLETRANSLATE(English!G3650, ""en"", ""bg"")"),"разговор")</f>
        <v>разговор</v>
      </c>
      <c r="H3650" s="1" t="str">
        <f ca="1">IFERROR(__xludf.DUMMYFUNCTION("GOOGLETRANSLATE(English!H3650, ""en"", ""bg"")"),"образователна_помощ")</f>
        <v>образователна_помощ</v>
      </c>
    </row>
    <row r="3651" spans="1:8" ht="13.2" x14ac:dyDescent="0.25">
      <c r="A3651" s="1" t="str">
        <f ca="1">IFERROR(__xludf.DUMMYFUNCTION("GOOGLETRANSLATE(English!A3651, ""en"", ""bg"")"),"qa_03204")</f>
        <v>qa_03204</v>
      </c>
      <c r="B3651" s="1" t="str">
        <f ca="1">IFERROR(__xludf.DUMMYFUNCTION("GOOGLETRANSLATE(English!B3651, ""en"", ""bg"")"),"биология")</f>
        <v>биология</v>
      </c>
      <c r="C3651" s="1" t="str">
        <f ca="1">IFERROR(__xludf.DUMMYFUNCTION("GOOGLETRANSLATE(English!C3651, ""en"", ""bg"")"),"високо")</f>
        <v>високо</v>
      </c>
      <c r="D3651" s="1" t="str">
        <f ca="1">IFERROR(__xludf.DUMMYFUNCTION("GOOGLETRANSLATE(English!D3651, ""en"", ""bg"")"),"Структура на ДНК")</f>
        <v>Структура на ДНК</v>
      </c>
      <c r="E3651" s="1" t="str">
        <f ca="1">IFERROR(__xludf.DUMMYFUNCTION("GOOGLETRANSLATE(English!E3651, ""en"", ""bg"")"),"Защо структурата на ДНК е важна в биологията?")</f>
        <v>Защо структурата на ДНК е важна в биологията?</v>
      </c>
      <c r="F3651" s="1" t="str">
        <f ca="1">IFERROR(__xludf.DUMMYFUNCTION("GOOGLETRANSLATE(English!F3651,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3651" s="1" t="str">
        <f ca="1">IFERROR(__xludf.DUMMYFUNCTION("GOOGLETRANSLATE(English!G3651, ""en"", ""bg"")"),"direct_qa")</f>
        <v>direct_qa</v>
      </c>
      <c r="H3651" s="1" t="str">
        <f ca="1">IFERROR(__xludf.DUMMYFUNCTION("GOOGLETRANSLATE(English!H3651, ""en"", ""bg"")"),"заявка_за_знание")</f>
        <v>заявка_за_знание</v>
      </c>
    </row>
    <row r="3652" spans="1:8" ht="13.2" x14ac:dyDescent="0.25">
      <c r="A3652" s="1" t="str">
        <f ca="1">IFERROR(__xludf.DUMMYFUNCTION("GOOGLETRANSLATE(English!A3652, ""en"", ""bg"")"),"conv_05666")</f>
        <v>conv_05666</v>
      </c>
      <c r="B3652" s="1" t="str">
        <f ca="1">IFERROR(__xludf.DUMMYFUNCTION("GOOGLETRANSLATE(English!B3652, ""en"", ""bg"")"),"химия")</f>
        <v>химия</v>
      </c>
      <c r="C3652" s="1" t="str">
        <f ca="1">IFERROR(__xludf.DUMMYFUNCTION("GOOGLETRANSLATE(English!C3652, ""en"", ""bg"")"),"елементарен")</f>
        <v>елементарен</v>
      </c>
      <c r="D3652" s="1" t="str">
        <f ca="1">IFERROR(__xludf.DUMMYFUNCTION("GOOGLETRANSLATE(English!D3652, ""en"", ""bg"")"),"твърди вещества, течности, газове")</f>
        <v>твърди вещества, течности, газове</v>
      </c>
      <c r="E3652" s="1" t="str">
        <f ca="1">IFERROR(__xludf.DUMMYFUNCTION("GOOGLETRANSLATE(English!E3652, ""en"", ""bg"")"),"Здравей, преподавателю! Кои са трите агрегатни състояния на материята?")</f>
        <v>Здравей, преподавателю! Кои са трите агрегатни състояния на материята?</v>
      </c>
      <c r="F3652" s="1" t="str">
        <f ca="1">IFERROR(__xludf.DUMMYFUNCTION("GOOGLETRANSLATE(English!F3652,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3652" s="1" t="str">
        <f ca="1">IFERROR(__xludf.DUMMYFUNCTION("GOOGLETRANSLATE(English!G3652, ""en"", ""bg"")"),"разговор")</f>
        <v>разговор</v>
      </c>
      <c r="H3652" s="1" t="str">
        <f ca="1">IFERROR(__xludf.DUMMYFUNCTION("GOOGLETRANSLATE(English!H3652, ""en"", ""bg"")"),"образователна_помощ")</f>
        <v>образователна_помощ</v>
      </c>
    </row>
    <row r="3653" spans="1:8" ht="13.2" x14ac:dyDescent="0.25">
      <c r="A3653" s="1" t="str">
        <f ca="1">IFERROR(__xludf.DUMMYFUNCTION("GOOGLETRANSLATE(English!A3653, ""en"", ""bg"")"),"conv_02632")</f>
        <v>conv_02632</v>
      </c>
      <c r="B3653" s="1" t="str">
        <f ca="1">IFERROR(__xludf.DUMMYFUNCTION("GOOGLETRANSLATE(English!B3653, ""en"", ""bg"")"),"биология")</f>
        <v>биология</v>
      </c>
      <c r="C3653" s="1" t="str">
        <f ca="1">IFERROR(__xludf.DUMMYFUNCTION("GOOGLETRANSLATE(English!C3653, ""en"", ""bg"")"),"елементарен")</f>
        <v>елементарен</v>
      </c>
      <c r="D3653" s="1" t="str">
        <f ca="1">IFERROR(__xludf.DUMMYFUNCTION("GOOGLETRANSLATE(English!D3653, ""en"", ""bg"")"),"жизнени цикли")</f>
        <v>жизнени цикли</v>
      </c>
      <c r="E3653" s="1" t="str">
        <f ca="1">IFERROR(__xludf.DUMMYFUNCTION("GOOGLETRANSLATE(English!E3653, ""en"", ""bg"")"),"Помогнете ми да уча за теста си. Как работят жизнените цикли?")</f>
        <v>Помогнете ми да уча за теста си. Как работят жизнените цикли?</v>
      </c>
      <c r="F3653" s="1" t="str">
        <f ca="1">IFERROR(__xludf.DUMMYFUNCTION("GOOGLETRANSLATE(English!F3653,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3653" s="1" t="str">
        <f ca="1">IFERROR(__xludf.DUMMYFUNCTION("GOOGLETRANSLATE(English!G3653, ""en"", ""bg"")"),"разговор")</f>
        <v>разговор</v>
      </c>
      <c r="H3653" s="1" t="str">
        <f ca="1">IFERROR(__xludf.DUMMYFUNCTION("GOOGLETRANSLATE(English!H3653, ""en"", ""bg"")"),"образователна_помощ")</f>
        <v>образователна_помощ</v>
      </c>
    </row>
    <row r="3654" spans="1:8" ht="13.2" x14ac:dyDescent="0.25">
      <c r="A3654" s="1" t="str">
        <f ca="1">IFERROR(__xludf.DUMMYFUNCTION("GOOGLETRANSLATE(English!A3654, ""en"", ""bg"")"),"conv_06902")</f>
        <v>conv_06902</v>
      </c>
      <c r="B3654" s="1" t="str">
        <f ca="1">IFERROR(__xludf.DUMMYFUNCTION("GOOGLETRANSLATE(English!B3654, ""en"", ""bg"")"),"биология")</f>
        <v>биология</v>
      </c>
      <c r="C3654" s="1" t="str">
        <f ca="1">IFERROR(__xludf.DUMMYFUNCTION("GOOGLETRANSLATE(English!C3654, ""en"", ""bg"")"),"средата")</f>
        <v>средата</v>
      </c>
      <c r="D3654" s="1" t="str">
        <f ca="1">IFERROR(__xludf.DUMMYFUNCTION("GOOGLETRANSLATE(English!D3654, ""en"", ""bg"")"),"основи на еволюцията")</f>
        <v>основи на еволюцията</v>
      </c>
      <c r="E3654" s="1" t="str">
        <f ca="1">IFERROR(__xludf.DUMMYFUNCTION("GOOGLETRANSLATE(English!E3654, ""en"", ""bg"")"),"Можете ли да ми помогнете? Можете ли да ми разкажете за основите на еволюцията?")</f>
        <v>Можете ли да ми помогнете? Можете ли да ми разкажете за основите на еволюцията?</v>
      </c>
      <c r="F3654" s="1" t="str">
        <f ca="1">IFERROR(__xludf.DUMMYFUNCTION("GOOGLETRANSLATE(English!F3654,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3654" s="1" t="str">
        <f ca="1">IFERROR(__xludf.DUMMYFUNCTION("GOOGLETRANSLATE(English!G3654, ""en"", ""bg"")"),"разговор")</f>
        <v>разговор</v>
      </c>
      <c r="H3654" s="1" t="str">
        <f ca="1">IFERROR(__xludf.DUMMYFUNCTION("GOOGLETRANSLATE(English!H3654, ""en"", ""bg"")"),"образователна_помощ")</f>
        <v>образователна_помощ</v>
      </c>
    </row>
    <row r="3655" spans="1:8" ht="13.2" x14ac:dyDescent="0.25">
      <c r="A3655" s="1" t="str">
        <f ca="1">IFERROR(__xludf.DUMMYFUNCTION("GOOGLETRANSLATE(English!A3655, ""en"", ""bg"")"),"conv_11948")</f>
        <v>conv_11948</v>
      </c>
      <c r="B3655" s="1" t="str">
        <f ca="1">IFERROR(__xludf.DUMMYFUNCTION("GOOGLETRANSLATE(English!B3655, ""en"", ""bg"")"),"физика")</f>
        <v>физика</v>
      </c>
      <c r="C3655" s="1" t="str">
        <f ca="1">IFERROR(__xludf.DUMMYFUNCTION("GOOGLETRANSLATE(English!C3655, ""en"", ""bg"")"),"елементарен")</f>
        <v>елементарен</v>
      </c>
      <c r="D3655" s="1" t="str">
        <f ca="1">IFERROR(__xludf.DUMMYFUNCTION("GOOGLETRANSLATE(English!D3655, ""en"", ""bg"")"),"прости машини")</f>
        <v>прости машини</v>
      </c>
      <c r="E3655" s="1" t="str">
        <f ca="1">IFERROR(__xludf.DUMMYFUNCTION("GOOGLETRANSLATE(English!E3655, ""en"", ""bg"")"),"Имам научен въпрос. Как работят прости машини във физиката?")</f>
        <v>Имам научен въпрос. Как работят прости машини във физиката?</v>
      </c>
      <c r="F3655" s="1" t="str">
        <f ca="1">IFERROR(__xludf.DUMMYFUNCTION("GOOGLETRANSLATE(English!F3655,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3655" s="1" t="str">
        <f ca="1">IFERROR(__xludf.DUMMYFUNCTION("GOOGLETRANSLATE(English!G3655, ""en"", ""bg"")"),"разговор")</f>
        <v>разговор</v>
      </c>
      <c r="H3655" s="1" t="str">
        <f ca="1">IFERROR(__xludf.DUMMYFUNCTION("GOOGLETRANSLATE(English!H3655, ""en"", ""bg"")"),"образователна_помощ")</f>
        <v>образователна_помощ</v>
      </c>
    </row>
    <row r="3656" spans="1:8" ht="13.2" x14ac:dyDescent="0.25">
      <c r="A3656" s="1" t="str">
        <f ca="1">IFERROR(__xludf.DUMMYFUNCTION("GOOGLETRANSLATE(English!A3656, ""en"", ""bg"")"),"hw_04549")</f>
        <v>hw_04549</v>
      </c>
      <c r="B3656" s="1" t="str">
        <f ca="1">IFERROR(__xludf.DUMMYFUNCTION("GOOGLETRANSLATE(English!B3656, ""en"", ""bg"")"),"биология")</f>
        <v>биология</v>
      </c>
      <c r="C3656" s="1" t="str">
        <f ca="1">IFERROR(__xludf.DUMMYFUNCTION("GOOGLETRANSLATE(English!C3656, ""en"", ""bg"")"),"високо")</f>
        <v>високо</v>
      </c>
      <c r="D3656" s="1" t="str">
        <f ca="1">IFERROR(__xludf.DUMMYFUNCTION("GOOGLETRANSLATE(English!D3656, ""en"", ""bg"")"),"молекулярна биология")</f>
        <v>молекулярна биология</v>
      </c>
      <c r="E3656" s="1" t="str">
        <f ca="1">IFERROR(__xludf.DUMMYFUNCTION("GOOGLETRANSLATE(English!E3656, ""en"", ""bg"")"),"Домашното ми е за молекулярна биология. Не я разбирам.")</f>
        <v>Домашното ми е за молекулярна биология. Не я разбирам.</v>
      </c>
      <c r="F3656" s="1" t="str">
        <f ca="1">IFERROR(__xludf.DUMMYFUNCTION("GOOGLETRANSLATE(English!F3656,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3656" s="1" t="str">
        <f ca="1">IFERROR(__xludf.DUMMYFUNCTION("GOOGLETRANSLATE(English!G3656, ""en"", ""bg"")"),"помощ_за_домашно_изпълнение")</f>
        <v>помощ_за_домашно_изпълнение</v>
      </c>
      <c r="H3656" s="1" t="str">
        <f ca="1">IFERROR(__xludf.DUMMYFUNCTION("GOOGLETRANSLATE(English!H3656, ""en"", ""bg"")"),"помощ_за_домашно_задаване")</f>
        <v>помощ_за_домашно_задаване</v>
      </c>
    </row>
    <row r="3657" spans="1:8" ht="13.2" x14ac:dyDescent="0.25">
      <c r="A3657" s="1" t="str">
        <f ca="1">IFERROR(__xludf.DUMMYFUNCTION("GOOGLETRANSLATE(English!A3657, ""en"", ""bg"")"),"hw_05624")</f>
        <v>hw_05624</v>
      </c>
      <c r="B3657" s="1" t="str">
        <f ca="1">IFERROR(__xludf.DUMMYFUNCTION("GOOGLETRANSLATE(English!B3657, ""en"", ""bg"")"),"физика")</f>
        <v>физика</v>
      </c>
      <c r="C3657" s="1" t="str">
        <f ca="1">IFERROR(__xludf.DUMMYFUNCTION("GOOGLETRANSLATE(English!C3657, ""en"", ""bg"")"),"средата")</f>
        <v>средата</v>
      </c>
      <c r="D3657" s="1" t="str">
        <f ca="1">IFERROR(__xludf.DUMMYFUNCTION("GOOGLETRANSLATE(English!D3657, ""en"", ""bg"")"),"сили и движение")</f>
        <v>сили и движение</v>
      </c>
      <c r="E3657" s="1" t="str">
        <f ca="1">IFERROR(__xludf.DUMMYFUNCTION("GOOGLETRANSLATE(English!E3657, ""en"", ""bg"")"),"Трябва да разбера силите и движението за изпита си.")</f>
        <v>Трябва да разбера силите и движението за изпита си.</v>
      </c>
      <c r="F3657" s="1" t="str">
        <f ca="1">IFERROR(__xludf.DUMMYFUNCTION("GOOGLETRANSLATE(English!F3657,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3657" s="1" t="str">
        <f ca="1">IFERROR(__xludf.DUMMYFUNCTION("GOOGLETRANSLATE(English!G3657, ""en"", ""bg"")"),"помощ_за_домашно_изпълнение")</f>
        <v>помощ_за_домашно_изпълнение</v>
      </c>
      <c r="H3657" s="1" t="str">
        <f ca="1">IFERROR(__xludf.DUMMYFUNCTION("GOOGLETRANSLATE(English!H3657, ""en"", ""bg"")"),"помощ_за_домашно_задаване")</f>
        <v>помощ_за_домашно_задаване</v>
      </c>
    </row>
    <row r="3658" spans="1:8" ht="13.2" x14ac:dyDescent="0.25">
      <c r="A3658" s="1" t="str">
        <f ca="1">IFERROR(__xludf.DUMMYFUNCTION("GOOGLETRANSLATE(English!A3658, ""en"", ""bg"")"),"conv_09921")</f>
        <v>conv_09921</v>
      </c>
      <c r="B3658" s="1" t="str">
        <f ca="1">IFERROR(__xludf.DUMMYFUNCTION("GOOGLETRANSLATE(English!B3658, ""en"", ""bg"")"),"биология")</f>
        <v>биология</v>
      </c>
      <c r="C3658" s="1" t="str">
        <f ca="1">IFERROR(__xludf.DUMMYFUNCTION("GOOGLETRANSLATE(English!C3658, ""en"", ""bg"")"),"средата")</f>
        <v>средата</v>
      </c>
      <c r="D3658" s="1" t="str">
        <f ca="1">IFERROR(__xludf.DUMMYFUNCTION("GOOGLETRANSLATE(English!D3658, ""en"", ""bg"")"),"клетки")</f>
        <v>клетки</v>
      </c>
      <c r="E3658" s="1" t="str">
        <f ca="1">IFERROR(__xludf.DUMMYFUNCTION("GOOGLETRANSLATE(English!E3658, ""en"", ""bg"")"),"Имам нужда от помощ с домашното си. Кои са основните части на клетката?")</f>
        <v>Имам нужда от помощ с домашното си. Кои са основните части на клетката?</v>
      </c>
      <c r="F3658" s="1" t="str">
        <f ca="1">IFERROR(__xludf.DUMMYFUNCTION("GOOGLETRANSLATE(English!F3658,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3658" s="1" t="str">
        <f ca="1">IFERROR(__xludf.DUMMYFUNCTION("GOOGLETRANSLATE(English!G3658, ""en"", ""bg"")"),"разговор")</f>
        <v>разговор</v>
      </c>
      <c r="H3658" s="1" t="str">
        <f ca="1">IFERROR(__xludf.DUMMYFUNCTION("GOOGLETRANSLATE(English!H3658, ""en"", ""bg"")"),"образователна_помощ")</f>
        <v>образователна_помощ</v>
      </c>
    </row>
    <row r="3659" spans="1:8" ht="13.2" x14ac:dyDescent="0.25">
      <c r="A3659" s="1" t="str">
        <f ca="1">IFERROR(__xludf.DUMMYFUNCTION("GOOGLETRANSLATE(English!A3659, ""en"", ""bg"")"),"qa_08144")</f>
        <v>qa_08144</v>
      </c>
      <c r="B3659" s="1" t="str">
        <f ca="1">IFERROR(__xludf.DUMMYFUNCTION("GOOGLETRANSLATE(English!B3659, ""en"", ""bg"")"),"физика")</f>
        <v>физика</v>
      </c>
      <c r="C3659" s="1" t="str">
        <f ca="1">IFERROR(__xludf.DUMMYFUNCTION("GOOGLETRANSLATE(English!C3659, ""en"", ""bg"")"),"високо")</f>
        <v>високо</v>
      </c>
      <c r="D3659" s="1" t="str">
        <f ca="1">IFERROR(__xludf.DUMMYFUNCTION("GOOGLETRANSLATE(English!D3659, ""en"", ""bg"")"),"термодинамика")</f>
        <v>термодинамика</v>
      </c>
      <c r="E3659" s="1" t="str">
        <f ca="1">IFERROR(__xludf.DUMMYFUNCTION("GOOGLETRANSLATE(English!E3659, ""en"", ""bg"")"),"Какво трябва да знам за термодинамиката?")</f>
        <v>Какво трябва да знам за термодинамиката?</v>
      </c>
      <c r="F3659" s="1" t="str">
        <f ca="1">IFERROR(__xludf.DUMMYFUNCTION("GOOGLETRANSLATE(English!F3659,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3659" s="1" t="str">
        <f ca="1">IFERROR(__xludf.DUMMYFUNCTION("GOOGLETRANSLATE(English!G3659, ""en"", ""bg"")"),"direct_qa")</f>
        <v>direct_qa</v>
      </c>
      <c r="H3659" s="1" t="str">
        <f ca="1">IFERROR(__xludf.DUMMYFUNCTION("GOOGLETRANSLATE(English!H3659, ""en"", ""bg"")"),"заявка_за_знание")</f>
        <v>заявка_за_знание</v>
      </c>
    </row>
    <row r="3660" spans="1:8" ht="13.2" x14ac:dyDescent="0.25">
      <c r="A3660" s="1" t="str">
        <f ca="1">IFERROR(__xludf.DUMMYFUNCTION("GOOGLETRANSLATE(English!A3660, ""en"", ""bg"")"),"qa_14826")</f>
        <v>qa_14826</v>
      </c>
      <c r="B3660" s="1" t="str">
        <f ca="1">IFERROR(__xludf.DUMMYFUNCTION("GOOGLETRANSLATE(English!B3660, ""en"", ""bg"")"),"физика")</f>
        <v>физика</v>
      </c>
      <c r="C3660" s="1" t="str">
        <f ca="1">IFERROR(__xludf.DUMMYFUNCTION("GOOGLETRANSLATE(English!C3660, ""en"", ""bg"")"),"елементарен")</f>
        <v>елементарен</v>
      </c>
      <c r="D3660" s="1" t="str">
        <f ca="1">IFERROR(__xludf.DUMMYFUNCTION("GOOGLETRANSLATE(English!D3660, ""en"", ""bg"")"),"горещо и студено")</f>
        <v>горещо и студено</v>
      </c>
      <c r="E3660" s="1" t="str">
        <f ca="1">IFERROR(__xludf.DUMMYFUNCTION("GOOGLETRANSLATE(English!E3660, ""en"", ""bg"")"),"Какво трябва да знам за топлото и студеното?")</f>
        <v>Какво трябва да знам за топлото и студеното?</v>
      </c>
      <c r="F3660" s="1" t="str">
        <f ca="1">IFERROR(__xludf.DUMMYFUNCTION("GOOGLETRANSLATE(English!F3660, ""en"", ""bg"")"),"Ключовото нещо за топлото и студеното е как те следват законите на физиката, които управляват нашата вселена.")</f>
        <v>Ключовото нещо за топлото и студеното е как те следват законите на физиката, които управляват нашата вселена.</v>
      </c>
      <c r="G3660" s="1" t="str">
        <f ca="1">IFERROR(__xludf.DUMMYFUNCTION("GOOGLETRANSLATE(English!G3660, ""en"", ""bg"")"),"direct_qa")</f>
        <v>direct_qa</v>
      </c>
      <c r="H3660" s="1" t="str">
        <f ca="1">IFERROR(__xludf.DUMMYFUNCTION("GOOGLETRANSLATE(English!H3660, ""en"", ""bg"")"),"заявка_за_знание")</f>
        <v>заявка_за_знание</v>
      </c>
    </row>
    <row r="3661" spans="1:8" ht="13.2" x14ac:dyDescent="0.25">
      <c r="A3661" s="1" t="str">
        <f ca="1">IFERROR(__xludf.DUMMYFUNCTION("GOOGLETRANSLATE(English!A3661, ""en"", ""bg"")"),"conv_00317")</f>
        <v>conv_00317</v>
      </c>
      <c r="B3661" s="1" t="str">
        <f ca="1">IFERROR(__xludf.DUMMYFUNCTION("GOOGLETRANSLATE(English!B3661, ""en"", ""bg"")"),"физика")</f>
        <v>физика</v>
      </c>
      <c r="C3661" s="1" t="str">
        <f ca="1">IFERROR(__xludf.DUMMYFUNCTION("GOOGLETRANSLATE(English!C3661, ""en"", ""bg"")"),"средата")</f>
        <v>средата</v>
      </c>
      <c r="D3661" s="1" t="str">
        <f ca="1">IFERROR(__xludf.DUMMYFUNCTION("GOOGLETRANSLATE(English!D3661, ""en"", ""bg"")"),"основи на електричеството")</f>
        <v>основи на електричеството</v>
      </c>
      <c r="E3661" s="1" t="str">
        <f ca="1">IFERROR(__xludf.DUMMYFUNCTION("GOOGLETRANSLATE(English!E3661, ""en"", ""bg"")"),"Помогнете ми да уча за теста. Можете ли да ми обясните основите на електричеството?")</f>
        <v>Помогнете ми да уча за теста. Можете ли да ми обясните основите на електричеството?</v>
      </c>
      <c r="F3661" s="1" t="str">
        <f ca="1">IFERROR(__xludf.DUMMYFUNCTION("GOOGLETRANSLATE(English!F3661,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3661" s="1" t="str">
        <f ca="1">IFERROR(__xludf.DUMMYFUNCTION("GOOGLETRANSLATE(English!G3661, ""en"", ""bg"")"),"разговор")</f>
        <v>разговор</v>
      </c>
      <c r="H3661" s="1" t="str">
        <f ca="1">IFERROR(__xludf.DUMMYFUNCTION("GOOGLETRANSLATE(English!H3661, ""en"", ""bg"")"),"образователна_помощ")</f>
        <v>образователна_помощ</v>
      </c>
    </row>
    <row r="3662" spans="1:8" ht="13.2" x14ac:dyDescent="0.25">
      <c r="A3662" s="1" t="str">
        <f ca="1">IFERROR(__xludf.DUMMYFUNCTION("GOOGLETRANSLATE(English!A3662, ""en"", ""bg"")"),"qa_12978")</f>
        <v>qa_12978</v>
      </c>
      <c r="B3662" s="1" t="str">
        <f ca="1">IFERROR(__xludf.DUMMYFUNCTION("GOOGLETRANSLATE(English!B3662, ""en"", ""bg"")"),"химия")</f>
        <v>химия</v>
      </c>
      <c r="C3662" s="1" t="str">
        <f ca="1">IFERROR(__xludf.DUMMYFUNCTION("GOOGLETRANSLATE(English!C3662, ""en"", ""bg"")"),"средата")</f>
        <v>средата</v>
      </c>
      <c r="D3662" s="1" t="str">
        <f ca="1">IFERROR(__xludf.DUMMYFUNCTION("GOOGLETRANSLATE(English!D3662, ""en"", ""bg"")"),"основи на периодичната таблица")</f>
        <v>основи на периодичната таблица</v>
      </c>
      <c r="E3662" s="1" t="str">
        <f ca="1">IFERROR(__xludf.DUMMYFUNCTION("GOOGLETRANSLATE(English!E3662,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3662" s="1" t="str">
        <f ca="1">IFERROR(__xludf.DUMMYFUNCTION("GOOGLETRANSLATE(English!F3662,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3662" s="1" t="str">
        <f ca="1">IFERROR(__xludf.DUMMYFUNCTION("GOOGLETRANSLATE(English!G3662, ""en"", ""bg"")"),"direct_qa")</f>
        <v>direct_qa</v>
      </c>
      <c r="H3662" s="1" t="str">
        <f ca="1">IFERROR(__xludf.DUMMYFUNCTION("GOOGLETRANSLATE(English!H3662, ""en"", ""bg"")"),"заявка_за_знание")</f>
        <v>заявка_за_знание</v>
      </c>
    </row>
    <row r="3663" spans="1:8" ht="13.2" x14ac:dyDescent="0.25">
      <c r="A3663" s="1" t="str">
        <f ca="1">IFERROR(__xludf.DUMMYFUNCTION("GOOGLETRANSLATE(English!A3663, ""en"", ""bg"")"),"conv_10245")</f>
        <v>conv_10245</v>
      </c>
      <c r="B3663" s="1" t="str">
        <f ca="1">IFERROR(__xludf.DUMMYFUNCTION("GOOGLETRANSLATE(English!B3663, ""en"", ""bg"")"),"физика")</f>
        <v>физика</v>
      </c>
      <c r="C3663" s="1" t="str">
        <f ca="1">IFERROR(__xludf.DUMMYFUNCTION("GOOGLETRANSLATE(English!C3663, ""en"", ""bg"")"),"средата")</f>
        <v>средата</v>
      </c>
      <c r="D3663" s="1" t="str">
        <f ca="1">IFERROR(__xludf.DUMMYFUNCTION("GOOGLETRANSLATE(English!D3663, ""en"", ""bg"")"),"вълни")</f>
        <v>вълни</v>
      </c>
      <c r="E3663" s="1" t="str">
        <f ca="1">IFERROR(__xludf.DUMMYFUNCTION("GOOGLETRANSLATE(English!E3663, ""en"", ""bg"")"),"Здравей, преподавателю! Защо вълните са важни?")</f>
        <v>Здравей, преподавателю! Защо вълните са важни?</v>
      </c>
      <c r="F3663" s="1" t="str">
        <f ca="1">IFERROR(__xludf.DUMMYFUNCTION("GOOGLETRANSLATE(English!F3663,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3663" s="1" t="str">
        <f ca="1">IFERROR(__xludf.DUMMYFUNCTION("GOOGLETRANSLATE(English!G3663, ""en"", ""bg"")"),"разговор")</f>
        <v>разговор</v>
      </c>
      <c r="H3663" s="1" t="str">
        <f ca="1">IFERROR(__xludf.DUMMYFUNCTION("GOOGLETRANSLATE(English!H3663, ""en"", ""bg"")"),"образователна_помощ")</f>
        <v>образователна_помощ</v>
      </c>
    </row>
    <row r="3664" spans="1:8" ht="13.2" x14ac:dyDescent="0.25">
      <c r="A3664" s="1" t="str">
        <f ca="1">IFERROR(__xludf.DUMMYFUNCTION("GOOGLETRANSLATE(English!A3664, ""en"", ""bg"")"),"hw_09672")</f>
        <v>hw_09672</v>
      </c>
      <c r="B3664" s="1" t="str">
        <f ca="1">IFERROR(__xludf.DUMMYFUNCTION("GOOGLETRANSLATE(English!B3664, ""en"", ""bg"")"),"биология")</f>
        <v>биология</v>
      </c>
      <c r="C3664" s="1" t="str">
        <f ca="1">IFERROR(__xludf.DUMMYFUNCTION("GOOGLETRANSLATE(English!C3664, ""en"", ""bg"")"),"средата")</f>
        <v>средата</v>
      </c>
      <c r="D3664" s="1" t="str">
        <f ca="1">IFERROR(__xludf.DUMMYFUNCTION("GOOGLETRANSLATE(English!D3664, ""en"", ""bg"")"),"клетки")</f>
        <v>клетки</v>
      </c>
      <c r="E3664" s="1" t="str">
        <f ca="1">IFERROR(__xludf.DUMMYFUNCTION("GOOGLETRANSLATE(English!E3664, ""en"", ""bg"")"),"Утре имам тест по клетки. Помогни ми да уча!")</f>
        <v>Утре имам тест по клетки. Помогни ми да уча!</v>
      </c>
      <c r="F3664" s="1" t="str">
        <f ca="1">IFERROR(__xludf.DUMMYFUNCTION("GOOGLETRANSLATE(English!F3664,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3664" s="1" t="str">
        <f ca="1">IFERROR(__xludf.DUMMYFUNCTION("GOOGLETRANSLATE(English!G3664, ""en"", ""bg"")"),"помощ_за_домашно_изпълнение")</f>
        <v>помощ_за_домашно_изпълнение</v>
      </c>
      <c r="H3664" s="1" t="str">
        <f ca="1">IFERROR(__xludf.DUMMYFUNCTION("GOOGLETRANSLATE(English!H3664, ""en"", ""bg"")"),"помощ_за_домашно_задаване")</f>
        <v>помощ_за_домашно_задаване</v>
      </c>
    </row>
    <row r="3665" spans="1:8" ht="13.2" x14ac:dyDescent="0.25">
      <c r="A3665" s="1" t="str">
        <f ca="1">IFERROR(__xludf.DUMMYFUNCTION("GOOGLETRANSLATE(English!A3665, ""en"", ""bg"")"),"qa_11905")</f>
        <v>qa_11905</v>
      </c>
      <c r="B3665" s="1" t="str">
        <f ca="1">IFERROR(__xludf.DUMMYFUNCTION("GOOGLETRANSLATE(English!B3665, ""en"", ""bg"")"),"биология")</f>
        <v>биология</v>
      </c>
      <c r="C3665" s="1" t="str">
        <f ca="1">IFERROR(__xludf.DUMMYFUNCTION("GOOGLETRANSLATE(English!C3665, ""en"", ""bg"")"),"високо")</f>
        <v>високо</v>
      </c>
      <c r="D3665" s="1" t="str">
        <f ca="1">IFERROR(__xludf.DUMMYFUNCTION("GOOGLETRANSLATE(English!D3665, ""en"", ""bg"")"),"клетъчно дишане")</f>
        <v>клетъчно дишане</v>
      </c>
      <c r="E3665" s="1" t="str">
        <f ca="1">IFERROR(__xludf.DUMMYFUNCTION("GOOGLETRANSLATE(English!E3665, ""en"", ""bg"")"),"Можете ли да ми разкажете за клетъчното дишане?")</f>
        <v>Можете ли да ми разкажете за клетъчното дишане?</v>
      </c>
      <c r="F3665" s="1" t="str">
        <f ca="1">IFERROR(__xludf.DUMMYFUNCTION("GOOGLETRANSLATE(English!F3665,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3665" s="1" t="str">
        <f ca="1">IFERROR(__xludf.DUMMYFUNCTION("GOOGLETRANSLATE(English!G3665, ""en"", ""bg"")"),"direct_qa")</f>
        <v>direct_qa</v>
      </c>
      <c r="H3665" s="1" t="str">
        <f ca="1">IFERROR(__xludf.DUMMYFUNCTION("GOOGLETRANSLATE(English!H3665, ""en"", ""bg"")"),"заявка_за_знание")</f>
        <v>заявка_за_знание</v>
      </c>
    </row>
    <row r="3666" spans="1:8" ht="13.2" x14ac:dyDescent="0.25">
      <c r="A3666" s="1" t="str">
        <f ca="1">IFERROR(__xludf.DUMMYFUNCTION("GOOGLETRANSLATE(English!A3666, ""en"", ""bg"")"),"conv_13337")</f>
        <v>conv_13337</v>
      </c>
      <c r="B3666" s="1" t="str">
        <f ca="1">IFERROR(__xludf.DUMMYFUNCTION("GOOGLETRANSLATE(English!B3666, ""en"", ""bg"")"),"химия")</f>
        <v>химия</v>
      </c>
      <c r="C3666" s="1" t="str">
        <f ca="1">IFERROR(__xludf.DUMMYFUNCTION("GOOGLETRANSLATE(English!C3666, ""en"", ""bg"")"),"средата")</f>
        <v>средата</v>
      </c>
      <c r="D3666" s="1" t="str">
        <f ca="1">IFERROR(__xludf.DUMMYFUNCTION("GOOGLETRANSLATE(English!D3666, ""en"", ""bg"")"),"химични промени")</f>
        <v>химични промени</v>
      </c>
      <c r="E3666" s="1" t="str">
        <f ca="1">IFERROR(__xludf.DUMMYFUNCTION("GOOGLETRANSLATE(English!E3666, ""en"", ""bg"")"),"Можете ли да ми обясните това? Можете ли да ми помогнете да разбера химичните промени?")</f>
        <v>Можете ли да ми обясните това? Можете ли да ми помогнете да разбера химичните промени?</v>
      </c>
      <c r="F3666" s="1" t="str">
        <f ca="1">IFERROR(__xludf.DUMMYFUNCTION("GOOGLETRANSLATE(English!F3666,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3666" s="1" t="str">
        <f ca="1">IFERROR(__xludf.DUMMYFUNCTION("GOOGLETRANSLATE(English!G3666, ""en"", ""bg"")"),"разговор")</f>
        <v>разговор</v>
      </c>
      <c r="H3666" s="1" t="str">
        <f ca="1">IFERROR(__xludf.DUMMYFUNCTION("GOOGLETRANSLATE(English!H3666, ""en"", ""bg"")"),"образователна_помощ")</f>
        <v>образователна_помощ</v>
      </c>
    </row>
    <row r="3667" spans="1:8" ht="13.2" x14ac:dyDescent="0.25">
      <c r="A3667" s="1" t="str">
        <f ca="1">IFERROR(__xludf.DUMMYFUNCTION("GOOGLETRANSLATE(English!A3667, ""en"", ""bg"")"),"qa_10741")</f>
        <v>qa_10741</v>
      </c>
      <c r="B3667" s="1" t="str">
        <f ca="1">IFERROR(__xludf.DUMMYFUNCTION("GOOGLETRANSLATE(English!B3667, ""en"", ""bg"")"),"химия")</f>
        <v>химия</v>
      </c>
      <c r="C3667" s="1" t="str">
        <f ca="1">IFERROR(__xludf.DUMMYFUNCTION("GOOGLETRANSLATE(English!C3667, ""en"", ""bg"")"),"елементарен")</f>
        <v>елементарен</v>
      </c>
      <c r="D3667" s="1" t="str">
        <f ca="1">IFERROR(__xludf.DUMMYFUNCTION("GOOGLETRANSLATE(English!D3667, ""en"", ""bg"")"),"безопасност")</f>
        <v>безопасност</v>
      </c>
      <c r="E3667" s="1" t="str">
        <f ca="1">IFERROR(__xludf.DUMMYFUNCTION("GOOGLETRANSLATE(English!E3667, ""en"", ""bg"")"),"Можете ли да ми помогнете да разбера безопасността?")</f>
        <v>Можете ли да ми помогнете да разбера безопасността?</v>
      </c>
      <c r="F3667" s="1" t="str">
        <f ca="1">IFERROR(__xludf.DUMMYFUNCTION("GOOGLETRANSLATE(English!F3667,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3667" s="1" t="str">
        <f ca="1">IFERROR(__xludf.DUMMYFUNCTION("GOOGLETRANSLATE(English!G3667, ""en"", ""bg"")"),"direct_qa")</f>
        <v>direct_qa</v>
      </c>
      <c r="H3667" s="1" t="str">
        <f ca="1">IFERROR(__xludf.DUMMYFUNCTION("GOOGLETRANSLATE(English!H3667, ""en"", ""bg"")"),"заявка_за_знание")</f>
        <v>заявка_за_знание</v>
      </c>
    </row>
    <row r="3668" spans="1:8" ht="13.2" x14ac:dyDescent="0.25">
      <c r="A3668" s="1" t="str">
        <f ca="1">IFERROR(__xludf.DUMMYFUNCTION("GOOGLETRANSLATE(English!A3668, ""en"", ""bg"")"),"hw_14769")</f>
        <v>hw_14769</v>
      </c>
      <c r="B3668" s="1" t="str">
        <f ca="1">IFERROR(__xludf.DUMMYFUNCTION("GOOGLETRANSLATE(English!B3668, ""en"", ""bg"")"),"химия")</f>
        <v>химия</v>
      </c>
      <c r="C3668" s="1" t="str">
        <f ca="1">IFERROR(__xludf.DUMMYFUNCTION("GOOGLETRANSLATE(English!C3668, ""en"", ""bg"")"),"средата")</f>
        <v>средата</v>
      </c>
      <c r="D3668" s="1" t="str">
        <f ca="1">IFERROR(__xludf.DUMMYFUNCTION("GOOGLETRANSLATE(English!D3668, ""en"", ""bg"")"),"химични промени")</f>
        <v>химични промени</v>
      </c>
      <c r="E3668" s="1" t="str">
        <f ca="1">IFERROR(__xludf.DUMMYFUNCTION("GOOGLETRANSLATE(English!E3668, ""en"", ""bg"")"),"Не разбирам тази концепция за химични промени. Моля, обяснете!")</f>
        <v>Не разбирам тази концепция за химични промени. Моля, обяснете!</v>
      </c>
      <c r="F3668" s="1" t="str">
        <f ca="1">IFERROR(__xludf.DUMMYFUNCTION("GOOGLETRANSLATE(English!F3668,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668" s="1" t="str">
        <f ca="1">IFERROR(__xludf.DUMMYFUNCTION("GOOGLETRANSLATE(English!G3668, ""en"", ""bg"")"),"помощ_за_домашно_изпълнение")</f>
        <v>помощ_за_домашно_изпълнение</v>
      </c>
      <c r="H3668" s="1" t="str">
        <f ca="1">IFERROR(__xludf.DUMMYFUNCTION("GOOGLETRANSLATE(English!H3668, ""en"", ""bg"")"),"помощ_за_домашно_задаване")</f>
        <v>помощ_за_домашно_задаване</v>
      </c>
    </row>
    <row r="3669" spans="1:8" ht="13.2" x14ac:dyDescent="0.25">
      <c r="A3669" s="1" t="str">
        <f ca="1">IFERROR(__xludf.DUMMYFUNCTION("GOOGLETRANSLATE(English!A3669, ""en"", ""bg"")"),"hw_06350")</f>
        <v>hw_06350</v>
      </c>
      <c r="B3669" s="1" t="str">
        <f ca="1">IFERROR(__xludf.DUMMYFUNCTION("GOOGLETRANSLATE(English!B3669, ""en"", ""bg"")"),"физика")</f>
        <v>физика</v>
      </c>
      <c r="C3669" s="1" t="str">
        <f ca="1">IFERROR(__xludf.DUMMYFUNCTION("GOOGLETRANSLATE(English!C3669, ""en"", ""bg"")"),"високо")</f>
        <v>високо</v>
      </c>
      <c r="D3669" s="1" t="str">
        <f ca="1">IFERROR(__xludf.DUMMYFUNCTION("GOOGLETRANSLATE(English!D3669, ""en"", ""bg"")"),"термодинамика")</f>
        <v>термодинамика</v>
      </c>
      <c r="E3669" s="1" t="str">
        <f ca="1">IFERROR(__xludf.DUMMYFUNCTION("GOOGLETRANSLATE(English!E3669, ""en"", ""bg"")"),"Можете ли да решите тази задача по термодинамика с мен?")</f>
        <v>Можете ли да решите тази задача по термодинамика с мен?</v>
      </c>
      <c r="F3669" s="1" t="str">
        <f ca="1">IFERROR(__xludf.DUMMYFUNCTION("GOOGLETRANSLATE(English!F3669,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3669" s="1" t="str">
        <f ca="1">IFERROR(__xludf.DUMMYFUNCTION("GOOGLETRANSLATE(English!G3669, ""en"", ""bg"")"),"помощ_за_домашно_изпълнение")</f>
        <v>помощ_за_домашно_изпълнение</v>
      </c>
      <c r="H3669" s="1" t="str">
        <f ca="1">IFERROR(__xludf.DUMMYFUNCTION("GOOGLETRANSLATE(English!H3669, ""en"", ""bg"")"),"помощ_за_домашно_задаване")</f>
        <v>помощ_за_домашно_задаване</v>
      </c>
    </row>
    <row r="3670" spans="1:8" ht="13.2" x14ac:dyDescent="0.25">
      <c r="A3670" s="1" t="str">
        <f ca="1">IFERROR(__xludf.DUMMYFUNCTION("GOOGLETRANSLATE(English!A3670, ""en"", ""bg"")"),"qa_05930")</f>
        <v>qa_05930</v>
      </c>
      <c r="B3670" s="1" t="str">
        <f ca="1">IFERROR(__xludf.DUMMYFUNCTION("GOOGLETRANSLATE(English!B3670, ""en"", ""bg"")"),"биология")</f>
        <v>биология</v>
      </c>
      <c r="C3670" s="1" t="str">
        <f ca="1">IFERROR(__xludf.DUMMYFUNCTION("GOOGLETRANSLATE(English!C3670, ""en"", ""bg"")"),"средата")</f>
        <v>средата</v>
      </c>
      <c r="D3670" s="1" t="str">
        <f ca="1">IFERROR(__xludf.DUMMYFUNCTION("GOOGLETRANSLATE(English!D3670, ""en"", ""bg"")"),"екосистеми")</f>
        <v>екосистеми</v>
      </c>
      <c r="E3670" s="1" t="str">
        <f ca="1">IFERROR(__xludf.DUMMYFUNCTION("GOOGLETRANSLATE(English!E3670, ""en"", ""bg"")"),"Можете ли да ми разкажете за екосистемите?")</f>
        <v>Можете ли да ми разкажете за екосистемите?</v>
      </c>
      <c r="F3670" s="1" t="str">
        <f ca="1">IFERROR(__xludf.DUMMYFUNCTION("GOOGLETRANSLATE(English!F3670,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3670" s="1" t="str">
        <f ca="1">IFERROR(__xludf.DUMMYFUNCTION("GOOGLETRANSLATE(English!G3670, ""en"", ""bg"")"),"direct_qa")</f>
        <v>direct_qa</v>
      </c>
      <c r="H3670" s="1" t="str">
        <f ca="1">IFERROR(__xludf.DUMMYFUNCTION("GOOGLETRANSLATE(English!H3670, ""en"", ""bg"")"),"заявка_за_знание")</f>
        <v>заявка_за_знание</v>
      </c>
    </row>
    <row r="3671" spans="1:8" ht="13.2" x14ac:dyDescent="0.25">
      <c r="A3671" s="1" t="str">
        <f ca="1">IFERROR(__xludf.DUMMYFUNCTION("GOOGLETRANSLATE(English!A3671, ""en"", ""bg"")"),"conv_10333")</f>
        <v>conv_10333</v>
      </c>
      <c r="B3671" s="1" t="str">
        <f ca="1">IFERROR(__xludf.DUMMYFUNCTION("GOOGLETRANSLATE(English!B3671, ""en"", ""bg"")"),"химия")</f>
        <v>химия</v>
      </c>
      <c r="C3671" s="1" t="str">
        <f ca="1">IFERROR(__xludf.DUMMYFUNCTION("GOOGLETRANSLATE(English!C3671, ""en"", ""bg"")"),"елементарен")</f>
        <v>елементарен</v>
      </c>
      <c r="D3671" s="1" t="str">
        <f ca="1">IFERROR(__xludf.DUMMYFUNCTION("GOOGLETRANSLATE(English!D3671, ""en"", ""bg"")"),"безопасност")</f>
        <v>безопасност</v>
      </c>
      <c r="E3671" s="1" t="str">
        <f ca="1">IFERROR(__xludf.DUMMYFUNCTION("GOOGLETRANSLATE(English!E3671, ""en"", ""bg"")"),"Имам научен въпрос. Можете ли да ми помогнете да разбера безопасността?")</f>
        <v>Имам научен въпрос. Можете ли да ми помогнете да разбера безопасността?</v>
      </c>
      <c r="F3671" s="1" t="str">
        <f ca="1">IFERROR(__xludf.DUMMYFUNCTION("GOOGLETRANSLATE(English!F3671,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3671" s="1" t="str">
        <f ca="1">IFERROR(__xludf.DUMMYFUNCTION("GOOGLETRANSLATE(English!G3671, ""en"", ""bg"")"),"разговор")</f>
        <v>разговор</v>
      </c>
      <c r="H3671" s="1" t="str">
        <f ca="1">IFERROR(__xludf.DUMMYFUNCTION("GOOGLETRANSLATE(English!H3671, ""en"", ""bg"")"),"образователна_помощ")</f>
        <v>образователна_помощ</v>
      </c>
    </row>
    <row r="3672" spans="1:8" ht="13.2" x14ac:dyDescent="0.25">
      <c r="A3672" s="1" t="str">
        <f ca="1">IFERROR(__xludf.DUMMYFUNCTION("GOOGLETRANSLATE(English!A3672, ""en"", ""bg"")"),"qa_08883")</f>
        <v>qa_08883</v>
      </c>
      <c r="B3672" s="1" t="str">
        <f ca="1">IFERROR(__xludf.DUMMYFUNCTION("GOOGLETRANSLATE(English!B3672, ""en"", ""bg"")"),"биология")</f>
        <v>биология</v>
      </c>
      <c r="C3672" s="1" t="str">
        <f ca="1">IFERROR(__xludf.DUMMYFUNCTION("GOOGLETRANSLATE(English!C3672, ""en"", ""bg"")"),"високо")</f>
        <v>високо</v>
      </c>
      <c r="D3672" s="1" t="str">
        <f ca="1">IFERROR(__xludf.DUMMYFUNCTION("GOOGLETRANSLATE(English!D3672, ""en"", ""bg"")"),"Структура на ДНК")</f>
        <v>Структура на ДНК</v>
      </c>
      <c r="E3672" s="1" t="str">
        <f ca="1">IFERROR(__xludf.DUMMYFUNCTION("GOOGLETRANSLATE(English!E3672, ""en"", ""bg"")"),"Можете ли да ми разкажете за структурата на ДНК?")</f>
        <v>Можете ли да ми разкажете за структурата на ДНК?</v>
      </c>
      <c r="F3672" s="1" t="str">
        <f ca="1">IFERROR(__xludf.DUMMYFUNCTION("GOOGLETRANSLATE(English!F3672,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3672" s="1" t="str">
        <f ca="1">IFERROR(__xludf.DUMMYFUNCTION("GOOGLETRANSLATE(English!G3672, ""en"", ""bg"")"),"direct_qa")</f>
        <v>direct_qa</v>
      </c>
      <c r="H3672" s="1" t="str">
        <f ca="1">IFERROR(__xludf.DUMMYFUNCTION("GOOGLETRANSLATE(English!H3672, ""en"", ""bg"")"),"заявка_за_знание")</f>
        <v>заявка_за_знание</v>
      </c>
    </row>
    <row r="3673" spans="1:8" ht="13.2" x14ac:dyDescent="0.25">
      <c r="A3673" s="1" t="str">
        <f ca="1">IFERROR(__xludf.DUMMYFUNCTION("GOOGLETRANSLATE(English!A3673, ""en"", ""bg"")"),"conv_12748")</f>
        <v>conv_12748</v>
      </c>
      <c r="B3673" s="1" t="str">
        <f ca="1">IFERROR(__xludf.DUMMYFUNCTION("GOOGLETRANSLATE(English!B3673, ""en"", ""bg"")"),"физика")</f>
        <v>физика</v>
      </c>
      <c r="C3673" s="1" t="str">
        <f ca="1">IFERROR(__xludf.DUMMYFUNCTION("GOOGLETRANSLATE(English!C3673, ""en"", ""bg"")"),"елементарен")</f>
        <v>елементарен</v>
      </c>
      <c r="D3673" s="1" t="str">
        <f ca="1">IFERROR(__xludf.DUMMYFUNCTION("GOOGLETRANSLATE(English!D3673, ""en"", ""bg"")"),"звук")</f>
        <v>звук</v>
      </c>
      <c r="E3673" s="1" t="str">
        <f ca="1">IFERROR(__xludf.DUMMYFUNCTION("GOOGLETRANSLATE(English!E3673, ""en"", ""bg"")"),"Здравей, преподавателю! Можеш ли да ми обясниш звука?")</f>
        <v>Здравей, преподавателю! Можеш ли да ми обясниш звука?</v>
      </c>
      <c r="F3673" s="1" t="str">
        <f ca="1">IFERROR(__xludf.DUMMYFUNCTION("GOOGLETRANSLATE(English!F3673,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3673" s="1" t="str">
        <f ca="1">IFERROR(__xludf.DUMMYFUNCTION("GOOGLETRANSLATE(English!G3673, ""en"", ""bg"")"),"разговор")</f>
        <v>разговор</v>
      </c>
      <c r="H3673" s="1" t="str">
        <f ca="1">IFERROR(__xludf.DUMMYFUNCTION("GOOGLETRANSLATE(English!H3673, ""en"", ""bg"")"),"образователна_помощ")</f>
        <v>образователна_помощ</v>
      </c>
    </row>
    <row r="3674" spans="1:8" ht="13.2" x14ac:dyDescent="0.25">
      <c r="A3674" s="1" t="str">
        <f ca="1">IFERROR(__xludf.DUMMYFUNCTION("GOOGLETRANSLATE(English!A3674, ""en"", ""bg"")"),"qa_04078")</f>
        <v>qa_04078</v>
      </c>
      <c r="B3674" s="1" t="str">
        <f ca="1">IFERROR(__xludf.DUMMYFUNCTION("GOOGLETRANSLATE(English!B3674, ""en"", ""bg"")"),"биология")</f>
        <v>биология</v>
      </c>
      <c r="C3674" s="1" t="str">
        <f ca="1">IFERROR(__xludf.DUMMYFUNCTION("GOOGLETRANSLATE(English!C3674, ""en"", ""bg"")"),"високо")</f>
        <v>високо</v>
      </c>
      <c r="D3674" s="1" t="str">
        <f ca="1">IFERROR(__xludf.DUMMYFUNCTION("GOOGLETRANSLATE(English!D3674, ""en"", ""bg"")"),"клетъчно дишане")</f>
        <v>клетъчно дишане</v>
      </c>
      <c r="E3674" s="1" t="str">
        <f ca="1">IFERROR(__xludf.DUMMYFUNCTION("GOOGLETRANSLATE(English!E3674, ""en"", ""bg"")"),"Защо клетъчното дишане е важно в биологията?")</f>
        <v>Защо клетъчното дишане е важно в биологията?</v>
      </c>
      <c r="F3674" s="1" t="str">
        <f ca="1">IFERROR(__xludf.DUMMYFUNCTION("GOOGLETRANSLATE(English!F3674,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674" s="1" t="str">
        <f ca="1">IFERROR(__xludf.DUMMYFUNCTION("GOOGLETRANSLATE(English!G3674, ""en"", ""bg"")"),"direct_qa")</f>
        <v>direct_qa</v>
      </c>
      <c r="H3674" s="1" t="str">
        <f ca="1">IFERROR(__xludf.DUMMYFUNCTION("GOOGLETRANSLATE(English!H3674, ""en"", ""bg"")"),"заявка_за_знание")</f>
        <v>заявка_за_знание</v>
      </c>
    </row>
    <row r="3675" spans="1:8" ht="13.2" x14ac:dyDescent="0.25">
      <c r="A3675" s="1" t="str">
        <f ca="1">IFERROR(__xludf.DUMMYFUNCTION("GOOGLETRANSLATE(English!A3675, ""en"", ""bg"")"),"hw_09021")</f>
        <v>hw_09021</v>
      </c>
      <c r="B3675" s="1" t="str">
        <f ca="1">IFERROR(__xludf.DUMMYFUNCTION("GOOGLETRANSLATE(English!B3675, ""en"", ""bg"")"),"химия")</f>
        <v>химия</v>
      </c>
      <c r="C3675" s="1" t="str">
        <f ca="1">IFERROR(__xludf.DUMMYFUNCTION("GOOGLETRANSLATE(English!C3675, ""en"", ""bg"")"),"високо")</f>
        <v>високо</v>
      </c>
      <c r="D3675" s="1" t="str">
        <f ca="1">IFERROR(__xludf.DUMMYFUNCTION("GOOGLETRANSLATE(English!D3675, ""en"", ""bg"")"),"органична химия")</f>
        <v>органична химия</v>
      </c>
      <c r="E3675" s="1" t="str">
        <f ca="1">IFERROR(__xludf.DUMMYFUNCTION("GOOGLETRANSLATE(English!E3675,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3675" s="1" t="str">
        <f ca="1">IFERROR(__xludf.DUMMYFUNCTION("GOOGLETRANSLATE(English!F3675,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675" s="1" t="str">
        <f ca="1">IFERROR(__xludf.DUMMYFUNCTION("GOOGLETRANSLATE(English!G3675, ""en"", ""bg"")"),"помощ_за_домашно_изпълнение")</f>
        <v>помощ_за_домашно_изпълнение</v>
      </c>
      <c r="H3675" s="1" t="str">
        <f ca="1">IFERROR(__xludf.DUMMYFUNCTION("GOOGLETRANSLATE(English!H3675, ""en"", ""bg"")"),"помощ_за_домашно_задаване")</f>
        <v>помощ_за_домашно_задаване</v>
      </c>
    </row>
    <row r="3676" spans="1:8" ht="13.2" x14ac:dyDescent="0.25">
      <c r="A3676" s="1" t="str">
        <f ca="1">IFERROR(__xludf.DUMMYFUNCTION("GOOGLETRANSLATE(English!A3676, ""en"", ""bg"")"),"hw_10008")</f>
        <v>hw_10008</v>
      </c>
      <c r="B3676" s="1" t="str">
        <f ca="1">IFERROR(__xludf.DUMMYFUNCTION("GOOGLETRANSLATE(English!B3676, ""en"", ""bg"")"),"физика")</f>
        <v>физика</v>
      </c>
      <c r="C3676" s="1" t="str">
        <f ca="1">IFERROR(__xludf.DUMMYFUNCTION("GOOGLETRANSLATE(English!C3676, ""en"", ""bg"")"),"високо")</f>
        <v>високо</v>
      </c>
      <c r="D3676" s="1" t="str">
        <f ca="1">IFERROR(__xludf.DUMMYFUNCTION("GOOGLETRANSLATE(English!D3676, ""en"", ""bg"")"),"електромагнетизъм")</f>
        <v>електромагнетизъм</v>
      </c>
      <c r="E3676" s="1" t="str">
        <f ca="1">IFERROR(__xludf.DUMMYFUNCTION("GOOGLETRANSLATE(English!E3676, ""en"", ""bg"")"),"Заседнал съм с този проблем с електромагнетизма. Можете ли да помогнете?")</f>
        <v>Заседнал съм с този проблем с електромагнетизма. Можете ли да помогнете?</v>
      </c>
      <c r="F3676" s="1" t="str">
        <f ca="1">IFERROR(__xludf.DUMMYFUNCTION("GOOGLETRANSLATE(English!F3676,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3676" s="1" t="str">
        <f ca="1">IFERROR(__xludf.DUMMYFUNCTION("GOOGLETRANSLATE(English!G3676, ""en"", ""bg"")"),"помощ_за_домашно_изпълнение")</f>
        <v>помощ_за_домашно_изпълнение</v>
      </c>
      <c r="H3676" s="1" t="str">
        <f ca="1">IFERROR(__xludf.DUMMYFUNCTION("GOOGLETRANSLATE(English!H3676, ""en"", ""bg"")"),"помощ_за_домашно_задаване")</f>
        <v>помощ_за_домашно_задаване</v>
      </c>
    </row>
    <row r="3677" spans="1:8" ht="13.2" x14ac:dyDescent="0.25">
      <c r="A3677" s="1" t="str">
        <f ca="1">IFERROR(__xludf.DUMMYFUNCTION("GOOGLETRANSLATE(English!A3677, ""en"", ""bg"")"),"conv_05282")</f>
        <v>conv_05282</v>
      </c>
      <c r="B3677" s="1" t="str">
        <f ca="1">IFERROR(__xludf.DUMMYFUNCTION("GOOGLETRANSLATE(English!B3677, ""en"", ""bg"")"),"химия")</f>
        <v>химия</v>
      </c>
      <c r="C3677" s="1" t="str">
        <f ca="1">IFERROR(__xludf.DUMMYFUNCTION("GOOGLETRANSLATE(English!C3677, ""en"", ""bg"")"),"елементарен")</f>
        <v>елементарен</v>
      </c>
      <c r="D3677" s="1" t="str">
        <f ca="1">IFERROR(__xludf.DUMMYFUNCTION("GOOGLETRANSLATE(English!D3677, ""en"", ""bg"")"),"безопасност")</f>
        <v>безопасност</v>
      </c>
      <c r="E3677" s="1" t="str">
        <f ca="1">IFERROR(__xludf.DUMMYFUNCTION("GOOGLETRANSLATE(English!E3677, ""en"", ""bg"")"),"Здравей, преподавателю! Как работи безопасността в химията?")</f>
        <v>Здравей, преподавателю! Как работи безопасността в химията?</v>
      </c>
      <c r="F3677" s="1" t="str">
        <f ca="1">IFERROR(__xludf.DUMMYFUNCTION("GOOGLETRANSLATE(English!F3677,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3677" s="1" t="str">
        <f ca="1">IFERROR(__xludf.DUMMYFUNCTION("GOOGLETRANSLATE(English!G3677, ""en"", ""bg"")"),"разговор")</f>
        <v>разговор</v>
      </c>
      <c r="H3677" s="1" t="str">
        <f ca="1">IFERROR(__xludf.DUMMYFUNCTION("GOOGLETRANSLATE(English!H3677, ""en"", ""bg"")"),"образователна_помощ")</f>
        <v>образователна_помощ</v>
      </c>
    </row>
    <row r="3678" spans="1:8" ht="13.2" x14ac:dyDescent="0.25">
      <c r="A3678" s="1" t="str">
        <f ca="1">IFERROR(__xludf.DUMMYFUNCTION("GOOGLETRANSLATE(English!A3678, ""en"", ""bg"")"),"hw_14558")</f>
        <v>hw_14558</v>
      </c>
      <c r="B3678" s="1" t="str">
        <f ca="1">IFERROR(__xludf.DUMMYFUNCTION("GOOGLETRANSLATE(English!B3678, ""en"", ""bg"")"),"физика")</f>
        <v>физика</v>
      </c>
      <c r="C3678" s="1" t="str">
        <f ca="1">IFERROR(__xludf.DUMMYFUNCTION("GOOGLETRANSLATE(English!C3678, ""en"", ""bg"")"),"високо")</f>
        <v>високо</v>
      </c>
      <c r="D3678" s="1" t="str">
        <f ca="1">IFERROR(__xludf.DUMMYFUNCTION("GOOGLETRANSLATE(English!D3678, ""en"", ""bg"")"),"радиоактивност")</f>
        <v>радиоактивност</v>
      </c>
      <c r="E3678" s="1" t="str">
        <f ca="1">IFERROR(__xludf.DUMMYFUNCTION("GOOGLETRANSLATE(English!E3678, ""en"", ""bg"")"),"Домашното ми по физика е за радиоактивност. Объркващо е!")</f>
        <v>Домашното ми по физика е за радиоактивност. Объркващо е!</v>
      </c>
      <c r="F3678" s="1" t="str">
        <f ca="1">IFERROR(__xludf.DUMMYFUNCTION("GOOGLETRANSLATE(English!F3678,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3678" s="1" t="str">
        <f ca="1">IFERROR(__xludf.DUMMYFUNCTION("GOOGLETRANSLATE(English!G3678, ""en"", ""bg"")"),"помощ_за_домашно_изпълнение")</f>
        <v>помощ_за_домашно_изпълнение</v>
      </c>
      <c r="H3678" s="1" t="str">
        <f ca="1">IFERROR(__xludf.DUMMYFUNCTION("GOOGLETRANSLATE(English!H3678, ""en"", ""bg"")"),"помощ_за_домашно_задаване")</f>
        <v>помощ_за_домашно_задаване</v>
      </c>
    </row>
    <row r="3679" spans="1:8" ht="13.2" x14ac:dyDescent="0.25">
      <c r="A3679" s="1" t="str">
        <f ca="1">IFERROR(__xludf.DUMMYFUNCTION("GOOGLETRANSLATE(English!A3679, ""en"", ""bg"")"),"qa_13772")</f>
        <v>qa_13772</v>
      </c>
      <c r="B3679" s="1" t="str">
        <f ca="1">IFERROR(__xludf.DUMMYFUNCTION("GOOGLETRANSLATE(English!B3679, ""en"", ""bg"")"),"биология")</f>
        <v>биология</v>
      </c>
      <c r="C3679" s="1" t="str">
        <f ca="1">IFERROR(__xludf.DUMMYFUNCTION("GOOGLETRANSLATE(English!C3679, ""en"", ""bg"")"),"елементарен")</f>
        <v>елементарен</v>
      </c>
      <c r="D3679" s="1" t="str">
        <f ca="1">IFERROR(__xludf.DUMMYFUNCTION("GOOGLETRANSLATE(English!D3679, ""en"", ""bg"")"),"растения")</f>
        <v>растения</v>
      </c>
      <c r="E3679" s="1" t="str">
        <f ca="1">IFERROR(__xludf.DUMMYFUNCTION("GOOGLETRANSLATE(English!E3679, ""en"", ""bg"")"),"Как растенията сами си произвеждат храна?")</f>
        <v>Как растенията сами си произвеждат храна?</v>
      </c>
      <c r="F3679" s="1" t="str">
        <f ca="1">IFERROR(__xludf.DUMMYFUNCTION("GOOGLETRANSLATE(English!F3679, ""en"", ""bg"")"),"Растенията произвеждат храна чрез фотосинтеза - те използват слънчева светлина, вода и въздух, за да създадат захар за енергия.")</f>
        <v>Растенията произвеждат храна чрез фотосинтеза - те използват слънчева светлина, вода и въздух, за да създадат захар за енергия.</v>
      </c>
      <c r="G3679" s="1" t="str">
        <f ca="1">IFERROR(__xludf.DUMMYFUNCTION("GOOGLETRANSLATE(English!G3679, ""en"", ""bg"")"),"direct_qa")</f>
        <v>direct_qa</v>
      </c>
      <c r="H3679" s="1" t="str">
        <f ca="1">IFERROR(__xludf.DUMMYFUNCTION("GOOGLETRANSLATE(English!H3679, ""en"", ""bg"")"),"заявка_за_знание")</f>
        <v>заявка_за_знание</v>
      </c>
    </row>
    <row r="3680" spans="1:8" ht="13.2" x14ac:dyDescent="0.25">
      <c r="A3680" s="1" t="str">
        <f ca="1">IFERROR(__xludf.DUMMYFUNCTION("GOOGLETRANSLATE(English!A3680, ""en"", ""bg"")"),"hw_04328")</f>
        <v>hw_04328</v>
      </c>
      <c r="B3680" s="1" t="str">
        <f ca="1">IFERROR(__xludf.DUMMYFUNCTION("GOOGLETRANSLATE(English!B3680, ""en"", ""bg"")"),"биология")</f>
        <v>биология</v>
      </c>
      <c r="C3680" s="1" t="str">
        <f ca="1">IFERROR(__xludf.DUMMYFUNCTION("GOOGLETRANSLATE(English!C3680, ""en"", ""bg"")"),"елементарен")</f>
        <v>елементарен</v>
      </c>
      <c r="D3680" s="1" t="str">
        <f ca="1">IFERROR(__xludf.DUMMYFUNCTION("GOOGLETRANSLATE(English!D3680, ""en"", ""bg"")"),"растения")</f>
        <v>растения</v>
      </c>
      <c r="E3680" s="1" t="str">
        <f ca="1">IFERROR(__xludf.DUMMYFUNCTION("GOOGLETRANSLATE(English!E3680, ""en"", ""bg"")"),"Утре имам тест по растения. Помогни ми да уча!")</f>
        <v>Утре имам тест по растения. Помогни ми да уча!</v>
      </c>
      <c r="F3680" s="1" t="str">
        <f ca="1">IFERROR(__xludf.DUMMYFUNCTION("GOOGLETRANSLATE(English!F3680,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3680" s="1" t="str">
        <f ca="1">IFERROR(__xludf.DUMMYFUNCTION("GOOGLETRANSLATE(English!G3680, ""en"", ""bg"")"),"помощ_за_домашно_изпълнение")</f>
        <v>помощ_за_домашно_изпълнение</v>
      </c>
      <c r="H3680" s="1" t="str">
        <f ca="1">IFERROR(__xludf.DUMMYFUNCTION("GOOGLETRANSLATE(English!H3680, ""en"", ""bg"")"),"помощ_за_домашно_задаване")</f>
        <v>помощ_за_домашно_задаване</v>
      </c>
    </row>
    <row r="3681" spans="1:8" ht="13.2" x14ac:dyDescent="0.25">
      <c r="A3681" s="1" t="str">
        <f ca="1">IFERROR(__xludf.DUMMYFUNCTION("GOOGLETRANSLATE(English!A3681, ""en"", ""bg"")"),"hw_12786")</f>
        <v>hw_12786</v>
      </c>
      <c r="B3681" s="1" t="str">
        <f ca="1">IFERROR(__xludf.DUMMYFUNCTION("GOOGLETRANSLATE(English!B3681, ""en"", ""bg"")"),"химия")</f>
        <v>химия</v>
      </c>
      <c r="C3681" s="1" t="str">
        <f ca="1">IFERROR(__xludf.DUMMYFUNCTION("GOOGLETRANSLATE(English!C3681, ""en"", ""bg"")"),"високо")</f>
        <v>високо</v>
      </c>
      <c r="D3681" s="1" t="str">
        <f ca="1">IFERROR(__xludf.DUMMYFUNCTION("GOOGLETRANSLATE(English!D3681, ""en"", ""bg"")"),"химическо свързване")</f>
        <v>химическо свързване</v>
      </c>
      <c r="E3681" s="1" t="str">
        <f ca="1">IFERROR(__xludf.DUMMYFUNCTION("GOOGLETRANSLATE(English!E3681, ""en"", ""bg"")"),"Можете ли да ми помогнете с изчисленията за химични връзки?")</f>
        <v>Можете ли да ми помогнете с изчисленията за химични връзки?</v>
      </c>
      <c r="F3681" s="1" t="str">
        <f ca="1">IFERROR(__xludf.DUMMYFUNCTION("GOOGLETRANSLATE(English!F3681,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681" s="1" t="str">
        <f ca="1">IFERROR(__xludf.DUMMYFUNCTION("GOOGLETRANSLATE(English!G3681, ""en"", ""bg"")"),"помощ_за_домашно_изпълнение")</f>
        <v>помощ_за_домашно_изпълнение</v>
      </c>
      <c r="H3681" s="1" t="str">
        <f ca="1">IFERROR(__xludf.DUMMYFUNCTION("GOOGLETRANSLATE(English!H3681, ""en"", ""bg"")"),"помощ_за_домашно_задаване")</f>
        <v>помощ_за_домашно_задаване</v>
      </c>
    </row>
    <row r="3682" spans="1:8" ht="13.2" x14ac:dyDescent="0.25">
      <c r="A3682" s="1" t="str">
        <f ca="1">IFERROR(__xludf.DUMMYFUNCTION("GOOGLETRANSLATE(English!A3682, ""en"", ""bg"")"),"qa_05848")</f>
        <v>qa_05848</v>
      </c>
      <c r="B3682" s="1" t="str">
        <f ca="1">IFERROR(__xludf.DUMMYFUNCTION("GOOGLETRANSLATE(English!B3682, ""en"", ""bg"")"),"химия")</f>
        <v>химия</v>
      </c>
      <c r="C3682" s="1" t="str">
        <f ca="1">IFERROR(__xludf.DUMMYFUNCTION("GOOGLETRANSLATE(English!C3682, ""en"", ""bg"")"),"високо")</f>
        <v>високо</v>
      </c>
      <c r="D3682" s="1" t="str">
        <f ca="1">IFERROR(__xludf.DUMMYFUNCTION("GOOGLETRANSLATE(English!D3682, ""en"", ""bg"")"),"равновесие")</f>
        <v>равновесие</v>
      </c>
      <c r="E3682" s="1" t="str">
        <f ca="1">IFERROR(__xludf.DUMMYFUNCTION("GOOGLETRANSLATE(English!E3682, ""en"", ""bg"")"),"Защо е важно да се учи равновесие?")</f>
        <v>Защо е важно да се учи равновесие?</v>
      </c>
      <c r="F3682" s="1" t="str">
        <f ca="1">IFERROR(__xludf.DUMMYFUNCTION("GOOGLETRANSLATE(English!F3682,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3682" s="1" t="str">
        <f ca="1">IFERROR(__xludf.DUMMYFUNCTION("GOOGLETRANSLATE(English!G3682, ""en"", ""bg"")"),"direct_qa")</f>
        <v>direct_qa</v>
      </c>
      <c r="H3682" s="1" t="str">
        <f ca="1">IFERROR(__xludf.DUMMYFUNCTION("GOOGLETRANSLATE(English!H3682, ""en"", ""bg"")"),"заявка_за_знание")</f>
        <v>заявка_за_знание</v>
      </c>
    </row>
    <row r="3683" spans="1:8" ht="13.2" x14ac:dyDescent="0.25">
      <c r="A3683" s="1" t="str">
        <f ca="1">IFERROR(__xludf.DUMMYFUNCTION("GOOGLETRANSLATE(English!A3683, ""en"", ""bg"")"),"qa_03613")</f>
        <v>qa_03613</v>
      </c>
      <c r="B3683" s="1" t="str">
        <f ca="1">IFERROR(__xludf.DUMMYFUNCTION("GOOGLETRANSLATE(English!B3683, ""en"", ""bg"")"),"физика")</f>
        <v>физика</v>
      </c>
      <c r="C3683" s="1" t="str">
        <f ca="1">IFERROR(__xludf.DUMMYFUNCTION("GOOGLETRANSLATE(English!C3683, ""en"", ""bg"")"),"средата")</f>
        <v>средата</v>
      </c>
      <c r="D3683" s="1" t="str">
        <f ca="1">IFERROR(__xludf.DUMMYFUNCTION("GOOGLETRANSLATE(English!D3683, ""en"", ""bg"")"),"състояния на материята")</f>
        <v>състояния на материята</v>
      </c>
      <c r="E3683" s="1" t="str">
        <f ca="1">IFERROR(__xludf.DUMMYFUNCTION("GOOGLETRANSLATE(English!E3683, ""en"", ""bg"")"),"Защо състоянията на материята са важни?")</f>
        <v>Защо състоянията на материята са важни?</v>
      </c>
      <c r="F3683" s="1" t="str">
        <f ca="1">IFERROR(__xludf.DUMMYFUNCTION("GOOGLETRANSLATE(English!F3683,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3683" s="1" t="str">
        <f ca="1">IFERROR(__xludf.DUMMYFUNCTION("GOOGLETRANSLATE(English!G3683, ""en"", ""bg"")"),"direct_qa")</f>
        <v>direct_qa</v>
      </c>
      <c r="H3683" s="1" t="str">
        <f ca="1">IFERROR(__xludf.DUMMYFUNCTION("GOOGLETRANSLATE(English!H3683, ""en"", ""bg"")"),"заявка_за_знание")</f>
        <v>заявка_за_знание</v>
      </c>
    </row>
    <row r="3684" spans="1:8" ht="13.2" x14ac:dyDescent="0.25">
      <c r="A3684" s="1" t="str">
        <f ca="1">IFERROR(__xludf.DUMMYFUNCTION("GOOGLETRANSLATE(English!A3684, ""en"", ""bg"")"),"hw_01391")</f>
        <v>hw_01391</v>
      </c>
      <c r="B3684" s="1" t="str">
        <f ca="1">IFERROR(__xludf.DUMMYFUNCTION("GOOGLETRANSLATE(English!B3684, ""en"", ""bg"")"),"химия")</f>
        <v>химия</v>
      </c>
      <c r="C3684" s="1" t="str">
        <f ca="1">IFERROR(__xludf.DUMMYFUNCTION("GOOGLETRANSLATE(English!C3684, ""en"", ""bg"")"),"високо")</f>
        <v>високо</v>
      </c>
      <c r="D3684" s="1" t="str">
        <f ca="1">IFERROR(__xludf.DUMMYFUNCTION("GOOGLETRANSLATE(English!D3684, ""en"", ""bg"")"),"скорости на реакция")</f>
        <v>скорости на реакция</v>
      </c>
      <c r="E3684" s="1" t="str">
        <f ca="1">IFERROR(__xludf.DUMMYFUNCTION("GOOGLETRANSLATE(English!E3684,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3684" s="1" t="str">
        <f ca="1">IFERROR(__xludf.DUMMYFUNCTION("GOOGLETRANSLATE(English!F3684,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3684" s="1" t="str">
        <f ca="1">IFERROR(__xludf.DUMMYFUNCTION("GOOGLETRANSLATE(English!G3684, ""en"", ""bg"")"),"помощ_за_домашно_изпълнение")</f>
        <v>помощ_за_домашно_изпълнение</v>
      </c>
      <c r="H3684" s="1" t="str">
        <f ca="1">IFERROR(__xludf.DUMMYFUNCTION("GOOGLETRANSLATE(English!H3684, ""en"", ""bg"")"),"помощ_за_домашно_задаване")</f>
        <v>помощ_за_домашно_задаване</v>
      </c>
    </row>
    <row r="3685" spans="1:8" ht="13.2" x14ac:dyDescent="0.25">
      <c r="A3685" s="1" t="str">
        <f ca="1">IFERROR(__xludf.DUMMYFUNCTION("GOOGLETRANSLATE(English!A3685, ""en"", ""bg"")"),"qa_02632")</f>
        <v>qa_02632</v>
      </c>
      <c r="B3685" s="1" t="str">
        <f ca="1">IFERROR(__xludf.DUMMYFUNCTION("GOOGLETRANSLATE(English!B3685, ""en"", ""bg"")"),"химия")</f>
        <v>химия</v>
      </c>
      <c r="C3685" s="1" t="str">
        <f ca="1">IFERROR(__xludf.DUMMYFUNCTION("GOOGLETRANSLATE(English!C3685, ""en"", ""bg"")"),"елементарен")</f>
        <v>елементарен</v>
      </c>
      <c r="D3685" s="1" t="str">
        <f ca="1">IFERROR(__xludf.DUMMYFUNCTION("GOOGLETRANSLATE(English!D3685, ""en"", ""bg"")"),"смесване на материали")</f>
        <v>смесване на материали</v>
      </c>
      <c r="E3685" s="1" t="str">
        <f ca="1">IFERROR(__xludf.DUMMYFUNCTION("GOOGLETRANSLATE(English!E3685, ""en"", ""bg"")"),"Как можете да отделите солта от водата?")</f>
        <v>Как можете да отделите солта от водата?</v>
      </c>
      <c r="F3685" s="1" t="str">
        <f ca="1">IFERROR(__xludf.DUMMYFUNCTION("GOOGLETRANSLATE(English!F3685,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3685" s="1" t="str">
        <f ca="1">IFERROR(__xludf.DUMMYFUNCTION("GOOGLETRANSLATE(English!G3685, ""en"", ""bg"")"),"direct_qa")</f>
        <v>direct_qa</v>
      </c>
      <c r="H3685" s="1" t="str">
        <f ca="1">IFERROR(__xludf.DUMMYFUNCTION("GOOGLETRANSLATE(English!H3685, ""en"", ""bg"")"),"заявка_за_знание")</f>
        <v>заявка_за_знание</v>
      </c>
    </row>
    <row r="3686" spans="1:8" ht="13.2" x14ac:dyDescent="0.25">
      <c r="A3686" s="1" t="str">
        <f ca="1">IFERROR(__xludf.DUMMYFUNCTION("GOOGLETRANSLATE(English!A3686, ""en"", ""bg"")"),"hw_08175")</f>
        <v>hw_08175</v>
      </c>
      <c r="B3686" s="1" t="str">
        <f ca="1">IFERROR(__xludf.DUMMYFUNCTION("GOOGLETRANSLATE(English!B3686, ""en"", ""bg"")"),"химия")</f>
        <v>химия</v>
      </c>
      <c r="C3686" s="1" t="str">
        <f ca="1">IFERROR(__xludf.DUMMYFUNCTION("GOOGLETRANSLATE(English!C3686, ""en"", ""bg"")"),"високо")</f>
        <v>високо</v>
      </c>
      <c r="D3686" s="1" t="str">
        <f ca="1">IFERROR(__xludf.DUMMYFUNCTION("GOOGLETRANSLATE(English!D3686, ""en"", ""bg"")"),"органична химия")</f>
        <v>органична химия</v>
      </c>
      <c r="E3686" s="1" t="str">
        <f ca="1">IFERROR(__xludf.DUMMYFUNCTION("GOOGLETRANSLATE(English!E3686, ""en"", ""bg"")"),"Моят доклад по химия е за органична химия. Помогнете ми да разбера.")</f>
        <v>Моят доклад по химия е за органична химия. Помогнете ми да разбера.</v>
      </c>
      <c r="F3686" s="1" t="str">
        <f ca="1">IFERROR(__xludf.DUMMYFUNCTION("GOOGLETRANSLATE(English!F3686,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686" s="1" t="str">
        <f ca="1">IFERROR(__xludf.DUMMYFUNCTION("GOOGLETRANSLATE(English!G3686, ""en"", ""bg"")"),"помощ_за_домашно_изпълнение")</f>
        <v>помощ_за_домашно_изпълнение</v>
      </c>
      <c r="H3686" s="1" t="str">
        <f ca="1">IFERROR(__xludf.DUMMYFUNCTION("GOOGLETRANSLATE(English!H3686, ""en"", ""bg"")"),"помощ_за_домашно_задаване")</f>
        <v>помощ_за_домашно_задаване</v>
      </c>
    </row>
    <row r="3687" spans="1:8" ht="13.2" x14ac:dyDescent="0.25">
      <c r="A3687" s="1" t="str">
        <f ca="1">IFERROR(__xludf.DUMMYFUNCTION("GOOGLETRANSLATE(English!A3687, ""en"", ""bg"")"),"conv_17193")</f>
        <v>conv_17193</v>
      </c>
      <c r="B3687" s="1" t="str">
        <f ca="1">IFERROR(__xludf.DUMMYFUNCTION("GOOGLETRANSLATE(English!B3687, ""en"", ""bg"")"),"биология")</f>
        <v>биология</v>
      </c>
      <c r="C3687" s="1" t="str">
        <f ca="1">IFERROR(__xludf.DUMMYFUNCTION("GOOGLETRANSLATE(English!C3687, ""en"", ""bg"")"),"високо")</f>
        <v>високо</v>
      </c>
      <c r="D3687" s="1" t="str">
        <f ca="1">IFERROR(__xludf.DUMMYFUNCTION("GOOGLETRANSLATE(English!D3687, ""en"", ""bg"")"),"клетъчно дишане")</f>
        <v>клетъчно дишане</v>
      </c>
      <c r="E3687" s="1" t="str">
        <f ca="1">IFERROR(__xludf.DUMMYFUNCTION("GOOGLETRANSLATE(English!E3687, ""en"", ""bg"")"),"Не разбирам тази тема. Как работи клетъчното дишане?")</f>
        <v>Не разбирам тази тема. Как работи клетъчното дишане?</v>
      </c>
      <c r="F3687" s="1" t="str">
        <f ca="1">IFERROR(__xludf.DUMMYFUNCTION("GOOGLETRANSLATE(English!F3687,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3687" s="1" t="str">
        <f ca="1">IFERROR(__xludf.DUMMYFUNCTION("GOOGLETRANSLATE(English!G3687, ""en"", ""bg"")"),"разговор")</f>
        <v>разговор</v>
      </c>
      <c r="H3687" s="1" t="str">
        <f ca="1">IFERROR(__xludf.DUMMYFUNCTION("GOOGLETRANSLATE(English!H3687, ""en"", ""bg"")"),"образователна_помощ")</f>
        <v>образователна_помощ</v>
      </c>
    </row>
    <row r="3688" spans="1:8" ht="13.2" x14ac:dyDescent="0.25">
      <c r="A3688" s="1" t="str">
        <f ca="1">IFERROR(__xludf.DUMMYFUNCTION("GOOGLETRANSLATE(English!A3688, ""en"", ""bg"")"),"conv_14379")</f>
        <v>conv_14379</v>
      </c>
      <c r="B3688" s="1" t="str">
        <f ca="1">IFERROR(__xludf.DUMMYFUNCTION("GOOGLETRANSLATE(English!B3688, ""en"", ""bg"")"),"физика")</f>
        <v>физика</v>
      </c>
      <c r="C3688" s="1" t="str">
        <f ca="1">IFERROR(__xludf.DUMMYFUNCTION("GOOGLETRANSLATE(English!C3688, ""en"", ""bg"")"),"високо")</f>
        <v>високо</v>
      </c>
      <c r="D3688" s="1" t="str">
        <f ca="1">IFERROR(__xludf.DUMMYFUNCTION("GOOGLETRANSLATE(English!D3688, ""en"", ""bg"")"),"електромагнетизъм")</f>
        <v>електромагнетизъм</v>
      </c>
      <c r="E3688" s="1" t="str">
        <f ca="1">IFERROR(__xludf.DUMMYFUNCTION("GOOGLETRANSLATE(English!E3688, ""en"", ""bg"")"),"Имам нужда от помощ с домашното. Защо електромагнетизмът е важен?")</f>
        <v>Имам нужда от помощ с домашното. Защо електромагнетизмът е важен?</v>
      </c>
      <c r="F3688" s="1" t="str">
        <f ca="1">IFERROR(__xludf.DUMMYFUNCTION("GOOGLETRANSLATE(English!F3688,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3688" s="1" t="str">
        <f ca="1">IFERROR(__xludf.DUMMYFUNCTION("GOOGLETRANSLATE(English!G3688, ""en"", ""bg"")"),"разговор")</f>
        <v>разговор</v>
      </c>
      <c r="H3688" s="1" t="str">
        <f ca="1">IFERROR(__xludf.DUMMYFUNCTION("GOOGLETRANSLATE(English!H3688, ""en"", ""bg"")"),"образователна_помощ")</f>
        <v>образователна_помощ</v>
      </c>
    </row>
    <row r="3689" spans="1:8" ht="13.2" x14ac:dyDescent="0.25">
      <c r="A3689" s="1" t="str">
        <f ca="1">IFERROR(__xludf.DUMMYFUNCTION("GOOGLETRANSLATE(English!A3689, ""en"", ""bg"")"),"qa_13634")</f>
        <v>qa_13634</v>
      </c>
      <c r="B3689" s="1" t="str">
        <f ca="1">IFERROR(__xludf.DUMMYFUNCTION("GOOGLETRANSLATE(English!B3689, ""en"", ""bg"")"),"физика")</f>
        <v>физика</v>
      </c>
      <c r="C3689" s="1" t="str">
        <f ca="1">IFERROR(__xludf.DUMMYFUNCTION("GOOGLETRANSLATE(English!C3689, ""en"", ""bg"")"),"средата")</f>
        <v>средата</v>
      </c>
      <c r="D3689" s="1" t="str">
        <f ca="1">IFERROR(__xludf.DUMMYFUNCTION("GOOGLETRANSLATE(English!D3689, ""en"", ""bg"")"),"сили и движение")</f>
        <v>сили и движение</v>
      </c>
      <c r="E3689" s="1" t="str">
        <f ca="1">IFERROR(__xludf.DUMMYFUNCTION("GOOGLETRANSLATE(English!E3689, ""en"", ""bg"")"),"Какво е ускорение?")</f>
        <v>Какво е ускорение?</v>
      </c>
      <c r="F3689" s="1" t="str">
        <f ca="1">IFERROR(__xludf.DUMMYFUNCTION("GOOGLETRANSLATE(English!F3689,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3689" s="1" t="str">
        <f ca="1">IFERROR(__xludf.DUMMYFUNCTION("GOOGLETRANSLATE(English!G3689, ""en"", ""bg"")"),"direct_qa")</f>
        <v>direct_qa</v>
      </c>
      <c r="H3689" s="1" t="str">
        <f ca="1">IFERROR(__xludf.DUMMYFUNCTION("GOOGLETRANSLATE(English!H3689, ""en"", ""bg"")"),"заявка_за_знание")</f>
        <v>заявка_за_знание</v>
      </c>
    </row>
    <row r="3690" spans="1:8" ht="13.2" x14ac:dyDescent="0.25">
      <c r="A3690" s="1" t="str">
        <f ca="1">IFERROR(__xludf.DUMMYFUNCTION("GOOGLETRANSLATE(English!A3690, ""en"", ""bg"")"),"hw_06154")</f>
        <v>hw_06154</v>
      </c>
      <c r="B3690" s="1" t="str">
        <f ca="1">IFERROR(__xludf.DUMMYFUNCTION("GOOGLETRANSLATE(English!B3690, ""en"", ""bg"")"),"физика")</f>
        <v>физика</v>
      </c>
      <c r="C3690" s="1" t="str">
        <f ca="1">IFERROR(__xludf.DUMMYFUNCTION("GOOGLETRANSLATE(English!C3690, ""en"", ""bg"")"),"елементарен")</f>
        <v>елементарен</v>
      </c>
      <c r="D3690" s="1" t="str">
        <f ca="1">IFERROR(__xludf.DUMMYFUNCTION("GOOGLETRANSLATE(English!D3690, ""en"", ""bg"")"),"магнити")</f>
        <v>магнити</v>
      </c>
      <c r="E3690" s="1" t="str">
        <f ca="1">IFERROR(__xludf.DUMMYFUNCTION("GOOGLETRANSLATE(English!E3690, ""en"", ""bg"")"),"Можете ли да решите този въпрос с магнитите заедно с мен?")</f>
        <v>Можете ли да решите този въпрос с магнитите заедно с мен?</v>
      </c>
      <c r="F3690" s="1" t="str">
        <f ca="1">IFERROR(__xludf.DUMMYFUNCTION("GOOGLETRANSLATE(English!F3690,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3690" s="1" t="str">
        <f ca="1">IFERROR(__xludf.DUMMYFUNCTION("GOOGLETRANSLATE(English!G3690, ""en"", ""bg"")"),"помощ_за_домашно_изпълнение")</f>
        <v>помощ_за_домашно_изпълнение</v>
      </c>
      <c r="H3690" s="1" t="str">
        <f ca="1">IFERROR(__xludf.DUMMYFUNCTION("GOOGLETRANSLATE(English!H3690, ""en"", ""bg"")"),"помощ_за_домашно_задаване")</f>
        <v>помощ_за_домашно_задаване</v>
      </c>
    </row>
    <row r="3691" spans="1:8" ht="13.2" x14ac:dyDescent="0.25">
      <c r="A3691" s="1" t="str">
        <f ca="1">IFERROR(__xludf.DUMMYFUNCTION("GOOGLETRANSLATE(English!A3691, ""en"", ""bg"")"),"hw_14485")</f>
        <v>hw_14485</v>
      </c>
      <c r="B3691" s="1" t="str">
        <f ca="1">IFERROR(__xludf.DUMMYFUNCTION("GOOGLETRANSLATE(English!B3691, ""en"", ""bg"")"),"биология")</f>
        <v>биология</v>
      </c>
      <c r="C3691" s="1" t="str">
        <f ca="1">IFERROR(__xludf.DUMMYFUNCTION("GOOGLETRANSLATE(English!C3691, ""en"", ""bg"")"),"високо")</f>
        <v>високо</v>
      </c>
      <c r="D3691" s="1" t="str">
        <f ca="1">IFERROR(__xludf.DUMMYFUNCTION("GOOGLETRANSLATE(English!D3691, ""en"", ""bg"")"),"молекулярна биология")</f>
        <v>молекулярна биология</v>
      </c>
      <c r="E3691" s="1" t="str">
        <f ca="1">IFERROR(__xludf.DUMMYFUNCTION("GOOGLETRANSLATE(English!E3691, ""en"", ""bg"")"),"Утре имам тест по молекулярна биология. Помогни ми да уча!")</f>
        <v>Утре имам тест по молекулярна биология. Помогни ми да уча!</v>
      </c>
      <c r="F3691" s="1" t="str">
        <f ca="1">IFERROR(__xludf.DUMMYFUNCTION("GOOGLETRANSLATE(English!F3691,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3691" s="1" t="str">
        <f ca="1">IFERROR(__xludf.DUMMYFUNCTION("GOOGLETRANSLATE(English!G3691, ""en"", ""bg"")"),"помощ_за_домашно_изпълнение")</f>
        <v>помощ_за_домашно_изпълнение</v>
      </c>
      <c r="H3691" s="1" t="str">
        <f ca="1">IFERROR(__xludf.DUMMYFUNCTION("GOOGLETRANSLATE(English!H3691, ""en"", ""bg"")"),"помощ_за_домашно_задаване")</f>
        <v>помощ_за_домашно_задаване</v>
      </c>
    </row>
    <row r="3692" spans="1:8" ht="13.2" x14ac:dyDescent="0.25">
      <c r="A3692" s="1" t="str">
        <f ca="1">IFERROR(__xludf.DUMMYFUNCTION("GOOGLETRANSLATE(English!A3692, ""en"", ""bg"")"),"conv_07939")</f>
        <v>conv_07939</v>
      </c>
      <c r="B3692" s="1" t="str">
        <f ca="1">IFERROR(__xludf.DUMMYFUNCTION("GOOGLETRANSLATE(English!B3692, ""en"", ""bg"")"),"химия")</f>
        <v>химия</v>
      </c>
      <c r="C3692" s="1" t="str">
        <f ca="1">IFERROR(__xludf.DUMMYFUNCTION("GOOGLETRANSLATE(English!C3692, ""en"", ""bg"")"),"високо")</f>
        <v>високо</v>
      </c>
      <c r="D3692" s="1" t="str">
        <f ca="1">IFERROR(__xludf.DUMMYFUNCTION("GOOGLETRANSLATE(English!D3692, ""en"", ""bg"")"),"органична химия")</f>
        <v>органична химия</v>
      </c>
      <c r="E3692" s="1" t="str">
        <f ca="1">IFERROR(__xludf.DUMMYFUNCTION("GOOGLETRANSLATE(English!E3692, ""en"", ""bg"")"),"Можете ли да ми обясните това? Можете ли да ми помогнете да разбера органичната химия?")</f>
        <v>Можете ли да ми обясните това? Можете ли да ми помогнете да разбера органичната химия?</v>
      </c>
      <c r="F3692" s="1" t="str">
        <f ca="1">IFERROR(__xludf.DUMMYFUNCTION("GOOGLETRANSLATE(English!F3692,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3692" s="1" t="str">
        <f ca="1">IFERROR(__xludf.DUMMYFUNCTION("GOOGLETRANSLATE(English!G3692, ""en"", ""bg"")"),"разговор")</f>
        <v>разговор</v>
      </c>
      <c r="H3692" s="1" t="str">
        <f ca="1">IFERROR(__xludf.DUMMYFUNCTION("GOOGLETRANSLATE(English!H3692, ""en"", ""bg"")"),"образователна_помощ")</f>
        <v>образователна_помощ</v>
      </c>
    </row>
    <row r="3693" spans="1:8" ht="13.2" x14ac:dyDescent="0.25">
      <c r="A3693" s="1" t="str">
        <f ca="1">IFERROR(__xludf.DUMMYFUNCTION("GOOGLETRANSLATE(English!A3693, ""en"", ""bg"")"),"hw_02937")</f>
        <v>hw_02937</v>
      </c>
      <c r="B3693" s="1" t="str">
        <f ca="1">IFERROR(__xludf.DUMMYFUNCTION("GOOGLETRANSLATE(English!B3693, ""en"", ""bg"")"),"физика")</f>
        <v>физика</v>
      </c>
      <c r="C3693" s="1" t="str">
        <f ca="1">IFERROR(__xludf.DUMMYFUNCTION("GOOGLETRANSLATE(English!C3693, ""en"", ""bg"")"),"средата")</f>
        <v>средата</v>
      </c>
      <c r="D3693" s="1" t="str">
        <f ca="1">IFERROR(__xludf.DUMMYFUNCTION("GOOGLETRANSLATE(English!D3693, ""en"", ""bg"")"),"прости схеми")</f>
        <v>прости схеми</v>
      </c>
      <c r="E3693" s="1" t="str">
        <f ca="1">IFERROR(__xludf.DUMMYFUNCTION("GOOGLETRANSLATE(English!E3693, ""en"", ""bg"")"),"Заседнал съм с този прост проблем с електрическите схеми. Можете ли да помогнете?")</f>
        <v>Заседнал съм с този прост проблем с електрическите схеми. Можете ли да помогнете?</v>
      </c>
      <c r="F3693" s="1" t="str">
        <f ca="1">IFERROR(__xludf.DUMMYFUNCTION("GOOGLETRANSLATE(English!F3693,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693" s="1" t="str">
        <f ca="1">IFERROR(__xludf.DUMMYFUNCTION("GOOGLETRANSLATE(English!G3693, ""en"", ""bg"")"),"помощ_за_домашно_изпълнение")</f>
        <v>помощ_за_домашно_изпълнение</v>
      </c>
      <c r="H3693" s="1" t="str">
        <f ca="1">IFERROR(__xludf.DUMMYFUNCTION("GOOGLETRANSLATE(English!H3693, ""en"", ""bg"")"),"помощ_за_домашно_задаване")</f>
        <v>помощ_за_домашно_задаване</v>
      </c>
    </row>
    <row r="3694" spans="1:8" ht="13.2" x14ac:dyDescent="0.25">
      <c r="A3694" s="1" t="str">
        <f ca="1">IFERROR(__xludf.DUMMYFUNCTION("GOOGLETRANSLATE(English!A3694, ""en"", ""bg"")"),"qa_13139")</f>
        <v>qa_13139</v>
      </c>
      <c r="B3694" s="1" t="str">
        <f ca="1">IFERROR(__xludf.DUMMYFUNCTION("GOOGLETRANSLATE(English!B3694, ""en"", ""bg"")"),"физика")</f>
        <v>физика</v>
      </c>
      <c r="C3694" s="1" t="str">
        <f ca="1">IFERROR(__xludf.DUMMYFUNCTION("GOOGLETRANSLATE(English!C3694, ""en"", ""bg"")"),"средата")</f>
        <v>средата</v>
      </c>
      <c r="D3694" s="1" t="str">
        <f ca="1">IFERROR(__xludf.DUMMYFUNCTION("GOOGLETRANSLATE(English!D3694, ""en"", ""bg"")"),"плътност")</f>
        <v>плътност</v>
      </c>
      <c r="E3694" s="1" t="str">
        <f ca="1">IFERROR(__xludf.DUMMYFUNCTION("GOOGLETRANSLATE(English!E3694, ""en"", ""bg"")"),"Какво трябва да знам за плътността?")</f>
        <v>Какво трябва да знам за плътността?</v>
      </c>
      <c r="F3694" s="1" t="str">
        <f ca="1">IFERROR(__xludf.DUMMYFUNCTION("GOOGLETRANSLATE(English!F3694,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3694" s="1" t="str">
        <f ca="1">IFERROR(__xludf.DUMMYFUNCTION("GOOGLETRANSLATE(English!G3694, ""en"", ""bg"")"),"direct_qa")</f>
        <v>direct_qa</v>
      </c>
      <c r="H3694" s="1" t="str">
        <f ca="1">IFERROR(__xludf.DUMMYFUNCTION("GOOGLETRANSLATE(English!H3694, ""en"", ""bg"")"),"заявка_за_знание")</f>
        <v>заявка_за_знание</v>
      </c>
    </row>
    <row r="3695" spans="1:8" ht="13.2" x14ac:dyDescent="0.25">
      <c r="A3695" s="1" t="str">
        <f ca="1">IFERROR(__xludf.DUMMYFUNCTION("GOOGLETRANSLATE(English!A3695, ""en"", ""bg"")"),"hw_06440")</f>
        <v>hw_06440</v>
      </c>
      <c r="B3695" s="1" t="str">
        <f ca="1">IFERROR(__xludf.DUMMYFUNCTION("GOOGLETRANSLATE(English!B3695, ""en"", ""bg"")"),"физика")</f>
        <v>физика</v>
      </c>
      <c r="C3695" s="1" t="str">
        <f ca="1">IFERROR(__xludf.DUMMYFUNCTION("GOOGLETRANSLATE(English!C3695, ""en"", ""bg"")"),"високо")</f>
        <v>високо</v>
      </c>
      <c r="D3695" s="1" t="str">
        <f ca="1">IFERROR(__xludf.DUMMYFUNCTION("GOOGLETRANSLATE(English!D3695, ""en"", ""bg"")"),"механика")</f>
        <v>механика</v>
      </c>
      <c r="E3695" s="1" t="str">
        <f ca="1">IFERROR(__xludf.DUMMYFUNCTION("GOOGLETRANSLATE(English!E3695, ""en"", ""bg"")"),"Домашното ми по физика е за механика. Объркващо е!")</f>
        <v>Домашното ми по физика е за механика. Объркващо е!</v>
      </c>
      <c r="F3695" s="1" t="str">
        <f ca="1">IFERROR(__xludf.DUMMYFUNCTION("GOOGLETRANSLATE(English!F3695,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3695" s="1" t="str">
        <f ca="1">IFERROR(__xludf.DUMMYFUNCTION("GOOGLETRANSLATE(English!G3695, ""en"", ""bg"")"),"помощ_за_домашно_изпълнение")</f>
        <v>помощ_за_домашно_изпълнение</v>
      </c>
      <c r="H3695" s="1" t="str">
        <f ca="1">IFERROR(__xludf.DUMMYFUNCTION("GOOGLETRANSLATE(English!H3695, ""en"", ""bg"")"),"помощ_за_домашно_задаване")</f>
        <v>помощ_за_домашно_задаване</v>
      </c>
    </row>
    <row r="3696" spans="1:8" ht="13.2" x14ac:dyDescent="0.25">
      <c r="A3696" s="1" t="str">
        <f ca="1">IFERROR(__xludf.DUMMYFUNCTION("GOOGLETRANSLATE(English!A3696, ""en"", ""bg"")"),"conv_05128")</f>
        <v>conv_05128</v>
      </c>
      <c r="B3696" s="1" t="str">
        <f ca="1">IFERROR(__xludf.DUMMYFUNCTION("GOOGLETRANSLATE(English!B3696, ""en"", ""bg"")"),"физика")</f>
        <v>физика</v>
      </c>
      <c r="C3696" s="1" t="str">
        <f ca="1">IFERROR(__xludf.DUMMYFUNCTION("GOOGLETRANSLATE(English!C3696, ""en"", ""bg"")"),"средата")</f>
        <v>средата</v>
      </c>
      <c r="D3696" s="1" t="str">
        <f ca="1">IFERROR(__xludf.DUMMYFUNCTION("GOOGLETRANSLATE(English!D3696, ""en"", ""bg"")"),"прости схеми")</f>
        <v>прости схеми</v>
      </c>
      <c r="E3696" s="1" t="str">
        <f ca="1">IFERROR(__xludf.DUMMYFUNCTION("GOOGLETRANSLATE(English!E3696, ""en"", ""bg"")"),"Можете ли да ми обясните това? Как работят прости електрически вериги във физиката?")</f>
        <v>Можете ли да ми обясните това? Как работят прости електрически вериги във физиката?</v>
      </c>
      <c r="F3696" s="1" t="str">
        <f ca="1">IFERROR(__xludf.DUMMYFUNCTION("GOOGLETRANSLATE(English!F3696,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3696" s="1" t="str">
        <f ca="1">IFERROR(__xludf.DUMMYFUNCTION("GOOGLETRANSLATE(English!G3696, ""en"", ""bg"")"),"разговор")</f>
        <v>разговор</v>
      </c>
      <c r="H3696" s="1" t="str">
        <f ca="1">IFERROR(__xludf.DUMMYFUNCTION("GOOGLETRANSLATE(English!H3696, ""en"", ""bg"")"),"образователна_помощ")</f>
        <v>образователна_помощ</v>
      </c>
    </row>
    <row r="3697" spans="1:8" ht="13.2" x14ac:dyDescent="0.25">
      <c r="A3697" s="1" t="str">
        <f ca="1">IFERROR(__xludf.DUMMYFUNCTION("GOOGLETRANSLATE(English!A3697, ""en"", ""bg"")"),"conv_10363")</f>
        <v>conv_10363</v>
      </c>
      <c r="B3697" s="1" t="str">
        <f ca="1">IFERROR(__xludf.DUMMYFUNCTION("GOOGLETRANSLATE(English!B3697, ""en"", ""bg"")"),"химия")</f>
        <v>химия</v>
      </c>
      <c r="C3697" s="1" t="str">
        <f ca="1">IFERROR(__xludf.DUMMYFUNCTION("GOOGLETRANSLATE(English!C3697, ""en"", ""bg"")"),"средата")</f>
        <v>средата</v>
      </c>
      <c r="D3697" s="1" t="str">
        <f ca="1">IFERROR(__xludf.DUMMYFUNCTION("GOOGLETRANSLATE(English!D3697, ""en"", ""bg"")"),"химични реакции")</f>
        <v>химични реакции</v>
      </c>
      <c r="E3697" s="1" t="str">
        <f ca="1">IFERROR(__xludf.DUMMYFUNCTION("GOOGLETRANSLATE(English!E3697, ""en"", ""bg"")"),"Не разбирам тази тема. Могат ли химичните реакции да бъдат обратими?")</f>
        <v>Не разбирам тази тема. Могат ли химичните реакции да бъдат обратими?</v>
      </c>
      <c r="F3697" s="1" t="str">
        <f ca="1">IFERROR(__xludf.DUMMYFUNCTION("GOOGLETRANSLATE(English!F3697,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3697" s="1" t="str">
        <f ca="1">IFERROR(__xludf.DUMMYFUNCTION("GOOGLETRANSLATE(English!G3697, ""en"", ""bg"")"),"разговор")</f>
        <v>разговор</v>
      </c>
      <c r="H3697" s="1" t="str">
        <f ca="1">IFERROR(__xludf.DUMMYFUNCTION("GOOGLETRANSLATE(English!H3697, ""en"", ""bg"")"),"образователна_помощ")</f>
        <v>образователна_помощ</v>
      </c>
    </row>
    <row r="3698" spans="1:8" ht="13.2" x14ac:dyDescent="0.25">
      <c r="A3698" s="1" t="str">
        <f ca="1">IFERROR(__xludf.DUMMYFUNCTION("GOOGLETRANSLATE(English!A3698, ""en"", ""bg"")"),"conv_11495")</f>
        <v>conv_11495</v>
      </c>
      <c r="B3698" s="1" t="str">
        <f ca="1">IFERROR(__xludf.DUMMYFUNCTION("GOOGLETRANSLATE(English!B3698, ""en"", ""bg"")"),"биология")</f>
        <v>биология</v>
      </c>
      <c r="C3698" s="1" t="str">
        <f ca="1">IFERROR(__xludf.DUMMYFUNCTION("GOOGLETRANSLATE(English!C3698, ""en"", ""bg"")"),"високо")</f>
        <v>високо</v>
      </c>
      <c r="D3698" s="1" t="str">
        <f ca="1">IFERROR(__xludf.DUMMYFUNCTION("GOOGLETRANSLATE(English!D3698, ""en"", ""bg"")"),"синтез на протеини")</f>
        <v>синтез на протеини</v>
      </c>
      <c r="E3698" s="1" t="str">
        <f ca="1">IFERROR(__xludf.DUMMYFUNCTION("GOOGLETRANSLATE(English!E3698, ""en"", ""bg"")"),"Здравей, преподавателю! Можеш ли да ми кажеш нещо за синтеза на протеини?")</f>
        <v>Здравей, преподавателю! Можеш ли да ми кажеш нещо за синтеза на протеини?</v>
      </c>
      <c r="F3698" s="1" t="str">
        <f ca="1">IFERROR(__xludf.DUMMYFUNCTION("GOOGLETRANSLATE(English!F3698,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698" s="1" t="str">
        <f ca="1">IFERROR(__xludf.DUMMYFUNCTION("GOOGLETRANSLATE(English!G3698, ""en"", ""bg"")"),"разговор")</f>
        <v>разговор</v>
      </c>
      <c r="H3698" s="1" t="str">
        <f ca="1">IFERROR(__xludf.DUMMYFUNCTION("GOOGLETRANSLATE(English!H3698, ""en"", ""bg"")"),"образователна_помощ")</f>
        <v>образователна_помощ</v>
      </c>
    </row>
    <row r="3699" spans="1:8" ht="13.2" x14ac:dyDescent="0.25">
      <c r="A3699" s="1" t="str">
        <f ca="1">IFERROR(__xludf.DUMMYFUNCTION("GOOGLETRANSLATE(English!A3699, ""en"", ""bg"")"),"qa_08239")</f>
        <v>qa_08239</v>
      </c>
      <c r="B3699" s="1" t="str">
        <f ca="1">IFERROR(__xludf.DUMMYFUNCTION("GOOGLETRANSLATE(English!B3699, ""en"", ""bg"")"),"биология")</f>
        <v>биология</v>
      </c>
      <c r="C3699" s="1" t="str">
        <f ca="1">IFERROR(__xludf.DUMMYFUNCTION("GOOGLETRANSLATE(English!C3699, ""en"", ""bg"")"),"средата")</f>
        <v>средата</v>
      </c>
      <c r="D3699" s="1" t="str">
        <f ca="1">IFERROR(__xludf.DUMMYFUNCTION("GOOGLETRANSLATE(English!D3699, ""en"", ""bg"")"),"основи на еволюцията")</f>
        <v>основи на еволюцията</v>
      </c>
      <c r="E3699" s="1" t="str">
        <f ca="1">IFERROR(__xludf.DUMMYFUNCTION("GOOGLETRANSLATE(English!E3699, ""en"", ""bg"")"),"Можете ли да ми разкажете за основите на еволюцията?")</f>
        <v>Можете ли да ми разкажете за основите на еволюцията?</v>
      </c>
      <c r="F3699" s="1" t="str">
        <f ca="1">IFERROR(__xludf.DUMMYFUNCTION("GOOGLETRANSLATE(English!F3699,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3699" s="1" t="str">
        <f ca="1">IFERROR(__xludf.DUMMYFUNCTION("GOOGLETRANSLATE(English!G3699, ""en"", ""bg"")"),"direct_qa")</f>
        <v>direct_qa</v>
      </c>
      <c r="H3699" s="1" t="str">
        <f ca="1">IFERROR(__xludf.DUMMYFUNCTION("GOOGLETRANSLATE(English!H3699, ""en"", ""bg"")"),"заявка_за_знание")</f>
        <v>заявка_за_знание</v>
      </c>
    </row>
    <row r="3700" spans="1:8" ht="13.2" x14ac:dyDescent="0.25">
      <c r="A3700" s="1" t="str">
        <f ca="1">IFERROR(__xludf.DUMMYFUNCTION("GOOGLETRANSLATE(English!A3700, ""en"", ""bg"")"),"conv_07267")</f>
        <v>conv_07267</v>
      </c>
      <c r="B3700" s="1" t="str">
        <f ca="1">IFERROR(__xludf.DUMMYFUNCTION("GOOGLETRANSLATE(English!B3700, ""en"", ""bg"")"),"химия")</f>
        <v>химия</v>
      </c>
      <c r="C3700" s="1" t="str">
        <f ca="1">IFERROR(__xludf.DUMMYFUNCTION("GOOGLETRANSLATE(English!C3700, ""en"", ""bg"")"),"средата")</f>
        <v>средата</v>
      </c>
      <c r="D3700" s="1" t="str">
        <f ca="1">IFERROR(__xludf.DUMMYFUNCTION("GOOGLETRANSLATE(English!D3700, ""en"", ""bg"")"),"химични реакции")</f>
        <v>химични реакции</v>
      </c>
      <c r="E3700" s="1" t="str">
        <f ca="1">IFERROR(__xludf.DUMMYFUNCTION("GOOGLETRANSLATE(English!E3700, ""en"", ""bg"")"),"Можете ли да ми обясните това? Какво представляват реагентите и продуктите?")</f>
        <v>Можете ли да ми обясните това? Какво представляват реагентите и продуктите?</v>
      </c>
      <c r="F3700" s="1" t="str">
        <f ca="1">IFERROR(__xludf.DUMMYFUNCTION("GOOGLETRANSLATE(English!F3700,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3700" s="1" t="str">
        <f ca="1">IFERROR(__xludf.DUMMYFUNCTION("GOOGLETRANSLATE(English!G3700, ""en"", ""bg"")"),"разговор")</f>
        <v>разговор</v>
      </c>
      <c r="H3700" s="1" t="str">
        <f ca="1">IFERROR(__xludf.DUMMYFUNCTION("GOOGLETRANSLATE(English!H3700, ""en"", ""bg"")"),"образователна_помощ")</f>
        <v>образователна_помощ</v>
      </c>
    </row>
    <row r="3701" spans="1:8" ht="13.2" x14ac:dyDescent="0.25">
      <c r="A3701" s="1" t="str">
        <f ca="1">IFERROR(__xludf.DUMMYFUNCTION("GOOGLETRANSLATE(English!A3701, ""en"", ""bg"")"),"conv_15108")</f>
        <v>conv_15108</v>
      </c>
      <c r="B3701" s="1" t="str">
        <f ca="1">IFERROR(__xludf.DUMMYFUNCTION("GOOGLETRANSLATE(English!B3701, ""en"", ""bg"")"),"биология")</f>
        <v>биология</v>
      </c>
      <c r="C3701" s="1" t="str">
        <f ca="1">IFERROR(__xludf.DUMMYFUNCTION("GOOGLETRANSLATE(English!C3701, ""en"", ""bg"")"),"високо")</f>
        <v>високо</v>
      </c>
      <c r="D3701" s="1" t="str">
        <f ca="1">IFERROR(__xludf.DUMMYFUNCTION("GOOGLETRANSLATE(English!D3701, ""en"", ""bg"")"),"модели на наследяване")</f>
        <v>модели на наследяване</v>
      </c>
      <c r="E3701" s="1" t="str">
        <f ca="1">IFERROR(__xludf.DUMMYFUNCTION("GOOGLETRANSLATE(English!E3701, ""en"", ""bg"")"),"Можете ли да ми обясните това? Можете ли да ми разкажете за моделите на наследяване?")</f>
        <v>Можете ли да ми обясните това? Можете ли да ми разкажете за моделите на наследяване?</v>
      </c>
      <c r="F3701" s="1" t="str">
        <f ca="1">IFERROR(__xludf.DUMMYFUNCTION("GOOGLETRANSLATE(English!F3701,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3701" s="1" t="str">
        <f ca="1">IFERROR(__xludf.DUMMYFUNCTION("GOOGLETRANSLATE(English!G3701, ""en"", ""bg"")"),"разговор")</f>
        <v>разговор</v>
      </c>
      <c r="H3701" s="1" t="str">
        <f ca="1">IFERROR(__xludf.DUMMYFUNCTION("GOOGLETRANSLATE(English!H3701, ""en"", ""bg"")"),"образователна_помощ")</f>
        <v>образователна_помощ</v>
      </c>
    </row>
    <row r="3702" spans="1:8" ht="13.2" x14ac:dyDescent="0.25">
      <c r="A3702" s="1" t="str">
        <f ca="1">IFERROR(__xludf.DUMMYFUNCTION("GOOGLETRANSLATE(English!A3702, ""en"", ""bg"")"),"conv_08455")</f>
        <v>conv_08455</v>
      </c>
      <c r="B3702" s="1" t="str">
        <f ca="1">IFERROR(__xludf.DUMMYFUNCTION("GOOGLETRANSLATE(English!B3702, ""en"", ""bg"")"),"физика")</f>
        <v>физика</v>
      </c>
      <c r="C3702" s="1" t="str">
        <f ca="1">IFERROR(__xludf.DUMMYFUNCTION("GOOGLETRANSLATE(English!C3702, ""en"", ""bg"")"),"високо")</f>
        <v>високо</v>
      </c>
      <c r="D3702" s="1" t="str">
        <f ca="1">IFERROR(__xludf.DUMMYFUNCTION("GOOGLETRANSLATE(English!D3702, ""en"", ""bg"")"),"термодинамика")</f>
        <v>термодинамика</v>
      </c>
      <c r="E3702" s="1" t="str">
        <f ca="1">IFERROR(__xludf.DUMMYFUNCTION("GOOGLETRANSLATE(English!E3702, ""en"", ""bg"")"),"Здравей, преподавателю! Как работи термодинамиката във физиката?")</f>
        <v>Здравей, преподавателю! Как работи термодинамиката във физиката?</v>
      </c>
      <c r="F3702" s="1" t="str">
        <f ca="1">IFERROR(__xludf.DUMMYFUNCTION("GOOGLETRANSLATE(English!F3702,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3702" s="1" t="str">
        <f ca="1">IFERROR(__xludf.DUMMYFUNCTION("GOOGLETRANSLATE(English!G3702, ""en"", ""bg"")"),"разговор")</f>
        <v>разговор</v>
      </c>
      <c r="H3702" s="1" t="str">
        <f ca="1">IFERROR(__xludf.DUMMYFUNCTION("GOOGLETRANSLATE(English!H3702, ""en"", ""bg"")"),"образователна_помощ")</f>
        <v>образователна_помощ</v>
      </c>
    </row>
    <row r="3703" spans="1:8" ht="13.2" x14ac:dyDescent="0.25">
      <c r="A3703" s="1" t="str">
        <f ca="1">IFERROR(__xludf.DUMMYFUNCTION("GOOGLETRANSLATE(English!A3703, ""en"", ""bg"")"),"qa_03529")</f>
        <v>qa_03529</v>
      </c>
      <c r="B3703" s="1" t="str">
        <f ca="1">IFERROR(__xludf.DUMMYFUNCTION("GOOGLETRANSLATE(English!B3703, ""en"", ""bg"")"),"биология")</f>
        <v>биология</v>
      </c>
      <c r="C3703" s="1" t="str">
        <f ca="1">IFERROR(__xludf.DUMMYFUNCTION("GOOGLETRANSLATE(English!C3703, ""en"", ""bg"")"),"елементарен")</f>
        <v>елементарен</v>
      </c>
      <c r="D3703" s="1" t="str">
        <f ca="1">IFERROR(__xludf.DUMMYFUNCTION("GOOGLETRANSLATE(English!D3703, ""en"", ""bg"")"),"основни нужди")</f>
        <v>основни нужди</v>
      </c>
      <c r="E3703" s="1" t="str">
        <f ca="1">IFERROR(__xludf.DUMMYFUNCTION("GOOGLETRANSLATE(English!E3703, ""en"", ""bg"")"),"Защо основните потребности са важни в биологията?")</f>
        <v>Защо основните потребности са важни в биологията?</v>
      </c>
      <c r="F3703" s="1" t="str">
        <f ca="1">IFERROR(__xludf.DUMMYFUNCTION("GOOGLETRANSLATE(English!F3703, ""en"", ""bg"")"),"Основните потребности са важни, защото ни помагат да разберем живота и как живите същества оцеляват.")</f>
        <v>Основните потребности са важни, защото ни помагат да разберем живота и как живите същества оцеляват.</v>
      </c>
      <c r="G3703" s="1" t="str">
        <f ca="1">IFERROR(__xludf.DUMMYFUNCTION("GOOGLETRANSLATE(English!G3703, ""en"", ""bg"")"),"direct_qa")</f>
        <v>direct_qa</v>
      </c>
      <c r="H3703" s="1" t="str">
        <f ca="1">IFERROR(__xludf.DUMMYFUNCTION("GOOGLETRANSLATE(English!H3703, ""en"", ""bg"")"),"заявка_за_знание")</f>
        <v>заявка_за_знание</v>
      </c>
    </row>
    <row r="3704" spans="1:8" ht="13.2" x14ac:dyDescent="0.25">
      <c r="A3704" s="1" t="str">
        <f ca="1">IFERROR(__xludf.DUMMYFUNCTION("GOOGLETRANSLATE(English!A3704, ""en"", ""bg"")"),"conv_14635")</f>
        <v>conv_14635</v>
      </c>
      <c r="B3704" s="1" t="str">
        <f ca="1">IFERROR(__xludf.DUMMYFUNCTION("GOOGLETRANSLATE(English!B3704, ""en"", ""bg"")"),"биология")</f>
        <v>биология</v>
      </c>
      <c r="C3704" s="1" t="str">
        <f ca="1">IFERROR(__xludf.DUMMYFUNCTION("GOOGLETRANSLATE(English!C3704, ""en"", ""bg"")"),"високо")</f>
        <v>високо</v>
      </c>
      <c r="D3704" s="1" t="str">
        <f ca="1">IFERROR(__xludf.DUMMYFUNCTION("GOOGLETRANSLATE(English!D3704, ""en"", ""bg"")"),"митоза и мейоза")</f>
        <v>митоза и мейоза</v>
      </c>
      <c r="E3704" s="1" t="str">
        <f ca="1">IFERROR(__xludf.DUMMYFUNCTION("GOOGLETRANSLATE(English!E3704, ""en"", ""bg"")"),"Имам научен въпрос. Какво е важно да знаем за митозата и мейозата?")</f>
        <v>Имам научен въпрос. Какво е важно да знаем за митозата и мейозата?</v>
      </c>
      <c r="F3704" s="1" t="str">
        <f ca="1">IFERROR(__xludf.DUMMYFUNCTION("GOOGLETRANSLATE(English!F3704,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3704" s="1" t="str">
        <f ca="1">IFERROR(__xludf.DUMMYFUNCTION("GOOGLETRANSLATE(English!G3704, ""en"", ""bg"")"),"разговор")</f>
        <v>разговор</v>
      </c>
      <c r="H3704" s="1" t="str">
        <f ca="1">IFERROR(__xludf.DUMMYFUNCTION("GOOGLETRANSLATE(English!H3704, ""en"", ""bg"")"),"образователна_помощ")</f>
        <v>образователна_помощ</v>
      </c>
    </row>
    <row r="3705" spans="1:8" ht="13.2" x14ac:dyDescent="0.25">
      <c r="A3705" s="1" t="str">
        <f ca="1">IFERROR(__xludf.DUMMYFUNCTION("GOOGLETRANSLATE(English!A3705, ""en"", ""bg"")"),"qa_00593")</f>
        <v>qa_00593</v>
      </c>
      <c r="B3705" s="1" t="str">
        <f ca="1">IFERROR(__xludf.DUMMYFUNCTION("GOOGLETRANSLATE(English!B3705, ""en"", ""bg"")"),"химия")</f>
        <v>химия</v>
      </c>
      <c r="C3705" s="1" t="str">
        <f ca="1">IFERROR(__xludf.DUMMYFUNCTION("GOOGLETRANSLATE(English!C3705, ""en"", ""bg"")"),"елементарен")</f>
        <v>елементарен</v>
      </c>
      <c r="D3705" s="1" t="str">
        <f ca="1">IFERROR(__xludf.DUMMYFUNCTION("GOOGLETRANSLATE(English!D3705, ""en"", ""bg"")"),"разтваряне")</f>
        <v>разтваряне</v>
      </c>
      <c r="E3705" s="1" t="str">
        <f ca="1">IFERROR(__xludf.DUMMYFUNCTION("GOOGLETRANSLATE(English!E3705, ""en"", ""bg"")"),"Защо е важно да се научим да разтваряме?")</f>
        <v>Защо е важно да се научим да разтваряме?</v>
      </c>
      <c r="F3705" s="1" t="str">
        <f ca="1">IFERROR(__xludf.DUMMYFUNCTION("GOOGLETRANSLATE(English!F3705,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3705" s="1" t="str">
        <f ca="1">IFERROR(__xludf.DUMMYFUNCTION("GOOGLETRANSLATE(English!G3705, ""en"", ""bg"")"),"direct_qa")</f>
        <v>direct_qa</v>
      </c>
      <c r="H3705" s="1" t="str">
        <f ca="1">IFERROR(__xludf.DUMMYFUNCTION("GOOGLETRANSLATE(English!H3705, ""en"", ""bg"")"),"заявка_за_знание")</f>
        <v>заявка_за_знание</v>
      </c>
    </row>
    <row r="3706" spans="1:8" ht="13.2" x14ac:dyDescent="0.25">
      <c r="A3706" s="1" t="str">
        <f ca="1">IFERROR(__xludf.DUMMYFUNCTION("GOOGLETRANSLATE(English!A3706, ""en"", ""bg"")"),"qa_00000")</f>
        <v>qa_00000</v>
      </c>
      <c r="B3706" s="1" t="str">
        <f ca="1">IFERROR(__xludf.DUMMYFUNCTION("GOOGLETRANSLATE(English!B3706, ""en"", ""bg"")"),"биология")</f>
        <v>биология</v>
      </c>
      <c r="C3706" s="1" t="str">
        <f ca="1">IFERROR(__xludf.DUMMYFUNCTION("GOOGLETRANSLATE(English!C3706, ""en"", ""bg"")"),"високо")</f>
        <v>високо</v>
      </c>
      <c r="D3706" s="1" t="str">
        <f ca="1">IFERROR(__xludf.DUMMYFUNCTION("GOOGLETRANSLATE(English!D3706, ""en"", ""bg"")"),"клетъчно дишане")</f>
        <v>клетъчно дишане</v>
      </c>
      <c r="E3706" s="1" t="str">
        <f ca="1">IFERROR(__xludf.DUMMYFUNCTION("GOOGLETRANSLATE(English!E3706, ""en"", ""bg"")"),"Как работи клетъчното дишане?")</f>
        <v>Как работи клетъчното дишане?</v>
      </c>
      <c r="F3706" s="1" t="str">
        <f ca="1">IFERROR(__xludf.DUMMYFUNCTION("GOOGLETRANSLATE(English!F3706,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3706" s="1" t="str">
        <f ca="1">IFERROR(__xludf.DUMMYFUNCTION("GOOGLETRANSLATE(English!G3706, ""en"", ""bg"")"),"direct_qa")</f>
        <v>direct_qa</v>
      </c>
      <c r="H3706" s="1" t="str">
        <f ca="1">IFERROR(__xludf.DUMMYFUNCTION("GOOGLETRANSLATE(English!H3706, ""en"", ""bg"")"),"заявка_за_знание")</f>
        <v>заявка_за_знание</v>
      </c>
    </row>
    <row r="3707" spans="1:8" ht="13.2" x14ac:dyDescent="0.25">
      <c r="A3707" s="1" t="str">
        <f ca="1">IFERROR(__xludf.DUMMYFUNCTION("GOOGLETRANSLATE(English!A3707, ""en"", ""bg"")"),"qa_09972")</f>
        <v>qa_09972</v>
      </c>
      <c r="B3707" s="1" t="str">
        <f ca="1">IFERROR(__xludf.DUMMYFUNCTION("GOOGLETRANSLATE(English!B3707, ""en"", ""bg"")"),"физика")</f>
        <v>физика</v>
      </c>
      <c r="C3707" s="1" t="str">
        <f ca="1">IFERROR(__xludf.DUMMYFUNCTION("GOOGLETRANSLATE(English!C3707, ""en"", ""bg"")"),"средата")</f>
        <v>средата</v>
      </c>
      <c r="D3707" s="1" t="str">
        <f ca="1">IFERROR(__xludf.DUMMYFUNCTION("GOOGLETRANSLATE(English!D3707, ""en"", ""bg"")"),"основи на електричеството")</f>
        <v>основи на електричеството</v>
      </c>
      <c r="E3707" s="1" t="str">
        <f ca="1">IFERROR(__xludf.DUMMYFUNCTION("GOOGLETRANSLATE(English!E3707, ""en"", ""bg"")"),"Можете ли да ми обясните основите на електричеството?")</f>
        <v>Можете ли да ми обясните основите на електричеството?</v>
      </c>
      <c r="F3707" s="1" t="str">
        <f ca="1">IFERROR(__xludf.DUMMYFUNCTION("GOOGLETRANSLATE(English!F3707,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3707" s="1" t="str">
        <f ca="1">IFERROR(__xludf.DUMMYFUNCTION("GOOGLETRANSLATE(English!G3707, ""en"", ""bg"")"),"direct_qa")</f>
        <v>direct_qa</v>
      </c>
      <c r="H3707" s="1" t="str">
        <f ca="1">IFERROR(__xludf.DUMMYFUNCTION("GOOGLETRANSLATE(English!H3707, ""en"", ""bg"")"),"заявка_за_знание")</f>
        <v>заявка_за_знание</v>
      </c>
    </row>
    <row r="3708" spans="1:8" ht="13.2" x14ac:dyDescent="0.25">
      <c r="A3708" s="1" t="str">
        <f ca="1">IFERROR(__xludf.DUMMYFUNCTION("GOOGLETRANSLATE(English!A3708, ""en"", ""bg"")"),"conv_01173")</f>
        <v>conv_01173</v>
      </c>
      <c r="B3708" s="1" t="str">
        <f ca="1">IFERROR(__xludf.DUMMYFUNCTION("GOOGLETRANSLATE(English!B3708, ""en"", ""bg"")"),"биология")</f>
        <v>биология</v>
      </c>
      <c r="C3708" s="1" t="str">
        <f ca="1">IFERROR(__xludf.DUMMYFUNCTION("GOOGLETRANSLATE(English!C3708, ""en"", ""bg"")"),"средата")</f>
        <v>средата</v>
      </c>
      <c r="D3708" s="1" t="str">
        <f ca="1">IFERROR(__xludf.DUMMYFUNCTION("GOOGLETRANSLATE(English!D3708, ""en"", ""bg"")"),"основи на еволюцията")</f>
        <v>основи на еволюцията</v>
      </c>
      <c r="E3708" s="1" t="str">
        <f ca="1">IFERROR(__xludf.DUMMYFUNCTION("GOOGLETRANSLATE(English!E3708, ""en"", ""bg"")"),"Здравей, преподавателю! Как работят основите на еволюцията?")</f>
        <v>Здравей, преподавателю! Как работят основите на еволюцията?</v>
      </c>
      <c r="F3708" s="1" t="str">
        <f ca="1">IFERROR(__xludf.DUMMYFUNCTION("GOOGLETRANSLATE(English!F3708,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3708" s="1" t="str">
        <f ca="1">IFERROR(__xludf.DUMMYFUNCTION("GOOGLETRANSLATE(English!G3708, ""en"", ""bg"")"),"разговор")</f>
        <v>разговор</v>
      </c>
      <c r="H3708" s="1" t="str">
        <f ca="1">IFERROR(__xludf.DUMMYFUNCTION("GOOGLETRANSLATE(English!H3708, ""en"", ""bg"")"),"образователна_помощ")</f>
        <v>образователна_помощ</v>
      </c>
    </row>
    <row r="3709" spans="1:8" ht="13.2" x14ac:dyDescent="0.25">
      <c r="A3709" s="1" t="str">
        <f ca="1">IFERROR(__xludf.DUMMYFUNCTION("GOOGLETRANSLATE(English!A3709, ""en"", ""bg"")"),"hw_08484")</f>
        <v>hw_08484</v>
      </c>
      <c r="B3709" s="1" t="str">
        <f ca="1">IFERROR(__xludf.DUMMYFUNCTION("GOOGLETRANSLATE(English!B3709, ""en"", ""bg"")"),"биология")</f>
        <v>биология</v>
      </c>
      <c r="C3709" s="1" t="str">
        <f ca="1">IFERROR(__xludf.DUMMYFUNCTION("GOOGLETRANSLATE(English!C3709, ""en"", ""bg"")"),"средата")</f>
        <v>средата</v>
      </c>
      <c r="D3709" s="1" t="str">
        <f ca="1">IFERROR(__xludf.DUMMYFUNCTION("GOOGLETRANSLATE(English!D3709, ""en"", ""bg"")"),"основи на генетиката")</f>
        <v>основи на генетиката</v>
      </c>
      <c r="E3709" s="1" t="str">
        <f ca="1">IFERROR(__xludf.DUMMYFUNCTION("GOOGLETRANSLATE(English!E3709, ""en"", ""bg"")"),"Утре имам тест по основи на генетиката. Помогни ми да уча!")</f>
        <v>Утре имам тест по основи на генетиката. Помогни ми да уча!</v>
      </c>
      <c r="F3709" s="1" t="str">
        <f ca="1">IFERROR(__xludf.DUMMYFUNCTION("GOOGLETRANSLATE(English!F3709,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3709" s="1" t="str">
        <f ca="1">IFERROR(__xludf.DUMMYFUNCTION("GOOGLETRANSLATE(English!G3709, ""en"", ""bg"")"),"помощ_за_домашно_изпълнение")</f>
        <v>помощ_за_домашно_изпълнение</v>
      </c>
      <c r="H3709" s="1" t="str">
        <f ca="1">IFERROR(__xludf.DUMMYFUNCTION("GOOGLETRANSLATE(English!H3709, ""en"", ""bg"")"),"помощ_за_домашно_задаване")</f>
        <v>помощ_за_домашно_задаване</v>
      </c>
    </row>
    <row r="3710" spans="1:8" ht="13.2" x14ac:dyDescent="0.25">
      <c r="A3710" s="1" t="str">
        <f ca="1">IFERROR(__xludf.DUMMYFUNCTION("GOOGLETRANSLATE(English!A3710, ""en"", ""bg"")"),"conv_11850")</f>
        <v>conv_11850</v>
      </c>
      <c r="B3710" s="1" t="str">
        <f ca="1">IFERROR(__xludf.DUMMYFUNCTION("GOOGLETRANSLATE(English!B3710, ""en"", ""bg"")"),"биология")</f>
        <v>биология</v>
      </c>
      <c r="C3710" s="1" t="str">
        <f ca="1">IFERROR(__xludf.DUMMYFUNCTION("GOOGLETRANSLATE(English!C3710, ""en"", ""bg"")"),"високо")</f>
        <v>високо</v>
      </c>
      <c r="D3710" s="1" t="str">
        <f ca="1">IFERROR(__xludf.DUMMYFUNCTION("GOOGLETRANSLATE(English!D3710, ""en"", ""bg"")"),"клетъчно дишане")</f>
        <v>клетъчно дишане</v>
      </c>
      <c r="E3710" s="1" t="str">
        <f ca="1">IFERROR(__xludf.DUMMYFUNCTION("GOOGLETRANSLATE(English!E3710, ""en"", ""bg"")"),"Здравей, преподавателю! Защо клетъчното дишане е важно в биологията?")</f>
        <v>Здравей, преподавателю! Защо клетъчното дишане е важно в биологията?</v>
      </c>
      <c r="F3710" s="1" t="str">
        <f ca="1">IFERROR(__xludf.DUMMYFUNCTION("GOOGLETRANSLATE(English!F3710,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710" s="1" t="str">
        <f ca="1">IFERROR(__xludf.DUMMYFUNCTION("GOOGLETRANSLATE(English!G3710, ""en"", ""bg"")"),"разговор")</f>
        <v>разговор</v>
      </c>
      <c r="H3710" s="1" t="str">
        <f ca="1">IFERROR(__xludf.DUMMYFUNCTION("GOOGLETRANSLATE(English!H3710, ""en"", ""bg"")"),"образователна_помощ")</f>
        <v>образователна_помощ</v>
      </c>
    </row>
    <row r="3711" spans="1:8" ht="13.2" x14ac:dyDescent="0.25">
      <c r="A3711" s="1" t="str">
        <f ca="1">IFERROR(__xludf.DUMMYFUNCTION("GOOGLETRANSLATE(English!A3711, ""en"", ""bg"")"),"conv_18679")</f>
        <v>conv_18679</v>
      </c>
      <c r="B3711" s="1" t="str">
        <f ca="1">IFERROR(__xludf.DUMMYFUNCTION("GOOGLETRANSLATE(English!B3711, ""en"", ""bg"")"),"биология")</f>
        <v>биология</v>
      </c>
      <c r="C3711" s="1" t="str">
        <f ca="1">IFERROR(__xludf.DUMMYFUNCTION("GOOGLETRANSLATE(English!C3711, ""en"", ""bg"")"),"средата")</f>
        <v>средата</v>
      </c>
      <c r="D3711" s="1" t="str">
        <f ca="1">IFERROR(__xludf.DUMMYFUNCTION("GOOGLETRANSLATE(English!D3711, ""en"", ""bg"")"),"класификация")</f>
        <v>класификация</v>
      </c>
      <c r="E3711" s="1" t="str">
        <f ca="1">IFERROR(__xludf.DUMMYFUNCTION("GOOGLETRANSLATE(English!E3711, ""en"", ""bg"")"),"Здравей, преподавателю! Какво е важно да знаеш за класификацията?")</f>
        <v>Здравей, преподавателю! Какво е важно да знаеш за класификацията?</v>
      </c>
      <c r="F3711" s="1" t="str">
        <f ca="1">IFERROR(__xludf.DUMMYFUNCTION("GOOGLETRANSLATE(English!F3711,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3711" s="1" t="str">
        <f ca="1">IFERROR(__xludf.DUMMYFUNCTION("GOOGLETRANSLATE(English!G3711, ""en"", ""bg"")"),"разговор")</f>
        <v>разговор</v>
      </c>
      <c r="H3711" s="1" t="str">
        <f ca="1">IFERROR(__xludf.DUMMYFUNCTION("GOOGLETRANSLATE(English!H3711, ""en"", ""bg"")"),"образователна_помощ")</f>
        <v>образователна_помощ</v>
      </c>
    </row>
    <row r="3712" spans="1:8" ht="13.2" x14ac:dyDescent="0.25">
      <c r="A3712" s="1" t="str">
        <f ca="1">IFERROR(__xludf.DUMMYFUNCTION("GOOGLETRANSLATE(English!A3712, ""en"", ""bg"")"),"qa_08968")</f>
        <v>qa_08968</v>
      </c>
      <c r="B3712" s="1" t="str">
        <f ca="1">IFERROR(__xludf.DUMMYFUNCTION("GOOGLETRANSLATE(English!B3712, ""en"", ""bg"")"),"физика")</f>
        <v>физика</v>
      </c>
      <c r="C3712" s="1" t="str">
        <f ca="1">IFERROR(__xludf.DUMMYFUNCTION("GOOGLETRANSLATE(English!C3712, ""en"", ""bg"")"),"средата")</f>
        <v>средата</v>
      </c>
      <c r="D3712" s="1" t="str">
        <f ca="1">IFERROR(__xludf.DUMMYFUNCTION("GOOGLETRANSLATE(English!D3712, ""en"", ""bg"")"),"видове енергия")</f>
        <v>видове енергия</v>
      </c>
      <c r="E3712" s="1" t="str">
        <f ca="1">IFERROR(__xludf.DUMMYFUNCTION("GOOGLETRANSLATE(English!E3712, ""en"", ""bg"")"),"Какви са различните видове енергия?")</f>
        <v>Какви са различните видове енергия?</v>
      </c>
      <c r="F3712" s="1" t="str">
        <f ca="1">IFERROR(__xludf.DUMMYFUNCTION("GOOGLETRANSLATE(English!F3712,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3712" s="1" t="str">
        <f ca="1">IFERROR(__xludf.DUMMYFUNCTION("GOOGLETRANSLATE(English!G3712, ""en"", ""bg"")"),"direct_qa")</f>
        <v>direct_qa</v>
      </c>
      <c r="H3712" s="1" t="str">
        <f ca="1">IFERROR(__xludf.DUMMYFUNCTION("GOOGLETRANSLATE(English!H3712, ""en"", ""bg"")"),"заявка_за_знание")</f>
        <v>заявка_за_знание</v>
      </c>
    </row>
    <row r="3713" spans="1:8" ht="13.2" x14ac:dyDescent="0.25">
      <c r="A3713" s="1" t="str">
        <f ca="1">IFERROR(__xludf.DUMMYFUNCTION("GOOGLETRANSLATE(English!A3713, ""en"", ""bg"")"),"conv_13632")</f>
        <v>conv_13632</v>
      </c>
      <c r="B3713" s="1" t="str">
        <f ca="1">IFERROR(__xludf.DUMMYFUNCTION("GOOGLETRANSLATE(English!B3713, ""en"", ""bg"")"),"биология")</f>
        <v>биология</v>
      </c>
      <c r="C3713" s="1" t="str">
        <f ca="1">IFERROR(__xludf.DUMMYFUNCTION("GOOGLETRANSLATE(English!C3713, ""en"", ""bg"")"),"високо")</f>
        <v>високо</v>
      </c>
      <c r="D3713" s="1" t="str">
        <f ca="1">IFERROR(__xludf.DUMMYFUNCTION("GOOGLETRANSLATE(English!D3713, ""en"", ""bg"")"),"Структура на ДНК")</f>
        <v>Структура на ДНК</v>
      </c>
      <c r="E3713" s="1" t="str">
        <f ca="1">IFERROR(__xludf.DUMMYFUNCTION("GOOGLETRANSLATE(English!E3713, ""en"", ""bg"")"),"Имам научен въпрос. Какво е важно да знаем за структурата на ДНК?")</f>
        <v>Имам научен въпрос. Какво е важно да знаем за структурата на ДНК?</v>
      </c>
      <c r="F3713" s="1" t="str">
        <f ca="1">IFERROR(__xludf.DUMMYFUNCTION("GOOGLETRANSLATE(English!F3713,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3713" s="1" t="str">
        <f ca="1">IFERROR(__xludf.DUMMYFUNCTION("GOOGLETRANSLATE(English!G3713, ""en"", ""bg"")"),"разговор")</f>
        <v>разговор</v>
      </c>
      <c r="H3713" s="1" t="str">
        <f ca="1">IFERROR(__xludf.DUMMYFUNCTION("GOOGLETRANSLATE(English!H3713, ""en"", ""bg"")"),"образователна_помощ")</f>
        <v>образователна_помощ</v>
      </c>
    </row>
    <row r="3714" spans="1:8" ht="13.2" x14ac:dyDescent="0.25">
      <c r="A3714" s="1" t="str">
        <f ca="1">IFERROR(__xludf.DUMMYFUNCTION("GOOGLETRANSLATE(English!A3714, ""en"", ""bg"")"),"conv_18070")</f>
        <v>conv_18070</v>
      </c>
      <c r="B3714" s="1" t="str">
        <f ca="1">IFERROR(__xludf.DUMMYFUNCTION("GOOGLETRANSLATE(English!B3714, ""en"", ""bg"")"),"биология")</f>
        <v>биология</v>
      </c>
      <c r="C3714" s="1" t="str">
        <f ca="1">IFERROR(__xludf.DUMMYFUNCTION("GOOGLETRANSLATE(English!C3714, ""en"", ""bg"")"),"средата")</f>
        <v>средата</v>
      </c>
      <c r="D3714" s="1" t="str">
        <f ca="1">IFERROR(__xludf.DUMMYFUNCTION("GOOGLETRANSLATE(English!D3714, ""en"", ""bg"")"),"клетки")</f>
        <v>клетки</v>
      </c>
      <c r="E3714" s="1" t="str">
        <f ca="1">IFERROR(__xludf.DUMMYFUNCTION("GOOGLETRANSLATE(English!E3714, ""en"", ""bg"")"),"Помогнете ми да уча за теста. Защо клетките са толкова малки?")</f>
        <v>Помогнете ми да уча за теста. Защо клетките са толкова малки?</v>
      </c>
      <c r="F3714" s="1" t="str">
        <f ca="1">IFERROR(__xludf.DUMMYFUNCTION("GOOGLETRANSLATE(English!F3714,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3714" s="1" t="str">
        <f ca="1">IFERROR(__xludf.DUMMYFUNCTION("GOOGLETRANSLATE(English!G3714, ""en"", ""bg"")"),"разговор")</f>
        <v>разговор</v>
      </c>
      <c r="H3714" s="1" t="str">
        <f ca="1">IFERROR(__xludf.DUMMYFUNCTION("GOOGLETRANSLATE(English!H3714, ""en"", ""bg"")"),"образователна_помощ")</f>
        <v>образователна_помощ</v>
      </c>
    </row>
    <row r="3715" spans="1:8" ht="13.2" x14ac:dyDescent="0.25">
      <c r="A3715" s="1" t="str">
        <f ca="1">IFERROR(__xludf.DUMMYFUNCTION("GOOGLETRANSLATE(English!A3715, ""en"", ""bg"")"),"conv_04314")</f>
        <v>conv_04314</v>
      </c>
      <c r="B3715" s="1" t="str">
        <f ca="1">IFERROR(__xludf.DUMMYFUNCTION("GOOGLETRANSLATE(English!B3715, ""en"", ""bg"")"),"физика")</f>
        <v>физика</v>
      </c>
      <c r="C3715" s="1" t="str">
        <f ca="1">IFERROR(__xludf.DUMMYFUNCTION("GOOGLETRANSLATE(English!C3715, ""en"", ""bg"")"),"средата")</f>
        <v>средата</v>
      </c>
      <c r="D3715" s="1" t="str">
        <f ca="1">IFERROR(__xludf.DUMMYFUNCTION("GOOGLETRANSLATE(English!D3715, ""en"", ""bg"")"),"плътност")</f>
        <v>плътност</v>
      </c>
      <c r="E3715" s="1" t="str">
        <f ca="1">IFERROR(__xludf.DUMMYFUNCTION("GOOGLETRANSLATE(English!E3715, ""en"", ""bg"")"),"Можете ли да ми обясните това? Защо плътността е важна?")</f>
        <v>Можете ли да ми обясните това? Защо плътността е важна?</v>
      </c>
      <c r="F3715" s="1" t="str">
        <f ca="1">IFERROR(__xludf.DUMMYFUNCTION("GOOGLETRANSLATE(English!F3715,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3715" s="1" t="str">
        <f ca="1">IFERROR(__xludf.DUMMYFUNCTION("GOOGLETRANSLATE(English!G3715, ""en"", ""bg"")"),"разговор")</f>
        <v>разговор</v>
      </c>
      <c r="H3715" s="1" t="str">
        <f ca="1">IFERROR(__xludf.DUMMYFUNCTION("GOOGLETRANSLATE(English!H3715, ""en"", ""bg"")"),"образователна_помощ")</f>
        <v>образователна_помощ</v>
      </c>
    </row>
    <row r="3716" spans="1:8" ht="13.2" x14ac:dyDescent="0.25">
      <c r="A3716" s="1" t="str">
        <f ca="1">IFERROR(__xludf.DUMMYFUNCTION("GOOGLETRANSLATE(English!A3716, ""en"", ""bg"")"),"qa_01094")</f>
        <v>qa_01094</v>
      </c>
      <c r="B3716" s="1" t="str">
        <f ca="1">IFERROR(__xludf.DUMMYFUNCTION("GOOGLETRANSLATE(English!B3716, ""en"", ""bg"")"),"химия")</f>
        <v>химия</v>
      </c>
      <c r="C3716" s="1" t="str">
        <f ca="1">IFERROR(__xludf.DUMMYFUNCTION("GOOGLETRANSLATE(English!C3716, ""en"", ""bg"")"),"високо")</f>
        <v>високо</v>
      </c>
      <c r="D3716" s="1" t="str">
        <f ca="1">IFERROR(__xludf.DUMMYFUNCTION("GOOGLETRANSLATE(English!D3716, ""en"", ""bg"")"),"скорости на реакция")</f>
        <v>скорости на реакция</v>
      </c>
      <c r="E3716" s="1" t="str">
        <f ca="1">IFERROR(__xludf.DUMMYFUNCTION("GOOGLETRANSLATE(English!E3716, ""en"", ""bg"")"),"Как работят скоростите на реакциите в химията?")</f>
        <v>Как работят скоростите на реакциите в химията?</v>
      </c>
      <c r="F3716" s="1" t="str">
        <f ca="1">IFERROR(__xludf.DUMMYFUNCTION("GOOGLETRANSLATE(English!F3716,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3716" s="1" t="str">
        <f ca="1">IFERROR(__xludf.DUMMYFUNCTION("GOOGLETRANSLATE(English!G3716, ""en"", ""bg"")"),"direct_qa")</f>
        <v>direct_qa</v>
      </c>
      <c r="H3716" s="1" t="str">
        <f ca="1">IFERROR(__xludf.DUMMYFUNCTION("GOOGLETRANSLATE(English!H3716, ""en"", ""bg"")"),"заявка_за_знание")</f>
        <v>заявка_за_знание</v>
      </c>
    </row>
    <row r="3717" spans="1:8" ht="13.2" x14ac:dyDescent="0.25">
      <c r="A3717" s="1" t="str">
        <f ca="1">IFERROR(__xludf.DUMMYFUNCTION("GOOGLETRANSLATE(English!A3717, ""en"", ""bg"")"),"qa_10510")</f>
        <v>qa_10510</v>
      </c>
      <c r="B3717" s="1" t="str">
        <f ca="1">IFERROR(__xludf.DUMMYFUNCTION("GOOGLETRANSLATE(English!B3717, ""en"", ""bg"")"),"химия")</f>
        <v>химия</v>
      </c>
      <c r="C3717" s="1" t="str">
        <f ca="1">IFERROR(__xludf.DUMMYFUNCTION("GOOGLETRANSLATE(English!C3717, ""en"", ""bg"")"),"елементарен")</f>
        <v>елементарен</v>
      </c>
      <c r="D3717" s="1" t="str">
        <f ca="1">IFERROR(__xludf.DUMMYFUNCTION("GOOGLETRANSLATE(English!D3717, ""en"", ""bg"")"),"промени в материалите")</f>
        <v>промени в материалите</v>
      </c>
      <c r="E3717" s="1" t="str">
        <f ca="1">IFERROR(__xludf.DUMMYFUNCTION("GOOGLETRANSLATE(English!E3717, ""en"", ""bg"")"),"Какво представляват промените в материалите?")</f>
        <v>Какво представляват промените в материалите?</v>
      </c>
      <c r="F3717" s="1" t="str">
        <f ca="1">IFERROR(__xludf.DUMMYFUNCTION("GOOGLETRANSLATE(English!F3717,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3717" s="1" t="str">
        <f ca="1">IFERROR(__xludf.DUMMYFUNCTION("GOOGLETRANSLATE(English!G3717, ""en"", ""bg"")"),"direct_qa")</f>
        <v>direct_qa</v>
      </c>
      <c r="H3717" s="1" t="str">
        <f ca="1">IFERROR(__xludf.DUMMYFUNCTION("GOOGLETRANSLATE(English!H3717, ""en"", ""bg"")"),"заявка_за_знание")</f>
        <v>заявка_за_знание</v>
      </c>
    </row>
    <row r="3718" spans="1:8" ht="13.2" x14ac:dyDescent="0.25">
      <c r="A3718" s="1" t="str">
        <f ca="1">IFERROR(__xludf.DUMMYFUNCTION("GOOGLETRANSLATE(English!A3718, ""en"", ""bg"")"),"qa_01632")</f>
        <v>qa_01632</v>
      </c>
      <c r="B3718" s="1" t="str">
        <f ca="1">IFERROR(__xludf.DUMMYFUNCTION("GOOGLETRANSLATE(English!B3718, ""en"", ""bg"")"),"биология")</f>
        <v>биология</v>
      </c>
      <c r="C3718" s="1" t="str">
        <f ca="1">IFERROR(__xludf.DUMMYFUNCTION("GOOGLETRANSLATE(English!C3718, ""en"", ""bg"")"),"средата")</f>
        <v>средата</v>
      </c>
      <c r="D3718" s="1" t="str">
        <f ca="1">IFERROR(__xludf.DUMMYFUNCTION("GOOGLETRANSLATE(English!D3718, ""en"", ""bg"")"),"основи на генетиката")</f>
        <v>основи на генетиката</v>
      </c>
      <c r="E3718" s="1" t="str">
        <f ca="1">IFERROR(__xludf.DUMMYFUNCTION("GOOGLETRANSLATE(English!E3718, ""en"", ""bg"")"),"Как работят основите на генетиката?")</f>
        <v>Как работят основите на генетиката?</v>
      </c>
      <c r="F3718" s="1" t="str">
        <f ca="1">IFERROR(__xludf.DUMMYFUNCTION("GOOGLETRANSLATE(English!F3718,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3718" s="1" t="str">
        <f ca="1">IFERROR(__xludf.DUMMYFUNCTION("GOOGLETRANSLATE(English!G3718, ""en"", ""bg"")"),"direct_qa")</f>
        <v>direct_qa</v>
      </c>
      <c r="H3718" s="1" t="str">
        <f ca="1">IFERROR(__xludf.DUMMYFUNCTION("GOOGLETRANSLATE(English!H3718, ""en"", ""bg"")"),"заявка_за_знание")</f>
        <v>заявка_за_знание</v>
      </c>
    </row>
    <row r="3719" spans="1:8" ht="13.2" x14ac:dyDescent="0.25">
      <c r="A3719" s="1" t="str">
        <f ca="1">IFERROR(__xludf.DUMMYFUNCTION("GOOGLETRANSLATE(English!A3719, ""en"", ""bg"")"),"qa_07433")</f>
        <v>qa_07433</v>
      </c>
      <c r="B3719" s="1" t="str">
        <f ca="1">IFERROR(__xludf.DUMMYFUNCTION("GOOGLETRANSLATE(English!B3719, ""en"", ""bg"")"),"химия")</f>
        <v>химия</v>
      </c>
      <c r="C3719" s="1" t="str">
        <f ca="1">IFERROR(__xludf.DUMMYFUNCTION("GOOGLETRANSLATE(English!C3719, ""en"", ""bg"")"),"средата")</f>
        <v>средата</v>
      </c>
      <c r="D3719" s="1" t="str">
        <f ca="1">IFERROR(__xludf.DUMMYFUNCTION("GOOGLETRANSLATE(English!D3719, ""en"", ""bg"")"),"химични промени")</f>
        <v>химични промени</v>
      </c>
      <c r="E3719" s="1" t="str">
        <f ca="1">IFERROR(__xludf.DUMMYFUNCTION("GOOGLETRANSLATE(English!E3719, ""en"", ""bg"")"),"Как протичат химичните промени в химията?")</f>
        <v>Как протичат химичните промени в химията?</v>
      </c>
      <c r="F3719" s="1" t="str">
        <f ca="1">IFERROR(__xludf.DUMMYFUNCTION("GOOGLETRANSLATE(English!F3719,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3719" s="1" t="str">
        <f ca="1">IFERROR(__xludf.DUMMYFUNCTION("GOOGLETRANSLATE(English!G3719, ""en"", ""bg"")"),"direct_qa")</f>
        <v>direct_qa</v>
      </c>
      <c r="H3719" s="1" t="str">
        <f ca="1">IFERROR(__xludf.DUMMYFUNCTION("GOOGLETRANSLATE(English!H3719, ""en"", ""bg"")"),"заявка_за_знание")</f>
        <v>заявка_за_знание</v>
      </c>
    </row>
    <row r="3720" spans="1:8" ht="13.2" x14ac:dyDescent="0.25">
      <c r="A3720" s="1" t="str">
        <f ca="1">IFERROR(__xludf.DUMMYFUNCTION("GOOGLETRANSLATE(English!A3720, ""en"", ""bg"")"),"conv_12229")</f>
        <v>conv_12229</v>
      </c>
      <c r="B3720" s="1" t="str">
        <f ca="1">IFERROR(__xludf.DUMMYFUNCTION("GOOGLETRANSLATE(English!B3720, ""en"", ""bg"")"),"биология")</f>
        <v>биология</v>
      </c>
      <c r="C3720" s="1" t="str">
        <f ca="1">IFERROR(__xludf.DUMMYFUNCTION("GOOGLETRANSLATE(English!C3720, ""en"", ""bg"")"),"средата")</f>
        <v>средата</v>
      </c>
      <c r="D3720" s="1" t="str">
        <f ca="1">IFERROR(__xludf.DUMMYFUNCTION("GOOGLETRANSLATE(English!D3720, ""en"", ""bg"")"),"фотосинтеза")</f>
        <v>фотосинтеза</v>
      </c>
      <c r="E3720" s="1" t="str">
        <f ca="1">IFERROR(__xludf.DUMMYFUNCTION("GOOGLETRANSLATE(English!E3720, ""en"", ""bg"")"),"Можете ли да ми помогнете? Какво е важно да знаем за фотосинтезата?")</f>
        <v>Можете ли да ми помогнете? Какво е важно да знаем за фотосинтезата?</v>
      </c>
      <c r="F3720" s="1" t="str">
        <f ca="1">IFERROR(__xludf.DUMMYFUNCTION("GOOGLETRANSLATE(English!F3720,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3720" s="1" t="str">
        <f ca="1">IFERROR(__xludf.DUMMYFUNCTION("GOOGLETRANSLATE(English!G3720, ""en"", ""bg"")"),"разговор")</f>
        <v>разговор</v>
      </c>
      <c r="H3720" s="1" t="str">
        <f ca="1">IFERROR(__xludf.DUMMYFUNCTION("GOOGLETRANSLATE(English!H3720, ""en"", ""bg"")"),"образователна_помощ")</f>
        <v>образователна_помощ</v>
      </c>
    </row>
    <row r="3721" spans="1:8" ht="13.2" x14ac:dyDescent="0.25">
      <c r="A3721" s="1" t="str">
        <f ca="1">IFERROR(__xludf.DUMMYFUNCTION("GOOGLETRANSLATE(English!A3721, ""en"", ""bg"")"),"qa_05540")</f>
        <v>qa_05540</v>
      </c>
      <c r="B3721" s="1" t="str">
        <f ca="1">IFERROR(__xludf.DUMMYFUNCTION("GOOGLETRANSLATE(English!B3721, ""en"", ""bg"")"),"физика")</f>
        <v>физика</v>
      </c>
      <c r="C3721" s="1" t="str">
        <f ca="1">IFERROR(__xludf.DUMMYFUNCTION("GOOGLETRANSLATE(English!C3721, ""en"", ""bg"")"),"средата")</f>
        <v>средата</v>
      </c>
      <c r="D3721" s="1" t="str">
        <f ca="1">IFERROR(__xludf.DUMMYFUNCTION("GOOGLETRANSLATE(English!D3721, ""en"", ""bg"")"),"плътност")</f>
        <v>плътност</v>
      </c>
      <c r="E3721" s="1" t="str">
        <f ca="1">IFERROR(__xludf.DUMMYFUNCTION("GOOGLETRANSLATE(English!E3721, ""en"", ""bg"")"),"Можете ли да ми обясните плътността?")</f>
        <v>Можете ли да ми обясните плътността?</v>
      </c>
      <c r="F3721" s="1" t="str">
        <f ca="1">IFERROR(__xludf.DUMMYFUNCTION("GOOGLETRANSLATE(English!F3721,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3721" s="1" t="str">
        <f ca="1">IFERROR(__xludf.DUMMYFUNCTION("GOOGLETRANSLATE(English!G3721, ""en"", ""bg"")"),"direct_qa")</f>
        <v>direct_qa</v>
      </c>
      <c r="H3721" s="1" t="str">
        <f ca="1">IFERROR(__xludf.DUMMYFUNCTION("GOOGLETRANSLATE(English!H3721, ""en"", ""bg"")"),"заявка_за_знание")</f>
        <v>заявка_за_знание</v>
      </c>
    </row>
    <row r="3722" spans="1:8" ht="13.2" x14ac:dyDescent="0.25">
      <c r="A3722" s="1" t="str">
        <f ca="1">IFERROR(__xludf.DUMMYFUNCTION("GOOGLETRANSLATE(English!A3722, ""en"", ""bg"")"),"conv_01230")</f>
        <v>conv_01230</v>
      </c>
      <c r="B3722" s="1" t="str">
        <f ca="1">IFERROR(__xludf.DUMMYFUNCTION("GOOGLETRANSLATE(English!B3722, ""en"", ""bg"")"),"физика")</f>
        <v>физика</v>
      </c>
      <c r="C3722" s="1" t="str">
        <f ca="1">IFERROR(__xludf.DUMMYFUNCTION("GOOGLETRANSLATE(English!C3722, ""en"", ""bg"")"),"средата")</f>
        <v>средата</v>
      </c>
      <c r="D3722" s="1" t="str">
        <f ca="1">IFERROR(__xludf.DUMMYFUNCTION("GOOGLETRANSLATE(English!D3722, ""en"", ""bg"")"),"сили и движение")</f>
        <v>сили и движение</v>
      </c>
      <c r="E3722" s="1" t="str">
        <f ca="1">IFERROR(__xludf.DUMMYFUNCTION("GOOGLETRANSLATE(English!E3722, ""en"", ""bg"")"),"Помогнете ми да уча за теста. Как триенето влияе на движението?")</f>
        <v>Помогнете ми да уча за теста. Как триенето влияе на движението?</v>
      </c>
      <c r="F3722" s="1" t="str">
        <f ca="1">IFERROR(__xludf.DUMMYFUNCTION("GOOGLETRANSLATE(English!F3722, ""en"", ""bg"")"),"Триенето е сила, която се противопоставя на движението. То може да забави нещата или да ги спре да се движат.")</f>
        <v>Триенето е сила, която се противопоставя на движението. То може да забави нещата или да ги спре да се движат.</v>
      </c>
      <c r="G3722" s="1" t="str">
        <f ca="1">IFERROR(__xludf.DUMMYFUNCTION("GOOGLETRANSLATE(English!G3722, ""en"", ""bg"")"),"разговор")</f>
        <v>разговор</v>
      </c>
      <c r="H3722" s="1" t="str">
        <f ca="1">IFERROR(__xludf.DUMMYFUNCTION("GOOGLETRANSLATE(English!H3722, ""en"", ""bg"")"),"образователна_помощ")</f>
        <v>образователна_помощ</v>
      </c>
    </row>
    <row r="3723" spans="1:8" ht="13.2" x14ac:dyDescent="0.25">
      <c r="A3723" s="1" t="str">
        <f ca="1">IFERROR(__xludf.DUMMYFUNCTION("GOOGLETRANSLATE(English!A3723, ""en"", ""bg"")"),"conv_01362")</f>
        <v>conv_01362</v>
      </c>
      <c r="B3723" s="1" t="str">
        <f ca="1">IFERROR(__xludf.DUMMYFUNCTION("GOOGLETRANSLATE(English!B3723, ""en"", ""bg"")"),"химия")</f>
        <v>химия</v>
      </c>
      <c r="C3723" s="1" t="str">
        <f ca="1">IFERROR(__xludf.DUMMYFUNCTION("GOOGLETRANSLATE(English!C3723, ""en"", ""bg"")"),"високо")</f>
        <v>високо</v>
      </c>
      <c r="D3723" s="1" t="str">
        <f ca="1">IFERROR(__xludf.DUMMYFUNCTION("GOOGLETRANSLATE(English!D3723, ""en"", ""bg"")"),"равновесие")</f>
        <v>равновесие</v>
      </c>
      <c r="E3723" s="1" t="str">
        <f ca="1">IFERROR(__xludf.DUMMYFUNCTION("GOOGLETRANSLATE(English!E3723, ""en"", ""bg"")"),"Имам нужда от помощ с домашното си. Как работи равновесието в химията?")</f>
        <v>Имам нужда от помощ с домашното си. Как работи равновесието в химията?</v>
      </c>
      <c r="F3723" s="1" t="str">
        <f ca="1">IFERROR(__xludf.DUMMYFUNCTION("GOOGLETRANSLATE(English!F3723,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3723" s="1" t="str">
        <f ca="1">IFERROR(__xludf.DUMMYFUNCTION("GOOGLETRANSLATE(English!G3723, ""en"", ""bg"")"),"разговор")</f>
        <v>разговор</v>
      </c>
      <c r="H3723" s="1" t="str">
        <f ca="1">IFERROR(__xludf.DUMMYFUNCTION("GOOGLETRANSLATE(English!H3723, ""en"", ""bg"")"),"образователна_помощ")</f>
        <v>образователна_помощ</v>
      </c>
    </row>
    <row r="3724" spans="1:8" ht="13.2" x14ac:dyDescent="0.25">
      <c r="A3724" s="1" t="str">
        <f ca="1">IFERROR(__xludf.DUMMYFUNCTION("GOOGLETRANSLATE(English!A3724, ""en"", ""bg"")"),"qa_11834")</f>
        <v>qa_11834</v>
      </c>
      <c r="B3724" s="1" t="str">
        <f ca="1">IFERROR(__xludf.DUMMYFUNCTION("GOOGLETRANSLATE(English!B3724, ""en"", ""bg"")"),"химия")</f>
        <v>химия</v>
      </c>
      <c r="C3724" s="1" t="str">
        <f ca="1">IFERROR(__xludf.DUMMYFUNCTION("GOOGLETRANSLATE(English!C3724, ""en"", ""bg"")"),"високо")</f>
        <v>високо</v>
      </c>
      <c r="D3724" s="1" t="str">
        <f ca="1">IFERROR(__xludf.DUMMYFUNCTION("GOOGLETRANSLATE(English!D3724, ""en"", ""bg"")"),"електрохимия")</f>
        <v>електрохимия</v>
      </c>
      <c r="E3724" s="1" t="str">
        <f ca="1">IFERROR(__xludf.DUMMYFUNCTION("GOOGLETRANSLATE(English!E3724, ""en"", ""bg"")"),"Как работи електрохимията в химията?")</f>
        <v>Как работи електрохимията в химията?</v>
      </c>
      <c r="F3724" s="1" t="str">
        <f ca="1">IFERROR(__xludf.DUMMYFUNCTION("GOOGLETRANSLATE(English!F3724,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3724" s="1" t="str">
        <f ca="1">IFERROR(__xludf.DUMMYFUNCTION("GOOGLETRANSLATE(English!G3724, ""en"", ""bg"")"),"direct_qa")</f>
        <v>direct_qa</v>
      </c>
      <c r="H3724" s="1" t="str">
        <f ca="1">IFERROR(__xludf.DUMMYFUNCTION("GOOGLETRANSLATE(English!H3724, ""en"", ""bg"")"),"заявка_за_знание")</f>
        <v>заявка_за_знание</v>
      </c>
    </row>
    <row r="3725" spans="1:8" ht="13.2" x14ac:dyDescent="0.25">
      <c r="A3725" s="1" t="str">
        <f ca="1">IFERROR(__xludf.DUMMYFUNCTION("GOOGLETRANSLATE(English!A3725, ""en"", ""bg"")"),"conv_01663")</f>
        <v>conv_01663</v>
      </c>
      <c r="B3725" s="1" t="str">
        <f ca="1">IFERROR(__xludf.DUMMYFUNCTION("GOOGLETRANSLATE(English!B3725, ""en"", ""bg"")"),"химия")</f>
        <v>химия</v>
      </c>
      <c r="C3725" s="1" t="str">
        <f ca="1">IFERROR(__xludf.DUMMYFUNCTION("GOOGLETRANSLATE(English!C3725, ""en"", ""bg"")"),"средата")</f>
        <v>средата</v>
      </c>
      <c r="D3725" s="1" t="str">
        <f ca="1">IFERROR(__xludf.DUMMYFUNCTION("GOOGLETRANSLATE(English!D3725, ""en"", ""bg"")"),"атоми и молекули")</f>
        <v>атоми и молекули</v>
      </c>
      <c r="E3725" s="1" t="str">
        <f ca="1">IFERROR(__xludf.DUMMYFUNCTION("GOOGLETRANSLATE(English!E3725, ""en"", ""bg"")"),"Можете ли да ми помогнете? Защо атомите се свързват?")</f>
        <v>Можете ли да ми помогнете? Защо атомите се свързват?</v>
      </c>
      <c r="F3725" s="1" t="str">
        <f ca="1">IFERROR(__xludf.DUMMYFUNCTION("GOOGLETRANSLATE(English!F3725,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3725" s="1" t="str">
        <f ca="1">IFERROR(__xludf.DUMMYFUNCTION("GOOGLETRANSLATE(English!G3725, ""en"", ""bg"")"),"разговор")</f>
        <v>разговор</v>
      </c>
      <c r="H3725" s="1" t="str">
        <f ca="1">IFERROR(__xludf.DUMMYFUNCTION("GOOGLETRANSLATE(English!H3725, ""en"", ""bg"")"),"образователна_помощ")</f>
        <v>образователна_помощ</v>
      </c>
    </row>
    <row r="3726" spans="1:8" ht="13.2" x14ac:dyDescent="0.25">
      <c r="A3726" s="1" t="str">
        <f ca="1">IFERROR(__xludf.DUMMYFUNCTION("GOOGLETRANSLATE(English!A3726, ""en"", ""bg"")"),"hw_10563")</f>
        <v>hw_10563</v>
      </c>
      <c r="B3726" s="1" t="str">
        <f ca="1">IFERROR(__xludf.DUMMYFUNCTION("GOOGLETRANSLATE(English!B3726, ""en"", ""bg"")"),"физика")</f>
        <v>физика</v>
      </c>
      <c r="C3726" s="1" t="str">
        <f ca="1">IFERROR(__xludf.DUMMYFUNCTION("GOOGLETRANSLATE(English!C3726, ""en"", ""bg"")"),"средата")</f>
        <v>средата</v>
      </c>
      <c r="D3726" s="1" t="str">
        <f ca="1">IFERROR(__xludf.DUMMYFUNCTION("GOOGLETRANSLATE(English!D3726, ""en"", ""bg"")"),"основи на електричеството")</f>
        <v>основи на електричеството</v>
      </c>
      <c r="E3726" s="1" t="str">
        <f ca="1">IFERROR(__xludf.DUMMYFUNCTION("GOOGLETRANSLATE(English!E3726,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3726" s="1" t="str">
        <f ca="1">IFERROR(__xludf.DUMMYFUNCTION("GOOGLETRANSLATE(English!F3726,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3726" s="1" t="str">
        <f ca="1">IFERROR(__xludf.DUMMYFUNCTION("GOOGLETRANSLATE(English!G3726, ""en"", ""bg"")"),"помощ_за_домашно_изпълнение")</f>
        <v>помощ_за_домашно_изпълнение</v>
      </c>
      <c r="H3726" s="1" t="str">
        <f ca="1">IFERROR(__xludf.DUMMYFUNCTION("GOOGLETRANSLATE(English!H3726, ""en"", ""bg"")"),"помощ_за_домашно_задаване")</f>
        <v>помощ_за_домашно_задаване</v>
      </c>
    </row>
    <row r="3727" spans="1:8" ht="13.2" x14ac:dyDescent="0.25">
      <c r="A3727" s="1" t="str">
        <f ca="1">IFERROR(__xludf.DUMMYFUNCTION("GOOGLETRANSLATE(English!A3727, ""en"", ""bg"")"),"conv_04041")</f>
        <v>conv_04041</v>
      </c>
      <c r="B3727" s="1" t="str">
        <f ca="1">IFERROR(__xludf.DUMMYFUNCTION("GOOGLETRANSLATE(English!B3727, ""en"", ""bg"")"),"химия")</f>
        <v>химия</v>
      </c>
      <c r="C3727" s="1" t="str">
        <f ca="1">IFERROR(__xludf.DUMMYFUNCTION("GOOGLETRANSLATE(English!C3727, ""en"", ""bg"")"),"средата")</f>
        <v>средата</v>
      </c>
      <c r="D3727" s="1" t="str">
        <f ca="1">IFERROR(__xludf.DUMMYFUNCTION("GOOGLETRANSLATE(English!D3727, ""en"", ""bg"")"),"основи на периодичната таблица")</f>
        <v>основи на периодичната таблица</v>
      </c>
      <c r="E3727" s="1" t="str">
        <f ca="1">IFERROR(__xludf.DUMMYFUNCTION("GOOGLETRANSLATE(English!E3727, ""en"", ""bg"")"),"Не разбирам тази тема. Защо е важно да се изучат основите на периодичната таблица?")</f>
        <v>Не разбирам тази тема. Защо е важно да се изучат основите на периодичната таблица?</v>
      </c>
      <c r="F3727" s="1" t="str">
        <f ca="1">IFERROR(__xludf.DUMMYFUNCTION("GOOGLETRANSLATE(English!F3727,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3727" s="1" t="str">
        <f ca="1">IFERROR(__xludf.DUMMYFUNCTION("GOOGLETRANSLATE(English!G3727, ""en"", ""bg"")"),"разговор")</f>
        <v>разговор</v>
      </c>
      <c r="H3727" s="1" t="str">
        <f ca="1">IFERROR(__xludf.DUMMYFUNCTION("GOOGLETRANSLATE(English!H3727, ""en"", ""bg"")"),"образователна_помощ")</f>
        <v>образователна_помощ</v>
      </c>
    </row>
    <row r="3728" spans="1:8" ht="13.2" x14ac:dyDescent="0.25">
      <c r="A3728" s="1" t="str">
        <f ca="1">IFERROR(__xludf.DUMMYFUNCTION("GOOGLETRANSLATE(English!A3728, ""en"", ""bg"")"),"hw_13432")</f>
        <v>hw_13432</v>
      </c>
      <c r="B3728" s="1" t="str">
        <f ca="1">IFERROR(__xludf.DUMMYFUNCTION("GOOGLETRANSLATE(English!B3728, ""en"", ""bg"")"),"химия")</f>
        <v>химия</v>
      </c>
      <c r="C3728" s="1" t="str">
        <f ca="1">IFERROR(__xludf.DUMMYFUNCTION("GOOGLETRANSLATE(English!C3728, ""en"", ""bg"")"),"средата")</f>
        <v>средата</v>
      </c>
      <c r="D3728" s="1" t="str">
        <f ca="1">IFERROR(__xludf.DUMMYFUNCTION("GOOGLETRANSLATE(English!D3728, ""en"", ""bg"")"),"химични промени")</f>
        <v>химични промени</v>
      </c>
      <c r="E3728" s="1" t="str">
        <f ca="1">IFERROR(__xludf.DUMMYFUNCTION("GOOGLETRANSLATE(English!E3728, ""en"", ""bg"")"),"Не разбирам тази концепция за химични промени. Моля, обяснете!")</f>
        <v>Не разбирам тази концепция за химични промени. Моля, обяснете!</v>
      </c>
      <c r="F3728" s="1" t="str">
        <f ca="1">IFERROR(__xludf.DUMMYFUNCTION("GOOGLETRANSLATE(English!F3728,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728" s="1" t="str">
        <f ca="1">IFERROR(__xludf.DUMMYFUNCTION("GOOGLETRANSLATE(English!G3728, ""en"", ""bg"")"),"помощ_за_домашно_изпълнение")</f>
        <v>помощ_за_домашно_изпълнение</v>
      </c>
      <c r="H3728" s="1" t="str">
        <f ca="1">IFERROR(__xludf.DUMMYFUNCTION("GOOGLETRANSLATE(English!H3728, ""en"", ""bg"")"),"помощ_за_домашно_задаване")</f>
        <v>помощ_за_домашно_задаване</v>
      </c>
    </row>
    <row r="3729" spans="1:8" ht="13.2" x14ac:dyDescent="0.25">
      <c r="A3729" s="1" t="str">
        <f ca="1">IFERROR(__xludf.DUMMYFUNCTION("GOOGLETRANSLATE(English!A3729, ""en"", ""bg"")"),"hw_02626")</f>
        <v>hw_02626</v>
      </c>
      <c r="B3729" s="1" t="str">
        <f ca="1">IFERROR(__xludf.DUMMYFUNCTION("GOOGLETRANSLATE(English!B3729, ""en"", ""bg"")"),"химия")</f>
        <v>химия</v>
      </c>
      <c r="C3729" s="1" t="str">
        <f ca="1">IFERROR(__xludf.DUMMYFUNCTION("GOOGLETRANSLATE(English!C3729, ""en"", ""bg"")"),"средата")</f>
        <v>средата</v>
      </c>
      <c r="D3729" s="1" t="str">
        <f ca="1">IFERROR(__xludf.DUMMYFUNCTION("GOOGLETRANSLATE(English!D3729, ""en"", ""bg"")"),"съединения срещу елементи")</f>
        <v>съединения срещу елементи</v>
      </c>
      <c r="E3729" s="1" t="str">
        <f ca="1">IFERROR(__xludf.DUMMYFUNCTION("GOOGLETRANSLATE(English!E3729,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3729" s="1" t="str">
        <f ca="1">IFERROR(__xludf.DUMMYFUNCTION("GOOGLETRANSLATE(English!F3729,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3729" s="1" t="str">
        <f ca="1">IFERROR(__xludf.DUMMYFUNCTION("GOOGLETRANSLATE(English!G3729, ""en"", ""bg"")"),"помощ_за_домашно_изпълнение")</f>
        <v>помощ_за_домашно_изпълнение</v>
      </c>
      <c r="H3729" s="1" t="str">
        <f ca="1">IFERROR(__xludf.DUMMYFUNCTION("GOOGLETRANSLATE(English!H3729, ""en"", ""bg"")"),"помощ_за_домашно_задаване")</f>
        <v>помощ_за_домашно_задаване</v>
      </c>
    </row>
    <row r="3730" spans="1:8" ht="13.2" x14ac:dyDescent="0.25">
      <c r="A3730" s="1" t="str">
        <f ca="1">IFERROR(__xludf.DUMMYFUNCTION("GOOGLETRANSLATE(English!A3730, ""en"", ""bg"")"),"conv_01614")</f>
        <v>conv_01614</v>
      </c>
      <c r="B3730" s="1" t="str">
        <f ca="1">IFERROR(__xludf.DUMMYFUNCTION("GOOGLETRANSLATE(English!B3730, ""en"", ""bg"")"),"химия")</f>
        <v>химия</v>
      </c>
      <c r="C3730" s="1" t="str">
        <f ca="1">IFERROR(__xludf.DUMMYFUNCTION("GOOGLETRANSLATE(English!C3730, ""en"", ""bg"")"),"средата")</f>
        <v>средата</v>
      </c>
      <c r="D3730" s="1" t="str">
        <f ca="1">IFERROR(__xludf.DUMMYFUNCTION("GOOGLETRANSLATE(English!D3730, ""en"", ""bg"")"),"химични реакции")</f>
        <v>химични реакции</v>
      </c>
      <c r="E3730" s="1" t="str">
        <f ca="1">IFERROR(__xludf.DUMMYFUNCTION("GOOGLETRANSLATE(English!E3730, ""en"", ""bg"")"),"Можете ли да ми помогнете? Как да разберете дали е възникнала химическа реакция?")</f>
        <v>Можете ли да ми помогнете? Как да разберете дали е възникнала химическа реакция?</v>
      </c>
      <c r="F3730" s="1" t="str">
        <f ca="1">IFERROR(__xludf.DUMMYFUNCTION("GOOGLETRANSLATE(English!F3730,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3730" s="1" t="str">
        <f ca="1">IFERROR(__xludf.DUMMYFUNCTION("GOOGLETRANSLATE(English!G3730, ""en"", ""bg"")"),"разговор")</f>
        <v>разговор</v>
      </c>
      <c r="H3730" s="1" t="str">
        <f ca="1">IFERROR(__xludf.DUMMYFUNCTION("GOOGLETRANSLATE(English!H3730, ""en"", ""bg"")"),"образователна_помощ")</f>
        <v>образователна_помощ</v>
      </c>
    </row>
    <row r="3731" spans="1:8" ht="13.2" x14ac:dyDescent="0.25">
      <c r="A3731" s="1" t="str">
        <f ca="1">IFERROR(__xludf.DUMMYFUNCTION("GOOGLETRANSLATE(English!A3731, ""en"", ""bg"")"),"conv_02852")</f>
        <v>conv_02852</v>
      </c>
      <c r="B3731" s="1" t="str">
        <f ca="1">IFERROR(__xludf.DUMMYFUNCTION("GOOGLETRANSLATE(English!B3731, ""en"", ""bg"")"),"биология")</f>
        <v>биология</v>
      </c>
      <c r="C3731" s="1" t="str">
        <f ca="1">IFERROR(__xludf.DUMMYFUNCTION("GOOGLETRANSLATE(English!C3731, ""en"", ""bg"")"),"високо")</f>
        <v>високо</v>
      </c>
      <c r="D3731" s="1" t="str">
        <f ca="1">IFERROR(__xludf.DUMMYFUNCTION("GOOGLETRANSLATE(English!D3731, ""en"", ""bg"")"),"клетъчно дишане")</f>
        <v>клетъчно дишане</v>
      </c>
      <c r="E3731" s="1" t="str">
        <f ca="1">IFERROR(__xludf.DUMMYFUNCTION("GOOGLETRANSLATE(English!E3731, ""en"", ""bg"")"),"Можете ли да ми помогнете? Защо клетъчното дишане е важно в биологията?")</f>
        <v>Можете ли да ми помогнете? Защо клетъчното дишане е важно в биологията?</v>
      </c>
      <c r="F3731" s="1" t="str">
        <f ca="1">IFERROR(__xludf.DUMMYFUNCTION("GOOGLETRANSLATE(English!F3731,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731" s="1" t="str">
        <f ca="1">IFERROR(__xludf.DUMMYFUNCTION("GOOGLETRANSLATE(English!G3731, ""en"", ""bg"")"),"разговор")</f>
        <v>разговор</v>
      </c>
      <c r="H3731" s="1" t="str">
        <f ca="1">IFERROR(__xludf.DUMMYFUNCTION("GOOGLETRANSLATE(English!H3731, ""en"", ""bg"")"),"образователна_помощ")</f>
        <v>образователна_помощ</v>
      </c>
    </row>
    <row r="3732" spans="1:8" ht="13.2" x14ac:dyDescent="0.25">
      <c r="A3732" s="1" t="str">
        <f ca="1">IFERROR(__xludf.DUMMYFUNCTION("GOOGLETRANSLATE(English!A3732, ""en"", ""bg"")"),"conv_03169")</f>
        <v>conv_03169</v>
      </c>
      <c r="B3732" s="1" t="str">
        <f ca="1">IFERROR(__xludf.DUMMYFUNCTION("GOOGLETRANSLATE(English!B3732, ""en"", ""bg"")"),"химия")</f>
        <v>химия</v>
      </c>
      <c r="C3732" s="1" t="str">
        <f ca="1">IFERROR(__xludf.DUMMYFUNCTION("GOOGLETRANSLATE(English!C3732, ""en"", ""bg"")"),"средата")</f>
        <v>средата</v>
      </c>
      <c r="D3732" s="1" t="str">
        <f ca="1">IFERROR(__xludf.DUMMYFUNCTION("GOOGLETRANSLATE(English!D3732, ""en"", ""bg"")"),"основи на периодичната таблица")</f>
        <v>основи на периодичната таблица</v>
      </c>
      <c r="E3732" s="1" t="str">
        <f ca="1">IFERROR(__xludf.DUMMYFUNCTION("GOOGLETRANSLATE(English!E3732, ""en"", ""bg"")"),"Имам научен въпрос. Защо е важно да се изучат основите на периодичната таблица?")</f>
        <v>Имам научен въпрос. Защо е важно да се изучат основите на периодичната таблица?</v>
      </c>
      <c r="F3732" s="1" t="str">
        <f ca="1">IFERROR(__xludf.DUMMYFUNCTION("GOOGLETRANSLATE(English!F3732,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3732" s="1" t="str">
        <f ca="1">IFERROR(__xludf.DUMMYFUNCTION("GOOGLETRANSLATE(English!G3732, ""en"", ""bg"")"),"разговор")</f>
        <v>разговор</v>
      </c>
      <c r="H3732" s="1" t="str">
        <f ca="1">IFERROR(__xludf.DUMMYFUNCTION("GOOGLETRANSLATE(English!H3732, ""en"", ""bg"")"),"образователна_помощ")</f>
        <v>образователна_помощ</v>
      </c>
    </row>
    <row r="3733" spans="1:8" ht="13.2" x14ac:dyDescent="0.25">
      <c r="A3733" s="1" t="str">
        <f ca="1">IFERROR(__xludf.DUMMYFUNCTION("GOOGLETRANSLATE(English!A3733, ""en"", ""bg"")"),"hw_13635")</f>
        <v>hw_13635</v>
      </c>
      <c r="B3733" s="1" t="str">
        <f ca="1">IFERROR(__xludf.DUMMYFUNCTION("GOOGLETRANSLATE(English!B3733, ""en"", ""bg"")"),"биология")</f>
        <v>биология</v>
      </c>
      <c r="C3733" s="1" t="str">
        <f ca="1">IFERROR(__xludf.DUMMYFUNCTION("GOOGLETRANSLATE(English!C3733, ""en"", ""bg"")"),"високо")</f>
        <v>високо</v>
      </c>
      <c r="D3733" s="1" t="str">
        <f ca="1">IFERROR(__xludf.DUMMYFUNCTION("GOOGLETRANSLATE(English!D3733, ""en"", ""bg"")"),"Структура на ДНК")</f>
        <v>Структура на ДНК</v>
      </c>
      <c r="E3733" s="1" t="str">
        <f ca="1">IFERROR(__xludf.DUMMYFUNCTION("GOOGLETRANSLATE(English!E3733, ""en"", ""bg"")"),"Домашното ми пита за структурата на ДНК. Не я разбирам.")</f>
        <v>Домашното ми пита за структурата на ДНК. Не я разбирам.</v>
      </c>
      <c r="F3733" s="1" t="str">
        <f ca="1">IFERROR(__xludf.DUMMYFUNCTION("GOOGLETRANSLATE(English!F3733,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3733" s="1" t="str">
        <f ca="1">IFERROR(__xludf.DUMMYFUNCTION("GOOGLETRANSLATE(English!G3733, ""en"", ""bg"")"),"помощ_за_домашно_изпълнение")</f>
        <v>помощ_за_домашно_изпълнение</v>
      </c>
      <c r="H3733" s="1" t="str">
        <f ca="1">IFERROR(__xludf.DUMMYFUNCTION("GOOGLETRANSLATE(English!H3733, ""en"", ""bg"")"),"помощ_за_домашно_задаване")</f>
        <v>помощ_за_домашно_задаване</v>
      </c>
    </row>
    <row r="3734" spans="1:8" ht="13.2" x14ac:dyDescent="0.25">
      <c r="A3734" s="1" t="str">
        <f ca="1">IFERROR(__xludf.DUMMYFUNCTION("GOOGLETRANSLATE(English!A3734, ""en"", ""bg"")"),"conv_04731")</f>
        <v>conv_04731</v>
      </c>
      <c r="B3734" s="1" t="str">
        <f ca="1">IFERROR(__xludf.DUMMYFUNCTION("GOOGLETRANSLATE(English!B3734, ""en"", ""bg"")"),"химия")</f>
        <v>химия</v>
      </c>
      <c r="C3734" s="1" t="str">
        <f ca="1">IFERROR(__xludf.DUMMYFUNCTION("GOOGLETRANSLATE(English!C3734, ""en"", ""bg"")"),"средата")</f>
        <v>средата</v>
      </c>
      <c r="D3734" s="1" t="str">
        <f ca="1">IFERROR(__xludf.DUMMYFUNCTION("GOOGLETRANSLATE(English!D3734, ""en"", ""bg"")"),"химични реакции")</f>
        <v>химични реакции</v>
      </c>
      <c r="E3734" s="1" t="str">
        <f ca="1">IFERROR(__xludf.DUMMYFUNCTION("GOOGLETRANSLATE(English!E3734, ""en"", ""bg"")"),"Имам нужда от помощ с домашното си. Какво представляват реагентите и продуктите?")</f>
        <v>Имам нужда от помощ с домашното си. Какво представляват реагентите и продуктите?</v>
      </c>
      <c r="F3734" s="1" t="str">
        <f ca="1">IFERROR(__xludf.DUMMYFUNCTION("GOOGLETRANSLATE(English!F3734,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3734" s="1" t="str">
        <f ca="1">IFERROR(__xludf.DUMMYFUNCTION("GOOGLETRANSLATE(English!G3734, ""en"", ""bg"")"),"разговор")</f>
        <v>разговор</v>
      </c>
      <c r="H3734" s="1" t="str">
        <f ca="1">IFERROR(__xludf.DUMMYFUNCTION("GOOGLETRANSLATE(English!H3734, ""en"", ""bg"")"),"образователна_помощ")</f>
        <v>образователна_помощ</v>
      </c>
    </row>
    <row r="3735" spans="1:8" ht="13.2" x14ac:dyDescent="0.25">
      <c r="A3735" s="1" t="str">
        <f ca="1">IFERROR(__xludf.DUMMYFUNCTION("GOOGLETRANSLATE(English!A3735, ""en"", ""bg"")"),"conv_15682")</f>
        <v>conv_15682</v>
      </c>
      <c r="B3735" s="1" t="str">
        <f ca="1">IFERROR(__xludf.DUMMYFUNCTION("GOOGLETRANSLATE(English!B3735, ""en"", ""bg"")"),"физика")</f>
        <v>физика</v>
      </c>
      <c r="C3735" s="1" t="str">
        <f ca="1">IFERROR(__xludf.DUMMYFUNCTION("GOOGLETRANSLATE(English!C3735, ""en"", ""bg"")"),"средата")</f>
        <v>средата</v>
      </c>
      <c r="D3735" s="1" t="str">
        <f ca="1">IFERROR(__xludf.DUMMYFUNCTION("GOOGLETRANSLATE(English!D3735, ""en"", ""bg"")"),"видове енергия")</f>
        <v>видове енергия</v>
      </c>
      <c r="E3735" s="1" t="str">
        <f ca="1">IFERROR(__xludf.DUMMYFUNCTION("GOOGLETRANSLATE(English!E3735, ""en"", ""bg"")"),"Имам научен въпрос: Какви са различните видове енергия?")</f>
        <v>Имам научен въпрос: Какви са различните видове енергия?</v>
      </c>
      <c r="F3735" s="1" t="str">
        <f ca="1">IFERROR(__xludf.DUMMYFUNCTION("GOOGLETRANSLATE(English!F3735,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3735" s="1" t="str">
        <f ca="1">IFERROR(__xludf.DUMMYFUNCTION("GOOGLETRANSLATE(English!G3735, ""en"", ""bg"")"),"разговор")</f>
        <v>разговор</v>
      </c>
      <c r="H3735" s="1" t="str">
        <f ca="1">IFERROR(__xludf.DUMMYFUNCTION("GOOGLETRANSLATE(English!H3735, ""en"", ""bg"")"),"образователна_помощ")</f>
        <v>образователна_помощ</v>
      </c>
    </row>
    <row r="3736" spans="1:8" ht="13.2" x14ac:dyDescent="0.25">
      <c r="A3736" s="1" t="str">
        <f ca="1">IFERROR(__xludf.DUMMYFUNCTION("GOOGLETRANSLATE(English!A3736, ""en"", ""bg"")"),"conv_13940")</f>
        <v>conv_13940</v>
      </c>
      <c r="B3736" s="1" t="str">
        <f ca="1">IFERROR(__xludf.DUMMYFUNCTION("GOOGLETRANSLATE(English!B3736, ""en"", ""bg"")"),"биология")</f>
        <v>биология</v>
      </c>
      <c r="C3736" s="1" t="str">
        <f ca="1">IFERROR(__xludf.DUMMYFUNCTION("GOOGLETRANSLATE(English!C3736, ""en"", ""bg"")"),"елементарен")</f>
        <v>елементарен</v>
      </c>
      <c r="D3736" s="1" t="str">
        <f ca="1">IFERROR(__xludf.DUMMYFUNCTION("GOOGLETRANSLATE(English!D3736, ""en"", ""bg"")"),"местообитания")</f>
        <v>местообитания</v>
      </c>
      <c r="E3736" s="1" t="str">
        <f ca="1">IFERROR(__xludf.DUMMYFUNCTION("GOOGLETRANSLATE(English!E3736, ""en"", ""bg"")"),"Имам нужда от помощ с домашното. Защо местообитанията са важни в биологията?")</f>
        <v>Имам нужда от помощ с домашното. Защо местообитанията са важни в биологията?</v>
      </c>
      <c r="F3736" s="1" t="str">
        <f ca="1">IFERROR(__xludf.DUMMYFUNCTION("GOOGLETRANSLATE(English!F3736,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3736" s="1" t="str">
        <f ca="1">IFERROR(__xludf.DUMMYFUNCTION("GOOGLETRANSLATE(English!G3736, ""en"", ""bg"")"),"разговор")</f>
        <v>разговор</v>
      </c>
      <c r="H3736" s="1" t="str">
        <f ca="1">IFERROR(__xludf.DUMMYFUNCTION("GOOGLETRANSLATE(English!H3736, ""en"", ""bg"")"),"образователна_помощ")</f>
        <v>образователна_помощ</v>
      </c>
    </row>
    <row r="3737" spans="1:8" ht="13.2" x14ac:dyDescent="0.25">
      <c r="A3737" s="1" t="str">
        <f ca="1">IFERROR(__xludf.DUMMYFUNCTION("GOOGLETRANSLATE(English!A3737, ""en"", ""bg"")"),"hw_14993")</f>
        <v>hw_14993</v>
      </c>
      <c r="B3737" s="1" t="str">
        <f ca="1">IFERROR(__xludf.DUMMYFUNCTION("GOOGLETRANSLATE(English!B3737, ""en"", ""bg"")"),"биология")</f>
        <v>биология</v>
      </c>
      <c r="C3737" s="1" t="str">
        <f ca="1">IFERROR(__xludf.DUMMYFUNCTION("GOOGLETRANSLATE(English!C3737, ""en"", ""bg"")"),"елементарен")</f>
        <v>елементарен</v>
      </c>
      <c r="D3737" s="1" t="str">
        <f ca="1">IFERROR(__xludf.DUMMYFUNCTION("GOOGLETRANSLATE(English!D3737, ""en"", ""bg"")"),"хранителни вериги")</f>
        <v>хранителни вериги</v>
      </c>
      <c r="E3737" s="1" t="str">
        <f ca="1">IFERROR(__xludf.DUMMYFUNCTION("GOOGLETRANSLATE(English!E3737,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3737" s="1" t="str">
        <f ca="1">IFERROR(__xludf.DUMMYFUNCTION("GOOGLETRANSLATE(English!F3737,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3737" s="1" t="str">
        <f ca="1">IFERROR(__xludf.DUMMYFUNCTION("GOOGLETRANSLATE(English!G3737, ""en"", ""bg"")"),"помощ_за_домашно_изпълнение")</f>
        <v>помощ_за_домашно_изпълнение</v>
      </c>
      <c r="H3737" s="1" t="str">
        <f ca="1">IFERROR(__xludf.DUMMYFUNCTION("GOOGLETRANSLATE(English!H3737, ""en"", ""bg"")"),"помощ_за_домашно_задаване")</f>
        <v>помощ_за_домашно_задаване</v>
      </c>
    </row>
    <row r="3738" spans="1:8" ht="13.2" x14ac:dyDescent="0.25">
      <c r="A3738" s="1" t="str">
        <f ca="1">IFERROR(__xludf.DUMMYFUNCTION("GOOGLETRANSLATE(English!A3738, ""en"", ""bg"")"),"conv_18645")</f>
        <v>conv_18645</v>
      </c>
      <c r="B3738" s="1" t="str">
        <f ca="1">IFERROR(__xludf.DUMMYFUNCTION("GOOGLETRANSLATE(English!B3738, ""en"", ""bg"")"),"физика")</f>
        <v>физика</v>
      </c>
      <c r="C3738" s="1" t="str">
        <f ca="1">IFERROR(__xludf.DUMMYFUNCTION("GOOGLETRANSLATE(English!C3738, ""en"", ""bg"")"),"средата")</f>
        <v>средата</v>
      </c>
      <c r="D3738" s="1" t="str">
        <f ca="1">IFERROR(__xludf.DUMMYFUNCTION("GOOGLETRANSLATE(English!D3738, ""en"", ""bg"")"),"видове енергия")</f>
        <v>видове енергия</v>
      </c>
      <c r="E3738" s="1" t="str">
        <f ca="1">IFERROR(__xludf.DUMMYFUNCTION("GOOGLETRANSLATE(English!E3738, ""en"", ""bg"")"),"Помогнете ми да уча за теста си. Как се променя видът енергия?")</f>
        <v>Помогнете ми да уча за теста си. Как се променя видът енергия?</v>
      </c>
      <c r="F3738" s="1" t="str">
        <f ca="1">IFERROR(__xludf.DUMMYFUNCTION("GOOGLETRANSLATE(English!F3738,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3738" s="1" t="str">
        <f ca="1">IFERROR(__xludf.DUMMYFUNCTION("GOOGLETRANSLATE(English!G3738, ""en"", ""bg"")"),"разговор")</f>
        <v>разговор</v>
      </c>
      <c r="H3738" s="1" t="str">
        <f ca="1">IFERROR(__xludf.DUMMYFUNCTION("GOOGLETRANSLATE(English!H3738, ""en"", ""bg"")"),"образователна_помощ")</f>
        <v>образователна_помощ</v>
      </c>
    </row>
    <row r="3739" spans="1:8" ht="13.2" x14ac:dyDescent="0.25">
      <c r="A3739" s="1" t="str">
        <f ca="1">IFERROR(__xludf.DUMMYFUNCTION("GOOGLETRANSLATE(English!A3739, ""en"", ""bg"")"),"conv_15049")</f>
        <v>conv_15049</v>
      </c>
      <c r="B3739" s="1" t="str">
        <f ca="1">IFERROR(__xludf.DUMMYFUNCTION("GOOGLETRANSLATE(English!B3739, ""en"", ""bg"")"),"физика")</f>
        <v>физика</v>
      </c>
      <c r="C3739" s="1" t="str">
        <f ca="1">IFERROR(__xludf.DUMMYFUNCTION("GOOGLETRANSLATE(English!C3739, ""en"", ""bg"")"),"средата")</f>
        <v>средата</v>
      </c>
      <c r="D3739" s="1" t="str">
        <f ca="1">IFERROR(__xludf.DUMMYFUNCTION("GOOGLETRANSLATE(English!D3739, ""en"", ""bg"")"),"сили и движение")</f>
        <v>сили и движение</v>
      </c>
      <c r="E3739" s="1" t="str">
        <f ca="1">IFERROR(__xludf.DUMMYFUNCTION("GOOGLETRANSLATE(English!E3739, ""en"", ""bg"")"),"Можете ли да ми помогнете? Защо предметите падат с еднаква скорост?")</f>
        <v>Можете ли да ми помогнете? Защо предметите падат с еднаква скорост?</v>
      </c>
      <c r="F3739" s="1" t="str">
        <f ca="1">IFERROR(__xludf.DUMMYFUNCTION("GOOGLETRANSLATE(English!F3739,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3739" s="1" t="str">
        <f ca="1">IFERROR(__xludf.DUMMYFUNCTION("GOOGLETRANSLATE(English!G3739, ""en"", ""bg"")"),"разговор")</f>
        <v>разговор</v>
      </c>
      <c r="H3739" s="1" t="str">
        <f ca="1">IFERROR(__xludf.DUMMYFUNCTION("GOOGLETRANSLATE(English!H3739, ""en"", ""bg"")"),"образователна_помощ")</f>
        <v>образователна_помощ</v>
      </c>
    </row>
    <row r="3740" spans="1:8" ht="13.2" x14ac:dyDescent="0.25">
      <c r="A3740" s="1" t="str">
        <f ca="1">IFERROR(__xludf.DUMMYFUNCTION("GOOGLETRANSLATE(English!A3740, ""en"", ""bg"")"),"conv_17979")</f>
        <v>conv_17979</v>
      </c>
      <c r="B3740" s="1" t="str">
        <f ca="1">IFERROR(__xludf.DUMMYFUNCTION("GOOGLETRANSLATE(English!B3740, ""en"", ""bg"")"),"биология")</f>
        <v>биология</v>
      </c>
      <c r="C3740" s="1" t="str">
        <f ca="1">IFERROR(__xludf.DUMMYFUNCTION("GOOGLETRANSLATE(English!C3740, ""en"", ""bg"")"),"средата")</f>
        <v>средата</v>
      </c>
      <c r="D3740" s="1" t="str">
        <f ca="1">IFERROR(__xludf.DUMMYFUNCTION("GOOGLETRANSLATE(English!D3740, ""en"", ""bg"")"),"основи на еволюцията")</f>
        <v>основи на еволюцията</v>
      </c>
      <c r="E3740" s="1" t="str">
        <f ca="1">IFERROR(__xludf.DUMMYFUNCTION("GOOGLETRANSLATE(English!E3740, ""en"", ""bg"")"),"Имам научен въпрос. Можете ли да ми разкажете за основите на еволюцията?")</f>
        <v>Имам научен въпрос. Можете ли да ми разкажете за основите на еволюцията?</v>
      </c>
      <c r="F3740" s="1" t="str">
        <f ca="1">IFERROR(__xludf.DUMMYFUNCTION("GOOGLETRANSLATE(English!F3740,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3740" s="1" t="str">
        <f ca="1">IFERROR(__xludf.DUMMYFUNCTION("GOOGLETRANSLATE(English!G3740, ""en"", ""bg"")"),"разговор")</f>
        <v>разговор</v>
      </c>
      <c r="H3740" s="1" t="str">
        <f ca="1">IFERROR(__xludf.DUMMYFUNCTION("GOOGLETRANSLATE(English!H3740, ""en"", ""bg"")"),"образователна_помощ")</f>
        <v>образователна_помощ</v>
      </c>
    </row>
    <row r="3741" spans="1:8" ht="13.2" x14ac:dyDescent="0.25">
      <c r="A3741" s="1" t="str">
        <f ca="1">IFERROR(__xludf.DUMMYFUNCTION("GOOGLETRANSLATE(English!A3741, ""en"", ""bg"")"),"hw_01825")</f>
        <v>hw_01825</v>
      </c>
      <c r="B3741" s="1" t="str">
        <f ca="1">IFERROR(__xludf.DUMMYFUNCTION("GOOGLETRANSLATE(English!B3741, ""en"", ""bg"")"),"физика")</f>
        <v>физика</v>
      </c>
      <c r="C3741" s="1" t="str">
        <f ca="1">IFERROR(__xludf.DUMMYFUNCTION("GOOGLETRANSLATE(English!C3741, ""en"", ""bg"")"),"средата")</f>
        <v>средата</v>
      </c>
      <c r="D3741" s="1" t="str">
        <f ca="1">IFERROR(__xludf.DUMMYFUNCTION("GOOGLETRANSLATE(English!D3741, ""en"", ""bg"")"),"видове енергия")</f>
        <v>видове енергия</v>
      </c>
      <c r="E3741" s="1" t="str">
        <f ca="1">IFERROR(__xludf.DUMMYFUNCTION("GOOGLETRANSLATE(English!E3741, ""en"", ""bg"")"),"Можете ли да решите този въпрос за видовете енергия с мен?")</f>
        <v>Можете ли да решите този въпрос за видовете енергия с мен?</v>
      </c>
      <c r="F3741" s="1" t="str">
        <f ca="1">IFERROR(__xludf.DUMMYFUNCTION("GOOGLETRANSLATE(English!F3741,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3741" s="1" t="str">
        <f ca="1">IFERROR(__xludf.DUMMYFUNCTION("GOOGLETRANSLATE(English!G3741, ""en"", ""bg"")"),"помощ_за_домашно_изпълнение")</f>
        <v>помощ_за_домашно_изпълнение</v>
      </c>
      <c r="H3741" s="1" t="str">
        <f ca="1">IFERROR(__xludf.DUMMYFUNCTION("GOOGLETRANSLATE(English!H3741, ""en"", ""bg"")"),"помощ_за_домашно_задаване")</f>
        <v>помощ_за_домашно_задаване</v>
      </c>
    </row>
    <row r="3742" spans="1:8" ht="13.2" x14ac:dyDescent="0.25">
      <c r="A3742" s="1" t="str">
        <f ca="1">IFERROR(__xludf.DUMMYFUNCTION("GOOGLETRANSLATE(English!A3742, ""en"", ""bg"")"),"qa_07370")</f>
        <v>qa_07370</v>
      </c>
      <c r="B3742" s="1" t="str">
        <f ca="1">IFERROR(__xludf.DUMMYFUNCTION("GOOGLETRANSLATE(English!B3742, ""en"", ""bg"")"),"химия")</f>
        <v>химия</v>
      </c>
      <c r="C3742" s="1" t="str">
        <f ca="1">IFERROR(__xludf.DUMMYFUNCTION("GOOGLETRANSLATE(English!C3742, ""en"", ""bg"")"),"високо")</f>
        <v>високо</v>
      </c>
      <c r="D3742" s="1" t="str">
        <f ca="1">IFERROR(__xludf.DUMMYFUNCTION("GOOGLETRANSLATE(English!D3742, ""en"", ""bg"")"),"електрохимия")</f>
        <v>електрохимия</v>
      </c>
      <c r="E3742" s="1" t="str">
        <f ca="1">IFERROR(__xludf.DUMMYFUNCTION("GOOGLETRANSLATE(English!E3742, ""en"", ""bg"")"),"Какво представлява електрохимията?")</f>
        <v>Какво представлява електрохимията?</v>
      </c>
      <c r="F3742" s="1" t="str">
        <f ca="1">IFERROR(__xludf.DUMMYFUNCTION("GOOGLETRANSLATE(English!F3742,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3742" s="1" t="str">
        <f ca="1">IFERROR(__xludf.DUMMYFUNCTION("GOOGLETRANSLATE(English!G3742, ""en"", ""bg"")"),"direct_qa")</f>
        <v>direct_qa</v>
      </c>
      <c r="H3742" s="1" t="str">
        <f ca="1">IFERROR(__xludf.DUMMYFUNCTION("GOOGLETRANSLATE(English!H3742, ""en"", ""bg"")"),"заявка_за_знание")</f>
        <v>заявка_за_знание</v>
      </c>
    </row>
    <row r="3743" spans="1:8" ht="13.2" x14ac:dyDescent="0.25">
      <c r="A3743" s="1" t="str">
        <f ca="1">IFERROR(__xludf.DUMMYFUNCTION("GOOGLETRANSLATE(English!A3743, ""en"", ""bg"")"),"conv_00538")</f>
        <v>conv_00538</v>
      </c>
      <c r="B3743" s="1" t="str">
        <f ca="1">IFERROR(__xludf.DUMMYFUNCTION("GOOGLETRANSLATE(English!B3743, ""en"", ""bg"")"),"химия")</f>
        <v>химия</v>
      </c>
      <c r="C3743" s="1" t="str">
        <f ca="1">IFERROR(__xludf.DUMMYFUNCTION("GOOGLETRANSLATE(English!C3743, ""en"", ""bg"")"),"високо")</f>
        <v>високо</v>
      </c>
      <c r="D3743" s="1" t="str">
        <f ca="1">IFERROR(__xludf.DUMMYFUNCTION("GOOGLETRANSLATE(English!D3743, ""en"", ""bg"")"),"химическо свързване")</f>
        <v>химическо свързване</v>
      </c>
      <c r="E3743" s="1" t="str">
        <f ca="1">IFERROR(__xludf.DUMMYFUNCTION("GOOGLETRANSLATE(English!E3743, ""en"", ""bg"")"),"Имам научен въпрос. Как работи химическата връзка в химията?")</f>
        <v>Имам научен въпрос. Как работи химическата връзка в химията?</v>
      </c>
      <c r="F3743" s="1" t="str">
        <f ca="1">IFERROR(__xludf.DUMMYFUNCTION("GOOGLETRANSLATE(English!F3743,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3743" s="1" t="str">
        <f ca="1">IFERROR(__xludf.DUMMYFUNCTION("GOOGLETRANSLATE(English!G3743, ""en"", ""bg"")"),"разговор")</f>
        <v>разговор</v>
      </c>
      <c r="H3743" s="1" t="str">
        <f ca="1">IFERROR(__xludf.DUMMYFUNCTION("GOOGLETRANSLATE(English!H3743, ""en"", ""bg"")"),"образователна_помощ")</f>
        <v>образователна_помощ</v>
      </c>
    </row>
    <row r="3744" spans="1:8" ht="13.2" x14ac:dyDescent="0.25">
      <c r="A3744" s="1" t="str">
        <f ca="1">IFERROR(__xludf.DUMMYFUNCTION("GOOGLETRANSLATE(English!A3744, ""en"", ""bg"")"),"conv_14384")</f>
        <v>conv_14384</v>
      </c>
      <c r="B3744" s="1" t="str">
        <f ca="1">IFERROR(__xludf.DUMMYFUNCTION("GOOGLETRANSLATE(English!B3744, ""en"", ""bg"")"),"биология")</f>
        <v>биология</v>
      </c>
      <c r="C3744" s="1" t="str">
        <f ca="1">IFERROR(__xludf.DUMMYFUNCTION("GOOGLETRANSLATE(English!C3744, ""en"", ""bg"")"),"високо")</f>
        <v>високо</v>
      </c>
      <c r="D3744" s="1" t="str">
        <f ca="1">IFERROR(__xludf.DUMMYFUNCTION("GOOGLETRANSLATE(English!D3744, ""en"", ""bg"")"),"митоза и мейоза")</f>
        <v>митоза и мейоза</v>
      </c>
      <c r="E3744" s="1" t="str">
        <f ca="1">IFERROR(__xludf.DUMMYFUNCTION("GOOGLETRANSLATE(English!E3744, ""en"", ""bg"")"),"Имам нужда от помощ с домашното си. Как протичат митозата и мейозата?")</f>
        <v>Имам нужда от помощ с домашното си. Как протичат митозата и мейозата?</v>
      </c>
      <c r="F3744" s="1" t="str">
        <f ca="1">IFERROR(__xludf.DUMMYFUNCTION("GOOGLETRANSLATE(English!F3744,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3744" s="1" t="str">
        <f ca="1">IFERROR(__xludf.DUMMYFUNCTION("GOOGLETRANSLATE(English!G3744, ""en"", ""bg"")"),"разговор")</f>
        <v>разговор</v>
      </c>
      <c r="H3744" s="1" t="str">
        <f ca="1">IFERROR(__xludf.DUMMYFUNCTION("GOOGLETRANSLATE(English!H3744, ""en"", ""bg"")"),"образователна_помощ")</f>
        <v>образователна_помощ</v>
      </c>
    </row>
    <row r="3745" spans="1:8" ht="13.2" x14ac:dyDescent="0.25">
      <c r="A3745" s="1" t="str">
        <f ca="1">IFERROR(__xludf.DUMMYFUNCTION("GOOGLETRANSLATE(English!A3745, ""en"", ""bg"")"),"qa_13081")</f>
        <v>qa_13081</v>
      </c>
      <c r="B3745" s="1" t="str">
        <f ca="1">IFERROR(__xludf.DUMMYFUNCTION("GOOGLETRANSLATE(English!B3745, ""en"", ""bg"")"),"химия")</f>
        <v>химия</v>
      </c>
      <c r="C3745" s="1" t="str">
        <f ca="1">IFERROR(__xludf.DUMMYFUNCTION("GOOGLETRANSLATE(English!C3745, ""en"", ""bg"")"),"средата")</f>
        <v>средата</v>
      </c>
      <c r="D3745" s="1" t="str">
        <f ca="1">IFERROR(__xludf.DUMMYFUNCTION("GOOGLETRANSLATE(English!D3745, ""en"", ""bg"")"),"основи на периодичната таблица")</f>
        <v>основи на периодичната таблица</v>
      </c>
      <c r="E3745" s="1" t="str">
        <f ca="1">IFERROR(__xludf.DUMMYFUNCTION("GOOGLETRANSLATE(English!E3745, ""en"", ""bg"")"),"Какво представляват основите на периодичната таблица?")</f>
        <v>Какво представляват основите на периодичната таблица?</v>
      </c>
      <c r="F3745" s="1" t="str">
        <f ca="1">IFERROR(__xludf.DUMMYFUNCTION("GOOGLETRANSLATE(English!F3745,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3745" s="1" t="str">
        <f ca="1">IFERROR(__xludf.DUMMYFUNCTION("GOOGLETRANSLATE(English!G3745, ""en"", ""bg"")"),"direct_qa")</f>
        <v>direct_qa</v>
      </c>
      <c r="H3745" s="1" t="str">
        <f ca="1">IFERROR(__xludf.DUMMYFUNCTION("GOOGLETRANSLATE(English!H3745, ""en"", ""bg"")"),"заявка_за_знание")</f>
        <v>заявка_за_знание</v>
      </c>
    </row>
    <row r="3746" spans="1:8" ht="13.2" x14ac:dyDescent="0.25">
      <c r="A3746" s="1" t="str">
        <f ca="1">IFERROR(__xludf.DUMMYFUNCTION("GOOGLETRANSLATE(English!A3746, ""en"", ""bg"")"),"hw_02974")</f>
        <v>hw_02974</v>
      </c>
      <c r="B3746" s="1" t="str">
        <f ca="1">IFERROR(__xludf.DUMMYFUNCTION("GOOGLETRANSLATE(English!B3746, ""en"", ""bg"")"),"биология")</f>
        <v>биология</v>
      </c>
      <c r="C3746" s="1" t="str">
        <f ca="1">IFERROR(__xludf.DUMMYFUNCTION("GOOGLETRANSLATE(English!C3746, ""en"", ""bg"")"),"елементарен")</f>
        <v>елементарен</v>
      </c>
      <c r="D3746" s="1" t="str">
        <f ca="1">IFERROR(__xludf.DUMMYFUNCTION("GOOGLETRANSLATE(English!D3746, ""en"", ""bg"")"),"местообитания")</f>
        <v>местообитания</v>
      </c>
      <c r="E3746" s="1" t="str">
        <f ca="1">IFERROR(__xludf.DUMMYFUNCTION("GOOGLETRANSLATE(English!E3746, ""en"", ""bg"")"),"Можете ли да обясните местообитанията за моя научен проект?")</f>
        <v>Можете ли да обясните местообитанията за моя научен проект?</v>
      </c>
      <c r="F3746" s="1" t="str">
        <f ca="1">IFERROR(__xludf.DUMMYFUNCTION("GOOGLETRANSLATE(English!F3746,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3746" s="1" t="str">
        <f ca="1">IFERROR(__xludf.DUMMYFUNCTION("GOOGLETRANSLATE(English!G3746, ""en"", ""bg"")"),"помощ_за_домашно_изпълнение")</f>
        <v>помощ_за_домашно_изпълнение</v>
      </c>
      <c r="H3746" s="1" t="str">
        <f ca="1">IFERROR(__xludf.DUMMYFUNCTION("GOOGLETRANSLATE(English!H3746, ""en"", ""bg"")"),"помощ_за_домашно_задаване")</f>
        <v>помощ_за_домашно_задаване</v>
      </c>
    </row>
    <row r="3747" spans="1:8" ht="13.2" x14ac:dyDescent="0.25">
      <c r="A3747" s="1" t="str">
        <f ca="1">IFERROR(__xludf.DUMMYFUNCTION("GOOGLETRANSLATE(English!A3747, ""en"", ""bg"")"),"conv_01452")</f>
        <v>conv_01452</v>
      </c>
      <c r="B3747" s="1" t="str">
        <f ca="1">IFERROR(__xludf.DUMMYFUNCTION("GOOGLETRANSLATE(English!B3747, ""en"", ""bg"")"),"физика")</f>
        <v>физика</v>
      </c>
      <c r="C3747" s="1" t="str">
        <f ca="1">IFERROR(__xludf.DUMMYFUNCTION("GOOGLETRANSLATE(English!C3747, ""en"", ""bg"")"),"високо")</f>
        <v>високо</v>
      </c>
      <c r="D3747" s="1" t="str">
        <f ca="1">IFERROR(__xludf.DUMMYFUNCTION("GOOGLETRANSLATE(English!D3747, ""en"", ""bg"")"),"механика")</f>
        <v>механика</v>
      </c>
      <c r="E3747" s="1" t="str">
        <f ca="1">IFERROR(__xludf.DUMMYFUNCTION("GOOGLETRANSLATE(English!E3747, ""en"", ""bg"")"),"Можете ли да ми помогнете? Можете ли да ми обясните механиката?")</f>
        <v>Можете ли да ми помогнете? Можете ли да ми обясните механиката?</v>
      </c>
      <c r="F3747" s="1" t="str">
        <f ca="1">IFERROR(__xludf.DUMMYFUNCTION("GOOGLETRANSLATE(English!F3747,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3747" s="1" t="str">
        <f ca="1">IFERROR(__xludf.DUMMYFUNCTION("GOOGLETRANSLATE(English!G3747, ""en"", ""bg"")"),"разговор")</f>
        <v>разговор</v>
      </c>
      <c r="H3747" s="1" t="str">
        <f ca="1">IFERROR(__xludf.DUMMYFUNCTION("GOOGLETRANSLATE(English!H3747, ""en"", ""bg"")"),"образователна_помощ")</f>
        <v>образователна_помощ</v>
      </c>
    </row>
    <row r="3748" spans="1:8" ht="13.2" x14ac:dyDescent="0.25">
      <c r="A3748" s="1" t="str">
        <f ca="1">IFERROR(__xludf.DUMMYFUNCTION("GOOGLETRANSLATE(English!A3748, ""en"", ""bg"")"),"conv_05869")</f>
        <v>conv_05869</v>
      </c>
      <c r="B3748" s="1" t="str">
        <f ca="1">IFERROR(__xludf.DUMMYFUNCTION("GOOGLETRANSLATE(English!B3748, ""en"", ""bg"")"),"физика")</f>
        <v>физика</v>
      </c>
      <c r="C3748" s="1" t="str">
        <f ca="1">IFERROR(__xludf.DUMMYFUNCTION("GOOGLETRANSLATE(English!C3748, ""en"", ""bg"")"),"високо")</f>
        <v>високо</v>
      </c>
      <c r="D3748" s="1" t="str">
        <f ca="1">IFERROR(__xludf.DUMMYFUNCTION("GOOGLETRANSLATE(English!D3748, ""en"", ""bg"")"),"атомна структура")</f>
        <v>атомна структура</v>
      </c>
      <c r="E3748" s="1" t="str">
        <f ca="1">IFERROR(__xludf.DUMMYFUNCTION("GOOGLETRANSLATE(English!E3748, ""en"", ""bg"")"),"Помогнете ми да уча за теста си. Какво трябва да знам за атомната структура?")</f>
        <v>Помогнете ми да уча за теста си. Какво трябва да знам за атомната структура?</v>
      </c>
      <c r="F3748" s="1" t="str">
        <f ca="1">IFERROR(__xludf.DUMMYFUNCTION("GOOGLETRANSLATE(English!F3748,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3748" s="1" t="str">
        <f ca="1">IFERROR(__xludf.DUMMYFUNCTION("GOOGLETRANSLATE(English!G3748, ""en"", ""bg"")"),"разговор")</f>
        <v>разговор</v>
      </c>
      <c r="H3748" s="1" t="str">
        <f ca="1">IFERROR(__xludf.DUMMYFUNCTION("GOOGLETRANSLATE(English!H3748, ""en"", ""bg"")"),"образователна_помощ")</f>
        <v>образователна_помощ</v>
      </c>
    </row>
    <row r="3749" spans="1:8" ht="13.2" x14ac:dyDescent="0.25">
      <c r="A3749" s="1" t="str">
        <f ca="1">IFERROR(__xludf.DUMMYFUNCTION("GOOGLETRANSLATE(English!A3749, ""en"", ""bg"")"),"hw_06995")</f>
        <v>hw_06995</v>
      </c>
      <c r="B3749" s="1" t="str">
        <f ca="1">IFERROR(__xludf.DUMMYFUNCTION("GOOGLETRANSLATE(English!B3749, ""en"", ""bg"")"),"химия")</f>
        <v>химия</v>
      </c>
      <c r="C3749" s="1" t="str">
        <f ca="1">IFERROR(__xludf.DUMMYFUNCTION("GOOGLETRANSLATE(English!C3749, ""en"", ""bg"")"),"високо")</f>
        <v>високо</v>
      </c>
      <c r="D3749" s="1" t="str">
        <f ca="1">IFERROR(__xludf.DUMMYFUNCTION("GOOGLETRANSLATE(English!D3749, ""en"", ""bg"")"),"равновесие")</f>
        <v>равновесие</v>
      </c>
      <c r="E3749" s="1" t="str">
        <f ca="1">IFERROR(__xludf.DUMMYFUNCTION("GOOGLETRANSLATE(English!E3749, ""en"", ""bg"")"),"Можете ли да ми помогнете с изчисленията за равновесие?")</f>
        <v>Можете ли да ми помогнете с изчисленията за равновесие?</v>
      </c>
      <c r="F3749" s="1" t="str">
        <f ca="1">IFERROR(__xludf.DUMMYFUNCTION("GOOGLETRANSLATE(English!F3749,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749" s="1" t="str">
        <f ca="1">IFERROR(__xludf.DUMMYFUNCTION("GOOGLETRANSLATE(English!G3749, ""en"", ""bg"")"),"помощ_за_домашно_изпълнение")</f>
        <v>помощ_за_домашно_изпълнение</v>
      </c>
      <c r="H3749" s="1" t="str">
        <f ca="1">IFERROR(__xludf.DUMMYFUNCTION("GOOGLETRANSLATE(English!H3749, ""en"", ""bg"")"),"помощ_за_домашно_задаване")</f>
        <v>помощ_за_домашно_задаване</v>
      </c>
    </row>
    <row r="3750" spans="1:8" ht="13.2" x14ac:dyDescent="0.25">
      <c r="A3750" s="1" t="str">
        <f ca="1">IFERROR(__xludf.DUMMYFUNCTION("GOOGLETRANSLATE(English!A3750, ""en"", ""bg"")"),"conv_09071")</f>
        <v>conv_09071</v>
      </c>
      <c r="B3750" s="1" t="str">
        <f ca="1">IFERROR(__xludf.DUMMYFUNCTION("GOOGLETRANSLATE(English!B3750, ""en"", ""bg"")"),"физика")</f>
        <v>физика</v>
      </c>
      <c r="C3750" s="1" t="str">
        <f ca="1">IFERROR(__xludf.DUMMYFUNCTION("GOOGLETRANSLATE(English!C3750, ""en"", ""bg"")"),"средата")</f>
        <v>средата</v>
      </c>
      <c r="D3750" s="1" t="str">
        <f ca="1">IFERROR(__xludf.DUMMYFUNCTION("GOOGLETRANSLATE(English!D3750, ""en"", ""bg"")"),"състояния на материята")</f>
        <v>състояния на материята</v>
      </c>
      <c r="E3750" s="1" t="str">
        <f ca="1">IFERROR(__xludf.DUMMYFUNCTION("GOOGLETRANSLATE(English!E3750, ""en"", ""bg"")"),"Можете ли да ми обясните това? Как функционират състоянията на материята във физиката?")</f>
        <v>Можете ли да ми обясните това? Как функционират състоянията на материята във физиката?</v>
      </c>
      <c r="F3750" s="1" t="str">
        <f ca="1">IFERROR(__xludf.DUMMYFUNCTION("GOOGLETRANSLATE(English!F3750,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3750" s="1" t="str">
        <f ca="1">IFERROR(__xludf.DUMMYFUNCTION("GOOGLETRANSLATE(English!G3750, ""en"", ""bg"")"),"разговор")</f>
        <v>разговор</v>
      </c>
      <c r="H3750" s="1" t="str">
        <f ca="1">IFERROR(__xludf.DUMMYFUNCTION("GOOGLETRANSLATE(English!H3750, ""en"", ""bg"")"),"образователна_помощ")</f>
        <v>образователна_помощ</v>
      </c>
    </row>
    <row r="3751" spans="1:8" ht="13.2" x14ac:dyDescent="0.25">
      <c r="A3751" s="1" t="str">
        <f ca="1">IFERROR(__xludf.DUMMYFUNCTION("GOOGLETRANSLATE(English!A3751, ""en"", ""bg"")"),"hw_06036")</f>
        <v>hw_06036</v>
      </c>
      <c r="B3751" s="1" t="str">
        <f ca="1">IFERROR(__xludf.DUMMYFUNCTION("GOOGLETRANSLATE(English!B3751, ""en"", ""bg"")"),"биология")</f>
        <v>биология</v>
      </c>
      <c r="C3751" s="1" t="str">
        <f ca="1">IFERROR(__xludf.DUMMYFUNCTION("GOOGLETRANSLATE(English!C3751, ""en"", ""bg"")"),"средата")</f>
        <v>средата</v>
      </c>
      <c r="D3751" s="1" t="str">
        <f ca="1">IFERROR(__xludf.DUMMYFUNCTION("GOOGLETRANSLATE(English!D3751, ""en"", ""bg"")"),"размножаване")</f>
        <v>размножаване</v>
      </c>
      <c r="E3751" s="1" t="str">
        <f ca="1">IFERROR(__xludf.DUMMYFUNCTION("GOOGLETRANSLATE(English!E3751, ""en"", ""bg"")"),"Домашното ми пита за размножаването. Не го разбирам.")</f>
        <v>Домашното ми пита за размножаването. Не го разбирам.</v>
      </c>
      <c r="F3751" s="1" t="str">
        <f ca="1">IFERROR(__xludf.DUMMYFUNCTION("GOOGLETRANSLATE(English!F3751,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751" s="1" t="str">
        <f ca="1">IFERROR(__xludf.DUMMYFUNCTION("GOOGLETRANSLATE(English!G3751, ""en"", ""bg"")"),"помощ_за_домашно_изпълнение")</f>
        <v>помощ_за_домашно_изпълнение</v>
      </c>
      <c r="H3751" s="1" t="str">
        <f ca="1">IFERROR(__xludf.DUMMYFUNCTION("GOOGLETRANSLATE(English!H3751, ""en"", ""bg"")"),"помощ_за_домашно_задаване")</f>
        <v>помощ_за_домашно_задаване</v>
      </c>
    </row>
    <row r="3752" spans="1:8" ht="13.2" x14ac:dyDescent="0.25">
      <c r="A3752" s="1" t="str">
        <f ca="1">IFERROR(__xludf.DUMMYFUNCTION("GOOGLETRANSLATE(English!A3752, ""en"", ""bg"")"),"qa_01116")</f>
        <v>qa_01116</v>
      </c>
      <c r="B3752" s="1" t="str">
        <f ca="1">IFERROR(__xludf.DUMMYFUNCTION("GOOGLETRANSLATE(English!B3752, ""en"", ""bg"")"),"химия")</f>
        <v>химия</v>
      </c>
      <c r="C3752" s="1" t="str">
        <f ca="1">IFERROR(__xludf.DUMMYFUNCTION("GOOGLETRANSLATE(English!C3752, ""en"", ""bg"")"),"високо")</f>
        <v>високо</v>
      </c>
      <c r="D3752" s="1" t="str">
        <f ca="1">IFERROR(__xludf.DUMMYFUNCTION("GOOGLETRANSLATE(English!D3752, ""en"", ""bg"")"),"скорости на реакция")</f>
        <v>скорости на реакция</v>
      </c>
      <c r="E3752" s="1" t="str">
        <f ca="1">IFERROR(__xludf.DUMMYFUNCTION("GOOGLETRANSLATE(English!E3752, ""en"", ""bg"")"),"Защо е важно да се учи скоростта на реакция?")</f>
        <v>Защо е важно да се учи скоростта на реакция?</v>
      </c>
      <c r="F3752" s="1" t="str">
        <f ca="1">IFERROR(__xludf.DUMMYFUNCTION("GOOGLETRANSLATE(English!F3752,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3752" s="1" t="str">
        <f ca="1">IFERROR(__xludf.DUMMYFUNCTION("GOOGLETRANSLATE(English!G3752, ""en"", ""bg"")"),"direct_qa")</f>
        <v>direct_qa</v>
      </c>
      <c r="H3752" s="1" t="str">
        <f ca="1">IFERROR(__xludf.DUMMYFUNCTION("GOOGLETRANSLATE(English!H3752, ""en"", ""bg"")"),"заявка_за_знание")</f>
        <v>заявка_за_знание</v>
      </c>
    </row>
    <row r="3753" spans="1:8" ht="13.2" x14ac:dyDescent="0.25">
      <c r="A3753" s="1" t="str">
        <f ca="1">IFERROR(__xludf.DUMMYFUNCTION("GOOGLETRANSLATE(English!A3753, ""en"", ""bg"")"),"conv_05045")</f>
        <v>conv_05045</v>
      </c>
      <c r="B3753" s="1" t="str">
        <f ca="1">IFERROR(__xludf.DUMMYFUNCTION("GOOGLETRANSLATE(English!B3753, ""en"", ""bg"")"),"физика")</f>
        <v>физика</v>
      </c>
      <c r="C3753" s="1" t="str">
        <f ca="1">IFERROR(__xludf.DUMMYFUNCTION("GOOGLETRANSLATE(English!C3753, ""en"", ""bg"")"),"средата")</f>
        <v>средата</v>
      </c>
      <c r="D3753" s="1" t="str">
        <f ca="1">IFERROR(__xludf.DUMMYFUNCTION("GOOGLETRANSLATE(English!D3753, ""en"", ""bg"")"),"сили и движение")</f>
        <v>сили и движение</v>
      </c>
      <c r="E3753" s="1" t="str">
        <f ca="1">IFERROR(__xludf.DUMMYFUNCTION("GOOGLETRANSLATE(English!E3753, ""en"", ""bg"")"),"Здравей, учителю! Защо предметите падат с еднаква скорост?")</f>
        <v>Здравей, учителю! Защо предметите падат с еднаква скорост?</v>
      </c>
      <c r="F3753" s="1" t="str">
        <f ca="1">IFERROR(__xludf.DUMMYFUNCTION("GOOGLETRANSLATE(English!F3753,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3753" s="1" t="str">
        <f ca="1">IFERROR(__xludf.DUMMYFUNCTION("GOOGLETRANSLATE(English!G3753, ""en"", ""bg"")"),"разговор")</f>
        <v>разговор</v>
      </c>
      <c r="H3753" s="1" t="str">
        <f ca="1">IFERROR(__xludf.DUMMYFUNCTION("GOOGLETRANSLATE(English!H3753, ""en"", ""bg"")"),"образователна_помощ")</f>
        <v>образователна_помощ</v>
      </c>
    </row>
    <row r="3754" spans="1:8" ht="13.2" x14ac:dyDescent="0.25">
      <c r="A3754" s="1" t="str">
        <f ca="1">IFERROR(__xludf.DUMMYFUNCTION("GOOGLETRANSLATE(English!A3754, ""en"", ""bg"")"),"conv_03755")</f>
        <v>conv_03755</v>
      </c>
      <c r="B3754" s="1" t="str">
        <f ca="1">IFERROR(__xludf.DUMMYFUNCTION("GOOGLETRANSLATE(English!B3754, ""en"", ""bg"")"),"биология")</f>
        <v>биология</v>
      </c>
      <c r="C3754" s="1" t="str">
        <f ca="1">IFERROR(__xludf.DUMMYFUNCTION("GOOGLETRANSLATE(English!C3754, ""en"", ""bg"")"),"елементарен")</f>
        <v>елементарен</v>
      </c>
      <c r="D3754" s="1" t="str">
        <f ca="1">IFERROR(__xludf.DUMMYFUNCTION("GOOGLETRANSLATE(English!D3754, ""en"", ""bg"")"),"основни нужди")</f>
        <v>основни нужди</v>
      </c>
      <c r="E3754" s="1" t="str">
        <f ca="1">IFERROR(__xludf.DUMMYFUNCTION("GOOGLETRANSLATE(English!E3754, ""en"", ""bg"")"),"Помогнете ми да уча за теста си. Как работят основните потребности?")</f>
        <v>Помогнете ми да уча за теста си. Как работят основните потребности?</v>
      </c>
      <c r="F3754" s="1" t="str">
        <f ca="1">IFERROR(__xludf.DUMMYFUNCTION("GOOGLETRANSLATE(English!F3754,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3754" s="1" t="str">
        <f ca="1">IFERROR(__xludf.DUMMYFUNCTION("GOOGLETRANSLATE(English!G3754, ""en"", ""bg"")"),"разговор")</f>
        <v>разговор</v>
      </c>
      <c r="H3754" s="1" t="str">
        <f ca="1">IFERROR(__xludf.DUMMYFUNCTION("GOOGLETRANSLATE(English!H3754, ""en"", ""bg"")"),"образователна_помощ")</f>
        <v>образователна_помощ</v>
      </c>
    </row>
    <row r="3755" spans="1:8" ht="13.2" x14ac:dyDescent="0.25">
      <c r="A3755" s="1" t="str">
        <f ca="1">IFERROR(__xludf.DUMMYFUNCTION("GOOGLETRANSLATE(English!A3755, ""en"", ""bg"")"),"hw_00540")</f>
        <v>hw_00540</v>
      </c>
      <c r="B3755" s="1" t="str">
        <f ca="1">IFERROR(__xludf.DUMMYFUNCTION("GOOGLETRANSLATE(English!B3755, ""en"", ""bg"")"),"физика")</f>
        <v>физика</v>
      </c>
      <c r="C3755" s="1" t="str">
        <f ca="1">IFERROR(__xludf.DUMMYFUNCTION("GOOGLETRANSLATE(English!C3755, ""en"", ""bg"")"),"високо")</f>
        <v>високо</v>
      </c>
      <c r="D3755" s="1" t="str">
        <f ca="1">IFERROR(__xludf.DUMMYFUNCTION("GOOGLETRANSLATE(English!D3755, ""en"", ""bg"")"),"електромагнетизъм")</f>
        <v>електромагнетизъм</v>
      </c>
      <c r="E3755" s="1" t="str">
        <f ca="1">IFERROR(__xludf.DUMMYFUNCTION("GOOGLETRANSLATE(English!E3755, ""en"", ""bg"")"),"Можете ли да решите този въпрос по електромагнетизъм с мен?")</f>
        <v>Можете ли да решите този въпрос по електромагнетизъм с мен?</v>
      </c>
      <c r="F3755" s="1" t="str">
        <f ca="1">IFERROR(__xludf.DUMMYFUNCTION("GOOGLETRANSLATE(English!F3755,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3755" s="1" t="str">
        <f ca="1">IFERROR(__xludf.DUMMYFUNCTION("GOOGLETRANSLATE(English!G3755, ""en"", ""bg"")"),"помощ_за_домашно_изпълнение")</f>
        <v>помощ_за_домашно_изпълнение</v>
      </c>
      <c r="H3755" s="1" t="str">
        <f ca="1">IFERROR(__xludf.DUMMYFUNCTION("GOOGLETRANSLATE(English!H3755, ""en"", ""bg"")"),"помощ_за_домашно_задаване")</f>
        <v>помощ_за_домашно_задаване</v>
      </c>
    </row>
    <row r="3756" spans="1:8" ht="13.2" x14ac:dyDescent="0.25">
      <c r="A3756" s="1" t="str">
        <f ca="1">IFERROR(__xludf.DUMMYFUNCTION("GOOGLETRANSLATE(English!A3756, ""en"", ""bg"")"),"hw_12066")</f>
        <v>hw_12066</v>
      </c>
      <c r="B3756" s="1" t="str">
        <f ca="1">IFERROR(__xludf.DUMMYFUNCTION("GOOGLETRANSLATE(English!B3756, ""en"", ""bg"")"),"химия")</f>
        <v>химия</v>
      </c>
      <c r="C3756" s="1" t="str">
        <f ca="1">IFERROR(__xludf.DUMMYFUNCTION("GOOGLETRANSLATE(English!C3756, ""en"", ""bg"")"),"елементарен")</f>
        <v>елементарен</v>
      </c>
      <c r="D3756" s="1" t="str">
        <f ca="1">IFERROR(__xludf.DUMMYFUNCTION("GOOGLETRANSLATE(English!D3756, ""en"", ""bg"")"),"безопасност")</f>
        <v>безопасност</v>
      </c>
      <c r="E3756" s="1" t="str">
        <f ca="1">IFERROR(__xludf.DUMMYFUNCTION("GOOGLETRANSLATE(English!E3756, ""en"", ""bg"")"),"Можете ли да ми помогнете с изчисленията за безопасност?")</f>
        <v>Можете ли да ми помогнете с изчисленията за безопасност?</v>
      </c>
      <c r="F3756" s="1" t="str">
        <f ca="1">IFERROR(__xludf.DUMMYFUNCTION("GOOGLETRANSLATE(English!F3756,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756" s="1" t="str">
        <f ca="1">IFERROR(__xludf.DUMMYFUNCTION("GOOGLETRANSLATE(English!G3756, ""en"", ""bg"")"),"помощ_за_домашно_изпълнение")</f>
        <v>помощ_за_домашно_изпълнение</v>
      </c>
      <c r="H3756" s="1" t="str">
        <f ca="1">IFERROR(__xludf.DUMMYFUNCTION("GOOGLETRANSLATE(English!H3756, ""en"", ""bg"")"),"помощ_за_домашно_задаване")</f>
        <v>помощ_за_домашно_задаване</v>
      </c>
    </row>
    <row r="3757" spans="1:8" ht="13.2" x14ac:dyDescent="0.25">
      <c r="A3757" s="1" t="str">
        <f ca="1">IFERROR(__xludf.DUMMYFUNCTION("GOOGLETRANSLATE(English!A3757, ""en"", ""bg"")"),"conv_04540")</f>
        <v>conv_04540</v>
      </c>
      <c r="B3757" s="1" t="str">
        <f ca="1">IFERROR(__xludf.DUMMYFUNCTION("GOOGLETRANSLATE(English!B3757, ""en"", ""bg"")"),"химия")</f>
        <v>химия</v>
      </c>
      <c r="C3757" s="1" t="str">
        <f ca="1">IFERROR(__xludf.DUMMYFUNCTION("GOOGLETRANSLATE(English!C3757, ""en"", ""bg"")"),"високо")</f>
        <v>високо</v>
      </c>
      <c r="D3757" s="1" t="str">
        <f ca="1">IFERROR(__xludf.DUMMYFUNCTION("GOOGLETRANSLATE(English!D3757, ""en"", ""bg"")"),"стехиометрия")</f>
        <v>стехиометрия</v>
      </c>
      <c r="E3757" s="1" t="str">
        <f ca="1">IFERROR(__xludf.DUMMYFUNCTION("GOOGLETRANSLATE(English!E3757, ""en"", ""bg"")"),"Не разбирам тази тема. Как работи стехиометрията в химията?")</f>
        <v>Не разбирам тази тема. Как работи стехиометрията в химията?</v>
      </c>
      <c r="F3757" s="1" t="str">
        <f ca="1">IFERROR(__xludf.DUMMYFUNCTION("GOOGLETRANSLATE(English!F3757,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3757" s="1" t="str">
        <f ca="1">IFERROR(__xludf.DUMMYFUNCTION("GOOGLETRANSLATE(English!G3757, ""en"", ""bg"")"),"разговор")</f>
        <v>разговор</v>
      </c>
      <c r="H3757" s="1" t="str">
        <f ca="1">IFERROR(__xludf.DUMMYFUNCTION("GOOGLETRANSLATE(English!H3757, ""en"", ""bg"")"),"образователна_помощ")</f>
        <v>образователна_помощ</v>
      </c>
    </row>
    <row r="3758" spans="1:8" ht="13.2" x14ac:dyDescent="0.25">
      <c r="A3758" s="1" t="str">
        <f ca="1">IFERROR(__xludf.DUMMYFUNCTION("GOOGLETRANSLATE(English!A3758, ""en"", ""bg"")"),"conv_16267")</f>
        <v>conv_16267</v>
      </c>
      <c r="B3758" s="1" t="str">
        <f ca="1">IFERROR(__xludf.DUMMYFUNCTION("GOOGLETRANSLATE(English!B3758, ""en"", ""bg"")"),"физика")</f>
        <v>физика</v>
      </c>
      <c r="C3758" s="1" t="str">
        <f ca="1">IFERROR(__xludf.DUMMYFUNCTION("GOOGLETRANSLATE(English!C3758, ""en"", ""bg"")"),"елементарен")</f>
        <v>елементарен</v>
      </c>
      <c r="D3758" s="1" t="str">
        <f ca="1">IFERROR(__xludf.DUMMYFUNCTION("GOOGLETRANSLATE(English!D3758, ""en"", ""bg"")"),"прости машини")</f>
        <v>прости машини</v>
      </c>
      <c r="E3758" s="1" t="str">
        <f ca="1">IFERROR(__xludf.DUMMYFUNCTION("GOOGLETRANSLATE(English!E3758, ""en"", ""bg"")"),"Здравей, преподавателю! Можеш ли да ми обясниш прости машини?")</f>
        <v>Здравей, преподавателю! Можеш ли да ми обясниш прости машини?</v>
      </c>
      <c r="F3758" s="1" t="str">
        <f ca="1">IFERROR(__xludf.DUMMYFUNCTION("GOOGLETRANSLATE(English!F3758,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3758" s="1" t="str">
        <f ca="1">IFERROR(__xludf.DUMMYFUNCTION("GOOGLETRANSLATE(English!G3758, ""en"", ""bg"")"),"разговор")</f>
        <v>разговор</v>
      </c>
      <c r="H3758" s="1" t="str">
        <f ca="1">IFERROR(__xludf.DUMMYFUNCTION("GOOGLETRANSLATE(English!H3758, ""en"", ""bg"")"),"образователна_помощ")</f>
        <v>образователна_помощ</v>
      </c>
    </row>
    <row r="3759" spans="1:8" ht="13.2" x14ac:dyDescent="0.25">
      <c r="A3759" s="1" t="str">
        <f ca="1">IFERROR(__xludf.DUMMYFUNCTION("GOOGLETRANSLATE(English!A3759, ""en"", ""bg"")"),"hw_05387")</f>
        <v>hw_05387</v>
      </c>
      <c r="B3759" s="1" t="str">
        <f ca="1">IFERROR(__xludf.DUMMYFUNCTION("GOOGLETRANSLATE(English!B3759, ""en"", ""bg"")"),"химия")</f>
        <v>химия</v>
      </c>
      <c r="C3759" s="1" t="str">
        <f ca="1">IFERROR(__xludf.DUMMYFUNCTION("GOOGLETRANSLATE(English!C3759, ""en"", ""bg"")"),"елементарен")</f>
        <v>елементарен</v>
      </c>
      <c r="D3759" s="1" t="str">
        <f ca="1">IFERROR(__xludf.DUMMYFUNCTION("GOOGLETRANSLATE(English!D3759, ""en"", ""bg"")"),"смесване на материали")</f>
        <v>смесване на материали</v>
      </c>
      <c r="E3759" s="1" t="str">
        <f ca="1">IFERROR(__xludf.DUMMYFUNCTION("GOOGLETRANSLATE(English!E3759, ""en"", ""bg"")"),"Можете ли да ми помогнете с изчисленията за смесване на материали?")</f>
        <v>Можете ли да ми помогнете с изчисленията за смесване на материали?</v>
      </c>
      <c r="F3759" s="1" t="str">
        <f ca="1">IFERROR(__xludf.DUMMYFUNCTION("GOOGLETRANSLATE(English!F3759,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759" s="1" t="str">
        <f ca="1">IFERROR(__xludf.DUMMYFUNCTION("GOOGLETRANSLATE(English!G3759, ""en"", ""bg"")"),"помощ_за_домашно_изпълнение")</f>
        <v>помощ_за_домашно_изпълнение</v>
      </c>
      <c r="H3759" s="1" t="str">
        <f ca="1">IFERROR(__xludf.DUMMYFUNCTION("GOOGLETRANSLATE(English!H3759, ""en"", ""bg"")"),"помощ_за_домашно_задаване")</f>
        <v>помощ_за_домашно_задаване</v>
      </c>
    </row>
    <row r="3760" spans="1:8" ht="13.2" x14ac:dyDescent="0.25">
      <c r="A3760" s="1" t="str">
        <f ca="1">IFERROR(__xludf.DUMMYFUNCTION("GOOGLETRANSLATE(English!A3760, ""en"", ""bg"")"),"conv_03980")</f>
        <v>conv_03980</v>
      </c>
      <c r="B3760" s="1" t="str">
        <f ca="1">IFERROR(__xludf.DUMMYFUNCTION("GOOGLETRANSLATE(English!B3760, ""en"", ""bg"")"),"биология")</f>
        <v>биология</v>
      </c>
      <c r="C3760" s="1" t="str">
        <f ca="1">IFERROR(__xludf.DUMMYFUNCTION("GOOGLETRANSLATE(English!C3760, ""en"", ""bg"")"),"елементарен")</f>
        <v>елементарен</v>
      </c>
      <c r="D3760" s="1" t="str">
        <f ca="1">IFERROR(__xludf.DUMMYFUNCTION("GOOGLETRANSLATE(English!D3760, ""en"", ""bg"")"),"домашни любимци срещу диви животни")</f>
        <v>домашни любимци срещу диви животни</v>
      </c>
      <c r="E3760" s="1" t="str">
        <f ca="1">IFERROR(__xludf.DUMMYFUNCTION("GOOGLETRANSLATE(English!E3760, ""en"", ""bg"")"),"Не разбирам тази тема. Какво е важно да знаем за домашните любимци спрямо дивите животни?")</f>
        <v>Не разбирам тази тема. Какво е важно да знаем за домашните любимци спрямо дивите животни?</v>
      </c>
      <c r="F3760" s="1" t="str">
        <f ca="1">IFERROR(__xludf.DUMMYFUNCTION("GOOGLETRANSLATE(English!F3760,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3760" s="1" t="str">
        <f ca="1">IFERROR(__xludf.DUMMYFUNCTION("GOOGLETRANSLATE(English!G3760, ""en"", ""bg"")"),"разговор")</f>
        <v>разговор</v>
      </c>
      <c r="H3760" s="1" t="str">
        <f ca="1">IFERROR(__xludf.DUMMYFUNCTION("GOOGLETRANSLATE(English!H3760, ""en"", ""bg"")"),"образователна_помощ")</f>
        <v>образователна_помощ</v>
      </c>
    </row>
    <row r="3761" spans="1:8" ht="13.2" x14ac:dyDescent="0.25">
      <c r="A3761" s="1" t="str">
        <f ca="1">IFERROR(__xludf.DUMMYFUNCTION("GOOGLETRANSLATE(English!A3761, ""en"", ""bg"")"),"conv_07806")</f>
        <v>conv_07806</v>
      </c>
      <c r="B3761" s="1" t="str">
        <f ca="1">IFERROR(__xludf.DUMMYFUNCTION("GOOGLETRANSLATE(English!B3761, ""en"", ""bg"")"),"физика")</f>
        <v>физика</v>
      </c>
      <c r="C3761" s="1" t="str">
        <f ca="1">IFERROR(__xludf.DUMMYFUNCTION("GOOGLETRANSLATE(English!C3761, ""en"", ""bg"")"),"високо")</f>
        <v>високо</v>
      </c>
      <c r="D3761" s="1" t="str">
        <f ca="1">IFERROR(__xludf.DUMMYFUNCTION("GOOGLETRANSLATE(English!D3761, ""en"", ""bg"")"),"електромагнетизъм")</f>
        <v>електромагнетизъм</v>
      </c>
      <c r="E3761" s="1" t="str">
        <f ca="1">IFERROR(__xludf.DUMMYFUNCTION("GOOGLETRANSLATE(English!E3761, ""en"", ""bg"")"),"Имам нужда от помощ с домашното. Можете ли да ми обясните електромагнетизма?")</f>
        <v>Имам нужда от помощ с домашното. Можете ли да ми обясните електромагнетизма?</v>
      </c>
      <c r="F3761" s="1" t="str">
        <f ca="1">IFERROR(__xludf.DUMMYFUNCTION("GOOGLETRANSLATE(English!F3761,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3761" s="1" t="str">
        <f ca="1">IFERROR(__xludf.DUMMYFUNCTION("GOOGLETRANSLATE(English!G3761, ""en"", ""bg"")"),"разговор")</f>
        <v>разговор</v>
      </c>
      <c r="H3761" s="1" t="str">
        <f ca="1">IFERROR(__xludf.DUMMYFUNCTION("GOOGLETRANSLATE(English!H3761, ""en"", ""bg"")"),"образователна_помощ")</f>
        <v>образователна_помощ</v>
      </c>
    </row>
    <row r="3762" spans="1:8" ht="13.2" x14ac:dyDescent="0.25">
      <c r="A3762" s="1" t="str">
        <f ca="1">IFERROR(__xludf.DUMMYFUNCTION("GOOGLETRANSLATE(English!A3762, ""en"", ""bg"")"),"qa_04359")</f>
        <v>qa_04359</v>
      </c>
      <c r="B3762" s="1" t="str">
        <f ca="1">IFERROR(__xludf.DUMMYFUNCTION("GOOGLETRANSLATE(English!B3762, ""en"", ""bg"")"),"химия")</f>
        <v>химия</v>
      </c>
      <c r="C3762" s="1" t="str">
        <f ca="1">IFERROR(__xludf.DUMMYFUNCTION("GOOGLETRANSLATE(English!C3762, ""en"", ""bg"")"),"средата")</f>
        <v>средата</v>
      </c>
      <c r="D3762" s="1" t="str">
        <f ca="1">IFERROR(__xludf.DUMMYFUNCTION("GOOGLETRANSLATE(English!D3762, ""en"", ""bg"")"),"съединения срещу елементи")</f>
        <v>съединения срещу елементи</v>
      </c>
      <c r="E3762" s="1" t="str">
        <f ca="1">IFERROR(__xludf.DUMMYFUNCTION("GOOGLETRANSLATE(English!E3762, ""en"", ""bg"")"),"Какво представляват съединенията срещу елементите?")</f>
        <v>Какво представляват съединенията срещу елементите?</v>
      </c>
      <c r="F3762" s="1" t="str">
        <f ca="1">IFERROR(__xludf.DUMMYFUNCTION("GOOGLETRANSLATE(English!F3762,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3762" s="1" t="str">
        <f ca="1">IFERROR(__xludf.DUMMYFUNCTION("GOOGLETRANSLATE(English!G3762, ""en"", ""bg"")"),"direct_qa")</f>
        <v>direct_qa</v>
      </c>
      <c r="H3762" s="1" t="str">
        <f ca="1">IFERROR(__xludf.DUMMYFUNCTION("GOOGLETRANSLATE(English!H3762, ""en"", ""bg"")"),"заявка_за_знание")</f>
        <v>заявка_за_знание</v>
      </c>
    </row>
    <row r="3763" spans="1:8" ht="13.2" x14ac:dyDescent="0.25">
      <c r="A3763" s="1" t="str">
        <f ca="1">IFERROR(__xludf.DUMMYFUNCTION("GOOGLETRANSLATE(English!A3763, ""en"", ""bg"")"),"qa_03682")</f>
        <v>qa_03682</v>
      </c>
      <c r="B3763" s="1" t="str">
        <f ca="1">IFERROR(__xludf.DUMMYFUNCTION("GOOGLETRANSLATE(English!B3763, ""en"", ""bg"")"),"физика")</f>
        <v>физика</v>
      </c>
      <c r="C3763" s="1" t="str">
        <f ca="1">IFERROR(__xludf.DUMMYFUNCTION("GOOGLETRANSLATE(English!C3763, ""en"", ""bg"")"),"средата")</f>
        <v>средата</v>
      </c>
      <c r="D3763" s="1" t="str">
        <f ca="1">IFERROR(__xludf.DUMMYFUNCTION("GOOGLETRANSLATE(English!D3763, ""en"", ""bg"")"),"прости схеми")</f>
        <v>прости схеми</v>
      </c>
      <c r="E3763" s="1" t="str">
        <f ca="1">IFERROR(__xludf.DUMMYFUNCTION("GOOGLETRANSLATE(English!E3763, ""en"", ""bg"")"),"Как работят прости електрически вериги във физиката?")</f>
        <v>Как работят прости електрически вериги във физиката?</v>
      </c>
      <c r="F3763" s="1" t="str">
        <f ca="1">IFERROR(__xludf.DUMMYFUNCTION("GOOGLETRANSLATE(English!F3763,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3763" s="1" t="str">
        <f ca="1">IFERROR(__xludf.DUMMYFUNCTION("GOOGLETRANSLATE(English!G3763, ""en"", ""bg"")"),"direct_qa")</f>
        <v>direct_qa</v>
      </c>
      <c r="H3763" s="1" t="str">
        <f ca="1">IFERROR(__xludf.DUMMYFUNCTION("GOOGLETRANSLATE(English!H3763, ""en"", ""bg"")"),"заявка_за_знание")</f>
        <v>заявка_за_знание</v>
      </c>
    </row>
    <row r="3764" spans="1:8" ht="13.2" x14ac:dyDescent="0.25">
      <c r="A3764" s="1" t="str">
        <f ca="1">IFERROR(__xludf.DUMMYFUNCTION("GOOGLETRANSLATE(English!A3764, ""en"", ""bg"")"),"conv_05414")</f>
        <v>conv_05414</v>
      </c>
      <c r="B3764" s="1" t="str">
        <f ca="1">IFERROR(__xludf.DUMMYFUNCTION("GOOGLETRANSLATE(English!B3764, ""en"", ""bg"")"),"биология")</f>
        <v>биология</v>
      </c>
      <c r="C3764" s="1" t="str">
        <f ca="1">IFERROR(__xludf.DUMMYFUNCTION("GOOGLETRANSLATE(English!C3764, ""en"", ""bg"")"),"високо")</f>
        <v>високо</v>
      </c>
      <c r="D3764" s="1" t="str">
        <f ca="1">IFERROR(__xludf.DUMMYFUNCTION("GOOGLETRANSLATE(English!D3764, ""en"", ""bg"")"),"митоза и мейоза")</f>
        <v>митоза и мейоза</v>
      </c>
      <c r="E3764" s="1" t="str">
        <f ca="1">IFERROR(__xludf.DUMMYFUNCTION("GOOGLETRANSLATE(English!E3764, ""en"", ""bg"")"),"Не разбирам тази тема. Можете ли да ми разкажете за митозата и мейозата?")</f>
        <v>Не разбирам тази тема. Можете ли да ми разкажете за митозата и мейозата?</v>
      </c>
      <c r="F3764" s="1" t="str">
        <f ca="1">IFERROR(__xludf.DUMMYFUNCTION("GOOGLETRANSLATE(English!F3764,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3764" s="1" t="str">
        <f ca="1">IFERROR(__xludf.DUMMYFUNCTION("GOOGLETRANSLATE(English!G3764, ""en"", ""bg"")"),"разговор")</f>
        <v>разговор</v>
      </c>
      <c r="H3764" s="1" t="str">
        <f ca="1">IFERROR(__xludf.DUMMYFUNCTION("GOOGLETRANSLATE(English!H3764, ""en"", ""bg"")"),"образователна_помощ")</f>
        <v>образователна_помощ</v>
      </c>
    </row>
    <row r="3765" spans="1:8" ht="13.2" x14ac:dyDescent="0.25">
      <c r="A3765" s="1" t="str">
        <f ca="1">IFERROR(__xludf.DUMMYFUNCTION("GOOGLETRANSLATE(English!A3765, ""en"", ""bg"")"),"conv_01839")</f>
        <v>conv_01839</v>
      </c>
      <c r="B3765" s="1" t="str">
        <f ca="1">IFERROR(__xludf.DUMMYFUNCTION("GOOGLETRANSLATE(English!B3765, ""en"", ""bg"")"),"физика")</f>
        <v>физика</v>
      </c>
      <c r="C3765" s="1" t="str">
        <f ca="1">IFERROR(__xludf.DUMMYFUNCTION("GOOGLETRANSLATE(English!C3765, ""en"", ""bg"")"),"средата")</f>
        <v>средата</v>
      </c>
      <c r="D3765" s="1" t="str">
        <f ca="1">IFERROR(__xludf.DUMMYFUNCTION("GOOGLETRANSLATE(English!D3765, ""en"", ""bg"")"),"прости схеми")</f>
        <v>прости схеми</v>
      </c>
      <c r="E3765" s="1" t="str">
        <f ca="1">IFERROR(__xludf.DUMMYFUNCTION("GOOGLETRANSLATE(English!E3765, ""en"", ""bg"")"),"Имам научен въпрос. Защо простите електрически вериги са важни?")</f>
        <v>Имам научен въпрос. Защо простите електрически вериги са важни?</v>
      </c>
      <c r="F3765" s="1" t="str">
        <f ca="1">IFERROR(__xludf.DUMMYFUNCTION("GOOGLETRANSLATE(English!F3765,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3765" s="1" t="str">
        <f ca="1">IFERROR(__xludf.DUMMYFUNCTION("GOOGLETRANSLATE(English!G3765, ""en"", ""bg"")"),"разговор")</f>
        <v>разговор</v>
      </c>
      <c r="H3765" s="1" t="str">
        <f ca="1">IFERROR(__xludf.DUMMYFUNCTION("GOOGLETRANSLATE(English!H3765, ""en"", ""bg"")"),"образователна_помощ")</f>
        <v>образователна_помощ</v>
      </c>
    </row>
    <row r="3766" spans="1:8" ht="13.2" x14ac:dyDescent="0.25">
      <c r="A3766" s="1" t="str">
        <f ca="1">IFERROR(__xludf.DUMMYFUNCTION("GOOGLETRANSLATE(English!A3766, ""en"", ""bg"")"),"conv_10994")</f>
        <v>conv_10994</v>
      </c>
      <c r="B3766" s="1" t="str">
        <f ca="1">IFERROR(__xludf.DUMMYFUNCTION("GOOGLETRANSLATE(English!B3766, ""en"", ""bg"")"),"биология")</f>
        <v>биология</v>
      </c>
      <c r="C3766" s="1" t="str">
        <f ca="1">IFERROR(__xludf.DUMMYFUNCTION("GOOGLETRANSLATE(English!C3766, ""en"", ""bg"")"),"средата")</f>
        <v>средата</v>
      </c>
      <c r="D3766" s="1" t="str">
        <f ca="1">IFERROR(__xludf.DUMMYFUNCTION("GOOGLETRANSLATE(English!D3766, ""en"", ""bg"")"),"размножаване")</f>
        <v>размножаване</v>
      </c>
      <c r="E3766" s="1" t="str">
        <f ca="1">IFERROR(__xludf.DUMMYFUNCTION("GOOGLETRANSLATE(English!E3766, ""en"", ""bg"")"),"Не разбирам тази тема. Можете ли да ми кажете за размножаването?")</f>
        <v>Не разбирам тази тема. Можете ли да ми кажете за размножаването?</v>
      </c>
      <c r="F3766" s="1" t="str">
        <f ca="1">IFERROR(__xludf.DUMMYFUNCTION("GOOGLETRANSLATE(English!F3766,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3766" s="1" t="str">
        <f ca="1">IFERROR(__xludf.DUMMYFUNCTION("GOOGLETRANSLATE(English!G3766, ""en"", ""bg"")"),"разговор")</f>
        <v>разговор</v>
      </c>
      <c r="H3766" s="1" t="str">
        <f ca="1">IFERROR(__xludf.DUMMYFUNCTION("GOOGLETRANSLATE(English!H3766, ""en"", ""bg"")"),"образователна_помощ")</f>
        <v>образователна_помощ</v>
      </c>
    </row>
    <row r="3767" spans="1:8" ht="13.2" x14ac:dyDescent="0.25">
      <c r="A3767" s="1" t="str">
        <f ca="1">IFERROR(__xludf.DUMMYFUNCTION("GOOGLETRANSLATE(English!A3767, ""en"", ""bg"")"),"hw_13076")</f>
        <v>hw_13076</v>
      </c>
      <c r="B3767" s="1" t="str">
        <f ca="1">IFERROR(__xludf.DUMMYFUNCTION("GOOGLETRANSLATE(English!B3767, ""en"", ""bg"")"),"биология")</f>
        <v>биология</v>
      </c>
      <c r="C3767" s="1" t="str">
        <f ca="1">IFERROR(__xludf.DUMMYFUNCTION("GOOGLETRANSLATE(English!C3767, ""en"", ""bg"")"),"елементарен")</f>
        <v>елементарен</v>
      </c>
      <c r="D3767" s="1" t="str">
        <f ca="1">IFERROR(__xludf.DUMMYFUNCTION("GOOGLETRANSLATE(English!D3767, ""en"", ""bg"")"),"растения")</f>
        <v>растения</v>
      </c>
      <c r="E3767" s="1" t="str">
        <f ca="1">IFERROR(__xludf.DUMMYFUNCTION("GOOGLETRANSLATE(English!E3767, ""en"", ""bg"")"),"Трябва да напиша доклад за растенията. Можете ли да ми помогнете да започна?")</f>
        <v>Трябва да напиша доклад за растенията. Можете ли да ми помогнете да започна?</v>
      </c>
      <c r="F3767" s="1" t="str">
        <f ca="1">IFERROR(__xludf.DUMMYFUNCTION("GOOGLETRANSLATE(English!F3767,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3767" s="1" t="str">
        <f ca="1">IFERROR(__xludf.DUMMYFUNCTION("GOOGLETRANSLATE(English!G3767, ""en"", ""bg"")"),"помощ_за_домашно_изпълнение")</f>
        <v>помощ_за_домашно_изпълнение</v>
      </c>
      <c r="H3767" s="1" t="str">
        <f ca="1">IFERROR(__xludf.DUMMYFUNCTION("GOOGLETRANSLATE(English!H3767, ""en"", ""bg"")"),"помощ_за_домашно_задаване")</f>
        <v>помощ_за_домашно_задаване</v>
      </c>
    </row>
    <row r="3768" spans="1:8" ht="13.2" x14ac:dyDescent="0.25">
      <c r="A3768" s="1" t="str">
        <f ca="1">IFERROR(__xludf.DUMMYFUNCTION("GOOGLETRANSLATE(English!A3768, ""en"", ""bg"")"),"conv_09585")</f>
        <v>conv_09585</v>
      </c>
      <c r="B3768" s="1" t="str">
        <f ca="1">IFERROR(__xludf.DUMMYFUNCTION("GOOGLETRANSLATE(English!B3768, ""en"", ""bg"")"),"физика")</f>
        <v>физика</v>
      </c>
      <c r="C3768" s="1" t="str">
        <f ca="1">IFERROR(__xludf.DUMMYFUNCTION("GOOGLETRANSLATE(English!C3768, ""en"", ""bg"")"),"средата")</f>
        <v>средата</v>
      </c>
      <c r="D3768" s="1" t="str">
        <f ca="1">IFERROR(__xludf.DUMMYFUNCTION("GOOGLETRANSLATE(English!D3768, ""en"", ""bg"")"),"сили и движение")</f>
        <v>сили и движение</v>
      </c>
      <c r="E3768" s="1" t="str">
        <f ca="1">IFERROR(__xludf.DUMMYFUNCTION("GOOGLETRANSLATE(English!E3768, ""en"", ""bg"")"),"Помогни ми да уча за теста си. Какъв е първият закон на Нютон?")</f>
        <v>Помогни ми да уча за теста си. Какъв е първият закон на Нютон?</v>
      </c>
      <c r="F3768" s="1" t="str">
        <f ca="1">IFERROR(__xludf.DUMMYFUNCTION("GOOGLETRANSLATE(English!F3768,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3768" s="1" t="str">
        <f ca="1">IFERROR(__xludf.DUMMYFUNCTION("GOOGLETRANSLATE(English!G3768, ""en"", ""bg"")"),"разговор")</f>
        <v>разговор</v>
      </c>
      <c r="H3768" s="1" t="str">
        <f ca="1">IFERROR(__xludf.DUMMYFUNCTION("GOOGLETRANSLATE(English!H3768, ""en"", ""bg"")"),"образователна_помощ")</f>
        <v>образователна_помощ</v>
      </c>
    </row>
    <row r="3769" spans="1:8" ht="13.2" x14ac:dyDescent="0.25">
      <c r="A3769" s="1" t="str">
        <f ca="1">IFERROR(__xludf.DUMMYFUNCTION("GOOGLETRANSLATE(English!A3769, ""en"", ""bg"")"),"conv_02920")</f>
        <v>conv_02920</v>
      </c>
      <c r="B3769" s="1" t="str">
        <f ca="1">IFERROR(__xludf.DUMMYFUNCTION("GOOGLETRANSLATE(English!B3769, ""en"", ""bg"")"),"физика")</f>
        <v>физика</v>
      </c>
      <c r="C3769" s="1" t="str">
        <f ca="1">IFERROR(__xludf.DUMMYFUNCTION("GOOGLETRANSLATE(English!C3769, ""en"", ""bg"")"),"високо")</f>
        <v>високо</v>
      </c>
      <c r="D3769" s="1" t="str">
        <f ca="1">IFERROR(__xludf.DUMMYFUNCTION("GOOGLETRANSLATE(English!D3769, ""en"", ""bg"")"),"атомна структура")</f>
        <v>атомна структура</v>
      </c>
      <c r="E3769" s="1" t="str">
        <f ca="1">IFERROR(__xludf.DUMMYFUNCTION("GOOGLETRANSLATE(English!E3769, ""en"", ""bg"")"),"Имам нужда от помощ с домашното си. Защо атомната структура е важна?")</f>
        <v>Имам нужда от помощ с домашното си. Защо атомната структура е важна?</v>
      </c>
      <c r="F3769" s="1" t="str">
        <f ca="1">IFERROR(__xludf.DUMMYFUNCTION("GOOGLETRANSLATE(English!F3769,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3769" s="1" t="str">
        <f ca="1">IFERROR(__xludf.DUMMYFUNCTION("GOOGLETRANSLATE(English!G3769, ""en"", ""bg"")"),"разговор")</f>
        <v>разговор</v>
      </c>
      <c r="H3769" s="1" t="str">
        <f ca="1">IFERROR(__xludf.DUMMYFUNCTION("GOOGLETRANSLATE(English!H3769, ""en"", ""bg"")"),"образователна_помощ")</f>
        <v>образователна_помощ</v>
      </c>
    </row>
    <row r="3770" spans="1:8" ht="13.2" x14ac:dyDescent="0.25">
      <c r="A3770" s="1" t="str">
        <f ca="1">IFERROR(__xludf.DUMMYFUNCTION("GOOGLETRANSLATE(English!A3770, ""en"", ""bg"")"),"hw_10944")</f>
        <v>hw_10944</v>
      </c>
      <c r="B3770" s="1" t="str">
        <f ca="1">IFERROR(__xludf.DUMMYFUNCTION("GOOGLETRANSLATE(English!B3770, ""en"", ""bg"")"),"химия")</f>
        <v>химия</v>
      </c>
      <c r="C3770" s="1" t="str">
        <f ca="1">IFERROR(__xludf.DUMMYFUNCTION("GOOGLETRANSLATE(English!C3770, ""en"", ""bg"")"),"елементарен")</f>
        <v>елементарен</v>
      </c>
      <c r="D3770" s="1" t="str">
        <f ca="1">IFERROR(__xludf.DUMMYFUNCTION("GOOGLETRANSLATE(English!D3770, ""en"", ""bg"")"),"твърди вещества, течности, газове")</f>
        <v>твърди вещества, течности, газове</v>
      </c>
      <c r="E3770" s="1" t="str">
        <f ca="1">IFERROR(__xludf.DUMMYFUNCTION("GOOGLETRANSLATE(English!E3770,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3770" s="1" t="str">
        <f ca="1">IFERROR(__xludf.DUMMYFUNCTION("GOOGLETRANSLATE(English!F3770,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3770" s="1" t="str">
        <f ca="1">IFERROR(__xludf.DUMMYFUNCTION("GOOGLETRANSLATE(English!G3770, ""en"", ""bg"")"),"помощ_за_домашно_изпълнение")</f>
        <v>помощ_за_домашно_изпълнение</v>
      </c>
      <c r="H3770" s="1" t="str">
        <f ca="1">IFERROR(__xludf.DUMMYFUNCTION("GOOGLETRANSLATE(English!H3770, ""en"", ""bg"")"),"помощ_за_домашно_задаване")</f>
        <v>помощ_за_домашно_задаване</v>
      </c>
    </row>
    <row r="3771" spans="1:8" ht="13.2" x14ac:dyDescent="0.25">
      <c r="A3771" s="1" t="str">
        <f ca="1">IFERROR(__xludf.DUMMYFUNCTION("GOOGLETRANSLATE(English!A3771, ""en"", ""bg"")"),"conv_11429")</f>
        <v>conv_11429</v>
      </c>
      <c r="B3771" s="1" t="str">
        <f ca="1">IFERROR(__xludf.DUMMYFUNCTION("GOOGLETRANSLATE(English!B3771, ""en"", ""bg"")"),"химия")</f>
        <v>химия</v>
      </c>
      <c r="C3771" s="1" t="str">
        <f ca="1">IFERROR(__xludf.DUMMYFUNCTION("GOOGLETRANSLATE(English!C3771, ""en"", ""bg"")"),"средата")</f>
        <v>средата</v>
      </c>
      <c r="D3771" s="1" t="str">
        <f ca="1">IFERROR(__xludf.DUMMYFUNCTION("GOOGLETRANSLATE(English!D3771, ""en"", ""bg"")"),"атоми и молекули")</f>
        <v>атоми и молекули</v>
      </c>
      <c r="E3771" s="1" t="str">
        <f ca="1">IFERROR(__xludf.DUMMYFUNCTION("GOOGLETRANSLATE(English!E3771, ""en"", ""bg"")"),"Помогнете ми да уча за теста си. По какво се различават атомите и молекулите?")</f>
        <v>Помогнете ми да уча за теста си. По какво се различават атомите и молекулите?</v>
      </c>
      <c r="F3771" s="1" t="str">
        <f ca="1">IFERROR(__xludf.DUMMYFUNCTION("GOOGLETRANSLATE(English!F3771,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3771" s="1" t="str">
        <f ca="1">IFERROR(__xludf.DUMMYFUNCTION("GOOGLETRANSLATE(English!G3771, ""en"", ""bg"")"),"разговор")</f>
        <v>разговор</v>
      </c>
      <c r="H3771" s="1" t="str">
        <f ca="1">IFERROR(__xludf.DUMMYFUNCTION("GOOGLETRANSLATE(English!H3771, ""en"", ""bg"")"),"образователна_помощ")</f>
        <v>образователна_помощ</v>
      </c>
    </row>
    <row r="3772" spans="1:8" ht="13.2" x14ac:dyDescent="0.25">
      <c r="A3772" s="1" t="str">
        <f ca="1">IFERROR(__xludf.DUMMYFUNCTION("GOOGLETRANSLATE(English!A3772, ""en"", ""bg"")"),"conv_10574")</f>
        <v>conv_10574</v>
      </c>
      <c r="B3772" s="1" t="str">
        <f ca="1">IFERROR(__xludf.DUMMYFUNCTION("GOOGLETRANSLATE(English!B3772, ""en"", ""bg"")"),"физика")</f>
        <v>физика</v>
      </c>
      <c r="C3772" s="1" t="str">
        <f ca="1">IFERROR(__xludf.DUMMYFUNCTION("GOOGLETRANSLATE(English!C3772, ""en"", ""bg"")"),"средата")</f>
        <v>средата</v>
      </c>
      <c r="D3772" s="1" t="str">
        <f ca="1">IFERROR(__xludf.DUMMYFUNCTION("GOOGLETRANSLATE(English!D3772, ""en"", ""bg"")"),"състояния на материята")</f>
        <v>състояния на материята</v>
      </c>
      <c r="E3772" s="1" t="str">
        <f ca="1">IFERROR(__xludf.DUMMYFUNCTION("GOOGLETRANSLATE(English!E3772, ""en"", ""bg"")"),"Имам нужда от помощ с домашното. Какво трябва да знам за състоянията на материята?")</f>
        <v>Имам нужда от помощ с домашното. Какво трябва да знам за състоянията на материята?</v>
      </c>
      <c r="F3772" s="1" t="str">
        <f ca="1">IFERROR(__xludf.DUMMYFUNCTION("GOOGLETRANSLATE(English!F3772,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3772" s="1" t="str">
        <f ca="1">IFERROR(__xludf.DUMMYFUNCTION("GOOGLETRANSLATE(English!G3772, ""en"", ""bg"")"),"разговор")</f>
        <v>разговор</v>
      </c>
      <c r="H3772" s="1" t="str">
        <f ca="1">IFERROR(__xludf.DUMMYFUNCTION("GOOGLETRANSLATE(English!H3772, ""en"", ""bg"")"),"образователна_помощ")</f>
        <v>образователна_помощ</v>
      </c>
    </row>
    <row r="3773" spans="1:8" ht="13.2" x14ac:dyDescent="0.25">
      <c r="A3773" s="1" t="str">
        <f ca="1">IFERROR(__xludf.DUMMYFUNCTION("GOOGLETRANSLATE(English!A3773, ""en"", ""bg"")"),"hw_06975")</f>
        <v>hw_06975</v>
      </c>
      <c r="B3773" s="1" t="str">
        <f ca="1">IFERROR(__xludf.DUMMYFUNCTION("GOOGLETRANSLATE(English!B3773, ""en"", ""bg"")"),"химия")</f>
        <v>химия</v>
      </c>
      <c r="C3773" s="1" t="str">
        <f ca="1">IFERROR(__xludf.DUMMYFUNCTION("GOOGLETRANSLATE(English!C3773, ""en"", ""bg"")"),"средата")</f>
        <v>средата</v>
      </c>
      <c r="D3773" s="1" t="str">
        <f ca="1">IFERROR(__xludf.DUMMYFUNCTION("GOOGLETRANSLATE(English!D3773, ""en"", ""bg"")"),"химични промени")</f>
        <v>химични промени</v>
      </c>
      <c r="E3773" s="1" t="str">
        <f ca="1">IFERROR(__xludf.DUMMYFUNCTION("GOOGLETRANSLATE(English!E3773,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3773" s="1" t="str">
        <f ca="1">IFERROR(__xludf.DUMMYFUNCTION("GOOGLETRANSLATE(English!F3773,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773" s="1" t="str">
        <f ca="1">IFERROR(__xludf.DUMMYFUNCTION("GOOGLETRANSLATE(English!G3773, ""en"", ""bg"")"),"помощ_за_домашно_изпълнение")</f>
        <v>помощ_за_домашно_изпълнение</v>
      </c>
      <c r="H3773" s="1" t="str">
        <f ca="1">IFERROR(__xludf.DUMMYFUNCTION("GOOGLETRANSLATE(English!H3773, ""en"", ""bg"")"),"помощ_за_домашно_задаване")</f>
        <v>помощ_за_домашно_задаване</v>
      </c>
    </row>
    <row r="3774" spans="1:8" ht="13.2" x14ac:dyDescent="0.25">
      <c r="A3774" s="1" t="str">
        <f ca="1">IFERROR(__xludf.DUMMYFUNCTION("GOOGLETRANSLATE(English!A3774, ""en"", ""bg"")"),"qa_03810")</f>
        <v>qa_03810</v>
      </c>
      <c r="B3774" s="1" t="str">
        <f ca="1">IFERROR(__xludf.DUMMYFUNCTION("GOOGLETRANSLATE(English!B3774, ""en"", ""bg"")"),"химия")</f>
        <v>химия</v>
      </c>
      <c r="C3774" s="1" t="str">
        <f ca="1">IFERROR(__xludf.DUMMYFUNCTION("GOOGLETRANSLATE(English!C3774, ""en"", ""bg"")"),"средата")</f>
        <v>средата</v>
      </c>
      <c r="D3774" s="1" t="str">
        <f ca="1">IFERROR(__xludf.DUMMYFUNCTION("GOOGLETRANSLATE(English!D3774, ""en"", ""bg"")"),"химични реакции")</f>
        <v>химични реакции</v>
      </c>
      <c r="E3774" s="1" t="str">
        <f ca="1">IFERROR(__xludf.DUMMYFUNCTION("GOOGLETRANSLATE(English!E3774, ""en"", ""bg"")"),"Какво представляват реагентите и продуктите?")</f>
        <v>Какво представляват реагентите и продуктите?</v>
      </c>
      <c r="F3774" s="1" t="str">
        <f ca="1">IFERROR(__xludf.DUMMYFUNCTION("GOOGLETRANSLATE(English!F3774,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3774" s="1" t="str">
        <f ca="1">IFERROR(__xludf.DUMMYFUNCTION("GOOGLETRANSLATE(English!G3774, ""en"", ""bg"")"),"direct_qa")</f>
        <v>direct_qa</v>
      </c>
      <c r="H3774" s="1" t="str">
        <f ca="1">IFERROR(__xludf.DUMMYFUNCTION("GOOGLETRANSLATE(English!H3774, ""en"", ""bg"")"),"заявка_за_знание")</f>
        <v>заявка_за_знание</v>
      </c>
    </row>
    <row r="3775" spans="1:8" ht="13.2" x14ac:dyDescent="0.25">
      <c r="A3775" s="1" t="str">
        <f ca="1">IFERROR(__xludf.DUMMYFUNCTION("GOOGLETRANSLATE(English!A3775, ""en"", ""bg"")"),"conv_18616")</f>
        <v>conv_18616</v>
      </c>
      <c r="B3775" s="1" t="str">
        <f ca="1">IFERROR(__xludf.DUMMYFUNCTION("GOOGLETRANSLATE(English!B3775, ""en"", ""bg"")"),"физика")</f>
        <v>физика</v>
      </c>
      <c r="C3775" s="1" t="str">
        <f ca="1">IFERROR(__xludf.DUMMYFUNCTION("GOOGLETRANSLATE(English!C3775, ""en"", ""bg"")"),"елементарен")</f>
        <v>елементарен</v>
      </c>
      <c r="D3775" s="1" t="str">
        <f ca="1">IFERROR(__xludf.DUMMYFUNCTION("GOOGLETRANSLATE(English!D3775, ""en"", ""bg"")"),"горещо и студено")</f>
        <v>горещо и студено</v>
      </c>
      <c r="E3775" s="1" t="str">
        <f ca="1">IFERROR(__xludf.DUMMYFUNCTION("GOOGLETRANSLATE(English!E3775, ""en"", ""bg"")"),"Помогнете ми да уча за теста си. Как работят топлото и студеното във физиката?")</f>
        <v>Помогнете ми да уча за теста си. Как работят топлото и студеното във физиката?</v>
      </c>
      <c r="F3775" s="1" t="str">
        <f ca="1">IFERROR(__xludf.DUMMYFUNCTION("GOOGLETRANSLATE(English!F3775,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3775" s="1" t="str">
        <f ca="1">IFERROR(__xludf.DUMMYFUNCTION("GOOGLETRANSLATE(English!G3775, ""en"", ""bg"")"),"разговор")</f>
        <v>разговор</v>
      </c>
      <c r="H3775" s="1" t="str">
        <f ca="1">IFERROR(__xludf.DUMMYFUNCTION("GOOGLETRANSLATE(English!H3775, ""en"", ""bg"")"),"образователна_помощ")</f>
        <v>образователна_помощ</v>
      </c>
    </row>
    <row r="3776" spans="1:8" ht="13.2" x14ac:dyDescent="0.25">
      <c r="A3776" s="1" t="str">
        <f ca="1">IFERROR(__xludf.DUMMYFUNCTION("GOOGLETRANSLATE(English!A3776, ""en"", ""bg"")"),"conv_19030")</f>
        <v>conv_19030</v>
      </c>
      <c r="B3776" s="1" t="str">
        <f ca="1">IFERROR(__xludf.DUMMYFUNCTION("GOOGLETRANSLATE(English!B3776, ""en"", ""bg"")"),"биология")</f>
        <v>биология</v>
      </c>
      <c r="C3776" s="1" t="str">
        <f ca="1">IFERROR(__xludf.DUMMYFUNCTION("GOOGLETRANSLATE(English!C3776, ""en"", ""bg"")"),"високо")</f>
        <v>високо</v>
      </c>
      <c r="D3776" s="1" t="str">
        <f ca="1">IFERROR(__xludf.DUMMYFUNCTION("GOOGLETRANSLATE(English!D3776, ""en"", ""bg"")"),"клетъчно дишане")</f>
        <v>клетъчно дишане</v>
      </c>
      <c r="E3776" s="1" t="str">
        <f ca="1">IFERROR(__xludf.DUMMYFUNCTION("GOOGLETRANSLATE(English!E3776, ""en"", ""bg"")"),"Здравей, преподавателю! Можеш ли да ми разкажеш за клетъчното дишане?")</f>
        <v>Здравей, преподавателю! Можеш ли да ми разкажеш за клетъчното дишане?</v>
      </c>
      <c r="F3776" s="1" t="str">
        <f ca="1">IFERROR(__xludf.DUMMYFUNCTION("GOOGLETRANSLATE(English!F3776,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3776" s="1" t="str">
        <f ca="1">IFERROR(__xludf.DUMMYFUNCTION("GOOGLETRANSLATE(English!G3776, ""en"", ""bg"")"),"разговор")</f>
        <v>разговор</v>
      </c>
      <c r="H3776" s="1" t="str">
        <f ca="1">IFERROR(__xludf.DUMMYFUNCTION("GOOGLETRANSLATE(English!H3776, ""en"", ""bg"")"),"образователна_помощ")</f>
        <v>образователна_помощ</v>
      </c>
    </row>
    <row r="3777" spans="1:8" ht="13.2" x14ac:dyDescent="0.25">
      <c r="A3777" s="1" t="str">
        <f ca="1">IFERROR(__xludf.DUMMYFUNCTION("GOOGLETRANSLATE(English!A3777, ""en"", ""bg"")"),"conv_02463")</f>
        <v>conv_02463</v>
      </c>
      <c r="B3777" s="1" t="str">
        <f ca="1">IFERROR(__xludf.DUMMYFUNCTION("GOOGLETRANSLATE(English!B3777, ""en"", ""bg"")"),"химия")</f>
        <v>химия</v>
      </c>
      <c r="C3777" s="1" t="str">
        <f ca="1">IFERROR(__xludf.DUMMYFUNCTION("GOOGLETRANSLATE(English!C3777, ""en"", ""bg"")"),"елементарен")</f>
        <v>елементарен</v>
      </c>
      <c r="D3777" s="1" t="str">
        <f ca="1">IFERROR(__xludf.DUMMYFUNCTION("GOOGLETRANSLATE(English!D3777, ""en"", ""bg"")"),"ежедневни химикали")</f>
        <v>ежедневни химикали</v>
      </c>
      <c r="E3777" s="1" t="str">
        <f ca="1">IFERROR(__xludf.DUMMYFUNCTION("GOOGLETRANSLATE(English!E3777, ""en"", ""bg"")"),"Имам нужда от помощ с домашното. Можете ли да ми помогнете да разбера ежедневните химикали?")</f>
        <v>Имам нужда от помощ с домашното. Можете ли да ми помогнете да разбера ежедневните химикали?</v>
      </c>
      <c r="F3777" s="1" t="str">
        <f ca="1">IFERROR(__xludf.DUMMYFUNCTION("GOOGLETRANSLATE(English!F3777,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3777" s="1" t="str">
        <f ca="1">IFERROR(__xludf.DUMMYFUNCTION("GOOGLETRANSLATE(English!G3777, ""en"", ""bg"")"),"разговор")</f>
        <v>разговор</v>
      </c>
      <c r="H3777" s="1" t="str">
        <f ca="1">IFERROR(__xludf.DUMMYFUNCTION("GOOGLETRANSLATE(English!H3777, ""en"", ""bg"")"),"образователна_помощ")</f>
        <v>образователна_помощ</v>
      </c>
    </row>
    <row r="3778" spans="1:8" ht="13.2" x14ac:dyDescent="0.25">
      <c r="A3778" s="1" t="str">
        <f ca="1">IFERROR(__xludf.DUMMYFUNCTION("GOOGLETRANSLATE(English!A3778, ""en"", ""bg"")"),"hw_07277")</f>
        <v>hw_07277</v>
      </c>
      <c r="B3778" s="1" t="str">
        <f ca="1">IFERROR(__xludf.DUMMYFUNCTION("GOOGLETRANSLATE(English!B3778, ""en"", ""bg"")"),"биология")</f>
        <v>биология</v>
      </c>
      <c r="C3778" s="1" t="str">
        <f ca="1">IFERROR(__xludf.DUMMYFUNCTION("GOOGLETRANSLATE(English!C3778, ""en"", ""bg"")"),"средата")</f>
        <v>средата</v>
      </c>
      <c r="D3778" s="1" t="str">
        <f ca="1">IFERROR(__xludf.DUMMYFUNCTION("GOOGLETRANSLATE(English!D3778, ""en"", ""bg"")"),"клетки")</f>
        <v>клетки</v>
      </c>
      <c r="E3778" s="1" t="str">
        <f ca="1">IFERROR(__xludf.DUMMYFUNCTION("GOOGLETRANSLATE(English!E3778, ""en"", ""bg"")"),"Утре имам тест по клетки. Помогни ми да уча!")</f>
        <v>Утре имам тест по клетки. Помогни ми да уча!</v>
      </c>
      <c r="F3778" s="1" t="str">
        <f ca="1">IFERROR(__xludf.DUMMYFUNCTION("GOOGLETRANSLATE(English!F3778,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3778" s="1" t="str">
        <f ca="1">IFERROR(__xludf.DUMMYFUNCTION("GOOGLETRANSLATE(English!G3778, ""en"", ""bg"")"),"помощ_за_домашно_изпълнение")</f>
        <v>помощ_за_домашно_изпълнение</v>
      </c>
      <c r="H3778" s="1" t="str">
        <f ca="1">IFERROR(__xludf.DUMMYFUNCTION("GOOGLETRANSLATE(English!H3778, ""en"", ""bg"")"),"помощ_за_домашно_задаване")</f>
        <v>помощ_за_домашно_задаване</v>
      </c>
    </row>
    <row r="3779" spans="1:8" ht="13.2" x14ac:dyDescent="0.25">
      <c r="A3779" s="1" t="str">
        <f ca="1">IFERROR(__xludf.DUMMYFUNCTION("GOOGLETRANSLATE(English!A3779, ""en"", ""bg"")"),"hw_05274")</f>
        <v>hw_05274</v>
      </c>
      <c r="B3779" s="1" t="str">
        <f ca="1">IFERROR(__xludf.DUMMYFUNCTION("GOOGLETRANSLATE(English!B3779, ""en"", ""bg"")"),"химия")</f>
        <v>химия</v>
      </c>
      <c r="C3779" s="1" t="str">
        <f ca="1">IFERROR(__xludf.DUMMYFUNCTION("GOOGLETRANSLATE(English!C3779, ""en"", ""bg"")"),"елементарен")</f>
        <v>елементарен</v>
      </c>
      <c r="D3779" s="1" t="str">
        <f ca="1">IFERROR(__xludf.DUMMYFUNCTION("GOOGLETRANSLATE(English!D3779, ""en"", ""bg"")"),"разтваряне")</f>
        <v>разтваряне</v>
      </c>
      <c r="E3779" s="1" t="str">
        <f ca="1">IFERROR(__xludf.DUMMYFUNCTION("GOOGLETRANSLATE(English!E3779, ""en"", ""bg"")"),"Не разбирам тази концепция за разтваряне. Моля, обяснете!")</f>
        <v>Не разбирам тази концепция за разтваряне. Моля, обяснете!</v>
      </c>
      <c r="F3779" s="1" t="str">
        <f ca="1">IFERROR(__xludf.DUMMYFUNCTION("GOOGLETRANSLATE(English!F3779,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3779" s="1" t="str">
        <f ca="1">IFERROR(__xludf.DUMMYFUNCTION("GOOGLETRANSLATE(English!G3779, ""en"", ""bg"")"),"помощ_за_домашно_изпълнение")</f>
        <v>помощ_за_домашно_изпълнение</v>
      </c>
      <c r="H3779" s="1" t="str">
        <f ca="1">IFERROR(__xludf.DUMMYFUNCTION("GOOGLETRANSLATE(English!H3779, ""en"", ""bg"")"),"помощ_за_домашно_задаване")</f>
        <v>помощ_за_домашно_задаване</v>
      </c>
    </row>
    <row r="3780" spans="1:8" ht="13.2" x14ac:dyDescent="0.25">
      <c r="A3780" s="1" t="str">
        <f ca="1">IFERROR(__xludf.DUMMYFUNCTION("GOOGLETRANSLATE(English!A3780, ""en"", ""bg"")"),"qa_11807")</f>
        <v>qa_11807</v>
      </c>
      <c r="B3780" s="1" t="str">
        <f ca="1">IFERROR(__xludf.DUMMYFUNCTION("GOOGLETRANSLATE(English!B3780, ""en"", ""bg"")"),"биология")</f>
        <v>биология</v>
      </c>
      <c r="C3780" s="1" t="str">
        <f ca="1">IFERROR(__xludf.DUMMYFUNCTION("GOOGLETRANSLATE(English!C3780, ""en"", ""bg"")"),"средата")</f>
        <v>средата</v>
      </c>
      <c r="D3780" s="1" t="str">
        <f ca="1">IFERROR(__xludf.DUMMYFUNCTION("GOOGLETRANSLATE(English!D3780, ""en"", ""bg"")"),"фотосинтеза")</f>
        <v>фотосинтеза</v>
      </c>
      <c r="E3780" s="1" t="str">
        <f ca="1">IFERROR(__xludf.DUMMYFUNCTION("GOOGLETRANSLATE(English!E3780, ""en"", ""bg"")"),"Можете ли да ми разкажете за фотосинтезата?")</f>
        <v>Можете ли да ми разкажете за фотосинтезата?</v>
      </c>
      <c r="F3780" s="1" t="str">
        <f ca="1">IFERROR(__xludf.DUMMYFUNCTION("GOOGLETRANSLATE(English!F3780,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3780" s="1" t="str">
        <f ca="1">IFERROR(__xludf.DUMMYFUNCTION("GOOGLETRANSLATE(English!G3780, ""en"", ""bg"")"),"direct_qa")</f>
        <v>direct_qa</v>
      </c>
      <c r="H3780" s="1" t="str">
        <f ca="1">IFERROR(__xludf.DUMMYFUNCTION("GOOGLETRANSLATE(English!H3780, ""en"", ""bg"")"),"заявка_за_знание")</f>
        <v>заявка_за_знание</v>
      </c>
    </row>
    <row r="3781" spans="1:8" ht="13.2" x14ac:dyDescent="0.25">
      <c r="A3781" s="1" t="str">
        <f ca="1">IFERROR(__xludf.DUMMYFUNCTION("GOOGLETRANSLATE(English!A3781, ""en"", ""bg"")"),"hw_02877")</f>
        <v>hw_02877</v>
      </c>
      <c r="B3781" s="1" t="str">
        <f ca="1">IFERROR(__xludf.DUMMYFUNCTION("GOOGLETRANSLATE(English!B3781, ""en"", ""bg"")"),"химия")</f>
        <v>химия</v>
      </c>
      <c r="C3781" s="1" t="str">
        <f ca="1">IFERROR(__xludf.DUMMYFUNCTION("GOOGLETRANSLATE(English!C3781, ""en"", ""bg"")"),"средата")</f>
        <v>средата</v>
      </c>
      <c r="D3781" s="1" t="str">
        <f ca="1">IFERROR(__xludf.DUMMYFUNCTION("GOOGLETRANSLATE(English!D3781, ""en"", ""bg"")"),"киселини и основи")</f>
        <v>киселини и основи</v>
      </c>
      <c r="E3781" s="1" t="str">
        <f ca="1">IFERROR(__xludf.DUMMYFUNCTION("GOOGLETRANSLATE(English!E3781,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3781" s="1" t="str">
        <f ca="1">IFERROR(__xludf.DUMMYFUNCTION("GOOGLETRANSLATE(English!F3781,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3781" s="1" t="str">
        <f ca="1">IFERROR(__xludf.DUMMYFUNCTION("GOOGLETRANSLATE(English!G3781, ""en"", ""bg"")"),"помощ_за_домашно_изпълнение")</f>
        <v>помощ_за_домашно_изпълнение</v>
      </c>
      <c r="H3781" s="1" t="str">
        <f ca="1">IFERROR(__xludf.DUMMYFUNCTION("GOOGLETRANSLATE(English!H3781, ""en"", ""bg"")"),"помощ_за_домашно_задаване")</f>
        <v>помощ_за_домашно_задаване</v>
      </c>
    </row>
    <row r="3782" spans="1:8" ht="13.2" x14ac:dyDescent="0.25">
      <c r="A3782" s="1" t="str">
        <f ca="1">IFERROR(__xludf.DUMMYFUNCTION("GOOGLETRANSLATE(English!A3782, ""en"", ""bg"")"),"hw_09063")</f>
        <v>hw_09063</v>
      </c>
      <c r="B3782" s="1" t="str">
        <f ca="1">IFERROR(__xludf.DUMMYFUNCTION("GOOGLETRANSLATE(English!B3782, ""en"", ""bg"")"),"химия")</f>
        <v>химия</v>
      </c>
      <c r="C3782" s="1" t="str">
        <f ca="1">IFERROR(__xludf.DUMMYFUNCTION("GOOGLETRANSLATE(English!C3782, ""en"", ""bg"")"),"високо")</f>
        <v>високо</v>
      </c>
      <c r="D3782" s="1" t="str">
        <f ca="1">IFERROR(__xludf.DUMMYFUNCTION("GOOGLETRANSLATE(English!D3782, ""en"", ""bg"")"),"химическо свързване")</f>
        <v>химическо свързване</v>
      </c>
      <c r="E3782" s="1" t="str">
        <f ca="1">IFERROR(__xludf.DUMMYFUNCTION("GOOGLETRANSLATE(English!E3782, ""en"", ""bg"")"),"Моят доклад по химия е за химични връзки. Помогнете ми да разбера.")</f>
        <v>Моят доклад по химия е за химични връзки. Помогнете ми да разбера.</v>
      </c>
      <c r="F3782" s="1" t="str">
        <f ca="1">IFERROR(__xludf.DUMMYFUNCTION("GOOGLETRANSLATE(English!F3782,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782" s="1" t="str">
        <f ca="1">IFERROR(__xludf.DUMMYFUNCTION("GOOGLETRANSLATE(English!G3782, ""en"", ""bg"")"),"помощ_за_домашно_изпълнение")</f>
        <v>помощ_за_домашно_изпълнение</v>
      </c>
      <c r="H3782" s="1" t="str">
        <f ca="1">IFERROR(__xludf.DUMMYFUNCTION("GOOGLETRANSLATE(English!H3782, ""en"", ""bg"")"),"помощ_за_домашно_задаване")</f>
        <v>помощ_за_домашно_задаване</v>
      </c>
    </row>
    <row r="3783" spans="1:8" ht="13.2" x14ac:dyDescent="0.25">
      <c r="A3783" s="1" t="str">
        <f ca="1">IFERROR(__xludf.DUMMYFUNCTION("GOOGLETRANSLATE(English!A3783, ""en"", ""bg"")"),"qa_14300")</f>
        <v>qa_14300</v>
      </c>
      <c r="B3783" s="1" t="str">
        <f ca="1">IFERROR(__xludf.DUMMYFUNCTION("GOOGLETRANSLATE(English!B3783, ""en"", ""bg"")"),"биология")</f>
        <v>биология</v>
      </c>
      <c r="C3783" s="1" t="str">
        <f ca="1">IFERROR(__xludf.DUMMYFUNCTION("GOOGLETRANSLATE(English!C3783, ""en"", ""bg"")"),"елементарен")</f>
        <v>елементарен</v>
      </c>
      <c r="D3783" s="1" t="str">
        <f ca="1">IFERROR(__xludf.DUMMYFUNCTION("GOOGLETRANSLATE(English!D3783, ""en"", ""bg"")"),"жизнени цикли")</f>
        <v>жизнени цикли</v>
      </c>
      <c r="E3783" s="1" t="str">
        <f ca="1">IFERROR(__xludf.DUMMYFUNCTION("GOOGLETRANSLATE(English!E3783, ""en"", ""bg"")"),"Защо жизнените цикли са важни в биологията?")</f>
        <v>Защо жизнените цикли са важни в биологията?</v>
      </c>
      <c r="F3783" s="1" t="str">
        <f ca="1">IFERROR(__xludf.DUMMYFUNCTION("GOOGLETRANSLATE(English!F3783,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3783" s="1" t="str">
        <f ca="1">IFERROR(__xludf.DUMMYFUNCTION("GOOGLETRANSLATE(English!G3783, ""en"", ""bg"")"),"direct_qa")</f>
        <v>direct_qa</v>
      </c>
      <c r="H3783" s="1" t="str">
        <f ca="1">IFERROR(__xludf.DUMMYFUNCTION("GOOGLETRANSLATE(English!H3783, ""en"", ""bg"")"),"заявка_за_знание")</f>
        <v>заявка_за_знание</v>
      </c>
    </row>
    <row r="3784" spans="1:8" ht="13.2" x14ac:dyDescent="0.25">
      <c r="A3784" s="1" t="str">
        <f ca="1">IFERROR(__xludf.DUMMYFUNCTION("GOOGLETRANSLATE(English!A3784, ""en"", ""bg"")"),"conv_07491")</f>
        <v>conv_07491</v>
      </c>
      <c r="B3784" s="1" t="str">
        <f ca="1">IFERROR(__xludf.DUMMYFUNCTION("GOOGLETRANSLATE(English!B3784, ""en"", ""bg"")"),"биология")</f>
        <v>биология</v>
      </c>
      <c r="C3784" s="1" t="str">
        <f ca="1">IFERROR(__xludf.DUMMYFUNCTION("GOOGLETRANSLATE(English!C3784, ""en"", ""bg"")"),"средата")</f>
        <v>средата</v>
      </c>
      <c r="D3784" s="1" t="str">
        <f ca="1">IFERROR(__xludf.DUMMYFUNCTION("GOOGLETRANSLATE(English!D3784, ""en"", ""bg"")"),"основи на генетиката")</f>
        <v>основи на генетиката</v>
      </c>
      <c r="E3784" s="1" t="str">
        <f ca="1">IFERROR(__xludf.DUMMYFUNCTION("GOOGLETRANSLATE(English!E3784, ""en"", ""bg"")"),"Имам научен въпрос. Можете ли да ми разкажете за основите на генетиката?")</f>
        <v>Имам научен въпрос. Можете ли да ми разкажете за основите на генетиката?</v>
      </c>
      <c r="F3784" s="1" t="str">
        <f ca="1">IFERROR(__xludf.DUMMYFUNCTION("GOOGLETRANSLATE(English!F3784,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3784" s="1" t="str">
        <f ca="1">IFERROR(__xludf.DUMMYFUNCTION("GOOGLETRANSLATE(English!G3784, ""en"", ""bg"")"),"разговор")</f>
        <v>разговор</v>
      </c>
      <c r="H3784" s="1" t="str">
        <f ca="1">IFERROR(__xludf.DUMMYFUNCTION("GOOGLETRANSLATE(English!H3784, ""en"", ""bg"")"),"образователна_помощ")</f>
        <v>образователна_помощ</v>
      </c>
    </row>
    <row r="3785" spans="1:8" ht="13.2" x14ac:dyDescent="0.25">
      <c r="A3785" s="1" t="str">
        <f ca="1">IFERROR(__xludf.DUMMYFUNCTION("GOOGLETRANSLATE(English!A3785, ""en"", ""bg"")"),"hw_11142")</f>
        <v>hw_11142</v>
      </c>
      <c r="B3785" s="1" t="str">
        <f ca="1">IFERROR(__xludf.DUMMYFUNCTION("GOOGLETRANSLATE(English!B3785, ""en"", ""bg"")"),"биология")</f>
        <v>биология</v>
      </c>
      <c r="C3785" s="1" t="str">
        <f ca="1">IFERROR(__xludf.DUMMYFUNCTION("GOOGLETRANSLATE(English!C3785, ""en"", ""bg"")"),"средата")</f>
        <v>средата</v>
      </c>
      <c r="D3785" s="1" t="str">
        <f ca="1">IFERROR(__xludf.DUMMYFUNCTION("GOOGLETRANSLATE(English!D3785, ""en"", ""bg"")"),"размножаване")</f>
        <v>размножаване</v>
      </c>
      <c r="E3785" s="1" t="str">
        <f ca="1">IFERROR(__xludf.DUMMYFUNCTION("GOOGLETRANSLATE(English!E3785,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3785" s="1" t="str">
        <f ca="1">IFERROR(__xludf.DUMMYFUNCTION("GOOGLETRANSLATE(English!F3785,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3785" s="1" t="str">
        <f ca="1">IFERROR(__xludf.DUMMYFUNCTION("GOOGLETRANSLATE(English!G3785, ""en"", ""bg"")"),"помощ_за_домашно_изпълнение")</f>
        <v>помощ_за_домашно_изпълнение</v>
      </c>
      <c r="H3785" s="1" t="str">
        <f ca="1">IFERROR(__xludf.DUMMYFUNCTION("GOOGLETRANSLATE(English!H3785, ""en"", ""bg"")"),"помощ_за_домашно_задаване")</f>
        <v>помощ_за_домашно_задаване</v>
      </c>
    </row>
    <row r="3786" spans="1:8" ht="13.2" x14ac:dyDescent="0.25">
      <c r="A3786" s="1" t="str">
        <f ca="1">IFERROR(__xludf.DUMMYFUNCTION("GOOGLETRANSLATE(English!A3786, ""en"", ""bg"")"),"qa_09997")</f>
        <v>qa_09997</v>
      </c>
      <c r="B3786" s="1" t="str">
        <f ca="1">IFERROR(__xludf.DUMMYFUNCTION("GOOGLETRANSLATE(English!B3786, ""en"", ""bg"")"),"химия")</f>
        <v>химия</v>
      </c>
      <c r="C3786" s="1" t="str">
        <f ca="1">IFERROR(__xludf.DUMMYFUNCTION("GOOGLETRANSLATE(English!C3786, ""en"", ""bg"")"),"средата")</f>
        <v>средата</v>
      </c>
      <c r="D3786" s="1" t="str">
        <f ca="1">IFERROR(__xludf.DUMMYFUNCTION("GOOGLETRANSLATE(English!D3786, ""en"", ""bg"")"),"съединения срещу елементи")</f>
        <v>съединения срещу елементи</v>
      </c>
      <c r="E3786" s="1" t="str">
        <f ca="1">IFERROR(__xludf.DUMMYFUNCTION("GOOGLETRANSLATE(English!E3786, ""en"", ""bg"")"),"Можете ли да ми помогнете да разбера по-добре съединенията спрямо елементите?")</f>
        <v>Можете ли да ми помогнете да разбера по-добре съединенията спрямо елементите?</v>
      </c>
      <c r="F3786" s="1" t="str">
        <f ca="1">IFERROR(__xludf.DUMMYFUNCTION("GOOGLETRANSLATE(English!F3786,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3786" s="1" t="str">
        <f ca="1">IFERROR(__xludf.DUMMYFUNCTION("GOOGLETRANSLATE(English!G3786, ""en"", ""bg"")"),"direct_qa")</f>
        <v>direct_qa</v>
      </c>
      <c r="H3786" s="1" t="str">
        <f ca="1">IFERROR(__xludf.DUMMYFUNCTION("GOOGLETRANSLATE(English!H3786, ""en"", ""bg"")"),"заявка_за_знание")</f>
        <v>заявка_за_знание</v>
      </c>
    </row>
    <row r="3787" spans="1:8" ht="13.2" x14ac:dyDescent="0.25">
      <c r="A3787" s="1" t="str">
        <f ca="1">IFERROR(__xludf.DUMMYFUNCTION("GOOGLETRANSLATE(English!A3787, ""en"", ""bg"")"),"conv_08280")</f>
        <v>conv_08280</v>
      </c>
      <c r="B3787" s="1" t="str">
        <f ca="1">IFERROR(__xludf.DUMMYFUNCTION("GOOGLETRANSLATE(English!B3787, ""en"", ""bg"")"),"биология")</f>
        <v>биология</v>
      </c>
      <c r="C3787" s="1" t="str">
        <f ca="1">IFERROR(__xludf.DUMMYFUNCTION("GOOGLETRANSLATE(English!C3787, ""en"", ""bg"")"),"високо")</f>
        <v>високо</v>
      </c>
      <c r="D3787" s="1" t="str">
        <f ca="1">IFERROR(__xludf.DUMMYFUNCTION("GOOGLETRANSLATE(English!D3787, ""en"", ""bg"")"),"молекулярна биология")</f>
        <v>молекулярна биология</v>
      </c>
      <c r="E3787" s="1" t="str">
        <f ca="1">IFERROR(__xludf.DUMMYFUNCTION("GOOGLETRANSLATE(English!E3787, ""en"", ""bg"")"),"Здравей, преподавателю! Какво е важно да знаеш за молекулярната биология?")</f>
        <v>Здравей, преподавателю! Какво е важно да знаеш за молекулярната биология?</v>
      </c>
      <c r="F3787" s="1" t="str">
        <f ca="1">IFERROR(__xludf.DUMMYFUNCTION("GOOGLETRANSLATE(English!F3787,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3787" s="1" t="str">
        <f ca="1">IFERROR(__xludf.DUMMYFUNCTION("GOOGLETRANSLATE(English!G3787, ""en"", ""bg"")"),"разговор")</f>
        <v>разговор</v>
      </c>
      <c r="H3787" s="1" t="str">
        <f ca="1">IFERROR(__xludf.DUMMYFUNCTION("GOOGLETRANSLATE(English!H3787, ""en"", ""bg"")"),"образователна_помощ")</f>
        <v>образователна_помощ</v>
      </c>
    </row>
    <row r="3788" spans="1:8" ht="13.2" x14ac:dyDescent="0.25">
      <c r="A3788" s="1" t="str">
        <f ca="1">IFERROR(__xludf.DUMMYFUNCTION("GOOGLETRANSLATE(English!A3788, ""en"", ""bg"")"),"conv_17187")</f>
        <v>conv_17187</v>
      </c>
      <c r="B3788" s="1" t="str">
        <f ca="1">IFERROR(__xludf.DUMMYFUNCTION("GOOGLETRANSLATE(English!B3788, ""en"", ""bg"")"),"химия")</f>
        <v>химия</v>
      </c>
      <c r="C3788" s="1" t="str">
        <f ca="1">IFERROR(__xludf.DUMMYFUNCTION("GOOGLETRANSLATE(English!C3788, ""en"", ""bg"")"),"средата")</f>
        <v>средата</v>
      </c>
      <c r="D3788" s="1" t="str">
        <f ca="1">IFERROR(__xludf.DUMMYFUNCTION("GOOGLETRANSLATE(English!D3788, ""en"", ""bg"")"),"атоми и молекули")</f>
        <v>атоми и молекули</v>
      </c>
      <c r="E3788" s="1" t="str">
        <f ca="1">IFERROR(__xludf.DUMMYFUNCTION("GOOGLETRANSLATE(English!E3788, ""en"", ""bg"")"),"Здравей, преподавателю! Защо атомите се свързват?")</f>
        <v>Здравей, преподавателю! Защо атомите се свързват?</v>
      </c>
      <c r="F3788" s="1" t="str">
        <f ca="1">IFERROR(__xludf.DUMMYFUNCTION("GOOGLETRANSLATE(English!F3788,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3788" s="1" t="str">
        <f ca="1">IFERROR(__xludf.DUMMYFUNCTION("GOOGLETRANSLATE(English!G3788, ""en"", ""bg"")"),"разговор")</f>
        <v>разговор</v>
      </c>
      <c r="H3788" s="1" t="str">
        <f ca="1">IFERROR(__xludf.DUMMYFUNCTION("GOOGLETRANSLATE(English!H3788, ""en"", ""bg"")"),"образователна_помощ")</f>
        <v>образователна_помощ</v>
      </c>
    </row>
    <row r="3789" spans="1:8" ht="13.2" x14ac:dyDescent="0.25">
      <c r="A3789" s="1" t="str">
        <f ca="1">IFERROR(__xludf.DUMMYFUNCTION("GOOGLETRANSLATE(English!A3789, ""en"", ""bg"")"),"conv_01118")</f>
        <v>conv_01118</v>
      </c>
      <c r="B3789" s="1" t="str">
        <f ca="1">IFERROR(__xludf.DUMMYFUNCTION("GOOGLETRANSLATE(English!B3789, ""en"", ""bg"")"),"физика")</f>
        <v>физика</v>
      </c>
      <c r="C3789" s="1" t="str">
        <f ca="1">IFERROR(__xludf.DUMMYFUNCTION("GOOGLETRANSLATE(English!C3789, ""en"", ""bg"")"),"високо")</f>
        <v>високо</v>
      </c>
      <c r="D3789" s="1" t="str">
        <f ca="1">IFERROR(__xludf.DUMMYFUNCTION("GOOGLETRANSLATE(English!D3789, ""en"", ""bg"")"),"механика")</f>
        <v>механика</v>
      </c>
      <c r="E3789" s="1" t="str">
        <f ca="1">IFERROR(__xludf.DUMMYFUNCTION("GOOGLETRANSLATE(English!E3789, ""en"", ""bg"")"),"Можете ли да ми обясните това? Защо механиката е важна?")</f>
        <v>Можете ли да ми обясните това? Защо механиката е важна?</v>
      </c>
      <c r="F3789" s="1" t="str">
        <f ca="1">IFERROR(__xludf.DUMMYFUNCTION("GOOGLETRANSLATE(English!F3789,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3789" s="1" t="str">
        <f ca="1">IFERROR(__xludf.DUMMYFUNCTION("GOOGLETRANSLATE(English!G3789, ""en"", ""bg"")"),"разговор")</f>
        <v>разговор</v>
      </c>
      <c r="H3789" s="1" t="str">
        <f ca="1">IFERROR(__xludf.DUMMYFUNCTION("GOOGLETRANSLATE(English!H3789, ""en"", ""bg"")"),"образователна_помощ")</f>
        <v>образователна_помощ</v>
      </c>
    </row>
    <row r="3790" spans="1:8" ht="13.2" x14ac:dyDescent="0.25">
      <c r="A3790" s="1" t="str">
        <f ca="1">IFERROR(__xludf.DUMMYFUNCTION("GOOGLETRANSLATE(English!A3790, ""en"", ""bg"")"),"qa_07917")</f>
        <v>qa_07917</v>
      </c>
      <c r="B3790" s="1" t="str">
        <f ca="1">IFERROR(__xludf.DUMMYFUNCTION("GOOGLETRANSLATE(English!B3790, ""en"", ""bg"")"),"биология")</f>
        <v>биология</v>
      </c>
      <c r="C3790" s="1" t="str">
        <f ca="1">IFERROR(__xludf.DUMMYFUNCTION("GOOGLETRANSLATE(English!C3790, ""en"", ""bg"")"),"високо")</f>
        <v>високо</v>
      </c>
      <c r="D3790" s="1" t="str">
        <f ca="1">IFERROR(__xludf.DUMMYFUNCTION("GOOGLETRANSLATE(English!D3790, ""en"", ""bg"")"),"синтез на протеини")</f>
        <v>синтез на протеини</v>
      </c>
      <c r="E3790" s="1" t="str">
        <f ca="1">IFERROR(__xludf.DUMMYFUNCTION("GOOGLETRANSLATE(English!E3790, ""en"", ""bg"")"),"Можете ли да ми разкажете за синтеза на протеини?")</f>
        <v>Можете ли да ми разкажете за синтеза на протеини?</v>
      </c>
      <c r="F3790" s="1" t="str">
        <f ca="1">IFERROR(__xludf.DUMMYFUNCTION("GOOGLETRANSLATE(English!F3790,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790" s="1" t="str">
        <f ca="1">IFERROR(__xludf.DUMMYFUNCTION("GOOGLETRANSLATE(English!G3790, ""en"", ""bg"")"),"direct_qa")</f>
        <v>direct_qa</v>
      </c>
      <c r="H3790" s="1" t="str">
        <f ca="1">IFERROR(__xludf.DUMMYFUNCTION("GOOGLETRANSLATE(English!H3790, ""en"", ""bg"")"),"заявка_за_знание")</f>
        <v>заявка_за_знание</v>
      </c>
    </row>
    <row r="3791" spans="1:8" ht="13.2" x14ac:dyDescent="0.25">
      <c r="A3791" s="1" t="str">
        <f ca="1">IFERROR(__xludf.DUMMYFUNCTION("GOOGLETRANSLATE(English!A3791, ""en"", ""bg"")"),"conv_11217")</f>
        <v>conv_11217</v>
      </c>
      <c r="B3791" s="1" t="str">
        <f ca="1">IFERROR(__xludf.DUMMYFUNCTION("GOOGLETRANSLATE(English!B3791, ""en"", ""bg"")"),"физика")</f>
        <v>физика</v>
      </c>
      <c r="C3791" s="1" t="str">
        <f ca="1">IFERROR(__xludf.DUMMYFUNCTION("GOOGLETRANSLATE(English!C3791, ""en"", ""bg"")"),"високо")</f>
        <v>високо</v>
      </c>
      <c r="D3791" s="1" t="str">
        <f ca="1">IFERROR(__xludf.DUMMYFUNCTION("GOOGLETRANSLATE(English!D3791, ""en"", ""bg"")"),"електромагнетизъм")</f>
        <v>електромагнетизъм</v>
      </c>
      <c r="E3791" s="1" t="str">
        <f ca="1">IFERROR(__xludf.DUMMYFUNCTION("GOOGLETRANSLATE(English!E3791, ""en"", ""bg"")"),"Здравей, преподавателю! Как работи електромагнетизмът във физиката?")</f>
        <v>Здравей, преподавателю! Как работи електромагнетизмът във физиката?</v>
      </c>
      <c r="F3791" s="1" t="str">
        <f ca="1">IFERROR(__xludf.DUMMYFUNCTION("GOOGLETRANSLATE(English!F3791,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3791" s="1" t="str">
        <f ca="1">IFERROR(__xludf.DUMMYFUNCTION("GOOGLETRANSLATE(English!G3791, ""en"", ""bg"")"),"разговор")</f>
        <v>разговор</v>
      </c>
      <c r="H3791" s="1" t="str">
        <f ca="1">IFERROR(__xludf.DUMMYFUNCTION("GOOGLETRANSLATE(English!H3791, ""en"", ""bg"")"),"образователна_помощ")</f>
        <v>образователна_помощ</v>
      </c>
    </row>
    <row r="3792" spans="1:8" ht="13.2" x14ac:dyDescent="0.25">
      <c r="A3792" s="1" t="str">
        <f ca="1">IFERROR(__xludf.DUMMYFUNCTION("GOOGLETRANSLATE(English!A3792, ""en"", ""bg"")"),"conv_01247")</f>
        <v>conv_01247</v>
      </c>
      <c r="B3792" s="1" t="str">
        <f ca="1">IFERROR(__xludf.DUMMYFUNCTION("GOOGLETRANSLATE(English!B3792, ""en"", ""bg"")"),"биология")</f>
        <v>биология</v>
      </c>
      <c r="C3792" s="1" t="str">
        <f ca="1">IFERROR(__xludf.DUMMYFUNCTION("GOOGLETRANSLATE(English!C3792, ""en"", ""bg"")"),"елементарен")</f>
        <v>елементарен</v>
      </c>
      <c r="D3792" s="1" t="str">
        <f ca="1">IFERROR(__xludf.DUMMYFUNCTION("GOOGLETRANSLATE(English!D3792, ""en"", ""bg"")"),"животни")</f>
        <v>животни</v>
      </c>
      <c r="E3792" s="1" t="str">
        <f ca="1">IFERROR(__xludf.DUMMYFUNCTION("GOOGLETRANSLATE(English!E3792, ""en"", ""bg"")"),"Можете ли да ми помогнете? Как зайците се грижат за малките си?")</f>
        <v>Можете ли да ми помогнете? Как зайците се грижат за малките си?</v>
      </c>
      <c r="F3792" s="1" t="str">
        <f ca="1">IFERROR(__xludf.DUMMYFUNCTION("GOOGLETRANSLATE(English!F3792,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3792" s="1" t="str">
        <f ca="1">IFERROR(__xludf.DUMMYFUNCTION("GOOGLETRANSLATE(English!G3792, ""en"", ""bg"")"),"разговор")</f>
        <v>разговор</v>
      </c>
      <c r="H3792" s="1" t="str">
        <f ca="1">IFERROR(__xludf.DUMMYFUNCTION("GOOGLETRANSLATE(English!H3792, ""en"", ""bg"")"),"образователна_помощ")</f>
        <v>образователна_помощ</v>
      </c>
    </row>
    <row r="3793" spans="1:8" ht="13.2" x14ac:dyDescent="0.25">
      <c r="A3793" s="1" t="str">
        <f ca="1">IFERROR(__xludf.DUMMYFUNCTION("GOOGLETRANSLATE(English!A3793, ""en"", ""bg"")"),"qa_12805")</f>
        <v>qa_12805</v>
      </c>
      <c r="B3793" s="1" t="str">
        <f ca="1">IFERROR(__xludf.DUMMYFUNCTION("GOOGLETRANSLATE(English!B3793, ""en"", ""bg"")"),"биология")</f>
        <v>биология</v>
      </c>
      <c r="C3793" s="1" t="str">
        <f ca="1">IFERROR(__xludf.DUMMYFUNCTION("GOOGLETRANSLATE(English!C3793, ""en"", ""bg"")"),"средата")</f>
        <v>средата</v>
      </c>
      <c r="D3793" s="1" t="str">
        <f ca="1">IFERROR(__xludf.DUMMYFUNCTION("GOOGLETRANSLATE(English!D3793, ""en"", ""bg"")"),"клетки")</f>
        <v>клетки</v>
      </c>
      <c r="E3793" s="1" t="str">
        <f ca="1">IFERROR(__xludf.DUMMYFUNCTION("GOOGLETRANSLATE(English!E3793, ""en"", ""bg"")"),"Кои са основните части на клетката?")</f>
        <v>Кои са основните части на клетката?</v>
      </c>
      <c r="F3793" s="1" t="str">
        <f ca="1">IFERROR(__xludf.DUMMYFUNCTION("GOOGLETRANSLATE(English!F3793,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3793" s="1" t="str">
        <f ca="1">IFERROR(__xludf.DUMMYFUNCTION("GOOGLETRANSLATE(English!G3793, ""en"", ""bg"")"),"direct_qa")</f>
        <v>direct_qa</v>
      </c>
      <c r="H3793" s="1" t="str">
        <f ca="1">IFERROR(__xludf.DUMMYFUNCTION("GOOGLETRANSLATE(English!H3793, ""en"", ""bg"")"),"заявка_за_знание")</f>
        <v>заявка_за_знание</v>
      </c>
    </row>
    <row r="3794" spans="1:8" ht="13.2" x14ac:dyDescent="0.25">
      <c r="A3794" s="1" t="str">
        <f ca="1">IFERROR(__xludf.DUMMYFUNCTION("GOOGLETRANSLATE(English!A3794, ""en"", ""bg"")"),"hw_11807")</f>
        <v>hw_11807</v>
      </c>
      <c r="B3794" s="1" t="str">
        <f ca="1">IFERROR(__xludf.DUMMYFUNCTION("GOOGLETRANSLATE(English!B3794, ""en"", ""bg"")"),"химия")</f>
        <v>химия</v>
      </c>
      <c r="C3794" s="1" t="str">
        <f ca="1">IFERROR(__xludf.DUMMYFUNCTION("GOOGLETRANSLATE(English!C3794, ""en"", ""bg"")"),"елементарен")</f>
        <v>елементарен</v>
      </c>
      <c r="D3794" s="1" t="str">
        <f ca="1">IFERROR(__xludf.DUMMYFUNCTION("GOOGLETRANSLATE(English!D3794, ""en"", ""bg"")"),"разтваряне")</f>
        <v>разтваряне</v>
      </c>
      <c r="E3794" s="1" t="str">
        <f ca="1">IFERROR(__xludf.DUMMYFUNCTION("GOOGLETRANSLATE(English!E3794, ""en"", ""bg"")"),"Можете ли да ми помогнете с изчисленията за разтваряне?")</f>
        <v>Можете ли да ми помогнете с изчисленията за разтваряне?</v>
      </c>
      <c r="F3794" s="1" t="str">
        <f ca="1">IFERROR(__xludf.DUMMYFUNCTION("GOOGLETRANSLATE(English!F3794,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3794" s="1" t="str">
        <f ca="1">IFERROR(__xludf.DUMMYFUNCTION("GOOGLETRANSLATE(English!G3794, ""en"", ""bg"")"),"помощ_за_домашно_изпълнение")</f>
        <v>помощ_за_домашно_изпълнение</v>
      </c>
      <c r="H3794" s="1" t="str">
        <f ca="1">IFERROR(__xludf.DUMMYFUNCTION("GOOGLETRANSLATE(English!H3794, ""en"", ""bg"")"),"помощ_за_домашно_задаване")</f>
        <v>помощ_за_домашно_задаване</v>
      </c>
    </row>
    <row r="3795" spans="1:8" ht="13.2" x14ac:dyDescent="0.25">
      <c r="A3795" s="1" t="str">
        <f ca="1">IFERROR(__xludf.DUMMYFUNCTION("GOOGLETRANSLATE(English!A3795, ""en"", ""bg"")"),"conv_18935")</f>
        <v>conv_18935</v>
      </c>
      <c r="B3795" s="1" t="str">
        <f ca="1">IFERROR(__xludf.DUMMYFUNCTION("GOOGLETRANSLATE(English!B3795, ""en"", ""bg"")"),"физика")</f>
        <v>физика</v>
      </c>
      <c r="C3795" s="1" t="str">
        <f ca="1">IFERROR(__xludf.DUMMYFUNCTION("GOOGLETRANSLATE(English!C3795, ""en"", ""bg"")"),"високо")</f>
        <v>високо</v>
      </c>
      <c r="D3795" s="1" t="str">
        <f ca="1">IFERROR(__xludf.DUMMYFUNCTION("GOOGLETRANSLATE(English!D3795, ""en"", ""bg"")"),"електромагнетизъм")</f>
        <v>електромагнетизъм</v>
      </c>
      <c r="E3795" s="1" t="str">
        <f ca="1">IFERROR(__xludf.DUMMYFUNCTION("GOOGLETRANSLATE(English!E3795, ""en"", ""bg"")"),"Имам научен въпрос. Можете ли да ми обясните електромагнетизма?")</f>
        <v>Имам научен въпрос. Можете ли да ми обясните електромагнетизма?</v>
      </c>
      <c r="F3795" s="1" t="str">
        <f ca="1">IFERROR(__xludf.DUMMYFUNCTION("GOOGLETRANSLATE(English!F3795,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3795" s="1" t="str">
        <f ca="1">IFERROR(__xludf.DUMMYFUNCTION("GOOGLETRANSLATE(English!G3795, ""en"", ""bg"")"),"разговор")</f>
        <v>разговор</v>
      </c>
      <c r="H3795" s="1" t="str">
        <f ca="1">IFERROR(__xludf.DUMMYFUNCTION("GOOGLETRANSLATE(English!H3795, ""en"", ""bg"")"),"образователна_помощ")</f>
        <v>образователна_помощ</v>
      </c>
    </row>
    <row r="3796" spans="1:8" ht="13.2" x14ac:dyDescent="0.25">
      <c r="A3796" s="1" t="str">
        <f ca="1">IFERROR(__xludf.DUMMYFUNCTION("GOOGLETRANSLATE(English!A3796, ""en"", ""bg"")"),"hw_13962")</f>
        <v>hw_13962</v>
      </c>
      <c r="B3796" s="1" t="str">
        <f ca="1">IFERROR(__xludf.DUMMYFUNCTION("GOOGLETRANSLATE(English!B3796, ""en"", ""bg"")"),"биология")</f>
        <v>биология</v>
      </c>
      <c r="C3796" s="1" t="str">
        <f ca="1">IFERROR(__xludf.DUMMYFUNCTION("GOOGLETRANSLATE(English!C3796, ""en"", ""bg"")"),"високо")</f>
        <v>високо</v>
      </c>
      <c r="D3796" s="1" t="str">
        <f ca="1">IFERROR(__xludf.DUMMYFUNCTION("GOOGLETRANSLATE(English!D3796, ""en"", ""bg"")"),"Структура на ДНК")</f>
        <v>Структура на ДНК</v>
      </c>
      <c r="E3796" s="1" t="str">
        <f ca="1">IFERROR(__xludf.DUMMYFUNCTION("GOOGLETRANSLATE(English!E3796,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3796" s="1" t="str">
        <f ca="1">IFERROR(__xludf.DUMMYFUNCTION("GOOGLETRANSLATE(English!F3796,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3796" s="1" t="str">
        <f ca="1">IFERROR(__xludf.DUMMYFUNCTION("GOOGLETRANSLATE(English!G3796, ""en"", ""bg"")"),"помощ_за_домашно_изпълнение")</f>
        <v>помощ_за_домашно_изпълнение</v>
      </c>
      <c r="H3796" s="1" t="str">
        <f ca="1">IFERROR(__xludf.DUMMYFUNCTION("GOOGLETRANSLATE(English!H3796, ""en"", ""bg"")"),"помощ_за_домашно_задаване")</f>
        <v>помощ_за_домашно_задаване</v>
      </c>
    </row>
    <row r="3797" spans="1:8" ht="13.2" x14ac:dyDescent="0.25">
      <c r="A3797" s="1" t="str">
        <f ca="1">IFERROR(__xludf.DUMMYFUNCTION("GOOGLETRANSLATE(English!A3797, ""en"", ""bg"")"),"qa_11670")</f>
        <v>qa_11670</v>
      </c>
      <c r="B3797" s="1" t="str">
        <f ca="1">IFERROR(__xludf.DUMMYFUNCTION("GOOGLETRANSLATE(English!B3797, ""en"", ""bg"")"),"биология")</f>
        <v>биология</v>
      </c>
      <c r="C3797" s="1" t="str">
        <f ca="1">IFERROR(__xludf.DUMMYFUNCTION("GOOGLETRANSLATE(English!C3797, ""en"", ""bg"")"),"високо")</f>
        <v>високо</v>
      </c>
      <c r="D3797" s="1" t="str">
        <f ca="1">IFERROR(__xludf.DUMMYFUNCTION("GOOGLETRANSLATE(English!D3797, ""en"", ""bg"")"),"синтез на протеини")</f>
        <v>синтез на протеини</v>
      </c>
      <c r="E3797" s="1" t="str">
        <f ca="1">IFERROR(__xludf.DUMMYFUNCTION("GOOGLETRANSLATE(English!E3797, ""en"", ""bg"")"),"Какво е важно да знаем за синтеза на протеини?")</f>
        <v>Какво е важно да знаем за синтеза на протеини?</v>
      </c>
      <c r="F3797" s="1" t="str">
        <f ca="1">IFERROR(__xludf.DUMMYFUNCTION("GOOGLETRANSLATE(English!F3797, ""en"", ""bg"")"),"Най-важното нещо за протеиновия синтез е как той се свързва с други части на живота и природата.")</f>
        <v>Най-важното нещо за протеиновия синтез е как той се свързва с други части на живота и природата.</v>
      </c>
      <c r="G3797" s="1" t="str">
        <f ca="1">IFERROR(__xludf.DUMMYFUNCTION("GOOGLETRANSLATE(English!G3797, ""en"", ""bg"")"),"direct_qa")</f>
        <v>direct_qa</v>
      </c>
      <c r="H3797" s="1" t="str">
        <f ca="1">IFERROR(__xludf.DUMMYFUNCTION("GOOGLETRANSLATE(English!H3797, ""en"", ""bg"")"),"заявка_за_знание")</f>
        <v>заявка_за_знание</v>
      </c>
    </row>
    <row r="3798" spans="1:8" ht="13.2" x14ac:dyDescent="0.25">
      <c r="A3798" s="1" t="str">
        <f ca="1">IFERROR(__xludf.DUMMYFUNCTION("GOOGLETRANSLATE(English!A3798, ""en"", ""bg"")"),"conv_12497")</f>
        <v>conv_12497</v>
      </c>
      <c r="B3798" s="1" t="str">
        <f ca="1">IFERROR(__xludf.DUMMYFUNCTION("GOOGLETRANSLATE(English!B3798, ""en"", ""bg"")"),"биология")</f>
        <v>биология</v>
      </c>
      <c r="C3798" s="1" t="str">
        <f ca="1">IFERROR(__xludf.DUMMYFUNCTION("GOOGLETRANSLATE(English!C3798, ""en"", ""bg"")"),"елементарен")</f>
        <v>елементарен</v>
      </c>
      <c r="D3798" s="1" t="str">
        <f ca="1">IFERROR(__xludf.DUMMYFUNCTION("GOOGLETRANSLATE(English!D3798, ""en"", ""bg"")"),"човешкото тяло")</f>
        <v>човешкото тяло</v>
      </c>
      <c r="E3798" s="1" t="str">
        <f ca="1">IFERROR(__xludf.DUMMYFUNCTION("GOOGLETRANSLATE(English!E3798, ""en"", ""bg"")"),"Не разбирам тази тема. Можете ли да ми разкажете за човешкото тяло?")</f>
        <v>Не разбирам тази тема. Можете ли да ми разкажете за човешкото тяло?</v>
      </c>
      <c r="F3798" s="1" t="str">
        <f ca="1">IFERROR(__xludf.DUMMYFUNCTION("GOOGLETRANSLATE(English!F3798, ""en"", ""bg"")"),"Човешкото тяло е завладяваща част от биологията! То ни помага да разберем как функционират живите същества.")</f>
        <v>Човешкото тяло е завладяваща част от биологията! То ни помага да разберем как функционират живите същества.</v>
      </c>
      <c r="G3798" s="1" t="str">
        <f ca="1">IFERROR(__xludf.DUMMYFUNCTION("GOOGLETRANSLATE(English!G3798, ""en"", ""bg"")"),"разговор")</f>
        <v>разговор</v>
      </c>
      <c r="H3798" s="1" t="str">
        <f ca="1">IFERROR(__xludf.DUMMYFUNCTION("GOOGLETRANSLATE(English!H3798, ""en"", ""bg"")"),"образователна_помощ")</f>
        <v>образователна_помощ</v>
      </c>
    </row>
    <row r="3799" spans="1:8" ht="13.2" x14ac:dyDescent="0.25">
      <c r="A3799" s="1" t="str">
        <f ca="1">IFERROR(__xludf.DUMMYFUNCTION("GOOGLETRANSLATE(English!A3799, ""en"", ""bg"")"),"conv_09503")</f>
        <v>conv_09503</v>
      </c>
      <c r="B3799" s="1" t="str">
        <f ca="1">IFERROR(__xludf.DUMMYFUNCTION("GOOGLETRANSLATE(English!B3799, ""en"", ""bg"")"),"химия")</f>
        <v>химия</v>
      </c>
      <c r="C3799" s="1" t="str">
        <f ca="1">IFERROR(__xludf.DUMMYFUNCTION("GOOGLETRANSLATE(English!C3799, ""en"", ""bg"")"),"високо")</f>
        <v>високо</v>
      </c>
      <c r="D3799" s="1" t="str">
        <f ca="1">IFERROR(__xludf.DUMMYFUNCTION("GOOGLETRANSLATE(English!D3799, ""en"", ""bg"")"),"химическо свързване")</f>
        <v>химическо свързване</v>
      </c>
      <c r="E3799" s="1" t="str">
        <f ca="1">IFERROR(__xludf.DUMMYFUNCTION("GOOGLETRANSLATE(English!E3799, ""en"", ""bg"")"),"Имам нужда от помощ с домашното си. Как работи химическата връзка в химията?")</f>
        <v>Имам нужда от помощ с домашното си. Как работи химическата връзка в химията?</v>
      </c>
      <c r="F3799" s="1" t="str">
        <f ca="1">IFERROR(__xludf.DUMMYFUNCTION("GOOGLETRANSLATE(English!F3799,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3799" s="1" t="str">
        <f ca="1">IFERROR(__xludf.DUMMYFUNCTION("GOOGLETRANSLATE(English!G3799, ""en"", ""bg"")"),"разговор")</f>
        <v>разговор</v>
      </c>
      <c r="H3799" s="1" t="str">
        <f ca="1">IFERROR(__xludf.DUMMYFUNCTION("GOOGLETRANSLATE(English!H3799, ""en"", ""bg"")"),"образователна_помощ")</f>
        <v>образователна_помощ</v>
      </c>
    </row>
    <row r="3800" spans="1:8" ht="13.2" x14ac:dyDescent="0.25">
      <c r="A3800" s="1" t="str">
        <f ca="1">IFERROR(__xludf.DUMMYFUNCTION("GOOGLETRANSLATE(English!A3800, ""en"", ""bg"")"),"conv_06652")</f>
        <v>conv_06652</v>
      </c>
      <c r="B3800" s="1" t="str">
        <f ca="1">IFERROR(__xludf.DUMMYFUNCTION("GOOGLETRANSLATE(English!B3800, ""en"", ""bg"")"),"химия")</f>
        <v>химия</v>
      </c>
      <c r="C3800" s="1" t="str">
        <f ca="1">IFERROR(__xludf.DUMMYFUNCTION("GOOGLETRANSLATE(English!C3800, ""en"", ""bg"")"),"средата")</f>
        <v>средата</v>
      </c>
      <c r="D3800" s="1" t="str">
        <f ca="1">IFERROR(__xludf.DUMMYFUNCTION("GOOGLETRANSLATE(English!D3800, ""en"", ""bg"")"),"киселини и основи")</f>
        <v>киселини и основи</v>
      </c>
      <c r="E3800" s="1" t="str">
        <f ca="1">IFERROR(__xludf.DUMMYFUNCTION("GOOGLETRANSLATE(English!E3800, ""en"", ""bg"")"),"Имам научен въпрос. Какво представляват киселините и основите?")</f>
        <v>Имам научен въпрос. Какво представляват киселините и основите?</v>
      </c>
      <c r="F3800" s="1" t="str">
        <f ca="1">IFERROR(__xludf.DUMMYFUNCTION("GOOGLETRANSLATE(English!F3800,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3800" s="1" t="str">
        <f ca="1">IFERROR(__xludf.DUMMYFUNCTION("GOOGLETRANSLATE(English!G3800, ""en"", ""bg"")"),"разговор")</f>
        <v>разговор</v>
      </c>
      <c r="H3800" s="1" t="str">
        <f ca="1">IFERROR(__xludf.DUMMYFUNCTION("GOOGLETRANSLATE(English!H3800, ""en"", ""bg"")"),"образователна_помощ")</f>
        <v>образователна_помощ</v>
      </c>
    </row>
    <row r="3801" spans="1:8" ht="13.2" x14ac:dyDescent="0.25">
      <c r="A3801" s="1" t="str">
        <f ca="1">IFERROR(__xludf.DUMMYFUNCTION("GOOGLETRANSLATE(English!A3801, ""en"", ""bg"")"),"conv_17866")</f>
        <v>conv_17866</v>
      </c>
      <c r="B3801" s="1" t="str">
        <f ca="1">IFERROR(__xludf.DUMMYFUNCTION("GOOGLETRANSLATE(English!B3801, ""en"", ""bg"")"),"физика")</f>
        <v>физика</v>
      </c>
      <c r="C3801" s="1" t="str">
        <f ca="1">IFERROR(__xludf.DUMMYFUNCTION("GOOGLETRANSLATE(English!C3801, ""en"", ""bg"")"),"високо")</f>
        <v>високо</v>
      </c>
      <c r="D3801" s="1" t="str">
        <f ca="1">IFERROR(__xludf.DUMMYFUNCTION("GOOGLETRANSLATE(English!D3801, ""en"", ""bg"")"),"оптика")</f>
        <v>оптика</v>
      </c>
      <c r="E3801" s="1" t="str">
        <f ca="1">IFERROR(__xludf.DUMMYFUNCTION("GOOGLETRANSLATE(English!E3801, ""en"", ""bg"")"),"Помогнете ми да уча за теста си. Защо оптиката е важна?")</f>
        <v>Помогнете ми да уча за теста си. Защо оптиката е важна?</v>
      </c>
      <c r="F3801" s="1" t="str">
        <f ca="1">IFERROR(__xludf.DUMMYFUNCTION("GOOGLETRANSLATE(English!F3801,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3801" s="1" t="str">
        <f ca="1">IFERROR(__xludf.DUMMYFUNCTION("GOOGLETRANSLATE(English!G3801, ""en"", ""bg"")"),"разговор")</f>
        <v>разговор</v>
      </c>
      <c r="H3801" s="1" t="str">
        <f ca="1">IFERROR(__xludf.DUMMYFUNCTION("GOOGLETRANSLATE(English!H3801, ""en"", ""bg"")"),"образователна_помощ")</f>
        <v>образователна_помощ</v>
      </c>
    </row>
    <row r="3802" spans="1:8" ht="13.2" x14ac:dyDescent="0.25">
      <c r="A3802" s="1" t="str">
        <f ca="1">IFERROR(__xludf.DUMMYFUNCTION("GOOGLETRANSLATE(English!A3802, ""en"", ""bg"")"),"conv_18904")</f>
        <v>conv_18904</v>
      </c>
      <c r="B3802" s="1" t="str">
        <f ca="1">IFERROR(__xludf.DUMMYFUNCTION("GOOGLETRANSLATE(English!B3802, ""en"", ""bg"")"),"химия")</f>
        <v>химия</v>
      </c>
      <c r="C3802" s="1" t="str">
        <f ca="1">IFERROR(__xludf.DUMMYFUNCTION("GOOGLETRANSLATE(English!C3802, ""en"", ""bg"")"),"високо")</f>
        <v>високо</v>
      </c>
      <c r="D3802" s="1" t="str">
        <f ca="1">IFERROR(__xludf.DUMMYFUNCTION("GOOGLETRANSLATE(English!D3802, ""en"", ""bg"")"),"равновесие")</f>
        <v>равновесие</v>
      </c>
      <c r="E3802" s="1" t="str">
        <f ca="1">IFERROR(__xludf.DUMMYFUNCTION("GOOGLETRANSLATE(English!E3802, ""en"", ""bg"")"),"Имам нужда от помощ с домашното. Защо равновесието е важно за учене?")</f>
        <v>Имам нужда от помощ с домашното. Защо равновесието е важно за учене?</v>
      </c>
      <c r="F3802" s="1" t="str">
        <f ca="1">IFERROR(__xludf.DUMMYFUNCTION("GOOGLETRANSLATE(English!F3802,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3802" s="1" t="str">
        <f ca="1">IFERROR(__xludf.DUMMYFUNCTION("GOOGLETRANSLATE(English!G3802, ""en"", ""bg"")"),"разговор")</f>
        <v>разговор</v>
      </c>
      <c r="H3802" s="1" t="str">
        <f ca="1">IFERROR(__xludf.DUMMYFUNCTION("GOOGLETRANSLATE(English!H3802, ""en"", ""bg"")"),"образователна_помощ")</f>
        <v>образователна_помощ</v>
      </c>
    </row>
    <row r="3803" spans="1:8" ht="13.2" x14ac:dyDescent="0.25">
      <c r="A3803" s="1" t="str">
        <f ca="1">IFERROR(__xludf.DUMMYFUNCTION("GOOGLETRANSLATE(English!A3803, ""en"", ""bg"")"),"qa_01623")</f>
        <v>qa_01623</v>
      </c>
      <c r="B3803" s="1" t="str">
        <f ca="1">IFERROR(__xludf.DUMMYFUNCTION("GOOGLETRANSLATE(English!B3803, ""en"", ""bg"")"),"биология")</f>
        <v>биология</v>
      </c>
      <c r="C3803" s="1" t="str">
        <f ca="1">IFERROR(__xludf.DUMMYFUNCTION("GOOGLETRANSLATE(English!C3803, ""en"", ""bg"")"),"елементарен")</f>
        <v>елементарен</v>
      </c>
      <c r="D3803" s="1" t="str">
        <f ca="1">IFERROR(__xludf.DUMMYFUNCTION("GOOGLETRANSLATE(English!D3803, ""en"", ""bg"")"),"животни")</f>
        <v>животни</v>
      </c>
      <c r="E3803" s="1" t="str">
        <f ca="1">IFERROR(__xludf.DUMMYFUNCTION("GOOGLETRANSLATE(English!E3803, ""en"", ""bg"")"),"Какво отличава бозайниците от птиците?")</f>
        <v>Какво отличава бозайниците от птиците?</v>
      </c>
      <c r="F3803" s="1" t="str">
        <f ca="1">IFERROR(__xludf.DUMMYFUNCTION("GOOGLETRANSLATE(English!F3803,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3803" s="1" t="str">
        <f ca="1">IFERROR(__xludf.DUMMYFUNCTION("GOOGLETRANSLATE(English!G3803, ""en"", ""bg"")"),"direct_qa")</f>
        <v>direct_qa</v>
      </c>
      <c r="H3803" s="1" t="str">
        <f ca="1">IFERROR(__xludf.DUMMYFUNCTION("GOOGLETRANSLATE(English!H3803, ""en"", ""bg"")"),"заявка_за_знание")</f>
        <v>заявка_за_знание</v>
      </c>
    </row>
    <row r="3804" spans="1:8" ht="13.2" x14ac:dyDescent="0.25">
      <c r="A3804" s="1" t="str">
        <f ca="1">IFERROR(__xludf.DUMMYFUNCTION("GOOGLETRANSLATE(English!A3804, ""en"", ""bg"")"),"conv_04892")</f>
        <v>conv_04892</v>
      </c>
      <c r="B3804" s="1" t="str">
        <f ca="1">IFERROR(__xludf.DUMMYFUNCTION("GOOGLETRANSLATE(English!B3804, ""en"", ""bg"")"),"химия")</f>
        <v>химия</v>
      </c>
      <c r="C3804" s="1" t="str">
        <f ca="1">IFERROR(__xludf.DUMMYFUNCTION("GOOGLETRANSLATE(English!C3804, ""en"", ""bg"")"),"високо")</f>
        <v>високо</v>
      </c>
      <c r="D3804" s="1" t="str">
        <f ca="1">IFERROR(__xludf.DUMMYFUNCTION("GOOGLETRANSLATE(English!D3804, ""en"", ""bg"")"),"скорости на реакция")</f>
        <v>скорости на реакция</v>
      </c>
      <c r="E3804" s="1" t="str">
        <f ca="1">IFERROR(__xludf.DUMMYFUNCTION("GOOGLETRANSLATE(English!E3804, ""en"", ""bg"")"),"Здравей, преподавателю! Защо е важно да се учи скоростта на реакция?")</f>
        <v>Здравей, преподавателю! Защо е важно да се учи скоростта на реакция?</v>
      </c>
      <c r="F3804" s="1" t="str">
        <f ca="1">IFERROR(__xludf.DUMMYFUNCTION("GOOGLETRANSLATE(English!F3804,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3804" s="1" t="str">
        <f ca="1">IFERROR(__xludf.DUMMYFUNCTION("GOOGLETRANSLATE(English!G3804, ""en"", ""bg"")"),"разговор")</f>
        <v>разговор</v>
      </c>
      <c r="H3804" s="1" t="str">
        <f ca="1">IFERROR(__xludf.DUMMYFUNCTION("GOOGLETRANSLATE(English!H3804, ""en"", ""bg"")"),"образователна_помощ")</f>
        <v>образователна_помощ</v>
      </c>
    </row>
    <row r="3805" spans="1:8" ht="13.2" x14ac:dyDescent="0.25">
      <c r="A3805" s="1" t="str">
        <f ca="1">IFERROR(__xludf.DUMMYFUNCTION("GOOGLETRANSLATE(English!A3805, ""en"", ""bg"")"),"hw_10976")</f>
        <v>hw_10976</v>
      </c>
      <c r="B3805" s="1" t="str">
        <f ca="1">IFERROR(__xludf.DUMMYFUNCTION("GOOGLETRANSLATE(English!B3805, ""en"", ""bg"")"),"химия")</f>
        <v>химия</v>
      </c>
      <c r="C3805" s="1" t="str">
        <f ca="1">IFERROR(__xludf.DUMMYFUNCTION("GOOGLETRANSLATE(English!C3805, ""en"", ""bg"")"),"високо")</f>
        <v>високо</v>
      </c>
      <c r="D3805" s="1" t="str">
        <f ca="1">IFERROR(__xludf.DUMMYFUNCTION("GOOGLETRANSLATE(English!D3805, ""en"", ""bg"")"),"органична химия")</f>
        <v>органична химия</v>
      </c>
      <c r="E3805" s="1" t="str">
        <f ca="1">IFERROR(__xludf.DUMMYFUNCTION("GOOGLETRANSLATE(English!E3805, ""en"", ""bg"")"),"Имам затруднения с органичната химия в домашното си.")</f>
        <v>Имам затруднения с органичната химия в домашното си.</v>
      </c>
      <c r="F3805" s="1" t="str">
        <f ca="1">IFERROR(__xludf.DUMMYFUNCTION("GOOGLETRANSLATE(English!F3805,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805" s="1" t="str">
        <f ca="1">IFERROR(__xludf.DUMMYFUNCTION("GOOGLETRANSLATE(English!G3805, ""en"", ""bg"")"),"помощ_за_домашно_изпълнение")</f>
        <v>помощ_за_домашно_изпълнение</v>
      </c>
      <c r="H3805" s="1" t="str">
        <f ca="1">IFERROR(__xludf.DUMMYFUNCTION("GOOGLETRANSLATE(English!H3805, ""en"", ""bg"")"),"помощ_за_домашно_задаване")</f>
        <v>помощ_за_домашно_задаване</v>
      </c>
    </row>
    <row r="3806" spans="1:8" ht="13.2" x14ac:dyDescent="0.25">
      <c r="A3806" s="1" t="str">
        <f ca="1">IFERROR(__xludf.DUMMYFUNCTION("GOOGLETRANSLATE(English!A3806, ""en"", ""bg"")"),"hw_13479")</f>
        <v>hw_13479</v>
      </c>
      <c r="B3806" s="1" t="str">
        <f ca="1">IFERROR(__xludf.DUMMYFUNCTION("GOOGLETRANSLATE(English!B3806, ""en"", ""bg"")"),"химия")</f>
        <v>химия</v>
      </c>
      <c r="C3806" s="1" t="str">
        <f ca="1">IFERROR(__xludf.DUMMYFUNCTION("GOOGLETRANSLATE(English!C3806, ""en"", ""bg"")"),"елементарен")</f>
        <v>елементарен</v>
      </c>
      <c r="D3806" s="1" t="str">
        <f ca="1">IFERROR(__xludf.DUMMYFUNCTION("GOOGLETRANSLATE(English!D3806, ""en"", ""bg"")"),"смесване на материали")</f>
        <v>смесване на материали</v>
      </c>
      <c r="E3806" s="1" t="str">
        <f ca="1">IFERROR(__xludf.DUMMYFUNCTION("GOOGLETRANSLATE(English!E3806, ""en"", ""bg"")"),"Моят доклад по химия е за смесване на материали. Помогнете ми да разбера.")</f>
        <v>Моят доклад по химия е за смесване на материали. Помогнете ми да разбера.</v>
      </c>
      <c r="F3806" s="1" t="str">
        <f ca="1">IFERROR(__xludf.DUMMYFUNCTION("GOOGLETRANSLATE(English!F3806,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806" s="1" t="str">
        <f ca="1">IFERROR(__xludf.DUMMYFUNCTION("GOOGLETRANSLATE(English!G3806, ""en"", ""bg"")"),"помощ_за_домашно_изпълнение")</f>
        <v>помощ_за_домашно_изпълнение</v>
      </c>
      <c r="H3806" s="1" t="str">
        <f ca="1">IFERROR(__xludf.DUMMYFUNCTION("GOOGLETRANSLATE(English!H3806, ""en"", ""bg"")"),"помощ_за_домашно_задаване")</f>
        <v>помощ_за_домашно_задаване</v>
      </c>
    </row>
    <row r="3807" spans="1:8" ht="13.2" x14ac:dyDescent="0.25">
      <c r="A3807" s="1" t="str">
        <f ca="1">IFERROR(__xludf.DUMMYFUNCTION("GOOGLETRANSLATE(English!A3807, ""en"", ""bg"")"),"hw_05446")</f>
        <v>hw_05446</v>
      </c>
      <c r="B3807" s="1" t="str">
        <f ca="1">IFERROR(__xludf.DUMMYFUNCTION("GOOGLETRANSLATE(English!B3807, ""en"", ""bg"")"),"химия")</f>
        <v>химия</v>
      </c>
      <c r="C3807" s="1" t="str">
        <f ca="1">IFERROR(__xludf.DUMMYFUNCTION("GOOGLETRANSLATE(English!C3807, ""en"", ""bg"")"),"високо")</f>
        <v>високо</v>
      </c>
      <c r="D3807" s="1" t="str">
        <f ca="1">IFERROR(__xludf.DUMMYFUNCTION("GOOGLETRANSLATE(English!D3807, ""en"", ""bg"")"),"органична химия")</f>
        <v>органична химия</v>
      </c>
      <c r="E3807" s="1" t="str">
        <f ca="1">IFERROR(__xludf.DUMMYFUNCTION("GOOGLETRANSLATE(English!E3807, ""en"", ""bg"")"),"Имам затруднения с органичната химия в домашното си.")</f>
        <v>Имам затруднения с органичната химия в домашното си.</v>
      </c>
      <c r="F3807" s="1" t="str">
        <f ca="1">IFERROR(__xludf.DUMMYFUNCTION("GOOGLETRANSLATE(English!F3807,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807" s="1" t="str">
        <f ca="1">IFERROR(__xludf.DUMMYFUNCTION("GOOGLETRANSLATE(English!G3807, ""en"", ""bg"")"),"помощ_за_домашно_изпълнение")</f>
        <v>помощ_за_домашно_изпълнение</v>
      </c>
      <c r="H3807" s="1" t="str">
        <f ca="1">IFERROR(__xludf.DUMMYFUNCTION("GOOGLETRANSLATE(English!H3807, ""en"", ""bg"")"),"помощ_за_домашно_задаване")</f>
        <v>помощ_за_домашно_задаване</v>
      </c>
    </row>
    <row r="3808" spans="1:8" ht="13.2" x14ac:dyDescent="0.25">
      <c r="A3808" s="1" t="str">
        <f ca="1">IFERROR(__xludf.DUMMYFUNCTION("GOOGLETRANSLATE(English!A3808, ""en"", ""bg"")"),"hw_07308")</f>
        <v>hw_07308</v>
      </c>
      <c r="B3808" s="1" t="str">
        <f ca="1">IFERROR(__xludf.DUMMYFUNCTION("GOOGLETRANSLATE(English!B3808, ""en"", ""bg"")"),"химия")</f>
        <v>химия</v>
      </c>
      <c r="C3808" s="1" t="str">
        <f ca="1">IFERROR(__xludf.DUMMYFUNCTION("GOOGLETRANSLATE(English!C3808, ""en"", ""bg"")"),"средата")</f>
        <v>средата</v>
      </c>
      <c r="D3808" s="1" t="str">
        <f ca="1">IFERROR(__xludf.DUMMYFUNCTION("GOOGLETRANSLATE(English!D3808, ""en"", ""bg"")"),"киселини и основи")</f>
        <v>киселини и основи</v>
      </c>
      <c r="E3808" s="1" t="str">
        <f ca="1">IFERROR(__xludf.DUMMYFUNCTION("GOOGLETRANSLATE(English!E3808,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3808" s="1" t="str">
        <f ca="1">IFERROR(__xludf.DUMMYFUNCTION("GOOGLETRANSLATE(English!F3808,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3808" s="1" t="str">
        <f ca="1">IFERROR(__xludf.DUMMYFUNCTION("GOOGLETRANSLATE(English!G3808, ""en"", ""bg"")"),"помощ_за_домашно_изпълнение")</f>
        <v>помощ_за_домашно_изпълнение</v>
      </c>
      <c r="H3808" s="1" t="str">
        <f ca="1">IFERROR(__xludf.DUMMYFUNCTION("GOOGLETRANSLATE(English!H3808, ""en"", ""bg"")"),"помощ_за_домашно_задаване")</f>
        <v>помощ_за_домашно_задаване</v>
      </c>
    </row>
    <row r="3809" spans="1:8" ht="13.2" x14ac:dyDescent="0.25">
      <c r="A3809" s="1" t="str">
        <f ca="1">IFERROR(__xludf.DUMMYFUNCTION("GOOGLETRANSLATE(English!A3809, ""en"", ""bg"")"),"hw_02221")</f>
        <v>hw_02221</v>
      </c>
      <c r="B3809" s="1" t="str">
        <f ca="1">IFERROR(__xludf.DUMMYFUNCTION("GOOGLETRANSLATE(English!B3809, ""en"", ""bg"")"),"физика")</f>
        <v>физика</v>
      </c>
      <c r="C3809" s="1" t="str">
        <f ca="1">IFERROR(__xludf.DUMMYFUNCTION("GOOGLETRANSLATE(English!C3809, ""en"", ""bg"")"),"елементарен")</f>
        <v>елементарен</v>
      </c>
      <c r="D3809" s="1" t="str">
        <f ca="1">IFERROR(__xludf.DUMMYFUNCTION("GOOGLETRANSLATE(English!D3809, ""en"", ""bg"")"),"магнити")</f>
        <v>магнити</v>
      </c>
      <c r="E3809" s="1" t="str">
        <f ca="1">IFERROR(__xludf.DUMMYFUNCTION("GOOGLETRANSLATE(English!E3809, ""en"", ""bg"")"),"Трябва да разбера какво представляват магнитите за изпита си.")</f>
        <v>Трябва да разбера какво представляват магнитите за изпита си.</v>
      </c>
      <c r="F3809" s="1" t="str">
        <f ca="1">IFERROR(__xludf.DUMMYFUNCTION("GOOGLETRANSLATE(English!F3809,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3809" s="1" t="str">
        <f ca="1">IFERROR(__xludf.DUMMYFUNCTION("GOOGLETRANSLATE(English!G3809, ""en"", ""bg"")"),"помощ_за_домашно_изпълнение")</f>
        <v>помощ_за_домашно_изпълнение</v>
      </c>
      <c r="H3809" s="1" t="str">
        <f ca="1">IFERROR(__xludf.DUMMYFUNCTION("GOOGLETRANSLATE(English!H3809, ""en"", ""bg"")"),"помощ_за_домашно_задаване")</f>
        <v>помощ_за_домашно_задаване</v>
      </c>
    </row>
    <row r="3810" spans="1:8" ht="13.2" x14ac:dyDescent="0.25">
      <c r="A3810" s="1" t="str">
        <f ca="1">IFERROR(__xludf.DUMMYFUNCTION("GOOGLETRANSLATE(English!A3810, ""en"", ""bg"")"),"hw_10385")</f>
        <v>hw_10385</v>
      </c>
      <c r="B3810" s="1" t="str">
        <f ca="1">IFERROR(__xludf.DUMMYFUNCTION("GOOGLETRANSLATE(English!B3810, ""en"", ""bg"")"),"физика")</f>
        <v>физика</v>
      </c>
      <c r="C3810" s="1" t="str">
        <f ca="1">IFERROR(__xludf.DUMMYFUNCTION("GOOGLETRANSLATE(English!C3810, ""en"", ""bg"")"),"високо")</f>
        <v>високо</v>
      </c>
      <c r="D3810" s="1" t="str">
        <f ca="1">IFERROR(__xludf.DUMMYFUNCTION("GOOGLETRANSLATE(English!D3810, ""en"", ""bg"")"),"радиоактивност")</f>
        <v>радиоактивност</v>
      </c>
      <c r="E3810" s="1" t="str">
        <f ca="1">IFERROR(__xludf.DUMMYFUNCTION("GOOGLETRANSLATE(English!E3810, ""en"", ""bg"")"),"Заседнал съм с този проблем с радиоактивността. Можете ли да помогнете?")</f>
        <v>Заседнал съм с този проблем с радиоактивността. Можете ли да помогнете?</v>
      </c>
      <c r="F3810" s="1" t="str">
        <f ca="1">IFERROR(__xludf.DUMMYFUNCTION("GOOGLETRANSLATE(English!F3810,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3810" s="1" t="str">
        <f ca="1">IFERROR(__xludf.DUMMYFUNCTION("GOOGLETRANSLATE(English!G3810, ""en"", ""bg"")"),"помощ_за_домашно_изпълнение")</f>
        <v>помощ_за_домашно_изпълнение</v>
      </c>
      <c r="H3810" s="1" t="str">
        <f ca="1">IFERROR(__xludf.DUMMYFUNCTION("GOOGLETRANSLATE(English!H3810, ""en"", ""bg"")"),"помощ_за_домашно_задаване")</f>
        <v>помощ_за_домашно_задаване</v>
      </c>
    </row>
    <row r="3811" spans="1:8" ht="13.2" x14ac:dyDescent="0.25">
      <c r="A3811" s="1" t="str">
        <f ca="1">IFERROR(__xludf.DUMMYFUNCTION("GOOGLETRANSLATE(English!A3811, ""en"", ""bg"")"),"hw_01532")</f>
        <v>hw_01532</v>
      </c>
      <c r="B3811" s="1" t="str">
        <f ca="1">IFERROR(__xludf.DUMMYFUNCTION("GOOGLETRANSLATE(English!B3811, ""en"", ""bg"")"),"физика")</f>
        <v>физика</v>
      </c>
      <c r="C3811" s="1" t="str">
        <f ca="1">IFERROR(__xludf.DUMMYFUNCTION("GOOGLETRANSLATE(English!C3811, ""en"", ""bg"")"),"средата")</f>
        <v>средата</v>
      </c>
      <c r="D3811" s="1" t="str">
        <f ca="1">IFERROR(__xludf.DUMMYFUNCTION("GOOGLETRANSLATE(English!D3811, ""en"", ""bg"")"),"основи на електричеството")</f>
        <v>основи на електричеството</v>
      </c>
      <c r="E3811" s="1" t="str">
        <f ca="1">IFERROR(__xludf.DUMMYFUNCTION("GOOGLETRANSLATE(English!E3811,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3811" s="1" t="str">
        <f ca="1">IFERROR(__xludf.DUMMYFUNCTION("GOOGLETRANSLATE(English!F3811,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3811" s="1" t="str">
        <f ca="1">IFERROR(__xludf.DUMMYFUNCTION("GOOGLETRANSLATE(English!G3811, ""en"", ""bg"")"),"помощ_за_домашно_изпълнение")</f>
        <v>помощ_за_домашно_изпълнение</v>
      </c>
      <c r="H3811" s="1" t="str">
        <f ca="1">IFERROR(__xludf.DUMMYFUNCTION("GOOGLETRANSLATE(English!H3811, ""en"", ""bg"")"),"помощ_за_домашно_задаване")</f>
        <v>помощ_за_домашно_задаване</v>
      </c>
    </row>
    <row r="3812" spans="1:8" ht="13.2" x14ac:dyDescent="0.25">
      <c r="A3812" s="1" t="str">
        <f ca="1">IFERROR(__xludf.DUMMYFUNCTION("GOOGLETRANSLATE(English!A3812, ""en"", ""bg"")"),"conv_02872")</f>
        <v>conv_02872</v>
      </c>
      <c r="B3812" s="1" t="str">
        <f ca="1">IFERROR(__xludf.DUMMYFUNCTION("GOOGLETRANSLATE(English!B3812, ""en"", ""bg"")"),"биология")</f>
        <v>биология</v>
      </c>
      <c r="C3812" s="1" t="str">
        <f ca="1">IFERROR(__xludf.DUMMYFUNCTION("GOOGLETRANSLATE(English!C3812, ""en"", ""bg"")"),"високо")</f>
        <v>високо</v>
      </c>
      <c r="D3812" s="1" t="str">
        <f ca="1">IFERROR(__xludf.DUMMYFUNCTION("GOOGLETRANSLATE(English!D3812, ""en"", ""bg"")"),"модели на наследяване")</f>
        <v>модели на наследяване</v>
      </c>
      <c r="E3812" s="1" t="str">
        <f ca="1">IFERROR(__xludf.DUMMYFUNCTION("GOOGLETRANSLATE(English!E3812, ""en"", ""bg"")"),"Не разбирам тази тема. Как работят моделите на наследяване?")</f>
        <v>Не разбирам тази тема. Как работят моделите на наследяване?</v>
      </c>
      <c r="F3812" s="1" t="str">
        <f ca="1">IFERROR(__xludf.DUMMYFUNCTION("GOOGLETRANSLATE(English!F3812,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3812" s="1" t="str">
        <f ca="1">IFERROR(__xludf.DUMMYFUNCTION("GOOGLETRANSLATE(English!G3812, ""en"", ""bg"")"),"разговор")</f>
        <v>разговор</v>
      </c>
      <c r="H3812" s="1" t="str">
        <f ca="1">IFERROR(__xludf.DUMMYFUNCTION("GOOGLETRANSLATE(English!H3812, ""en"", ""bg"")"),"образователна_помощ")</f>
        <v>образователна_помощ</v>
      </c>
    </row>
    <row r="3813" spans="1:8" ht="13.2" x14ac:dyDescent="0.25">
      <c r="A3813" s="1" t="str">
        <f ca="1">IFERROR(__xludf.DUMMYFUNCTION("GOOGLETRANSLATE(English!A3813, ""en"", ""bg"")"),"qa_12343")</f>
        <v>qa_12343</v>
      </c>
      <c r="B3813" s="1" t="str">
        <f ca="1">IFERROR(__xludf.DUMMYFUNCTION("GOOGLETRANSLATE(English!B3813, ""en"", ""bg"")"),"химия")</f>
        <v>химия</v>
      </c>
      <c r="C3813" s="1" t="str">
        <f ca="1">IFERROR(__xludf.DUMMYFUNCTION("GOOGLETRANSLATE(English!C3813, ""en"", ""bg"")"),"средата")</f>
        <v>средата</v>
      </c>
      <c r="D3813" s="1" t="str">
        <f ca="1">IFERROR(__xludf.DUMMYFUNCTION("GOOGLETRANSLATE(English!D3813, ""en"", ""bg"")"),"химични реакции")</f>
        <v>химични реакции</v>
      </c>
      <c r="E3813" s="1" t="str">
        <f ca="1">IFERROR(__xludf.DUMMYFUNCTION("GOOGLETRANSLATE(English!E3813, ""en"", ""bg"")"),"Какво е химична реакция?")</f>
        <v>Какво е химична реакция?</v>
      </c>
      <c r="F3813" s="1" t="str">
        <f ca="1">IFERROR(__xludf.DUMMYFUNCTION("GOOGLETRANSLATE(English!F3813,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3813" s="1" t="str">
        <f ca="1">IFERROR(__xludf.DUMMYFUNCTION("GOOGLETRANSLATE(English!G3813, ""en"", ""bg"")"),"direct_qa")</f>
        <v>direct_qa</v>
      </c>
      <c r="H3813" s="1" t="str">
        <f ca="1">IFERROR(__xludf.DUMMYFUNCTION("GOOGLETRANSLATE(English!H3813, ""en"", ""bg"")"),"заявка_за_знание")</f>
        <v>заявка_за_знание</v>
      </c>
    </row>
    <row r="3814" spans="1:8" ht="13.2" x14ac:dyDescent="0.25">
      <c r="A3814" s="1" t="str">
        <f ca="1">IFERROR(__xludf.DUMMYFUNCTION("GOOGLETRANSLATE(English!A3814, ""en"", ""bg"")"),"conv_14870")</f>
        <v>conv_14870</v>
      </c>
      <c r="B3814" s="1" t="str">
        <f ca="1">IFERROR(__xludf.DUMMYFUNCTION("GOOGLETRANSLATE(English!B3814, ""en"", ""bg"")"),"химия")</f>
        <v>химия</v>
      </c>
      <c r="C3814" s="1" t="str">
        <f ca="1">IFERROR(__xludf.DUMMYFUNCTION("GOOGLETRANSLATE(English!C3814, ""en"", ""bg"")"),"средата")</f>
        <v>средата</v>
      </c>
      <c r="D3814" s="1" t="str">
        <f ca="1">IFERROR(__xludf.DUMMYFUNCTION("GOOGLETRANSLATE(English!D3814, ""en"", ""bg"")"),"химични реакции")</f>
        <v>химични реакции</v>
      </c>
      <c r="E3814" s="1" t="str">
        <f ca="1">IFERROR(__xludf.DUMMYFUNCTION("GOOGLETRANSLATE(English!E3814, ""en"", ""bg"")"),"Имам научен въпрос. Какво е химична реакция?")</f>
        <v>Имам научен въпрос. Какво е химична реакция?</v>
      </c>
      <c r="F3814" s="1" t="str">
        <f ca="1">IFERROR(__xludf.DUMMYFUNCTION("GOOGLETRANSLATE(English!F3814,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3814" s="1" t="str">
        <f ca="1">IFERROR(__xludf.DUMMYFUNCTION("GOOGLETRANSLATE(English!G3814, ""en"", ""bg"")"),"разговор")</f>
        <v>разговор</v>
      </c>
      <c r="H3814" s="1" t="str">
        <f ca="1">IFERROR(__xludf.DUMMYFUNCTION("GOOGLETRANSLATE(English!H3814, ""en"", ""bg"")"),"образователна_помощ")</f>
        <v>образователна_помощ</v>
      </c>
    </row>
    <row r="3815" spans="1:8" ht="13.2" x14ac:dyDescent="0.25">
      <c r="A3815" s="1" t="str">
        <f ca="1">IFERROR(__xludf.DUMMYFUNCTION("GOOGLETRANSLATE(English!A3815, ""en"", ""bg"")"),"hw_07984")</f>
        <v>hw_07984</v>
      </c>
      <c r="B3815" s="1" t="str">
        <f ca="1">IFERROR(__xludf.DUMMYFUNCTION("GOOGLETRANSLATE(English!B3815, ""en"", ""bg"")"),"химия")</f>
        <v>химия</v>
      </c>
      <c r="C3815" s="1" t="str">
        <f ca="1">IFERROR(__xludf.DUMMYFUNCTION("GOOGLETRANSLATE(English!C3815, ""en"", ""bg"")"),"елементарен")</f>
        <v>елементарен</v>
      </c>
      <c r="D3815" s="1" t="str">
        <f ca="1">IFERROR(__xludf.DUMMYFUNCTION("GOOGLETRANSLATE(English!D3815, ""en"", ""bg"")"),"разтваряне")</f>
        <v>разтваряне</v>
      </c>
      <c r="E3815" s="1" t="str">
        <f ca="1">IFERROR(__xludf.DUMMYFUNCTION("GOOGLETRANSLATE(English!E3815, ""en"", ""bg"")"),"Трудно ми е да се разсея в домашните си.")</f>
        <v>Трудно ми е да се разсея в домашните си.</v>
      </c>
      <c r="F3815" s="1" t="str">
        <f ca="1">IFERROR(__xludf.DUMMYFUNCTION("GOOGLETRANSLATE(English!F3815,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3815" s="1" t="str">
        <f ca="1">IFERROR(__xludf.DUMMYFUNCTION("GOOGLETRANSLATE(English!G3815, ""en"", ""bg"")"),"помощ_за_домашно_изпълнение")</f>
        <v>помощ_за_домашно_изпълнение</v>
      </c>
      <c r="H3815" s="1" t="str">
        <f ca="1">IFERROR(__xludf.DUMMYFUNCTION("GOOGLETRANSLATE(English!H3815, ""en"", ""bg"")"),"помощ_за_домашно_задаване")</f>
        <v>помощ_за_домашно_задаване</v>
      </c>
    </row>
    <row r="3816" spans="1:8" ht="13.2" x14ac:dyDescent="0.25">
      <c r="A3816" s="1" t="str">
        <f ca="1">IFERROR(__xludf.DUMMYFUNCTION("GOOGLETRANSLATE(English!A3816, ""en"", ""bg"")"),"qa_05146")</f>
        <v>qa_05146</v>
      </c>
      <c r="B3816" s="1" t="str">
        <f ca="1">IFERROR(__xludf.DUMMYFUNCTION("GOOGLETRANSLATE(English!B3816, ""en"", ""bg"")"),"химия")</f>
        <v>химия</v>
      </c>
      <c r="C3816" s="1" t="str">
        <f ca="1">IFERROR(__xludf.DUMMYFUNCTION("GOOGLETRANSLATE(English!C3816, ""en"", ""bg"")"),"средата")</f>
        <v>средата</v>
      </c>
      <c r="D3816" s="1" t="str">
        <f ca="1">IFERROR(__xludf.DUMMYFUNCTION("GOOGLETRANSLATE(English!D3816, ""en"", ""bg"")"),"химични реакции")</f>
        <v>химични реакции</v>
      </c>
      <c r="E3816" s="1" t="str">
        <f ca="1">IFERROR(__xludf.DUMMYFUNCTION("GOOGLETRANSLATE(English!E3816, ""en"", ""bg"")"),"Какво представляват реагентите и продуктите?")</f>
        <v>Какво представляват реагентите и продуктите?</v>
      </c>
      <c r="F3816" s="1" t="str">
        <f ca="1">IFERROR(__xludf.DUMMYFUNCTION("GOOGLETRANSLATE(English!F3816,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3816" s="1" t="str">
        <f ca="1">IFERROR(__xludf.DUMMYFUNCTION("GOOGLETRANSLATE(English!G3816, ""en"", ""bg"")"),"direct_qa")</f>
        <v>direct_qa</v>
      </c>
      <c r="H3816" s="1" t="str">
        <f ca="1">IFERROR(__xludf.DUMMYFUNCTION("GOOGLETRANSLATE(English!H3816, ""en"", ""bg"")"),"заявка_за_знание")</f>
        <v>заявка_за_знание</v>
      </c>
    </row>
    <row r="3817" spans="1:8" ht="13.2" x14ac:dyDescent="0.25">
      <c r="A3817" s="1" t="str">
        <f ca="1">IFERROR(__xludf.DUMMYFUNCTION("GOOGLETRANSLATE(English!A3817, ""en"", ""bg"")"),"hw_05062")</f>
        <v>hw_05062</v>
      </c>
      <c r="B3817" s="1" t="str">
        <f ca="1">IFERROR(__xludf.DUMMYFUNCTION("GOOGLETRANSLATE(English!B3817, ""en"", ""bg"")"),"химия")</f>
        <v>химия</v>
      </c>
      <c r="C3817" s="1" t="str">
        <f ca="1">IFERROR(__xludf.DUMMYFUNCTION("GOOGLETRANSLATE(English!C3817, ""en"", ""bg"")"),"елементарен")</f>
        <v>елементарен</v>
      </c>
      <c r="D3817" s="1" t="str">
        <f ca="1">IFERROR(__xludf.DUMMYFUNCTION("GOOGLETRANSLATE(English!D3817, ""en"", ""bg"")"),"промени в материалите")</f>
        <v>промени в материалите</v>
      </c>
      <c r="E3817" s="1" t="str">
        <f ca="1">IFERROR(__xludf.DUMMYFUNCTION("GOOGLETRANSLATE(English!E3817,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3817" s="1" t="str">
        <f ca="1">IFERROR(__xludf.DUMMYFUNCTION("GOOGLETRANSLATE(English!F3817,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3817" s="1" t="str">
        <f ca="1">IFERROR(__xludf.DUMMYFUNCTION("GOOGLETRANSLATE(English!G3817, ""en"", ""bg"")"),"помощ_за_домашно_изпълнение")</f>
        <v>помощ_за_домашно_изпълнение</v>
      </c>
      <c r="H3817" s="1" t="str">
        <f ca="1">IFERROR(__xludf.DUMMYFUNCTION("GOOGLETRANSLATE(English!H3817, ""en"", ""bg"")"),"помощ_за_домашно_задаване")</f>
        <v>помощ_за_домашно_задаване</v>
      </c>
    </row>
    <row r="3818" spans="1:8" ht="13.2" x14ac:dyDescent="0.25">
      <c r="A3818" s="1" t="str">
        <f ca="1">IFERROR(__xludf.DUMMYFUNCTION("GOOGLETRANSLATE(English!A3818, ""en"", ""bg"")"),"conv_05811")</f>
        <v>conv_05811</v>
      </c>
      <c r="B3818" s="1" t="str">
        <f ca="1">IFERROR(__xludf.DUMMYFUNCTION("GOOGLETRANSLATE(English!B3818, ""en"", ""bg"")"),"химия")</f>
        <v>химия</v>
      </c>
      <c r="C3818" s="1" t="str">
        <f ca="1">IFERROR(__xludf.DUMMYFUNCTION("GOOGLETRANSLATE(English!C3818, ""en"", ""bg"")"),"средата")</f>
        <v>средата</v>
      </c>
      <c r="D3818" s="1" t="str">
        <f ca="1">IFERROR(__xludf.DUMMYFUNCTION("GOOGLETRANSLATE(English!D3818, ""en"", ""bg"")"),"киселини и основи")</f>
        <v>киселини и основи</v>
      </c>
      <c r="E3818" s="1" t="str">
        <f ca="1">IFERROR(__xludf.DUMMYFUNCTION("GOOGLETRANSLATE(English!E3818, ""en"", ""bg"")"),"Здравей, преподавателю! Как действат киселините и основите в химията?")</f>
        <v>Здравей, преподавателю! Как действат киселините и основите в химията?</v>
      </c>
      <c r="F3818" s="1" t="str">
        <f ca="1">IFERROR(__xludf.DUMMYFUNCTION("GOOGLETRANSLATE(English!F3818,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3818" s="1" t="str">
        <f ca="1">IFERROR(__xludf.DUMMYFUNCTION("GOOGLETRANSLATE(English!G3818, ""en"", ""bg"")"),"разговор")</f>
        <v>разговор</v>
      </c>
      <c r="H3818" s="1" t="str">
        <f ca="1">IFERROR(__xludf.DUMMYFUNCTION("GOOGLETRANSLATE(English!H3818, ""en"", ""bg"")"),"образователна_помощ")</f>
        <v>образователна_помощ</v>
      </c>
    </row>
    <row r="3819" spans="1:8" ht="13.2" x14ac:dyDescent="0.25">
      <c r="A3819" s="1" t="str">
        <f ca="1">IFERROR(__xludf.DUMMYFUNCTION("GOOGLETRANSLATE(English!A3819, ""en"", ""bg"")"),"qa_06080")</f>
        <v>qa_06080</v>
      </c>
      <c r="B3819" s="1" t="str">
        <f ca="1">IFERROR(__xludf.DUMMYFUNCTION("GOOGLETRANSLATE(English!B3819, ""en"", ""bg"")"),"химия")</f>
        <v>химия</v>
      </c>
      <c r="C3819" s="1" t="str">
        <f ca="1">IFERROR(__xludf.DUMMYFUNCTION("GOOGLETRANSLATE(English!C3819, ""en"", ""bg"")"),"елементарен")</f>
        <v>елементарен</v>
      </c>
      <c r="D3819" s="1" t="str">
        <f ca="1">IFERROR(__xludf.DUMMYFUNCTION("GOOGLETRANSLATE(English!D3819, ""en"", ""bg"")"),"твърди вещества, течности, газове")</f>
        <v>твърди вещества, течности, газове</v>
      </c>
      <c r="E3819" s="1" t="str">
        <f ca="1">IFERROR(__xludf.DUMMYFUNCTION("GOOGLETRANSLATE(English!E3819, ""en"", ""bg"")"),"Как водата се превръща от течност в газообразно състояние?")</f>
        <v>Как водата се превръща от течност в газообразно състояние?</v>
      </c>
      <c r="F3819" s="1" t="str">
        <f ca="1">IFERROR(__xludf.DUMMYFUNCTION("GOOGLETRANSLATE(English!F3819,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3819" s="1" t="str">
        <f ca="1">IFERROR(__xludf.DUMMYFUNCTION("GOOGLETRANSLATE(English!G3819, ""en"", ""bg"")"),"direct_qa")</f>
        <v>direct_qa</v>
      </c>
      <c r="H3819" s="1" t="str">
        <f ca="1">IFERROR(__xludf.DUMMYFUNCTION("GOOGLETRANSLATE(English!H3819, ""en"", ""bg"")"),"заявка_за_знание")</f>
        <v>заявка_за_знание</v>
      </c>
    </row>
    <row r="3820" spans="1:8" ht="13.2" x14ac:dyDescent="0.25">
      <c r="A3820" s="1" t="str">
        <f ca="1">IFERROR(__xludf.DUMMYFUNCTION("GOOGLETRANSLATE(English!A3820, ""en"", ""bg"")"),"conv_09499")</f>
        <v>conv_09499</v>
      </c>
      <c r="B3820" s="1" t="str">
        <f ca="1">IFERROR(__xludf.DUMMYFUNCTION("GOOGLETRANSLATE(English!B3820, ""en"", ""bg"")"),"химия")</f>
        <v>химия</v>
      </c>
      <c r="C3820" s="1" t="str">
        <f ca="1">IFERROR(__xludf.DUMMYFUNCTION("GOOGLETRANSLATE(English!C3820, ""en"", ""bg"")"),"средата")</f>
        <v>средата</v>
      </c>
      <c r="D3820" s="1" t="str">
        <f ca="1">IFERROR(__xludf.DUMMYFUNCTION("GOOGLETRANSLATE(English!D3820, ""en"", ""bg"")"),"химични промени")</f>
        <v>химични промени</v>
      </c>
      <c r="E3820" s="1" t="str">
        <f ca="1">IFERROR(__xludf.DUMMYFUNCTION("GOOGLETRANSLATE(English!E3820, ""en"", ""bg"")"),"Можете ли да ми обясните това? Как протичат химичните промени в химията?")</f>
        <v>Можете ли да ми обясните това? Как протичат химичните промени в химията?</v>
      </c>
      <c r="F3820" s="1" t="str">
        <f ca="1">IFERROR(__xludf.DUMMYFUNCTION("GOOGLETRANSLATE(English!F3820,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3820" s="1" t="str">
        <f ca="1">IFERROR(__xludf.DUMMYFUNCTION("GOOGLETRANSLATE(English!G3820, ""en"", ""bg"")"),"разговор")</f>
        <v>разговор</v>
      </c>
      <c r="H3820" s="1" t="str">
        <f ca="1">IFERROR(__xludf.DUMMYFUNCTION("GOOGLETRANSLATE(English!H3820, ""en"", ""bg"")"),"образователна_помощ")</f>
        <v>образователна_помощ</v>
      </c>
    </row>
    <row r="3821" spans="1:8" ht="13.2" x14ac:dyDescent="0.25">
      <c r="A3821" s="1" t="str">
        <f ca="1">IFERROR(__xludf.DUMMYFUNCTION("GOOGLETRANSLATE(English!A3821, ""en"", ""bg"")"),"hw_05870")</f>
        <v>hw_05870</v>
      </c>
      <c r="B3821" s="1" t="str">
        <f ca="1">IFERROR(__xludf.DUMMYFUNCTION("GOOGLETRANSLATE(English!B3821, ""en"", ""bg"")"),"химия")</f>
        <v>химия</v>
      </c>
      <c r="C3821" s="1" t="str">
        <f ca="1">IFERROR(__xludf.DUMMYFUNCTION("GOOGLETRANSLATE(English!C3821, ""en"", ""bg"")"),"елементарен")</f>
        <v>елементарен</v>
      </c>
      <c r="D3821" s="1" t="str">
        <f ca="1">IFERROR(__xludf.DUMMYFUNCTION("GOOGLETRANSLATE(English!D3821, ""en"", ""bg"")"),"безопасност")</f>
        <v>безопасност</v>
      </c>
      <c r="E3821" s="1" t="str">
        <f ca="1">IFERROR(__xludf.DUMMYFUNCTION("GOOGLETRANSLATE(English!E3821, ""en"", ""bg"")"),"Трудно ми е с безопасността при домашното.")</f>
        <v>Трудно ми е с безопасността при домашното.</v>
      </c>
      <c r="F3821" s="1" t="str">
        <f ca="1">IFERROR(__xludf.DUMMYFUNCTION("GOOGLETRANSLATE(English!F3821,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821" s="1" t="str">
        <f ca="1">IFERROR(__xludf.DUMMYFUNCTION("GOOGLETRANSLATE(English!G3821, ""en"", ""bg"")"),"помощ_за_домашно_изпълнение")</f>
        <v>помощ_за_домашно_изпълнение</v>
      </c>
      <c r="H3821" s="1" t="str">
        <f ca="1">IFERROR(__xludf.DUMMYFUNCTION("GOOGLETRANSLATE(English!H3821, ""en"", ""bg"")"),"помощ_за_домашно_задаване")</f>
        <v>помощ_за_домашно_задаване</v>
      </c>
    </row>
    <row r="3822" spans="1:8" ht="13.2" x14ac:dyDescent="0.25">
      <c r="A3822" s="1" t="str">
        <f ca="1">IFERROR(__xludf.DUMMYFUNCTION("GOOGLETRANSLATE(English!A3822, ""en"", ""bg"")"),"conv_15147")</f>
        <v>conv_15147</v>
      </c>
      <c r="B3822" s="1" t="str">
        <f ca="1">IFERROR(__xludf.DUMMYFUNCTION("GOOGLETRANSLATE(English!B3822, ""en"", ""bg"")"),"физика")</f>
        <v>физика</v>
      </c>
      <c r="C3822" s="1" t="str">
        <f ca="1">IFERROR(__xludf.DUMMYFUNCTION("GOOGLETRANSLATE(English!C3822, ""en"", ""bg"")"),"елементарен")</f>
        <v>елементарен</v>
      </c>
      <c r="D3822" s="1" t="str">
        <f ca="1">IFERROR(__xludf.DUMMYFUNCTION("GOOGLETRANSLATE(English!D3822, ""en"", ""bg"")"),"бутане и дърпане")</f>
        <v>бутане и дърпане</v>
      </c>
      <c r="E3822" s="1" t="str">
        <f ca="1">IFERROR(__xludf.DUMMYFUNCTION("GOOGLETRANSLATE(English!E3822, ""en"", ""bg"")"),"Имам нужда от помощ с домашното. Можете ли да ми обясните как се действа като бутане и дърпане?")</f>
        <v>Имам нужда от помощ с домашното. Можете ли да ми обясните как се действа като бутане и дърпане?</v>
      </c>
      <c r="F3822" s="1" t="str">
        <f ca="1">IFERROR(__xludf.DUMMYFUNCTION("GOOGLETRANSLATE(English!F3822,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3822" s="1" t="str">
        <f ca="1">IFERROR(__xludf.DUMMYFUNCTION("GOOGLETRANSLATE(English!G3822, ""en"", ""bg"")"),"разговор")</f>
        <v>разговор</v>
      </c>
      <c r="H3822" s="1" t="str">
        <f ca="1">IFERROR(__xludf.DUMMYFUNCTION("GOOGLETRANSLATE(English!H3822, ""en"", ""bg"")"),"образователна_помощ")</f>
        <v>образователна_помощ</v>
      </c>
    </row>
    <row r="3823" spans="1:8" ht="13.2" x14ac:dyDescent="0.25">
      <c r="A3823" s="1" t="str">
        <f ca="1">IFERROR(__xludf.DUMMYFUNCTION("GOOGLETRANSLATE(English!A3823, ""en"", ""bg"")"),"conv_12186")</f>
        <v>conv_12186</v>
      </c>
      <c r="B3823" s="1" t="str">
        <f ca="1">IFERROR(__xludf.DUMMYFUNCTION("GOOGLETRANSLATE(English!B3823, ""en"", ""bg"")"),"физика")</f>
        <v>физика</v>
      </c>
      <c r="C3823" s="1" t="str">
        <f ca="1">IFERROR(__xludf.DUMMYFUNCTION("GOOGLETRANSLATE(English!C3823, ""en"", ""bg"")"),"елементарен")</f>
        <v>елементарен</v>
      </c>
      <c r="D3823" s="1" t="str">
        <f ca="1">IFERROR(__xludf.DUMMYFUNCTION("GOOGLETRANSLATE(English!D3823, ""en"", ""bg"")"),"горещо и студено")</f>
        <v>горещо и студено</v>
      </c>
      <c r="E3823" s="1" t="str">
        <f ca="1">IFERROR(__xludf.DUMMYFUNCTION("GOOGLETRANSLATE(English!E3823, ""en"", ""bg"")"),"Можете ли да ми помогнете? Защо е важно топлото и студеното?")</f>
        <v>Можете ли да ми помогнете? Защо е важно топлото и студеното?</v>
      </c>
      <c r="F3823" s="1" t="str">
        <f ca="1">IFERROR(__xludf.DUMMYFUNCTION("GOOGLETRANSLATE(English!F3823,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3823" s="1" t="str">
        <f ca="1">IFERROR(__xludf.DUMMYFUNCTION("GOOGLETRANSLATE(English!G3823, ""en"", ""bg"")"),"разговор")</f>
        <v>разговор</v>
      </c>
      <c r="H3823" s="1" t="str">
        <f ca="1">IFERROR(__xludf.DUMMYFUNCTION("GOOGLETRANSLATE(English!H3823, ""en"", ""bg"")"),"образователна_помощ")</f>
        <v>образователна_помощ</v>
      </c>
    </row>
    <row r="3824" spans="1:8" ht="13.2" x14ac:dyDescent="0.25">
      <c r="A3824" s="1" t="str">
        <f ca="1">IFERROR(__xludf.DUMMYFUNCTION("GOOGLETRANSLATE(English!A3824, ""en"", ""bg"")"),"conv_17079")</f>
        <v>conv_17079</v>
      </c>
      <c r="B3824" s="1" t="str">
        <f ca="1">IFERROR(__xludf.DUMMYFUNCTION("GOOGLETRANSLATE(English!B3824, ""en"", ""bg"")"),"биология")</f>
        <v>биология</v>
      </c>
      <c r="C3824" s="1" t="str">
        <f ca="1">IFERROR(__xludf.DUMMYFUNCTION("GOOGLETRANSLATE(English!C3824, ""en"", ""bg"")"),"елементарен")</f>
        <v>елементарен</v>
      </c>
      <c r="D3824" s="1" t="str">
        <f ca="1">IFERROR(__xludf.DUMMYFUNCTION("GOOGLETRANSLATE(English!D3824, ""en"", ""bg"")"),"растения")</f>
        <v>растения</v>
      </c>
      <c r="E3824" s="1" t="str">
        <f ca="1">IFERROR(__xludf.DUMMYFUNCTION("GOOGLETRANSLATE(English!E3824, ""en"", ""bg"")"),"Не разбирам тази тема. Как семената пътуват до нови места?")</f>
        <v>Не разбирам тази тема. Как семената пътуват до нови места?</v>
      </c>
      <c r="F3824" s="1" t="str">
        <f ca="1">IFERROR(__xludf.DUMMYFUNCTION("GOOGLETRANSLATE(English!F3824,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3824" s="1" t="str">
        <f ca="1">IFERROR(__xludf.DUMMYFUNCTION("GOOGLETRANSLATE(English!G3824, ""en"", ""bg"")"),"разговор")</f>
        <v>разговор</v>
      </c>
      <c r="H3824" s="1" t="str">
        <f ca="1">IFERROR(__xludf.DUMMYFUNCTION("GOOGLETRANSLATE(English!H3824, ""en"", ""bg"")"),"образователна_помощ")</f>
        <v>образователна_помощ</v>
      </c>
    </row>
    <row r="3825" spans="1:8" ht="13.2" x14ac:dyDescent="0.25">
      <c r="A3825" s="1" t="str">
        <f ca="1">IFERROR(__xludf.DUMMYFUNCTION("GOOGLETRANSLATE(English!A3825, ""en"", ""bg"")"),"conv_07231")</f>
        <v>conv_07231</v>
      </c>
      <c r="B3825" s="1" t="str">
        <f ca="1">IFERROR(__xludf.DUMMYFUNCTION("GOOGLETRANSLATE(English!B3825, ""en"", ""bg"")"),"химия")</f>
        <v>химия</v>
      </c>
      <c r="C3825" s="1" t="str">
        <f ca="1">IFERROR(__xludf.DUMMYFUNCTION("GOOGLETRANSLATE(English!C3825, ""en"", ""bg"")"),"елементарен")</f>
        <v>елементарен</v>
      </c>
      <c r="D3825" s="1" t="str">
        <f ca="1">IFERROR(__xludf.DUMMYFUNCTION("GOOGLETRANSLATE(English!D3825, ""en"", ""bg"")"),"промени в материалите")</f>
        <v>промени в материалите</v>
      </c>
      <c r="E3825" s="1" t="str">
        <f ca="1">IFERROR(__xludf.DUMMYFUNCTION("GOOGLETRANSLATE(English!E3825, ""en"", ""bg"")"),"Помогнете ми да уча за теста си. Как протичат промените в материалите в химията?")</f>
        <v>Помогнете ми да уча за теста си. Как протичат промените в материалите в химията?</v>
      </c>
      <c r="F3825" s="1" t="str">
        <f ca="1">IFERROR(__xludf.DUMMYFUNCTION("GOOGLETRANSLATE(English!F3825,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3825" s="1" t="str">
        <f ca="1">IFERROR(__xludf.DUMMYFUNCTION("GOOGLETRANSLATE(English!G3825, ""en"", ""bg"")"),"разговор")</f>
        <v>разговор</v>
      </c>
      <c r="H3825" s="1" t="str">
        <f ca="1">IFERROR(__xludf.DUMMYFUNCTION("GOOGLETRANSLATE(English!H3825, ""en"", ""bg"")"),"образователна_помощ")</f>
        <v>образователна_помощ</v>
      </c>
    </row>
    <row r="3826" spans="1:8" ht="13.2" x14ac:dyDescent="0.25">
      <c r="A3826" s="1" t="str">
        <f ca="1">IFERROR(__xludf.DUMMYFUNCTION("GOOGLETRANSLATE(English!A3826, ""en"", ""bg"")"),"qa_11540")</f>
        <v>qa_11540</v>
      </c>
      <c r="B3826" s="1" t="str">
        <f ca="1">IFERROR(__xludf.DUMMYFUNCTION("GOOGLETRANSLATE(English!B3826, ""en"", ""bg"")"),"биология")</f>
        <v>биология</v>
      </c>
      <c r="C3826" s="1" t="str">
        <f ca="1">IFERROR(__xludf.DUMMYFUNCTION("GOOGLETRANSLATE(English!C3826, ""en"", ""bg"")"),"високо")</f>
        <v>високо</v>
      </c>
      <c r="D3826" s="1" t="str">
        <f ca="1">IFERROR(__xludf.DUMMYFUNCTION("GOOGLETRANSLATE(English!D3826, ""en"", ""bg"")"),"клетъчно дишане")</f>
        <v>клетъчно дишане</v>
      </c>
      <c r="E3826" s="1" t="str">
        <f ca="1">IFERROR(__xludf.DUMMYFUNCTION("GOOGLETRANSLATE(English!E3826, ""en"", ""bg"")"),"Защо клетъчното дишане е важно в биологията?")</f>
        <v>Защо клетъчното дишане е важно в биологията?</v>
      </c>
      <c r="F3826" s="1" t="str">
        <f ca="1">IFERROR(__xludf.DUMMYFUNCTION("GOOGLETRANSLATE(English!F3826,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3826" s="1" t="str">
        <f ca="1">IFERROR(__xludf.DUMMYFUNCTION("GOOGLETRANSLATE(English!G3826, ""en"", ""bg"")"),"direct_qa")</f>
        <v>direct_qa</v>
      </c>
      <c r="H3826" s="1" t="str">
        <f ca="1">IFERROR(__xludf.DUMMYFUNCTION("GOOGLETRANSLATE(English!H3826, ""en"", ""bg"")"),"заявка_за_знание")</f>
        <v>заявка_за_знание</v>
      </c>
    </row>
    <row r="3827" spans="1:8" ht="13.2" x14ac:dyDescent="0.25">
      <c r="A3827" s="1" t="str">
        <f ca="1">IFERROR(__xludf.DUMMYFUNCTION("GOOGLETRANSLATE(English!A3827, ""en"", ""bg"")"),"conv_10205")</f>
        <v>conv_10205</v>
      </c>
      <c r="B3827" s="1" t="str">
        <f ca="1">IFERROR(__xludf.DUMMYFUNCTION("GOOGLETRANSLATE(English!B3827, ""en"", ""bg"")"),"физика")</f>
        <v>физика</v>
      </c>
      <c r="C3827" s="1" t="str">
        <f ca="1">IFERROR(__xludf.DUMMYFUNCTION("GOOGLETRANSLATE(English!C3827, ""en"", ""bg"")"),"високо")</f>
        <v>високо</v>
      </c>
      <c r="D3827" s="1" t="str">
        <f ca="1">IFERROR(__xludf.DUMMYFUNCTION("GOOGLETRANSLATE(English!D3827, ""en"", ""bg"")"),"оптика")</f>
        <v>оптика</v>
      </c>
      <c r="E3827" s="1" t="str">
        <f ca="1">IFERROR(__xludf.DUMMYFUNCTION("GOOGLETRANSLATE(English!E3827, ""en"", ""bg"")"),"Имам нужда от помощ с домашното си. Как работи оптиката във физиката?")</f>
        <v>Имам нужда от помощ с домашното си. Как работи оптиката във физиката?</v>
      </c>
      <c r="F3827" s="1" t="str">
        <f ca="1">IFERROR(__xludf.DUMMYFUNCTION("GOOGLETRANSLATE(English!F3827,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3827" s="1" t="str">
        <f ca="1">IFERROR(__xludf.DUMMYFUNCTION("GOOGLETRANSLATE(English!G3827, ""en"", ""bg"")"),"разговор")</f>
        <v>разговор</v>
      </c>
      <c r="H3827" s="1" t="str">
        <f ca="1">IFERROR(__xludf.DUMMYFUNCTION("GOOGLETRANSLATE(English!H3827, ""en"", ""bg"")"),"образователна_помощ")</f>
        <v>образователна_помощ</v>
      </c>
    </row>
    <row r="3828" spans="1:8" ht="13.2" x14ac:dyDescent="0.25">
      <c r="A3828" s="1" t="str">
        <f ca="1">IFERROR(__xludf.DUMMYFUNCTION("GOOGLETRANSLATE(English!A3828, ""en"", ""bg"")"),"qa_00572")</f>
        <v>qa_00572</v>
      </c>
      <c r="B3828" s="1" t="str">
        <f ca="1">IFERROR(__xludf.DUMMYFUNCTION("GOOGLETRANSLATE(English!B3828, ""en"", ""bg"")"),"химия")</f>
        <v>химия</v>
      </c>
      <c r="C3828" s="1" t="str">
        <f ca="1">IFERROR(__xludf.DUMMYFUNCTION("GOOGLETRANSLATE(English!C3828, ""en"", ""bg"")"),"средата")</f>
        <v>средата</v>
      </c>
      <c r="D3828" s="1" t="str">
        <f ca="1">IFERROR(__xludf.DUMMYFUNCTION("GOOGLETRANSLATE(English!D3828, ""en"", ""bg"")"),"съединения срещу елементи")</f>
        <v>съединения срещу елементи</v>
      </c>
      <c r="E3828" s="1" t="str">
        <f ca="1">IFERROR(__xludf.DUMMYFUNCTION("GOOGLETRANSLATE(English!E3828, ""en"", ""bg"")"),"Какво представляват съединенията срещу елементите?")</f>
        <v>Какво представляват съединенията срещу елементите?</v>
      </c>
      <c r="F3828" s="1" t="str">
        <f ca="1">IFERROR(__xludf.DUMMYFUNCTION("GOOGLETRANSLATE(English!F3828,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3828" s="1" t="str">
        <f ca="1">IFERROR(__xludf.DUMMYFUNCTION("GOOGLETRANSLATE(English!G3828, ""en"", ""bg"")"),"direct_qa")</f>
        <v>direct_qa</v>
      </c>
      <c r="H3828" s="1" t="str">
        <f ca="1">IFERROR(__xludf.DUMMYFUNCTION("GOOGLETRANSLATE(English!H3828, ""en"", ""bg"")"),"заявка_за_знание")</f>
        <v>заявка_за_знание</v>
      </c>
    </row>
    <row r="3829" spans="1:8" ht="13.2" x14ac:dyDescent="0.25">
      <c r="A3829" s="1" t="str">
        <f ca="1">IFERROR(__xludf.DUMMYFUNCTION("GOOGLETRANSLATE(English!A3829, ""en"", ""bg"")"),"conv_19042")</f>
        <v>conv_19042</v>
      </c>
      <c r="B3829" s="1" t="str">
        <f ca="1">IFERROR(__xludf.DUMMYFUNCTION("GOOGLETRANSLATE(English!B3829, ""en"", ""bg"")"),"химия")</f>
        <v>химия</v>
      </c>
      <c r="C3829" s="1" t="str">
        <f ca="1">IFERROR(__xludf.DUMMYFUNCTION("GOOGLETRANSLATE(English!C3829, ""en"", ""bg"")"),"средата")</f>
        <v>средата</v>
      </c>
      <c r="D3829" s="1" t="str">
        <f ca="1">IFERROR(__xludf.DUMMYFUNCTION("GOOGLETRANSLATE(English!D3829, ""en"", ""bg"")"),"химични промени")</f>
        <v>химични промени</v>
      </c>
      <c r="E3829" s="1" t="str">
        <f ca="1">IFERROR(__xludf.DUMMYFUNCTION("GOOGLETRANSLATE(English!E3829, ""en"", ""bg"")"),"Можете ли да ми помогнете? Защо е важно да се изучават химичните промени?")</f>
        <v>Можете ли да ми помогнете? Защо е важно да се изучават химичните промени?</v>
      </c>
      <c r="F3829" s="1" t="str">
        <f ca="1">IFERROR(__xludf.DUMMYFUNCTION("GOOGLETRANSLATE(English!F3829,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3829" s="1" t="str">
        <f ca="1">IFERROR(__xludf.DUMMYFUNCTION("GOOGLETRANSLATE(English!G3829, ""en"", ""bg"")"),"разговор")</f>
        <v>разговор</v>
      </c>
      <c r="H3829" s="1" t="str">
        <f ca="1">IFERROR(__xludf.DUMMYFUNCTION("GOOGLETRANSLATE(English!H3829, ""en"", ""bg"")"),"образователна_помощ")</f>
        <v>образователна_помощ</v>
      </c>
    </row>
    <row r="3830" spans="1:8" ht="13.2" x14ac:dyDescent="0.25">
      <c r="A3830" s="1" t="str">
        <f ca="1">IFERROR(__xludf.DUMMYFUNCTION("GOOGLETRANSLATE(English!A3830, ""en"", ""bg"")"),"hw_11961")</f>
        <v>hw_11961</v>
      </c>
      <c r="B3830" s="1" t="str">
        <f ca="1">IFERROR(__xludf.DUMMYFUNCTION("GOOGLETRANSLATE(English!B3830, ""en"", ""bg"")"),"биология")</f>
        <v>биология</v>
      </c>
      <c r="C3830" s="1" t="str">
        <f ca="1">IFERROR(__xludf.DUMMYFUNCTION("GOOGLETRANSLATE(English!C3830, ""en"", ""bg"")"),"елементарен")</f>
        <v>елементарен</v>
      </c>
      <c r="D3830" s="1" t="str">
        <f ca="1">IFERROR(__xludf.DUMMYFUNCTION("GOOGLETRANSLATE(English!D3830, ""en"", ""bg"")"),"жизнени цикли")</f>
        <v>жизнени цикли</v>
      </c>
      <c r="E3830" s="1" t="str">
        <f ca="1">IFERROR(__xludf.DUMMYFUNCTION("GOOGLETRANSLATE(English!E3830, ""en"", ""bg"")"),"Утре имам тест по жизнени цикли. Помогни ми да уча!")</f>
        <v>Утре имам тест по жизнени цикли. Помогни ми да уча!</v>
      </c>
      <c r="F3830" s="1" t="str">
        <f ca="1">IFERROR(__xludf.DUMMYFUNCTION("GOOGLETRANSLATE(English!F3830,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3830" s="1" t="str">
        <f ca="1">IFERROR(__xludf.DUMMYFUNCTION("GOOGLETRANSLATE(English!G3830, ""en"", ""bg"")"),"помощ_за_домашно_изпълнение")</f>
        <v>помощ_за_домашно_изпълнение</v>
      </c>
      <c r="H3830" s="1" t="str">
        <f ca="1">IFERROR(__xludf.DUMMYFUNCTION("GOOGLETRANSLATE(English!H3830, ""en"", ""bg"")"),"помощ_за_домашно_задаване")</f>
        <v>помощ_за_домашно_задаване</v>
      </c>
    </row>
    <row r="3831" spans="1:8" ht="13.2" x14ac:dyDescent="0.25">
      <c r="A3831" s="1" t="str">
        <f ca="1">IFERROR(__xludf.DUMMYFUNCTION("GOOGLETRANSLATE(English!A3831, ""en"", ""bg"")"),"qa_07636")</f>
        <v>qa_07636</v>
      </c>
      <c r="B3831" s="1" t="str">
        <f ca="1">IFERROR(__xludf.DUMMYFUNCTION("GOOGLETRANSLATE(English!B3831, ""en"", ""bg"")"),"химия")</f>
        <v>химия</v>
      </c>
      <c r="C3831" s="1" t="str">
        <f ca="1">IFERROR(__xludf.DUMMYFUNCTION("GOOGLETRANSLATE(English!C3831, ""en"", ""bg"")"),"елементарен")</f>
        <v>елементарен</v>
      </c>
      <c r="D3831" s="1" t="str">
        <f ca="1">IFERROR(__xludf.DUMMYFUNCTION("GOOGLETRANSLATE(English!D3831, ""en"", ""bg"")"),"ежедневни химикали")</f>
        <v>ежедневни химикали</v>
      </c>
      <c r="E3831" s="1" t="str">
        <f ca="1">IFERROR(__xludf.DUMMYFUNCTION("GOOGLETRANSLATE(English!E3831, ""en"", ""bg"")"),"Какво представляват ежедневните химикали?")</f>
        <v>Какво представляват ежедневните химикали?</v>
      </c>
      <c r="F3831" s="1" t="str">
        <f ca="1">IFERROR(__xludf.DUMMYFUNCTION("GOOGLETRANSLATE(English!F3831,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3831" s="1" t="str">
        <f ca="1">IFERROR(__xludf.DUMMYFUNCTION("GOOGLETRANSLATE(English!G3831, ""en"", ""bg"")"),"direct_qa")</f>
        <v>direct_qa</v>
      </c>
      <c r="H3831" s="1" t="str">
        <f ca="1">IFERROR(__xludf.DUMMYFUNCTION("GOOGLETRANSLATE(English!H3831, ""en"", ""bg"")"),"заявка_за_знание")</f>
        <v>заявка_за_знание</v>
      </c>
    </row>
    <row r="3832" spans="1:8" ht="13.2" x14ac:dyDescent="0.25">
      <c r="A3832" s="1" t="str">
        <f ca="1">IFERROR(__xludf.DUMMYFUNCTION("GOOGLETRANSLATE(English!A3832, ""en"", ""bg"")"),"hw_02817")</f>
        <v>hw_02817</v>
      </c>
      <c r="B3832" s="1" t="str">
        <f ca="1">IFERROR(__xludf.DUMMYFUNCTION("GOOGLETRANSLATE(English!B3832, ""en"", ""bg"")"),"физика")</f>
        <v>физика</v>
      </c>
      <c r="C3832" s="1" t="str">
        <f ca="1">IFERROR(__xludf.DUMMYFUNCTION("GOOGLETRANSLATE(English!C3832, ""en"", ""bg"")"),"високо")</f>
        <v>високо</v>
      </c>
      <c r="D3832" s="1" t="str">
        <f ca="1">IFERROR(__xludf.DUMMYFUNCTION("GOOGLETRANSLATE(English!D3832, ""en"", ""bg"")"),"термодинамика")</f>
        <v>термодинамика</v>
      </c>
      <c r="E3832" s="1" t="str">
        <f ca="1">IFERROR(__xludf.DUMMYFUNCTION("GOOGLETRANSLATE(English!E3832, ""en"", ""bg"")"),"Трябва да разбирам термодинамиката за изпита си.")</f>
        <v>Трябва да разбирам термодинамиката за изпита си.</v>
      </c>
      <c r="F3832" s="1" t="str">
        <f ca="1">IFERROR(__xludf.DUMMYFUNCTION("GOOGLETRANSLATE(English!F3832,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3832" s="1" t="str">
        <f ca="1">IFERROR(__xludf.DUMMYFUNCTION("GOOGLETRANSLATE(English!G3832, ""en"", ""bg"")"),"помощ_за_домашно_изпълнение")</f>
        <v>помощ_за_домашно_изпълнение</v>
      </c>
      <c r="H3832" s="1" t="str">
        <f ca="1">IFERROR(__xludf.DUMMYFUNCTION("GOOGLETRANSLATE(English!H3832, ""en"", ""bg"")"),"помощ_за_домашно_задаване")</f>
        <v>помощ_за_домашно_задаване</v>
      </c>
    </row>
    <row r="3833" spans="1:8" ht="13.2" x14ac:dyDescent="0.25">
      <c r="A3833" s="1" t="str">
        <f ca="1">IFERROR(__xludf.DUMMYFUNCTION("GOOGLETRANSLATE(English!A3833, ""en"", ""bg"")"),"hw_05744")</f>
        <v>hw_05744</v>
      </c>
      <c r="B3833" s="1" t="str">
        <f ca="1">IFERROR(__xludf.DUMMYFUNCTION("GOOGLETRANSLATE(English!B3833, ""en"", ""bg"")"),"биология")</f>
        <v>биология</v>
      </c>
      <c r="C3833" s="1" t="str">
        <f ca="1">IFERROR(__xludf.DUMMYFUNCTION("GOOGLETRANSLATE(English!C3833, ""en"", ""bg"")"),"високо")</f>
        <v>високо</v>
      </c>
      <c r="D3833" s="1" t="str">
        <f ca="1">IFERROR(__xludf.DUMMYFUNCTION("GOOGLETRANSLATE(English!D3833, ""en"", ""bg"")"),"модели на наследяване")</f>
        <v>модели на наследяване</v>
      </c>
      <c r="E3833" s="1" t="str">
        <f ca="1">IFERROR(__xludf.DUMMYFUNCTION("GOOGLETRANSLATE(English!E3833,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3833" s="1" t="str">
        <f ca="1">IFERROR(__xludf.DUMMYFUNCTION("GOOGLETRANSLATE(English!F3833,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833" s="1" t="str">
        <f ca="1">IFERROR(__xludf.DUMMYFUNCTION("GOOGLETRANSLATE(English!G3833, ""en"", ""bg"")"),"помощ_за_домашно_изпълнение")</f>
        <v>помощ_за_домашно_изпълнение</v>
      </c>
      <c r="H3833" s="1" t="str">
        <f ca="1">IFERROR(__xludf.DUMMYFUNCTION("GOOGLETRANSLATE(English!H3833, ""en"", ""bg"")"),"помощ_за_домашно_задаване")</f>
        <v>помощ_за_домашно_задаване</v>
      </c>
    </row>
    <row r="3834" spans="1:8" ht="13.2" x14ac:dyDescent="0.25">
      <c r="A3834" s="1" t="str">
        <f ca="1">IFERROR(__xludf.DUMMYFUNCTION("GOOGLETRANSLATE(English!A3834, ""en"", ""bg"")"),"hw_01815")</f>
        <v>hw_01815</v>
      </c>
      <c r="B3834" s="1" t="str">
        <f ca="1">IFERROR(__xludf.DUMMYFUNCTION("GOOGLETRANSLATE(English!B3834, ""en"", ""bg"")"),"химия")</f>
        <v>химия</v>
      </c>
      <c r="C3834" s="1" t="str">
        <f ca="1">IFERROR(__xludf.DUMMYFUNCTION("GOOGLETRANSLATE(English!C3834, ""en"", ""bg"")"),"средата")</f>
        <v>средата</v>
      </c>
      <c r="D3834" s="1" t="str">
        <f ca="1">IFERROR(__xludf.DUMMYFUNCTION("GOOGLETRANSLATE(English!D3834, ""en"", ""bg"")"),"химични промени")</f>
        <v>химични промени</v>
      </c>
      <c r="E3834" s="1" t="str">
        <f ca="1">IFERROR(__xludf.DUMMYFUNCTION("GOOGLETRANSLATE(English!E3834,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3834" s="1" t="str">
        <f ca="1">IFERROR(__xludf.DUMMYFUNCTION("GOOGLETRANSLATE(English!F3834,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3834" s="1" t="str">
        <f ca="1">IFERROR(__xludf.DUMMYFUNCTION("GOOGLETRANSLATE(English!G3834, ""en"", ""bg"")"),"помощ_за_домашно_изпълнение")</f>
        <v>помощ_за_домашно_изпълнение</v>
      </c>
      <c r="H3834" s="1" t="str">
        <f ca="1">IFERROR(__xludf.DUMMYFUNCTION("GOOGLETRANSLATE(English!H3834, ""en"", ""bg"")"),"помощ_за_домашно_задаване")</f>
        <v>помощ_за_домашно_задаване</v>
      </c>
    </row>
    <row r="3835" spans="1:8" ht="13.2" x14ac:dyDescent="0.25">
      <c r="A3835" s="1" t="str">
        <f ca="1">IFERROR(__xludf.DUMMYFUNCTION("GOOGLETRANSLATE(English!A3835, ""en"", ""bg"")"),"qa_08718")</f>
        <v>qa_08718</v>
      </c>
      <c r="B3835" s="1" t="str">
        <f ca="1">IFERROR(__xludf.DUMMYFUNCTION("GOOGLETRANSLATE(English!B3835, ""en"", ""bg"")"),"химия")</f>
        <v>химия</v>
      </c>
      <c r="C3835" s="1" t="str">
        <f ca="1">IFERROR(__xludf.DUMMYFUNCTION("GOOGLETRANSLATE(English!C3835, ""en"", ""bg"")"),"елементарен")</f>
        <v>елементарен</v>
      </c>
      <c r="D3835" s="1" t="str">
        <f ca="1">IFERROR(__xludf.DUMMYFUNCTION("GOOGLETRANSLATE(English!D3835, ""en"", ""bg"")"),"смесване на материали")</f>
        <v>смесване на материали</v>
      </c>
      <c r="E3835" s="1" t="str">
        <f ca="1">IFERROR(__xludf.DUMMYFUNCTION("GOOGLETRANSLATE(English!E3835, ""en"", ""bg"")"),"Защо някои неща се разтварят, а други не?")</f>
        <v>Защо някои неща се разтварят, а други не?</v>
      </c>
      <c r="F3835" s="1" t="str">
        <f ca="1">IFERROR(__xludf.DUMMYFUNCTION("GOOGLETRANSLATE(English!F3835,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3835" s="1" t="str">
        <f ca="1">IFERROR(__xludf.DUMMYFUNCTION("GOOGLETRANSLATE(English!G3835, ""en"", ""bg"")"),"direct_qa")</f>
        <v>direct_qa</v>
      </c>
      <c r="H3835" s="1" t="str">
        <f ca="1">IFERROR(__xludf.DUMMYFUNCTION("GOOGLETRANSLATE(English!H3835, ""en"", ""bg"")"),"заявка_за_знание")</f>
        <v>заявка_за_знание</v>
      </c>
    </row>
    <row r="3836" spans="1:8" ht="13.2" x14ac:dyDescent="0.25">
      <c r="A3836" s="1" t="str">
        <f ca="1">IFERROR(__xludf.DUMMYFUNCTION("GOOGLETRANSLATE(English!A3836, ""en"", ""bg"")"),"hw_14258")</f>
        <v>hw_14258</v>
      </c>
      <c r="B3836" s="1" t="str">
        <f ca="1">IFERROR(__xludf.DUMMYFUNCTION("GOOGLETRANSLATE(English!B3836, ""en"", ""bg"")"),"химия")</f>
        <v>химия</v>
      </c>
      <c r="C3836" s="1" t="str">
        <f ca="1">IFERROR(__xludf.DUMMYFUNCTION("GOOGLETRANSLATE(English!C3836, ""en"", ""bg"")"),"средата")</f>
        <v>средата</v>
      </c>
      <c r="D3836" s="1" t="str">
        <f ca="1">IFERROR(__xludf.DUMMYFUNCTION("GOOGLETRANSLATE(English!D3836, ""en"", ""bg"")"),"основи на периодичната таблица")</f>
        <v>основи на периодичната таблица</v>
      </c>
      <c r="E3836" s="1" t="str">
        <f ca="1">IFERROR(__xludf.DUMMYFUNCTION("GOOGLETRANSLATE(English!E3836,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3836" s="1" t="str">
        <f ca="1">IFERROR(__xludf.DUMMYFUNCTION("GOOGLETRANSLATE(English!F3836,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3836" s="1" t="str">
        <f ca="1">IFERROR(__xludf.DUMMYFUNCTION("GOOGLETRANSLATE(English!G3836, ""en"", ""bg"")"),"помощ_за_домашно_изпълнение")</f>
        <v>помощ_за_домашно_изпълнение</v>
      </c>
      <c r="H3836" s="1" t="str">
        <f ca="1">IFERROR(__xludf.DUMMYFUNCTION("GOOGLETRANSLATE(English!H3836, ""en"", ""bg"")"),"помощ_за_домашно_задаване")</f>
        <v>помощ_за_домашно_задаване</v>
      </c>
    </row>
    <row r="3837" spans="1:8" ht="13.2" x14ac:dyDescent="0.25">
      <c r="A3837" s="1" t="str">
        <f ca="1">IFERROR(__xludf.DUMMYFUNCTION("GOOGLETRANSLATE(English!A3837, ""en"", ""bg"")"),"conv_06711")</f>
        <v>conv_06711</v>
      </c>
      <c r="B3837" s="1" t="str">
        <f ca="1">IFERROR(__xludf.DUMMYFUNCTION("GOOGLETRANSLATE(English!B3837, ""en"", ""bg"")"),"биология")</f>
        <v>биология</v>
      </c>
      <c r="C3837" s="1" t="str">
        <f ca="1">IFERROR(__xludf.DUMMYFUNCTION("GOOGLETRANSLATE(English!C3837, ""en"", ""bg"")"),"високо")</f>
        <v>високо</v>
      </c>
      <c r="D3837" s="1" t="str">
        <f ca="1">IFERROR(__xludf.DUMMYFUNCTION("GOOGLETRANSLATE(English!D3837, ""en"", ""bg"")"),"Структура на ДНК")</f>
        <v>Структура на ДНК</v>
      </c>
      <c r="E3837" s="1" t="str">
        <f ca="1">IFERROR(__xludf.DUMMYFUNCTION("GOOGLETRANSLATE(English!E3837, ""en"", ""bg"")"),"Не разбирам тази тема. Как работи структурата на ДНК?")</f>
        <v>Не разбирам тази тема. Как работи структурата на ДНК?</v>
      </c>
      <c r="F3837" s="1" t="str">
        <f ca="1">IFERROR(__xludf.DUMMYFUNCTION("GOOGLETRANSLATE(English!F3837,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3837" s="1" t="str">
        <f ca="1">IFERROR(__xludf.DUMMYFUNCTION("GOOGLETRANSLATE(English!G3837, ""en"", ""bg"")"),"разговор")</f>
        <v>разговор</v>
      </c>
      <c r="H3837" s="1" t="str">
        <f ca="1">IFERROR(__xludf.DUMMYFUNCTION("GOOGLETRANSLATE(English!H3837, ""en"", ""bg"")"),"образователна_помощ")</f>
        <v>образователна_помощ</v>
      </c>
    </row>
    <row r="3838" spans="1:8" ht="13.2" x14ac:dyDescent="0.25">
      <c r="A3838" s="1" t="str">
        <f ca="1">IFERROR(__xludf.DUMMYFUNCTION("GOOGLETRANSLATE(English!A3838, ""en"", ""bg"")"),"qa_03891")</f>
        <v>qa_03891</v>
      </c>
      <c r="B3838" s="1" t="str">
        <f ca="1">IFERROR(__xludf.DUMMYFUNCTION("GOOGLETRANSLATE(English!B3838, ""en"", ""bg"")"),"химия")</f>
        <v>химия</v>
      </c>
      <c r="C3838" s="1" t="str">
        <f ca="1">IFERROR(__xludf.DUMMYFUNCTION("GOOGLETRANSLATE(English!C3838, ""en"", ""bg"")"),"елементарен")</f>
        <v>елементарен</v>
      </c>
      <c r="D3838" s="1" t="str">
        <f ca="1">IFERROR(__xludf.DUMMYFUNCTION("GOOGLETRANSLATE(English!D3838, ""en"", ""bg"")"),"промени в материалите")</f>
        <v>промени в материалите</v>
      </c>
      <c r="E3838" s="1" t="str">
        <f ca="1">IFERROR(__xludf.DUMMYFUNCTION("GOOGLETRANSLATE(English!E3838, ""en"", ""bg"")"),"Как протичат промените в материалите в химията?")</f>
        <v>Как протичат промените в материалите в химията?</v>
      </c>
      <c r="F3838" s="1" t="str">
        <f ca="1">IFERROR(__xludf.DUMMYFUNCTION("GOOGLETRANSLATE(English!F3838,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3838" s="1" t="str">
        <f ca="1">IFERROR(__xludf.DUMMYFUNCTION("GOOGLETRANSLATE(English!G3838, ""en"", ""bg"")"),"direct_qa")</f>
        <v>direct_qa</v>
      </c>
      <c r="H3838" s="1" t="str">
        <f ca="1">IFERROR(__xludf.DUMMYFUNCTION("GOOGLETRANSLATE(English!H3838, ""en"", ""bg"")"),"заявка_за_знание")</f>
        <v>заявка_за_знание</v>
      </c>
    </row>
    <row r="3839" spans="1:8" ht="13.2" x14ac:dyDescent="0.25">
      <c r="A3839" s="1" t="str">
        <f ca="1">IFERROR(__xludf.DUMMYFUNCTION("GOOGLETRANSLATE(English!A3839, ""en"", ""bg"")"),"qa_01323")</f>
        <v>qa_01323</v>
      </c>
      <c r="B3839" s="1" t="str">
        <f ca="1">IFERROR(__xludf.DUMMYFUNCTION("GOOGLETRANSLATE(English!B3839, ""en"", ""bg"")"),"химия")</f>
        <v>химия</v>
      </c>
      <c r="C3839" s="1" t="str">
        <f ca="1">IFERROR(__xludf.DUMMYFUNCTION("GOOGLETRANSLATE(English!C3839, ""en"", ""bg"")"),"средата")</f>
        <v>средата</v>
      </c>
      <c r="D3839" s="1" t="str">
        <f ca="1">IFERROR(__xludf.DUMMYFUNCTION("GOOGLETRANSLATE(English!D3839, ""en"", ""bg"")"),"основи на периодичната таблица")</f>
        <v>основи на периодичната таблица</v>
      </c>
      <c r="E3839" s="1" t="str">
        <f ca="1">IFERROR(__xludf.DUMMYFUNCTION("GOOGLETRANSLATE(English!E3839,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3839" s="1" t="str">
        <f ca="1">IFERROR(__xludf.DUMMYFUNCTION("GOOGLETRANSLATE(English!F3839,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3839" s="1" t="str">
        <f ca="1">IFERROR(__xludf.DUMMYFUNCTION("GOOGLETRANSLATE(English!G3839, ""en"", ""bg"")"),"direct_qa")</f>
        <v>direct_qa</v>
      </c>
      <c r="H3839" s="1" t="str">
        <f ca="1">IFERROR(__xludf.DUMMYFUNCTION("GOOGLETRANSLATE(English!H3839, ""en"", ""bg"")"),"заявка_за_знание")</f>
        <v>заявка_за_знание</v>
      </c>
    </row>
    <row r="3840" spans="1:8" ht="13.2" x14ac:dyDescent="0.25">
      <c r="A3840" s="1" t="str">
        <f ca="1">IFERROR(__xludf.DUMMYFUNCTION("GOOGLETRANSLATE(English!A3840, ""en"", ""bg"")"),"qa_07203")</f>
        <v>qa_07203</v>
      </c>
      <c r="B3840" s="1" t="str">
        <f ca="1">IFERROR(__xludf.DUMMYFUNCTION("GOOGLETRANSLATE(English!B3840, ""en"", ""bg"")"),"химия")</f>
        <v>химия</v>
      </c>
      <c r="C3840" s="1" t="str">
        <f ca="1">IFERROR(__xludf.DUMMYFUNCTION("GOOGLETRANSLATE(English!C3840, ""en"", ""bg"")"),"средата")</f>
        <v>средата</v>
      </c>
      <c r="D3840" s="1" t="str">
        <f ca="1">IFERROR(__xludf.DUMMYFUNCTION("GOOGLETRANSLATE(English!D3840, ""en"", ""bg"")"),"атоми и молекули")</f>
        <v>атоми и молекули</v>
      </c>
      <c r="E3840" s="1" t="str">
        <f ca="1">IFERROR(__xludf.DUMMYFUNCTION("GOOGLETRANSLATE(English!E3840, ""en"", ""bg"")"),"Кои са частите на един атом?")</f>
        <v>Кои са частите на един атом?</v>
      </c>
      <c r="F3840" s="1" t="str">
        <f ca="1">IFERROR(__xludf.DUMMYFUNCTION("GOOGLETRANSLATE(English!F3840,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3840" s="1" t="str">
        <f ca="1">IFERROR(__xludf.DUMMYFUNCTION("GOOGLETRANSLATE(English!G3840, ""en"", ""bg"")"),"direct_qa")</f>
        <v>direct_qa</v>
      </c>
      <c r="H3840" s="1" t="str">
        <f ca="1">IFERROR(__xludf.DUMMYFUNCTION("GOOGLETRANSLATE(English!H3840, ""en"", ""bg"")"),"заявка_за_знание")</f>
        <v>заявка_за_знание</v>
      </c>
    </row>
    <row r="3841" spans="1:8" ht="13.2" x14ac:dyDescent="0.25">
      <c r="A3841" s="1" t="str">
        <f ca="1">IFERROR(__xludf.DUMMYFUNCTION("GOOGLETRANSLATE(English!A3841, ""en"", ""bg"")"),"conv_10042")</f>
        <v>conv_10042</v>
      </c>
      <c r="B3841" s="1" t="str">
        <f ca="1">IFERROR(__xludf.DUMMYFUNCTION("GOOGLETRANSLATE(English!B3841, ""en"", ""bg"")"),"химия")</f>
        <v>химия</v>
      </c>
      <c r="C3841" s="1" t="str">
        <f ca="1">IFERROR(__xludf.DUMMYFUNCTION("GOOGLETRANSLATE(English!C3841, ""en"", ""bg"")"),"високо")</f>
        <v>високо</v>
      </c>
      <c r="D3841" s="1" t="str">
        <f ca="1">IFERROR(__xludf.DUMMYFUNCTION("GOOGLETRANSLATE(English!D3841, ""en"", ""bg"")"),"стехиометрия")</f>
        <v>стехиометрия</v>
      </c>
      <c r="E3841" s="1" t="str">
        <f ca="1">IFERROR(__xludf.DUMMYFUNCTION("GOOGLETRANSLATE(English!E3841, ""en"", ""bg"")"),"Имам научен въпрос. Какво е стехиометрия?")</f>
        <v>Имам научен въпрос. Какво е стехиометрия?</v>
      </c>
      <c r="F3841" s="1" t="str">
        <f ca="1">IFERROR(__xludf.DUMMYFUNCTION("GOOGLETRANSLATE(English!F3841,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3841" s="1" t="str">
        <f ca="1">IFERROR(__xludf.DUMMYFUNCTION("GOOGLETRANSLATE(English!G3841, ""en"", ""bg"")"),"разговор")</f>
        <v>разговор</v>
      </c>
      <c r="H3841" s="1" t="str">
        <f ca="1">IFERROR(__xludf.DUMMYFUNCTION("GOOGLETRANSLATE(English!H3841, ""en"", ""bg"")"),"образователна_помощ")</f>
        <v>образователна_помощ</v>
      </c>
    </row>
    <row r="3842" spans="1:8" ht="13.2" x14ac:dyDescent="0.25">
      <c r="A3842" s="1" t="str">
        <f ca="1">IFERROR(__xludf.DUMMYFUNCTION("GOOGLETRANSLATE(English!A3842, ""en"", ""bg"")"),"conv_02000")</f>
        <v>conv_02000</v>
      </c>
      <c r="B3842" s="1" t="str">
        <f ca="1">IFERROR(__xludf.DUMMYFUNCTION("GOOGLETRANSLATE(English!B3842, ""en"", ""bg"")"),"химия")</f>
        <v>химия</v>
      </c>
      <c r="C3842" s="1" t="str">
        <f ca="1">IFERROR(__xludf.DUMMYFUNCTION("GOOGLETRANSLATE(English!C3842, ""en"", ""bg"")"),"високо")</f>
        <v>високо</v>
      </c>
      <c r="D3842" s="1" t="str">
        <f ca="1">IFERROR(__xludf.DUMMYFUNCTION("GOOGLETRANSLATE(English!D3842, ""en"", ""bg"")"),"химическо свързване")</f>
        <v>химическо свързване</v>
      </c>
      <c r="E3842" s="1" t="str">
        <f ca="1">IFERROR(__xludf.DUMMYFUNCTION("GOOGLETRANSLATE(English!E3842, ""en"", ""bg"")"),"Здравей, преподавателю! Защо е важно да се учи химичното свързване?")</f>
        <v>Здравей, преподавателю! Защо е важно да се учи химичното свързване?</v>
      </c>
      <c r="F3842" s="1" t="str">
        <f ca="1">IFERROR(__xludf.DUMMYFUNCTION("GOOGLETRANSLATE(English!F3842,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3842" s="1" t="str">
        <f ca="1">IFERROR(__xludf.DUMMYFUNCTION("GOOGLETRANSLATE(English!G3842, ""en"", ""bg"")"),"разговор")</f>
        <v>разговор</v>
      </c>
      <c r="H3842" s="1" t="str">
        <f ca="1">IFERROR(__xludf.DUMMYFUNCTION("GOOGLETRANSLATE(English!H3842, ""en"", ""bg"")"),"образователна_помощ")</f>
        <v>образователна_помощ</v>
      </c>
    </row>
    <row r="3843" spans="1:8" ht="13.2" x14ac:dyDescent="0.25">
      <c r="A3843" s="1" t="str">
        <f ca="1">IFERROR(__xludf.DUMMYFUNCTION("GOOGLETRANSLATE(English!A3843, ""en"", ""bg"")"),"hw_12073")</f>
        <v>hw_12073</v>
      </c>
      <c r="B3843" s="1" t="str">
        <f ca="1">IFERROR(__xludf.DUMMYFUNCTION("GOOGLETRANSLATE(English!B3843, ""en"", ""bg"")"),"биология")</f>
        <v>биология</v>
      </c>
      <c r="C3843" s="1" t="str">
        <f ca="1">IFERROR(__xludf.DUMMYFUNCTION("GOOGLETRANSLATE(English!C3843, ""en"", ""bg"")"),"високо")</f>
        <v>високо</v>
      </c>
      <c r="D3843" s="1" t="str">
        <f ca="1">IFERROR(__xludf.DUMMYFUNCTION("GOOGLETRANSLATE(English!D3843, ""en"", ""bg"")"),"молекулярна биология")</f>
        <v>молекулярна биология</v>
      </c>
      <c r="E3843" s="1" t="str">
        <f ca="1">IFERROR(__xludf.DUMMYFUNCTION("GOOGLETRANSLATE(English!E3843, ""en"", ""bg"")"),"Утре имам тест по молекулярна биология. Помогни ми да уча!")</f>
        <v>Утре имам тест по молекулярна биология. Помогни ми да уча!</v>
      </c>
      <c r="F3843" s="1" t="str">
        <f ca="1">IFERROR(__xludf.DUMMYFUNCTION("GOOGLETRANSLATE(English!F3843,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3843" s="1" t="str">
        <f ca="1">IFERROR(__xludf.DUMMYFUNCTION("GOOGLETRANSLATE(English!G3843, ""en"", ""bg"")"),"помощ_за_домашно_изпълнение")</f>
        <v>помощ_за_домашно_изпълнение</v>
      </c>
      <c r="H3843" s="1" t="str">
        <f ca="1">IFERROR(__xludf.DUMMYFUNCTION("GOOGLETRANSLATE(English!H3843, ""en"", ""bg"")"),"помощ_за_домашно_задаване")</f>
        <v>помощ_за_домашно_задаване</v>
      </c>
    </row>
    <row r="3844" spans="1:8" ht="13.2" x14ac:dyDescent="0.25">
      <c r="A3844" s="1" t="str">
        <f ca="1">IFERROR(__xludf.DUMMYFUNCTION("GOOGLETRANSLATE(English!A3844, ""en"", ""bg"")"),"conv_00431")</f>
        <v>conv_00431</v>
      </c>
      <c r="B3844" s="1" t="str">
        <f ca="1">IFERROR(__xludf.DUMMYFUNCTION("GOOGLETRANSLATE(English!B3844, ""en"", ""bg"")"),"биология")</f>
        <v>биология</v>
      </c>
      <c r="C3844" s="1" t="str">
        <f ca="1">IFERROR(__xludf.DUMMYFUNCTION("GOOGLETRANSLATE(English!C3844, ""en"", ""bg"")"),"високо")</f>
        <v>високо</v>
      </c>
      <c r="D3844" s="1" t="str">
        <f ca="1">IFERROR(__xludf.DUMMYFUNCTION("GOOGLETRANSLATE(English!D3844, ""en"", ""bg"")"),"модели на наследяване")</f>
        <v>модели на наследяване</v>
      </c>
      <c r="E3844" s="1" t="str">
        <f ca="1">IFERROR(__xludf.DUMMYFUNCTION("GOOGLETRANSLATE(English!E3844, ""en"", ""bg"")"),"Имам нужда от помощ с домашното. Какво е важно да знаем за моделите на наследяване?")</f>
        <v>Имам нужда от помощ с домашното. Какво е важно да знаем за моделите на наследяване?</v>
      </c>
      <c r="F3844" s="1" t="str">
        <f ca="1">IFERROR(__xludf.DUMMYFUNCTION("GOOGLETRANSLATE(English!F3844, ""en"", ""bg"")"),"Най-важното нещо за моделите на наследяване е как те се свързват с други части на живота и природата.")</f>
        <v>Най-важното нещо за моделите на наследяване е как те се свързват с други части на живота и природата.</v>
      </c>
      <c r="G3844" s="1" t="str">
        <f ca="1">IFERROR(__xludf.DUMMYFUNCTION("GOOGLETRANSLATE(English!G3844, ""en"", ""bg"")"),"разговор")</f>
        <v>разговор</v>
      </c>
      <c r="H3844" s="1" t="str">
        <f ca="1">IFERROR(__xludf.DUMMYFUNCTION("GOOGLETRANSLATE(English!H3844, ""en"", ""bg"")"),"образователна_помощ")</f>
        <v>образователна_помощ</v>
      </c>
    </row>
    <row r="3845" spans="1:8" ht="13.2" x14ac:dyDescent="0.25">
      <c r="A3845" s="1" t="str">
        <f ca="1">IFERROR(__xludf.DUMMYFUNCTION("GOOGLETRANSLATE(English!A3845, ""en"", ""bg"")"),"conv_13973")</f>
        <v>conv_13973</v>
      </c>
      <c r="B3845" s="1" t="str">
        <f ca="1">IFERROR(__xludf.DUMMYFUNCTION("GOOGLETRANSLATE(English!B3845, ""en"", ""bg"")"),"физика")</f>
        <v>физика</v>
      </c>
      <c r="C3845" s="1" t="str">
        <f ca="1">IFERROR(__xludf.DUMMYFUNCTION("GOOGLETRANSLATE(English!C3845, ""en"", ""bg"")"),"елементарен")</f>
        <v>елементарен</v>
      </c>
      <c r="D3845" s="1" t="str">
        <f ca="1">IFERROR(__xludf.DUMMYFUNCTION("GOOGLETRANSLATE(English!D3845, ""en"", ""bg"")"),"прости машини")</f>
        <v>прости машини</v>
      </c>
      <c r="E3845" s="1" t="str">
        <f ca="1">IFERROR(__xludf.DUMMYFUNCTION("GOOGLETRANSLATE(English!E3845, ""en"", ""bg"")"),"Имам нужда от помощ с домашното. Защо простите машини са важни?")</f>
        <v>Имам нужда от помощ с домашното. Защо простите машини са важни?</v>
      </c>
      <c r="F3845" s="1" t="str">
        <f ca="1">IFERROR(__xludf.DUMMYFUNCTION("GOOGLETRANSLATE(English!F3845,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3845" s="1" t="str">
        <f ca="1">IFERROR(__xludf.DUMMYFUNCTION("GOOGLETRANSLATE(English!G3845, ""en"", ""bg"")"),"разговор")</f>
        <v>разговор</v>
      </c>
      <c r="H3845" s="1" t="str">
        <f ca="1">IFERROR(__xludf.DUMMYFUNCTION("GOOGLETRANSLATE(English!H3845, ""en"", ""bg"")"),"образователна_помощ")</f>
        <v>образователна_помощ</v>
      </c>
    </row>
    <row r="3846" spans="1:8" ht="13.2" x14ac:dyDescent="0.25">
      <c r="A3846" s="1" t="str">
        <f ca="1">IFERROR(__xludf.DUMMYFUNCTION("GOOGLETRANSLATE(English!A3846, ""en"", ""bg"")"),"hw_08030")</f>
        <v>hw_08030</v>
      </c>
      <c r="B3846" s="1" t="str">
        <f ca="1">IFERROR(__xludf.DUMMYFUNCTION("GOOGLETRANSLATE(English!B3846, ""en"", ""bg"")"),"физика")</f>
        <v>физика</v>
      </c>
      <c r="C3846" s="1" t="str">
        <f ca="1">IFERROR(__xludf.DUMMYFUNCTION("GOOGLETRANSLATE(English!C3846, ""en"", ""bg"")"),"елементарен")</f>
        <v>елементарен</v>
      </c>
      <c r="D3846" s="1" t="str">
        <f ca="1">IFERROR(__xludf.DUMMYFUNCTION("GOOGLETRANSLATE(English!D3846, ""en"", ""bg"")"),"плаващ и потъващ")</f>
        <v>плаващ и потъващ</v>
      </c>
      <c r="E3846" s="1" t="str">
        <f ca="1">IFERROR(__xludf.DUMMYFUNCTION("GOOGLETRANSLATE(English!E3846,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3846" s="1" t="str">
        <f ca="1">IFERROR(__xludf.DUMMYFUNCTION("GOOGLETRANSLATE(English!F3846,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3846" s="1" t="str">
        <f ca="1">IFERROR(__xludf.DUMMYFUNCTION("GOOGLETRANSLATE(English!G3846, ""en"", ""bg"")"),"помощ_за_домашно_изпълнение")</f>
        <v>помощ_за_домашно_изпълнение</v>
      </c>
      <c r="H3846" s="1" t="str">
        <f ca="1">IFERROR(__xludf.DUMMYFUNCTION("GOOGLETRANSLATE(English!H3846, ""en"", ""bg"")"),"помощ_за_домашно_задаване")</f>
        <v>помощ_за_домашно_задаване</v>
      </c>
    </row>
    <row r="3847" spans="1:8" ht="13.2" x14ac:dyDescent="0.25">
      <c r="A3847" s="1" t="str">
        <f ca="1">IFERROR(__xludf.DUMMYFUNCTION("GOOGLETRANSLATE(English!A3847, ""en"", ""bg"")"),"conv_11514")</f>
        <v>conv_11514</v>
      </c>
      <c r="B3847" s="1" t="str">
        <f ca="1">IFERROR(__xludf.DUMMYFUNCTION("GOOGLETRANSLATE(English!B3847, ""en"", ""bg"")"),"химия")</f>
        <v>химия</v>
      </c>
      <c r="C3847" s="1" t="str">
        <f ca="1">IFERROR(__xludf.DUMMYFUNCTION("GOOGLETRANSLATE(English!C3847, ""en"", ""bg"")"),"елементарен")</f>
        <v>елементарен</v>
      </c>
      <c r="D3847" s="1" t="str">
        <f ca="1">IFERROR(__xludf.DUMMYFUNCTION("GOOGLETRANSLATE(English!D3847, ""en"", ""bg"")"),"промени в материалите")</f>
        <v>промени в материалите</v>
      </c>
      <c r="E3847" s="1" t="str">
        <f ca="1">IFERROR(__xludf.DUMMYFUNCTION("GOOGLETRANSLATE(English!E3847, ""en"", ""bg"")"),"Не разбирам тази тема. Можете ли да ми помогнете да разбера промените в материалите?")</f>
        <v>Не разбирам тази тема. Можете ли да ми помогнете да разбера промените в материалите?</v>
      </c>
      <c r="F3847" s="1" t="str">
        <f ca="1">IFERROR(__xludf.DUMMYFUNCTION("GOOGLETRANSLATE(English!F3847,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3847" s="1" t="str">
        <f ca="1">IFERROR(__xludf.DUMMYFUNCTION("GOOGLETRANSLATE(English!G3847, ""en"", ""bg"")"),"разговор")</f>
        <v>разговор</v>
      </c>
      <c r="H3847" s="1" t="str">
        <f ca="1">IFERROR(__xludf.DUMMYFUNCTION("GOOGLETRANSLATE(English!H3847, ""en"", ""bg"")"),"образователна_помощ")</f>
        <v>образователна_помощ</v>
      </c>
    </row>
    <row r="3848" spans="1:8" ht="13.2" x14ac:dyDescent="0.25">
      <c r="A3848" s="1" t="str">
        <f ca="1">IFERROR(__xludf.DUMMYFUNCTION("GOOGLETRANSLATE(English!A3848, ""en"", ""bg"")"),"conv_14982")</f>
        <v>conv_14982</v>
      </c>
      <c r="B3848" s="1" t="str">
        <f ca="1">IFERROR(__xludf.DUMMYFUNCTION("GOOGLETRANSLATE(English!B3848, ""en"", ""bg"")"),"физика")</f>
        <v>физика</v>
      </c>
      <c r="C3848" s="1" t="str">
        <f ca="1">IFERROR(__xludf.DUMMYFUNCTION("GOOGLETRANSLATE(English!C3848, ""en"", ""bg"")"),"средата")</f>
        <v>средата</v>
      </c>
      <c r="D3848" s="1" t="str">
        <f ca="1">IFERROR(__xludf.DUMMYFUNCTION("GOOGLETRANSLATE(English!D3848, ""en"", ""bg"")"),"основи на електричеството")</f>
        <v>основи на електричеството</v>
      </c>
      <c r="E3848" s="1" t="str">
        <f ca="1">IFERROR(__xludf.DUMMYFUNCTION("GOOGLETRANSLATE(English!E3848, ""en"", ""bg"")"),"Имам научен въпрос. Защо основите на електричеството са важни?")</f>
        <v>Имам научен въпрос. Защо основите на електричеството са важни?</v>
      </c>
      <c r="F3848" s="1" t="str">
        <f ca="1">IFERROR(__xludf.DUMMYFUNCTION("GOOGLETRANSLATE(English!F3848,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3848" s="1" t="str">
        <f ca="1">IFERROR(__xludf.DUMMYFUNCTION("GOOGLETRANSLATE(English!G3848, ""en"", ""bg"")"),"разговор")</f>
        <v>разговор</v>
      </c>
      <c r="H3848" s="1" t="str">
        <f ca="1">IFERROR(__xludf.DUMMYFUNCTION("GOOGLETRANSLATE(English!H3848, ""en"", ""bg"")"),"образователна_помощ")</f>
        <v>образователна_помощ</v>
      </c>
    </row>
    <row r="3849" spans="1:8" ht="13.2" x14ac:dyDescent="0.25">
      <c r="A3849" s="1" t="str">
        <f ca="1">IFERROR(__xludf.DUMMYFUNCTION("GOOGLETRANSLATE(English!A3849, ""en"", ""bg"")"),"conv_09026")</f>
        <v>conv_09026</v>
      </c>
      <c r="B3849" s="1" t="str">
        <f ca="1">IFERROR(__xludf.DUMMYFUNCTION("GOOGLETRANSLATE(English!B3849, ""en"", ""bg"")"),"химия")</f>
        <v>химия</v>
      </c>
      <c r="C3849" s="1" t="str">
        <f ca="1">IFERROR(__xludf.DUMMYFUNCTION("GOOGLETRANSLATE(English!C3849, ""en"", ""bg"")"),"високо")</f>
        <v>високо</v>
      </c>
      <c r="D3849" s="1" t="str">
        <f ca="1">IFERROR(__xludf.DUMMYFUNCTION("GOOGLETRANSLATE(English!D3849, ""en"", ""bg"")"),"стехиометрия")</f>
        <v>стехиометрия</v>
      </c>
      <c r="E3849" s="1" t="str">
        <f ca="1">IFERROR(__xludf.DUMMYFUNCTION("GOOGLETRANSLATE(English!E3849, ""en"", ""bg"")"),"Имам нужда от помощ с домашното. Какво е стехиометрия?")</f>
        <v>Имам нужда от помощ с домашното. Какво е стехиометрия?</v>
      </c>
      <c r="F3849" s="1" t="str">
        <f ca="1">IFERROR(__xludf.DUMMYFUNCTION("GOOGLETRANSLATE(English!F3849,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3849" s="1" t="str">
        <f ca="1">IFERROR(__xludf.DUMMYFUNCTION("GOOGLETRANSLATE(English!G3849, ""en"", ""bg"")"),"разговор")</f>
        <v>разговор</v>
      </c>
      <c r="H3849" s="1" t="str">
        <f ca="1">IFERROR(__xludf.DUMMYFUNCTION("GOOGLETRANSLATE(English!H3849, ""en"", ""bg"")"),"образователна_помощ")</f>
        <v>образователна_помощ</v>
      </c>
    </row>
    <row r="3850" spans="1:8" ht="13.2" x14ac:dyDescent="0.25">
      <c r="A3850" s="1" t="str">
        <f ca="1">IFERROR(__xludf.DUMMYFUNCTION("GOOGLETRANSLATE(English!A3850, ""en"", ""bg"")"),"hw_07107")</f>
        <v>hw_07107</v>
      </c>
      <c r="B3850" s="1" t="str">
        <f ca="1">IFERROR(__xludf.DUMMYFUNCTION("GOOGLETRANSLATE(English!B3850, ""en"", ""bg"")"),"химия")</f>
        <v>химия</v>
      </c>
      <c r="C3850" s="1" t="str">
        <f ca="1">IFERROR(__xludf.DUMMYFUNCTION("GOOGLETRANSLATE(English!C3850, ""en"", ""bg"")"),"високо")</f>
        <v>високо</v>
      </c>
      <c r="D3850" s="1" t="str">
        <f ca="1">IFERROR(__xludf.DUMMYFUNCTION("GOOGLETRANSLATE(English!D3850, ""en"", ""bg"")"),"стехиометрия")</f>
        <v>стехиометрия</v>
      </c>
      <c r="E3850" s="1" t="str">
        <f ca="1">IFERROR(__xludf.DUMMYFUNCTION("GOOGLETRANSLATE(English!E3850,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3850" s="1" t="str">
        <f ca="1">IFERROR(__xludf.DUMMYFUNCTION("GOOGLETRANSLATE(English!F3850,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3850" s="1" t="str">
        <f ca="1">IFERROR(__xludf.DUMMYFUNCTION("GOOGLETRANSLATE(English!G3850, ""en"", ""bg"")"),"помощ_за_домашно_изпълнение")</f>
        <v>помощ_за_домашно_изпълнение</v>
      </c>
      <c r="H3850" s="1" t="str">
        <f ca="1">IFERROR(__xludf.DUMMYFUNCTION("GOOGLETRANSLATE(English!H3850, ""en"", ""bg"")"),"помощ_за_домашно_задаване")</f>
        <v>помощ_за_домашно_задаване</v>
      </c>
    </row>
    <row r="3851" spans="1:8" ht="13.2" x14ac:dyDescent="0.25">
      <c r="A3851" s="1" t="str">
        <f ca="1">IFERROR(__xludf.DUMMYFUNCTION("GOOGLETRANSLATE(English!A3851, ""en"", ""bg"")"),"hw_04071")</f>
        <v>hw_04071</v>
      </c>
      <c r="B3851" s="1" t="str">
        <f ca="1">IFERROR(__xludf.DUMMYFUNCTION("GOOGLETRANSLATE(English!B3851, ""en"", ""bg"")"),"физика")</f>
        <v>физика</v>
      </c>
      <c r="C3851" s="1" t="str">
        <f ca="1">IFERROR(__xludf.DUMMYFUNCTION("GOOGLETRANSLATE(English!C3851, ""en"", ""bg"")"),"елементарен")</f>
        <v>елементарен</v>
      </c>
      <c r="D3851" s="1" t="str">
        <f ca="1">IFERROR(__xludf.DUMMYFUNCTION("GOOGLETRANSLATE(English!D3851, ""en"", ""bg"")"),"магнити")</f>
        <v>магнити</v>
      </c>
      <c r="E3851" s="1" t="str">
        <f ca="1">IFERROR(__xludf.DUMMYFUNCTION("GOOGLETRANSLATE(English!E3851, ""en"", ""bg"")"),"Домашното ми по физика е за магнити. Объркващо е!")</f>
        <v>Домашното ми по физика е за магнити. Объркващо е!</v>
      </c>
      <c r="F3851" s="1" t="str">
        <f ca="1">IFERROR(__xludf.DUMMYFUNCTION("GOOGLETRANSLATE(English!F3851,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3851" s="1" t="str">
        <f ca="1">IFERROR(__xludf.DUMMYFUNCTION("GOOGLETRANSLATE(English!G3851, ""en"", ""bg"")"),"помощ_за_домашно_изпълнение")</f>
        <v>помощ_за_домашно_изпълнение</v>
      </c>
      <c r="H3851" s="1" t="str">
        <f ca="1">IFERROR(__xludf.DUMMYFUNCTION("GOOGLETRANSLATE(English!H3851, ""en"", ""bg"")"),"помощ_за_домашно_задаване")</f>
        <v>помощ_за_домашно_задаване</v>
      </c>
    </row>
    <row r="3852" spans="1:8" ht="13.2" x14ac:dyDescent="0.25">
      <c r="A3852" s="1" t="str">
        <f ca="1">IFERROR(__xludf.DUMMYFUNCTION("GOOGLETRANSLATE(English!A3852, ""en"", ""bg"")"),"qa_00751")</f>
        <v>qa_00751</v>
      </c>
      <c r="B3852" s="1" t="str">
        <f ca="1">IFERROR(__xludf.DUMMYFUNCTION("GOOGLETRANSLATE(English!B3852, ""en"", ""bg"")"),"физика")</f>
        <v>физика</v>
      </c>
      <c r="C3852" s="1" t="str">
        <f ca="1">IFERROR(__xludf.DUMMYFUNCTION("GOOGLETRANSLATE(English!C3852, ""en"", ""bg"")"),"елементарен")</f>
        <v>елементарен</v>
      </c>
      <c r="D3852" s="1" t="str">
        <f ca="1">IFERROR(__xludf.DUMMYFUNCTION("GOOGLETRANSLATE(English!D3852, ""en"", ""bg"")"),"магнити")</f>
        <v>магнити</v>
      </c>
      <c r="E3852" s="1" t="str">
        <f ca="1">IFERROR(__xludf.DUMMYFUNCTION("GOOGLETRANSLATE(English!E3852, ""en"", ""bg"")"),"Какво се случва, когато сложите два магнита заедно?")</f>
        <v>Какво се случва, когато сложите два магнита заедно?</v>
      </c>
      <c r="F3852" s="1" t="str">
        <f ca="1">IFERROR(__xludf.DUMMYFUNCTION("GOOGLETRANSLATE(English!F3852, ""en"", ""bg"")"),"Когато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друг!")</f>
        <v>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</v>
      </c>
      <c r="G3852" s="1" t="str">
        <f ca="1">IFERROR(__xludf.DUMMYFUNCTION("GOOGLETRANSLATE(English!G3852, ""en"", ""bg"")"),"direct_qa")</f>
        <v>direct_qa</v>
      </c>
      <c r="H3852" s="1" t="str">
        <f ca="1">IFERROR(__xludf.DUMMYFUNCTION("GOOGLETRANSLATE(English!H3852, ""en"", ""bg"")"),"заявка_за_знание")</f>
        <v>заявка_за_знание</v>
      </c>
    </row>
    <row r="3853" spans="1:8" ht="13.2" x14ac:dyDescent="0.25">
      <c r="A3853" s="1" t="str">
        <f ca="1">IFERROR(__xludf.DUMMYFUNCTION("GOOGLETRANSLATE(English!A3853, ""en"", ""bg"")"),"conv_07746")</f>
        <v>conv_07746</v>
      </c>
      <c r="B3853" s="1" t="str">
        <f ca="1">IFERROR(__xludf.DUMMYFUNCTION("GOOGLETRANSLATE(English!B3853, ""en"", ""bg"")"),"биология")</f>
        <v>биология</v>
      </c>
      <c r="C3853" s="1" t="str">
        <f ca="1">IFERROR(__xludf.DUMMYFUNCTION("GOOGLETRANSLATE(English!C3853, ""en"", ""bg"")"),"високо")</f>
        <v>високо</v>
      </c>
      <c r="D3853" s="1" t="str">
        <f ca="1">IFERROR(__xludf.DUMMYFUNCTION("GOOGLETRANSLATE(English!D3853, ""en"", ""bg"")"),"синтез на протеини")</f>
        <v>синтез на протеини</v>
      </c>
      <c r="E3853" s="1" t="str">
        <f ca="1">IFERROR(__xludf.DUMMYFUNCTION("GOOGLETRANSLATE(English!E3853, ""en"", ""bg"")"),"Здравей, преподавателю! Можеш ли да ми кажеш нещо за синтеза на протеини?")</f>
        <v>Здравей, преподавателю! Можеш ли да ми кажеш нещо за синтеза на протеини?</v>
      </c>
      <c r="F3853" s="1" t="str">
        <f ca="1">IFERROR(__xludf.DUMMYFUNCTION("GOOGLETRANSLATE(English!F3853,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3853" s="1" t="str">
        <f ca="1">IFERROR(__xludf.DUMMYFUNCTION("GOOGLETRANSLATE(English!G3853, ""en"", ""bg"")"),"разговор")</f>
        <v>разговор</v>
      </c>
      <c r="H3853" s="1" t="str">
        <f ca="1">IFERROR(__xludf.DUMMYFUNCTION("GOOGLETRANSLATE(English!H3853, ""en"", ""bg"")"),"образователна_помощ")</f>
        <v>образователна_помощ</v>
      </c>
    </row>
    <row r="3854" spans="1:8" ht="13.2" x14ac:dyDescent="0.25">
      <c r="A3854" s="1" t="str">
        <f ca="1">IFERROR(__xludf.DUMMYFUNCTION("GOOGLETRANSLATE(English!A3854, ""en"", ""bg"")"),"conv_05971")</f>
        <v>conv_05971</v>
      </c>
      <c r="B3854" s="1" t="str">
        <f ca="1">IFERROR(__xludf.DUMMYFUNCTION("GOOGLETRANSLATE(English!B3854, ""en"", ""bg"")"),"физика")</f>
        <v>физика</v>
      </c>
      <c r="C3854" s="1" t="str">
        <f ca="1">IFERROR(__xludf.DUMMYFUNCTION("GOOGLETRANSLATE(English!C3854, ""en"", ""bg"")"),"високо")</f>
        <v>високо</v>
      </c>
      <c r="D3854" s="1" t="str">
        <f ca="1">IFERROR(__xludf.DUMMYFUNCTION("GOOGLETRANSLATE(English!D3854, ""en"", ""bg"")"),"термодинамика")</f>
        <v>термодинамика</v>
      </c>
      <c r="E3854" s="1" t="str">
        <f ca="1">IFERROR(__xludf.DUMMYFUNCTION("GOOGLETRANSLATE(English!E3854, ""en"", ""bg"")"),"Помогни ми да уча за теста. Можеш ли да ми обясниш термодинамиката?")</f>
        <v>Помогни ми да уча за теста. Можеш ли да ми обясниш термодинамиката?</v>
      </c>
      <c r="F3854" s="1" t="str">
        <f ca="1">IFERROR(__xludf.DUMMYFUNCTION("GOOGLETRANSLATE(English!F3854,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3854" s="1" t="str">
        <f ca="1">IFERROR(__xludf.DUMMYFUNCTION("GOOGLETRANSLATE(English!G3854, ""en"", ""bg"")"),"разговор")</f>
        <v>разговор</v>
      </c>
      <c r="H3854" s="1" t="str">
        <f ca="1">IFERROR(__xludf.DUMMYFUNCTION("GOOGLETRANSLATE(English!H3854, ""en"", ""bg"")"),"образователна_помощ")</f>
        <v>образователна_помощ</v>
      </c>
    </row>
    <row r="3855" spans="1:8" ht="13.2" x14ac:dyDescent="0.25">
      <c r="A3855" s="1" t="str">
        <f ca="1">IFERROR(__xludf.DUMMYFUNCTION("GOOGLETRANSLATE(English!A3855, ""en"", ""bg"")"),"hw_03966")</f>
        <v>hw_03966</v>
      </c>
      <c r="B3855" s="1" t="str">
        <f ca="1">IFERROR(__xludf.DUMMYFUNCTION("GOOGLETRANSLATE(English!B3855, ""en"", ""bg"")"),"химия")</f>
        <v>химия</v>
      </c>
      <c r="C3855" s="1" t="str">
        <f ca="1">IFERROR(__xludf.DUMMYFUNCTION("GOOGLETRANSLATE(English!C3855, ""en"", ""bg"")"),"елементарен")</f>
        <v>елементарен</v>
      </c>
      <c r="D3855" s="1" t="str">
        <f ca="1">IFERROR(__xludf.DUMMYFUNCTION("GOOGLETRANSLATE(English!D3855, ""en"", ""bg"")"),"безопасност")</f>
        <v>безопасност</v>
      </c>
      <c r="E3855" s="1" t="str">
        <f ca="1">IFERROR(__xludf.DUMMYFUNCTION("GOOGLETRANSLATE(English!E3855,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3855" s="1" t="str">
        <f ca="1">IFERROR(__xludf.DUMMYFUNCTION("GOOGLETRANSLATE(English!F3855,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855" s="1" t="str">
        <f ca="1">IFERROR(__xludf.DUMMYFUNCTION("GOOGLETRANSLATE(English!G3855, ""en"", ""bg"")"),"помощ_за_домашно_изпълнение")</f>
        <v>помощ_за_домашно_изпълнение</v>
      </c>
      <c r="H3855" s="1" t="str">
        <f ca="1">IFERROR(__xludf.DUMMYFUNCTION("GOOGLETRANSLATE(English!H3855, ""en"", ""bg"")"),"помощ_за_домашно_задаване")</f>
        <v>помощ_за_домашно_задаване</v>
      </c>
    </row>
    <row r="3856" spans="1:8" ht="13.2" x14ac:dyDescent="0.25">
      <c r="A3856" s="1" t="str">
        <f ca="1">IFERROR(__xludf.DUMMYFUNCTION("GOOGLETRANSLATE(English!A3856, ""en"", ""bg"")"),"hw_02214")</f>
        <v>hw_02214</v>
      </c>
      <c r="B3856" s="1" t="str">
        <f ca="1">IFERROR(__xludf.DUMMYFUNCTION("GOOGLETRANSLATE(English!B3856, ""en"", ""bg"")"),"химия")</f>
        <v>химия</v>
      </c>
      <c r="C3856" s="1" t="str">
        <f ca="1">IFERROR(__xludf.DUMMYFUNCTION("GOOGLETRANSLATE(English!C3856, ""en"", ""bg"")"),"елементарен")</f>
        <v>елементарен</v>
      </c>
      <c r="D3856" s="1" t="str">
        <f ca="1">IFERROR(__xludf.DUMMYFUNCTION("GOOGLETRANSLATE(English!D3856, ""en"", ""bg"")"),"смесване на материали")</f>
        <v>смесване на материали</v>
      </c>
      <c r="E3856" s="1" t="str">
        <f ca="1">IFERROR(__xludf.DUMMYFUNCTION("GOOGLETRANSLATE(English!E3856, ""en"", ""bg"")"),"Моят доклад по химия е за смесване на материали. Помогнете ми да разбера.")</f>
        <v>Моят доклад по химия е за смесване на материали. Помогнете ми да разбера.</v>
      </c>
      <c r="F3856" s="1" t="str">
        <f ca="1">IFERROR(__xludf.DUMMYFUNCTION("GOOGLETRANSLATE(English!F3856,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856" s="1" t="str">
        <f ca="1">IFERROR(__xludf.DUMMYFUNCTION("GOOGLETRANSLATE(English!G3856, ""en"", ""bg"")"),"помощ_за_домашно_изпълнение")</f>
        <v>помощ_за_домашно_изпълнение</v>
      </c>
      <c r="H3856" s="1" t="str">
        <f ca="1">IFERROR(__xludf.DUMMYFUNCTION("GOOGLETRANSLATE(English!H3856, ""en"", ""bg"")"),"помощ_за_домашно_задаване")</f>
        <v>помощ_за_домашно_задаване</v>
      </c>
    </row>
    <row r="3857" spans="1:8" ht="13.2" x14ac:dyDescent="0.25">
      <c r="A3857" s="1" t="str">
        <f ca="1">IFERROR(__xludf.DUMMYFUNCTION("GOOGLETRANSLATE(English!A3857, ""en"", ""bg"")"),"qa_13894")</f>
        <v>qa_13894</v>
      </c>
      <c r="B3857" s="1" t="str">
        <f ca="1">IFERROR(__xludf.DUMMYFUNCTION("GOOGLETRANSLATE(English!B3857, ""en"", ""bg"")"),"химия")</f>
        <v>химия</v>
      </c>
      <c r="C3857" s="1" t="str">
        <f ca="1">IFERROR(__xludf.DUMMYFUNCTION("GOOGLETRANSLATE(English!C3857, ""en"", ""bg"")"),"средата")</f>
        <v>средата</v>
      </c>
      <c r="D3857" s="1" t="str">
        <f ca="1">IFERROR(__xludf.DUMMYFUNCTION("GOOGLETRANSLATE(English!D3857, ""en"", ""bg"")"),"химични промени")</f>
        <v>химични промени</v>
      </c>
      <c r="E3857" s="1" t="str">
        <f ca="1">IFERROR(__xludf.DUMMYFUNCTION("GOOGLETRANSLATE(English!E3857, ""en"", ""bg"")"),"Как протичат химичните промени в химията?")</f>
        <v>Как протичат химичните промени в химията?</v>
      </c>
      <c r="F3857" s="1" t="str">
        <f ca="1">IFERROR(__xludf.DUMMYFUNCTION("GOOGLETRANSLATE(English!F3857,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3857" s="1" t="str">
        <f ca="1">IFERROR(__xludf.DUMMYFUNCTION("GOOGLETRANSLATE(English!G3857, ""en"", ""bg"")"),"direct_qa")</f>
        <v>direct_qa</v>
      </c>
      <c r="H3857" s="1" t="str">
        <f ca="1">IFERROR(__xludf.DUMMYFUNCTION("GOOGLETRANSLATE(English!H3857, ""en"", ""bg"")"),"заявка_за_знание")</f>
        <v>заявка_за_знание</v>
      </c>
    </row>
    <row r="3858" spans="1:8" ht="13.2" x14ac:dyDescent="0.25">
      <c r="A3858" s="1" t="str">
        <f ca="1">IFERROR(__xludf.DUMMYFUNCTION("GOOGLETRANSLATE(English!A3858, ""en"", ""bg"")"),"qa_10282")</f>
        <v>qa_10282</v>
      </c>
      <c r="B3858" s="1" t="str">
        <f ca="1">IFERROR(__xludf.DUMMYFUNCTION("GOOGLETRANSLATE(English!B3858, ""en"", ""bg"")"),"химия")</f>
        <v>химия</v>
      </c>
      <c r="C3858" s="1" t="str">
        <f ca="1">IFERROR(__xludf.DUMMYFUNCTION("GOOGLETRANSLATE(English!C3858, ""en"", ""bg"")"),"елементарен")</f>
        <v>елементарен</v>
      </c>
      <c r="D3858" s="1" t="str">
        <f ca="1">IFERROR(__xludf.DUMMYFUNCTION("GOOGLETRANSLATE(English!D3858, ""en"", ""bg"")"),"промени в материалите")</f>
        <v>промени в материалите</v>
      </c>
      <c r="E3858" s="1" t="str">
        <f ca="1">IFERROR(__xludf.DUMMYFUNCTION("GOOGLETRANSLATE(English!E3858, ""en"", ""bg"")"),"Как протичат промените в материалите в химията?")</f>
        <v>Как протичат промените в материалите в химията?</v>
      </c>
      <c r="F3858" s="1" t="str">
        <f ca="1">IFERROR(__xludf.DUMMYFUNCTION("GOOGLETRANSLATE(English!F3858,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3858" s="1" t="str">
        <f ca="1">IFERROR(__xludf.DUMMYFUNCTION("GOOGLETRANSLATE(English!G3858, ""en"", ""bg"")"),"direct_qa")</f>
        <v>direct_qa</v>
      </c>
      <c r="H3858" s="1" t="str">
        <f ca="1">IFERROR(__xludf.DUMMYFUNCTION("GOOGLETRANSLATE(English!H3858, ""en"", ""bg"")"),"заявка_за_знание")</f>
        <v>заявка_за_знание</v>
      </c>
    </row>
    <row r="3859" spans="1:8" ht="13.2" x14ac:dyDescent="0.25">
      <c r="A3859" s="1" t="str">
        <f ca="1">IFERROR(__xludf.DUMMYFUNCTION("GOOGLETRANSLATE(English!A3859, ""en"", ""bg"")"),"conv_09723")</f>
        <v>conv_09723</v>
      </c>
      <c r="B3859" s="1" t="str">
        <f ca="1">IFERROR(__xludf.DUMMYFUNCTION("GOOGLETRANSLATE(English!B3859, ""en"", ""bg"")"),"биология")</f>
        <v>биология</v>
      </c>
      <c r="C3859" s="1" t="str">
        <f ca="1">IFERROR(__xludf.DUMMYFUNCTION("GOOGLETRANSLATE(English!C3859, ""en"", ""bg"")"),"елементарен")</f>
        <v>елементарен</v>
      </c>
      <c r="D3859" s="1" t="str">
        <f ca="1">IFERROR(__xludf.DUMMYFUNCTION("GOOGLETRANSLATE(English!D3859, ""en"", ""bg"")"),"човешкото тяло")</f>
        <v>човешкото тяло</v>
      </c>
      <c r="E3859" s="1" t="str">
        <f ca="1">IFERROR(__xludf.DUMMYFUNCTION("GOOGLETRANSLATE(English!E3859, ""en"", ""bg"")"),"Имам нужда от помощ с домашното. Как работи човешкото тяло?")</f>
        <v>Имам нужда от помощ с домашното. Как работи човешкото тяло?</v>
      </c>
      <c r="F3859" s="1" t="str">
        <f ca="1">IFERROR(__xludf.DUMMYFUNCTION("GOOGLETRANSLATE(English!F3859,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3859" s="1" t="str">
        <f ca="1">IFERROR(__xludf.DUMMYFUNCTION("GOOGLETRANSLATE(English!G3859, ""en"", ""bg"")"),"разговор")</f>
        <v>разговор</v>
      </c>
      <c r="H3859" s="1" t="str">
        <f ca="1">IFERROR(__xludf.DUMMYFUNCTION("GOOGLETRANSLATE(English!H3859, ""en"", ""bg"")"),"образователна_помощ")</f>
        <v>образователна_помощ</v>
      </c>
    </row>
    <row r="3860" spans="1:8" ht="13.2" x14ac:dyDescent="0.25">
      <c r="A3860" s="1" t="str">
        <f ca="1">IFERROR(__xludf.DUMMYFUNCTION("GOOGLETRANSLATE(English!A3860, ""en"", ""bg"")"),"hw_12361")</f>
        <v>hw_12361</v>
      </c>
      <c r="B3860" s="1" t="str">
        <f ca="1">IFERROR(__xludf.DUMMYFUNCTION("GOOGLETRANSLATE(English!B3860, ""en"", ""bg"")"),"химия")</f>
        <v>химия</v>
      </c>
      <c r="C3860" s="1" t="str">
        <f ca="1">IFERROR(__xludf.DUMMYFUNCTION("GOOGLETRANSLATE(English!C3860, ""en"", ""bg"")"),"елементарен")</f>
        <v>елементарен</v>
      </c>
      <c r="D3860" s="1" t="str">
        <f ca="1">IFERROR(__xludf.DUMMYFUNCTION("GOOGLETRANSLATE(English!D3860, ""en"", ""bg"")"),"безопасност")</f>
        <v>безопасност</v>
      </c>
      <c r="E3860" s="1" t="str">
        <f ca="1">IFERROR(__xludf.DUMMYFUNCTION("GOOGLETRANSLATE(English!E3860, ""en"", ""bg"")"),"Трудно ми е с безопасността при домашното.")</f>
        <v>Трудно ми е с безопасността при домашното.</v>
      </c>
      <c r="F3860" s="1" t="str">
        <f ca="1">IFERROR(__xludf.DUMMYFUNCTION("GOOGLETRANSLATE(English!F3860,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860" s="1" t="str">
        <f ca="1">IFERROR(__xludf.DUMMYFUNCTION("GOOGLETRANSLATE(English!G3860, ""en"", ""bg"")"),"помощ_за_домашно_изпълнение")</f>
        <v>помощ_за_домашно_изпълнение</v>
      </c>
      <c r="H3860" s="1" t="str">
        <f ca="1">IFERROR(__xludf.DUMMYFUNCTION("GOOGLETRANSLATE(English!H3860, ""en"", ""bg"")"),"помощ_за_домашно_задаване")</f>
        <v>помощ_за_домашно_задаване</v>
      </c>
    </row>
    <row r="3861" spans="1:8" ht="13.2" x14ac:dyDescent="0.25">
      <c r="A3861" s="1" t="str">
        <f ca="1">IFERROR(__xludf.DUMMYFUNCTION("GOOGLETRANSLATE(English!A3861, ""en"", ""bg"")"),"conv_13020")</f>
        <v>conv_13020</v>
      </c>
      <c r="B3861" s="1" t="str">
        <f ca="1">IFERROR(__xludf.DUMMYFUNCTION("GOOGLETRANSLATE(English!B3861, ""en"", ""bg"")"),"биология")</f>
        <v>биология</v>
      </c>
      <c r="C3861" s="1" t="str">
        <f ca="1">IFERROR(__xludf.DUMMYFUNCTION("GOOGLETRANSLATE(English!C3861, ""en"", ""bg"")"),"високо")</f>
        <v>високо</v>
      </c>
      <c r="D3861" s="1" t="str">
        <f ca="1">IFERROR(__xludf.DUMMYFUNCTION("GOOGLETRANSLATE(English!D3861, ""en"", ""bg"")"),"модели на наследяване")</f>
        <v>модели на наследяване</v>
      </c>
      <c r="E3861" s="1" t="str">
        <f ca="1">IFERROR(__xludf.DUMMYFUNCTION("GOOGLETRANSLATE(English!E3861, ""en"", ""bg"")"),"Помогнете ми да уча за теста си. Как работят моделите на наследяване?")</f>
        <v>Помогнете ми да уча за теста си. Как работят моделите на наследяване?</v>
      </c>
      <c r="F3861" s="1" t="str">
        <f ca="1">IFERROR(__xludf.DUMMYFUNCTION("GOOGLETRANSLATE(English!F3861,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3861" s="1" t="str">
        <f ca="1">IFERROR(__xludf.DUMMYFUNCTION("GOOGLETRANSLATE(English!G3861, ""en"", ""bg"")"),"разговор")</f>
        <v>разговор</v>
      </c>
      <c r="H3861" s="1" t="str">
        <f ca="1">IFERROR(__xludf.DUMMYFUNCTION("GOOGLETRANSLATE(English!H3861, ""en"", ""bg"")"),"образователна_помощ")</f>
        <v>образователна_помощ</v>
      </c>
    </row>
    <row r="3862" spans="1:8" ht="13.2" x14ac:dyDescent="0.25">
      <c r="A3862" s="1" t="str">
        <f ca="1">IFERROR(__xludf.DUMMYFUNCTION("GOOGLETRANSLATE(English!A3862, ""en"", ""bg"")"),"conv_00676")</f>
        <v>conv_00676</v>
      </c>
      <c r="B3862" s="1" t="str">
        <f ca="1">IFERROR(__xludf.DUMMYFUNCTION("GOOGLETRANSLATE(English!B3862, ""en"", ""bg"")"),"физика")</f>
        <v>физика</v>
      </c>
      <c r="C3862" s="1" t="str">
        <f ca="1">IFERROR(__xludf.DUMMYFUNCTION("GOOGLETRANSLATE(English!C3862, ""en"", ""bg"")"),"средата")</f>
        <v>средата</v>
      </c>
      <c r="D3862" s="1" t="str">
        <f ca="1">IFERROR(__xludf.DUMMYFUNCTION("GOOGLETRANSLATE(English!D3862, ""en"", ""bg"")"),"вълни")</f>
        <v>вълни</v>
      </c>
      <c r="E3862" s="1" t="str">
        <f ca="1">IFERROR(__xludf.DUMMYFUNCTION("GOOGLETRANSLATE(English!E3862, ""en"", ""bg"")"),"Можете ли да ми обясните това? Можете ли да ми обясните вълните?")</f>
        <v>Можете ли да ми обясните това? Можете ли да ми обясните вълните?</v>
      </c>
      <c r="F3862" s="1" t="str">
        <f ca="1">IFERROR(__xludf.DUMMYFUNCTION("GOOGLETRANSLATE(English!F3862,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3862" s="1" t="str">
        <f ca="1">IFERROR(__xludf.DUMMYFUNCTION("GOOGLETRANSLATE(English!G3862, ""en"", ""bg"")"),"разговор")</f>
        <v>разговор</v>
      </c>
      <c r="H3862" s="1" t="str">
        <f ca="1">IFERROR(__xludf.DUMMYFUNCTION("GOOGLETRANSLATE(English!H3862, ""en"", ""bg"")"),"образователна_помощ")</f>
        <v>образователна_помощ</v>
      </c>
    </row>
    <row r="3863" spans="1:8" ht="13.2" x14ac:dyDescent="0.25">
      <c r="A3863" s="1" t="str">
        <f ca="1">IFERROR(__xludf.DUMMYFUNCTION("GOOGLETRANSLATE(English!A3863, ""en"", ""bg"")"),"qa_14453")</f>
        <v>qa_14453</v>
      </c>
      <c r="B3863" s="1" t="str">
        <f ca="1">IFERROR(__xludf.DUMMYFUNCTION("GOOGLETRANSLATE(English!B3863, ""en"", ""bg"")"),"физика")</f>
        <v>физика</v>
      </c>
      <c r="C3863" s="1" t="str">
        <f ca="1">IFERROR(__xludf.DUMMYFUNCTION("GOOGLETRANSLATE(English!C3863, ""en"", ""bg"")"),"елементарен")</f>
        <v>елементарен</v>
      </c>
      <c r="D3863" s="1" t="str">
        <f ca="1">IFERROR(__xludf.DUMMYFUNCTION("GOOGLETRANSLATE(English!D3863, ""en"", ""bg"")"),"плаващ и потъващ")</f>
        <v>плаващ и потъващ</v>
      </c>
      <c r="E3863" s="1" t="str">
        <f ca="1">IFERROR(__xludf.DUMMYFUNCTION("GOOGLETRANSLATE(English!E3863, ""en"", ""bg"")"),"Защо е важно да се носиш и да потъваш?")</f>
        <v>Защо е важно да се носиш и да потъваш?</v>
      </c>
      <c r="F3863" s="1" t="str">
        <f ca="1">IFERROR(__xludf.DUMMYFUNCTION("GOOGLETRANSLATE(English!F3863,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3863" s="1" t="str">
        <f ca="1">IFERROR(__xludf.DUMMYFUNCTION("GOOGLETRANSLATE(English!G3863, ""en"", ""bg"")"),"direct_qa")</f>
        <v>direct_qa</v>
      </c>
      <c r="H3863" s="1" t="str">
        <f ca="1">IFERROR(__xludf.DUMMYFUNCTION("GOOGLETRANSLATE(English!H3863, ""en"", ""bg"")"),"заявка_за_знание")</f>
        <v>заявка_за_знание</v>
      </c>
    </row>
    <row r="3864" spans="1:8" ht="13.2" x14ac:dyDescent="0.25">
      <c r="A3864" s="1" t="str">
        <f ca="1">IFERROR(__xludf.DUMMYFUNCTION("GOOGLETRANSLATE(English!A3864, ""en"", ""bg"")"),"conv_13066")</f>
        <v>conv_13066</v>
      </c>
      <c r="B3864" s="1" t="str">
        <f ca="1">IFERROR(__xludf.DUMMYFUNCTION("GOOGLETRANSLATE(English!B3864, ""en"", ""bg"")"),"физика")</f>
        <v>физика</v>
      </c>
      <c r="C3864" s="1" t="str">
        <f ca="1">IFERROR(__xludf.DUMMYFUNCTION("GOOGLETRANSLATE(English!C3864, ""en"", ""bg"")"),"средата")</f>
        <v>средата</v>
      </c>
      <c r="D3864" s="1" t="str">
        <f ca="1">IFERROR(__xludf.DUMMYFUNCTION("GOOGLETRANSLATE(English!D3864, ""en"", ""bg"")"),"видове енергия")</f>
        <v>видове енергия</v>
      </c>
      <c r="E3864" s="1" t="str">
        <f ca="1">IFERROR(__xludf.DUMMYFUNCTION("GOOGLETRANSLATE(English!E3864, ""en"", ""bg"")"),"Имам научен въпрос: Как се променя видът енергия?")</f>
        <v>Имам научен въпрос: Как се променя видът енергия?</v>
      </c>
      <c r="F3864" s="1" t="str">
        <f ca="1">IFERROR(__xludf.DUMMYFUNCTION("GOOGLETRANSLATE(English!F3864,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3864" s="1" t="str">
        <f ca="1">IFERROR(__xludf.DUMMYFUNCTION("GOOGLETRANSLATE(English!G3864, ""en"", ""bg"")"),"разговор")</f>
        <v>разговор</v>
      </c>
      <c r="H3864" s="1" t="str">
        <f ca="1">IFERROR(__xludf.DUMMYFUNCTION("GOOGLETRANSLATE(English!H3864, ""en"", ""bg"")"),"образователна_помощ")</f>
        <v>образователна_помощ</v>
      </c>
    </row>
    <row r="3865" spans="1:8" ht="13.2" x14ac:dyDescent="0.25">
      <c r="A3865" s="1" t="str">
        <f ca="1">IFERROR(__xludf.DUMMYFUNCTION("GOOGLETRANSLATE(English!A3865, ""en"", ""bg"")"),"qa_02523")</f>
        <v>qa_02523</v>
      </c>
      <c r="B3865" s="1" t="str">
        <f ca="1">IFERROR(__xludf.DUMMYFUNCTION("GOOGLETRANSLATE(English!B3865, ""en"", ""bg"")"),"биология")</f>
        <v>биология</v>
      </c>
      <c r="C3865" s="1" t="str">
        <f ca="1">IFERROR(__xludf.DUMMYFUNCTION("GOOGLETRANSLATE(English!C3865, ""en"", ""bg"")"),"елементарен")</f>
        <v>елементарен</v>
      </c>
      <c r="D3865" s="1" t="str">
        <f ca="1">IFERROR(__xludf.DUMMYFUNCTION("GOOGLETRANSLATE(English!D3865, ""en"", ""bg"")"),"местообитания")</f>
        <v>местообитания</v>
      </c>
      <c r="E3865" s="1" t="str">
        <f ca="1">IFERROR(__xludf.DUMMYFUNCTION("GOOGLETRANSLATE(English!E3865, ""en"", ""bg"")"),"Можете ли да ми разкажете за местообитанията?")</f>
        <v>Можете ли да ми разкажете за местообитанията?</v>
      </c>
      <c r="F3865" s="1" t="str">
        <f ca="1">IFERROR(__xludf.DUMMYFUNCTION("GOOGLETRANSLATE(English!F3865,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3865" s="1" t="str">
        <f ca="1">IFERROR(__xludf.DUMMYFUNCTION("GOOGLETRANSLATE(English!G3865, ""en"", ""bg"")"),"direct_qa")</f>
        <v>direct_qa</v>
      </c>
      <c r="H3865" s="1" t="str">
        <f ca="1">IFERROR(__xludf.DUMMYFUNCTION("GOOGLETRANSLATE(English!H3865, ""en"", ""bg"")"),"заявка_за_знание")</f>
        <v>заявка_за_знание</v>
      </c>
    </row>
    <row r="3866" spans="1:8" ht="13.2" x14ac:dyDescent="0.25">
      <c r="A3866" s="1" t="str">
        <f ca="1">IFERROR(__xludf.DUMMYFUNCTION("GOOGLETRANSLATE(English!A3866, ""en"", ""bg"")"),"hw_11364")</f>
        <v>hw_11364</v>
      </c>
      <c r="B3866" s="1" t="str">
        <f ca="1">IFERROR(__xludf.DUMMYFUNCTION("GOOGLETRANSLATE(English!B3866, ""en"", ""bg"")"),"химия")</f>
        <v>химия</v>
      </c>
      <c r="C3866" s="1" t="str">
        <f ca="1">IFERROR(__xludf.DUMMYFUNCTION("GOOGLETRANSLATE(English!C3866, ""en"", ""bg"")"),"елементарен")</f>
        <v>елементарен</v>
      </c>
      <c r="D3866" s="1" t="str">
        <f ca="1">IFERROR(__xludf.DUMMYFUNCTION("GOOGLETRANSLATE(English!D3866, ""en"", ""bg"")"),"промени в материалите")</f>
        <v>промени в материалите</v>
      </c>
      <c r="E3866" s="1" t="str">
        <f ca="1">IFERROR(__xludf.DUMMYFUNCTION("GOOGLETRANSLATE(English!E3866,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3866" s="1" t="str">
        <f ca="1">IFERROR(__xludf.DUMMYFUNCTION("GOOGLETRANSLATE(English!F3866,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3866" s="1" t="str">
        <f ca="1">IFERROR(__xludf.DUMMYFUNCTION("GOOGLETRANSLATE(English!G3866, ""en"", ""bg"")"),"помощ_за_домашно_изпълнение")</f>
        <v>помощ_за_домашно_изпълнение</v>
      </c>
      <c r="H3866" s="1" t="str">
        <f ca="1">IFERROR(__xludf.DUMMYFUNCTION("GOOGLETRANSLATE(English!H3866, ""en"", ""bg"")"),"помощ_за_домашно_задаване")</f>
        <v>помощ_за_домашно_задаване</v>
      </c>
    </row>
    <row r="3867" spans="1:8" ht="13.2" x14ac:dyDescent="0.25">
      <c r="A3867" s="1" t="str">
        <f ca="1">IFERROR(__xludf.DUMMYFUNCTION("GOOGLETRANSLATE(English!A3867, ""en"", ""bg"")"),"conv_09861")</f>
        <v>conv_09861</v>
      </c>
      <c r="B3867" s="1" t="str">
        <f ca="1">IFERROR(__xludf.DUMMYFUNCTION("GOOGLETRANSLATE(English!B3867, ""en"", ""bg"")"),"физика")</f>
        <v>физика</v>
      </c>
      <c r="C3867" s="1" t="str">
        <f ca="1">IFERROR(__xludf.DUMMYFUNCTION("GOOGLETRANSLATE(English!C3867, ""en"", ""bg"")"),"високо")</f>
        <v>високо</v>
      </c>
      <c r="D3867" s="1" t="str">
        <f ca="1">IFERROR(__xludf.DUMMYFUNCTION("GOOGLETRANSLATE(English!D3867, ""en"", ""bg"")"),"термодинамика")</f>
        <v>термодинамика</v>
      </c>
      <c r="E3867" s="1" t="str">
        <f ca="1">IFERROR(__xludf.DUMMYFUNCTION("GOOGLETRANSLATE(English!E3867, ""en"", ""bg"")"),"Можете ли да ми обясните това? Какво трябва да знам за термодинамиката?")</f>
        <v>Можете ли да ми обясните това? Какво трябва да знам за термодинамиката?</v>
      </c>
      <c r="F3867" s="1" t="str">
        <f ca="1">IFERROR(__xludf.DUMMYFUNCTION("GOOGLETRANSLATE(English!F3867,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3867" s="1" t="str">
        <f ca="1">IFERROR(__xludf.DUMMYFUNCTION("GOOGLETRANSLATE(English!G3867, ""en"", ""bg"")"),"разговор")</f>
        <v>разговор</v>
      </c>
      <c r="H3867" s="1" t="str">
        <f ca="1">IFERROR(__xludf.DUMMYFUNCTION("GOOGLETRANSLATE(English!H3867, ""en"", ""bg"")"),"образователна_помощ")</f>
        <v>образователна_помощ</v>
      </c>
    </row>
    <row r="3868" spans="1:8" ht="13.2" x14ac:dyDescent="0.25">
      <c r="A3868" s="1" t="str">
        <f ca="1">IFERROR(__xludf.DUMMYFUNCTION("GOOGLETRANSLATE(English!A3868, ""en"", ""bg"")"),"hw_09410")</f>
        <v>hw_09410</v>
      </c>
      <c r="B3868" s="1" t="str">
        <f ca="1">IFERROR(__xludf.DUMMYFUNCTION("GOOGLETRANSLATE(English!B3868, ""en"", ""bg"")"),"физика")</f>
        <v>физика</v>
      </c>
      <c r="C3868" s="1" t="str">
        <f ca="1">IFERROR(__xludf.DUMMYFUNCTION("GOOGLETRANSLATE(English!C3868, ""en"", ""bg"")"),"средата")</f>
        <v>средата</v>
      </c>
      <c r="D3868" s="1" t="str">
        <f ca="1">IFERROR(__xludf.DUMMYFUNCTION("GOOGLETRANSLATE(English!D3868, ""en"", ""bg"")"),"прости схеми")</f>
        <v>прости схеми</v>
      </c>
      <c r="E3868" s="1" t="str">
        <f ca="1">IFERROR(__xludf.DUMMYFUNCTION("GOOGLETRANSLATE(English!E3868, ""en"", ""bg"")"),"Трябва да разбирам прости електрически схеми за изпита си.")</f>
        <v>Трябва да разбирам прости електрически схеми за изпита си.</v>
      </c>
      <c r="F3868" s="1" t="str">
        <f ca="1">IFERROR(__xludf.DUMMYFUNCTION("GOOGLETRANSLATE(English!F3868,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3868" s="1" t="str">
        <f ca="1">IFERROR(__xludf.DUMMYFUNCTION("GOOGLETRANSLATE(English!G3868, ""en"", ""bg"")"),"помощ_за_домашно_изпълнение")</f>
        <v>помощ_за_домашно_изпълнение</v>
      </c>
      <c r="H3868" s="1" t="str">
        <f ca="1">IFERROR(__xludf.DUMMYFUNCTION("GOOGLETRANSLATE(English!H3868, ""en"", ""bg"")"),"помощ_за_домашно_задаване")</f>
        <v>помощ_за_домашно_задаване</v>
      </c>
    </row>
    <row r="3869" spans="1:8" ht="13.2" x14ac:dyDescent="0.25">
      <c r="A3869" s="1" t="str">
        <f ca="1">IFERROR(__xludf.DUMMYFUNCTION("GOOGLETRANSLATE(English!A3869, ""en"", ""bg"")"),"qa_04257")</f>
        <v>qa_04257</v>
      </c>
      <c r="B3869" s="1" t="str">
        <f ca="1">IFERROR(__xludf.DUMMYFUNCTION("GOOGLETRANSLATE(English!B3869, ""en"", ""bg"")"),"биология")</f>
        <v>биология</v>
      </c>
      <c r="C3869" s="1" t="str">
        <f ca="1">IFERROR(__xludf.DUMMYFUNCTION("GOOGLETRANSLATE(English!C3869, ""en"", ""bg"")"),"високо")</f>
        <v>високо</v>
      </c>
      <c r="D3869" s="1" t="str">
        <f ca="1">IFERROR(__xludf.DUMMYFUNCTION("GOOGLETRANSLATE(English!D3869, ""en"", ""bg"")"),"Структура на ДНК")</f>
        <v>Структура на ДНК</v>
      </c>
      <c r="E3869" s="1" t="str">
        <f ca="1">IFERROR(__xludf.DUMMYFUNCTION("GOOGLETRANSLATE(English!E3869, ""en"", ""bg"")"),"Защо структурата на ДНК е важна в биологията?")</f>
        <v>Защо структурата на ДНК е важна в биологията?</v>
      </c>
      <c r="F3869" s="1" t="str">
        <f ca="1">IFERROR(__xludf.DUMMYFUNCTION("GOOGLETRANSLATE(English!F3869,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3869" s="1" t="str">
        <f ca="1">IFERROR(__xludf.DUMMYFUNCTION("GOOGLETRANSLATE(English!G3869, ""en"", ""bg"")"),"direct_qa")</f>
        <v>direct_qa</v>
      </c>
      <c r="H3869" s="1" t="str">
        <f ca="1">IFERROR(__xludf.DUMMYFUNCTION("GOOGLETRANSLATE(English!H3869, ""en"", ""bg"")"),"заявка_за_знание")</f>
        <v>заявка_за_знание</v>
      </c>
    </row>
    <row r="3870" spans="1:8" ht="13.2" x14ac:dyDescent="0.25">
      <c r="A3870" s="1" t="str">
        <f ca="1">IFERROR(__xludf.DUMMYFUNCTION("GOOGLETRANSLATE(English!A3870, ""en"", ""bg"")"),"qa_06041")</f>
        <v>qa_06041</v>
      </c>
      <c r="B3870" s="1" t="str">
        <f ca="1">IFERROR(__xludf.DUMMYFUNCTION("GOOGLETRANSLATE(English!B3870, ""en"", ""bg"")"),"физика")</f>
        <v>физика</v>
      </c>
      <c r="C3870" s="1" t="str">
        <f ca="1">IFERROR(__xludf.DUMMYFUNCTION("GOOGLETRANSLATE(English!C3870, ""en"", ""bg"")"),"елементарен")</f>
        <v>елементарен</v>
      </c>
      <c r="D3870" s="1" t="str">
        <f ca="1">IFERROR(__xludf.DUMMYFUNCTION("GOOGLETRANSLATE(English!D3870, ""en"", ""bg"")"),"бутане и дърпане")</f>
        <v>бутане и дърпане</v>
      </c>
      <c r="E3870" s="1" t="str">
        <f ca="1">IFERROR(__xludf.DUMMYFUNCTION("GOOGLETRANSLATE(English!E3870, ""en"", ""bg"")"),"Как работят бутането и дърпането във физиката?")</f>
        <v>Как работят бутането и дърпането във физиката?</v>
      </c>
      <c r="F3870" s="1" t="str">
        <f ca="1">IFERROR(__xludf.DUMMYFUNCTION("GOOGLETRANSLATE(English!F3870,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3870" s="1" t="str">
        <f ca="1">IFERROR(__xludf.DUMMYFUNCTION("GOOGLETRANSLATE(English!G3870, ""en"", ""bg"")"),"direct_qa")</f>
        <v>direct_qa</v>
      </c>
      <c r="H3870" s="1" t="str">
        <f ca="1">IFERROR(__xludf.DUMMYFUNCTION("GOOGLETRANSLATE(English!H3870, ""en"", ""bg"")"),"заявка_за_знание")</f>
        <v>заявка_за_знание</v>
      </c>
    </row>
    <row r="3871" spans="1:8" ht="13.2" x14ac:dyDescent="0.25">
      <c r="A3871" s="1" t="str">
        <f ca="1">IFERROR(__xludf.DUMMYFUNCTION("GOOGLETRANSLATE(English!A3871, ""en"", ""bg"")"),"qa_12021")</f>
        <v>qa_12021</v>
      </c>
      <c r="B3871" s="1" t="str">
        <f ca="1">IFERROR(__xludf.DUMMYFUNCTION("GOOGLETRANSLATE(English!B3871, ""en"", ""bg"")"),"химия")</f>
        <v>химия</v>
      </c>
      <c r="C3871" s="1" t="str">
        <f ca="1">IFERROR(__xludf.DUMMYFUNCTION("GOOGLETRANSLATE(English!C3871, ""en"", ""bg"")"),"високо")</f>
        <v>високо</v>
      </c>
      <c r="D3871" s="1" t="str">
        <f ca="1">IFERROR(__xludf.DUMMYFUNCTION("GOOGLETRANSLATE(English!D3871, ""en"", ""bg"")"),"равновесие")</f>
        <v>равновесие</v>
      </c>
      <c r="E3871" s="1" t="str">
        <f ca="1">IFERROR(__xludf.DUMMYFUNCTION("GOOGLETRANSLATE(English!E3871, ""en"", ""bg"")"),"Какво е равновесието изобщо?")</f>
        <v>Какво е равновесието изобщо?</v>
      </c>
      <c r="F3871" s="1" t="str">
        <f ca="1">IFERROR(__xludf.DUMMYFUNCTION("GOOGLETRANSLATE(English!F3871,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3871" s="1" t="str">
        <f ca="1">IFERROR(__xludf.DUMMYFUNCTION("GOOGLETRANSLATE(English!G3871, ""en"", ""bg"")"),"direct_qa")</f>
        <v>direct_qa</v>
      </c>
      <c r="H3871" s="1" t="str">
        <f ca="1">IFERROR(__xludf.DUMMYFUNCTION("GOOGLETRANSLATE(English!H3871, ""en"", ""bg"")"),"заявка_за_знание")</f>
        <v>заявка_за_знание</v>
      </c>
    </row>
    <row r="3872" spans="1:8" ht="13.2" x14ac:dyDescent="0.25">
      <c r="A3872" s="1" t="str">
        <f ca="1">IFERROR(__xludf.DUMMYFUNCTION("GOOGLETRANSLATE(English!A3872, ""en"", ""bg"")"),"conv_09055")</f>
        <v>conv_09055</v>
      </c>
      <c r="B3872" s="1" t="str">
        <f ca="1">IFERROR(__xludf.DUMMYFUNCTION("GOOGLETRANSLATE(English!B3872, ""en"", ""bg"")"),"физика")</f>
        <v>физика</v>
      </c>
      <c r="C3872" s="1" t="str">
        <f ca="1">IFERROR(__xludf.DUMMYFUNCTION("GOOGLETRANSLATE(English!C3872, ""en"", ""bg"")"),"средата")</f>
        <v>средата</v>
      </c>
      <c r="D3872" s="1" t="str">
        <f ca="1">IFERROR(__xludf.DUMMYFUNCTION("GOOGLETRANSLATE(English!D3872, ""en"", ""bg"")"),"плътност")</f>
        <v>плътност</v>
      </c>
      <c r="E3872" s="1" t="str">
        <f ca="1">IFERROR(__xludf.DUMMYFUNCTION("GOOGLETRANSLATE(English!E3872, ""en"", ""bg"")"),"Помогнете ми да се подготвя за теста. Какво трябва да знам за плътността?")</f>
        <v>Помогнете ми да се подготвя за теста. Какво трябва да знам за плътността?</v>
      </c>
      <c r="F3872" s="1" t="str">
        <f ca="1">IFERROR(__xludf.DUMMYFUNCTION("GOOGLETRANSLATE(English!F3872,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3872" s="1" t="str">
        <f ca="1">IFERROR(__xludf.DUMMYFUNCTION("GOOGLETRANSLATE(English!G3872, ""en"", ""bg"")"),"разговор")</f>
        <v>разговор</v>
      </c>
      <c r="H3872" s="1" t="str">
        <f ca="1">IFERROR(__xludf.DUMMYFUNCTION("GOOGLETRANSLATE(English!H3872, ""en"", ""bg"")"),"образователна_помощ")</f>
        <v>образователна_помощ</v>
      </c>
    </row>
    <row r="3873" spans="1:8" ht="13.2" x14ac:dyDescent="0.25">
      <c r="A3873" s="1" t="str">
        <f ca="1">IFERROR(__xludf.DUMMYFUNCTION("GOOGLETRANSLATE(English!A3873, ""en"", ""bg"")"),"conv_10971")</f>
        <v>conv_10971</v>
      </c>
      <c r="B3873" s="1" t="str">
        <f ca="1">IFERROR(__xludf.DUMMYFUNCTION("GOOGLETRANSLATE(English!B3873, ""en"", ""bg"")"),"химия")</f>
        <v>химия</v>
      </c>
      <c r="C3873" s="1" t="str">
        <f ca="1">IFERROR(__xludf.DUMMYFUNCTION("GOOGLETRANSLATE(English!C3873, ""en"", ""bg"")"),"елементарен")</f>
        <v>елементарен</v>
      </c>
      <c r="D3873" s="1" t="str">
        <f ca="1">IFERROR(__xludf.DUMMYFUNCTION("GOOGLETRANSLATE(English!D3873, ""en"", ""bg"")"),"твърди вещества, течности, газове")</f>
        <v>твърди вещества, течности, газове</v>
      </c>
      <c r="E3873" s="1" t="str">
        <f ca="1">IFERROR(__xludf.DUMMYFUNCTION("GOOGLETRANSLATE(English!E3873, ""en"", ""bg"")"),"Помогнете ми да уча за теста си. Защо ледът плава по водата?")</f>
        <v>Помогнете ми да уча за теста си. Защо ледът плава по водата?</v>
      </c>
      <c r="F3873" s="1" t="str">
        <f ca="1">IFERROR(__xludf.DUMMYFUNCTION("GOOGLETRANSLATE(English!F3873,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3873" s="1" t="str">
        <f ca="1">IFERROR(__xludf.DUMMYFUNCTION("GOOGLETRANSLATE(English!G3873, ""en"", ""bg"")"),"разговор")</f>
        <v>разговор</v>
      </c>
      <c r="H3873" s="1" t="str">
        <f ca="1">IFERROR(__xludf.DUMMYFUNCTION("GOOGLETRANSLATE(English!H3873, ""en"", ""bg"")"),"образователна_помощ")</f>
        <v>образователна_помощ</v>
      </c>
    </row>
    <row r="3874" spans="1:8" ht="13.2" x14ac:dyDescent="0.25">
      <c r="A3874" s="1" t="str">
        <f ca="1">IFERROR(__xludf.DUMMYFUNCTION("GOOGLETRANSLATE(English!A3874, ""en"", ""bg"")"),"qa_02054")</f>
        <v>qa_02054</v>
      </c>
      <c r="B3874" s="1" t="str">
        <f ca="1">IFERROR(__xludf.DUMMYFUNCTION("GOOGLETRANSLATE(English!B3874, ""en"", ""bg"")"),"физика")</f>
        <v>физика</v>
      </c>
      <c r="C3874" s="1" t="str">
        <f ca="1">IFERROR(__xludf.DUMMYFUNCTION("GOOGLETRANSLATE(English!C3874, ""en"", ""bg"")"),"високо")</f>
        <v>високо</v>
      </c>
      <c r="D3874" s="1" t="str">
        <f ca="1">IFERROR(__xludf.DUMMYFUNCTION("GOOGLETRANSLATE(English!D3874, ""en"", ""bg"")"),"електромагнетизъм")</f>
        <v>електромагнетизъм</v>
      </c>
      <c r="E3874" s="1" t="str">
        <f ca="1">IFERROR(__xludf.DUMMYFUNCTION("GOOGLETRANSLATE(English!E3874, ""en"", ""bg"")"),"Какво трябва да знам за електромагнетизма?")</f>
        <v>Какво трябва да знам за електромагнетизма?</v>
      </c>
      <c r="F3874" s="1" t="str">
        <f ca="1">IFERROR(__xludf.DUMMYFUNCTION("GOOGLETRANSLATE(English!F3874,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3874" s="1" t="str">
        <f ca="1">IFERROR(__xludf.DUMMYFUNCTION("GOOGLETRANSLATE(English!G3874, ""en"", ""bg"")"),"direct_qa")</f>
        <v>direct_qa</v>
      </c>
      <c r="H3874" s="1" t="str">
        <f ca="1">IFERROR(__xludf.DUMMYFUNCTION("GOOGLETRANSLATE(English!H3874, ""en"", ""bg"")"),"заявка_за_знание")</f>
        <v>заявка_за_знание</v>
      </c>
    </row>
    <row r="3875" spans="1:8" ht="13.2" x14ac:dyDescent="0.25">
      <c r="A3875" s="1" t="str">
        <f ca="1">IFERROR(__xludf.DUMMYFUNCTION("GOOGLETRANSLATE(English!A3875, ""en"", ""bg"")"),"hw_11771")</f>
        <v>hw_11771</v>
      </c>
      <c r="B3875" s="1" t="str">
        <f ca="1">IFERROR(__xludf.DUMMYFUNCTION("GOOGLETRANSLATE(English!B3875, ""en"", ""bg"")"),"химия")</f>
        <v>химия</v>
      </c>
      <c r="C3875" s="1" t="str">
        <f ca="1">IFERROR(__xludf.DUMMYFUNCTION("GOOGLETRANSLATE(English!C3875, ""en"", ""bg"")"),"средата")</f>
        <v>средата</v>
      </c>
      <c r="D3875" s="1" t="str">
        <f ca="1">IFERROR(__xludf.DUMMYFUNCTION("GOOGLETRANSLATE(English!D3875, ""en"", ""bg"")"),"основи на периодичната таблица")</f>
        <v>основи на периодичната таблица</v>
      </c>
      <c r="E3875" s="1" t="str">
        <f ca="1">IFERROR(__xludf.DUMMYFUNCTION("GOOGLETRANSLATE(English!E3875, ""en"", ""bg"")"),"Можете ли да ми помогнете с основните изчисления на периодичната таблица?")</f>
        <v>Можете ли да ми помогнете с основните изчисления на периодичната таблица?</v>
      </c>
      <c r="F3875" s="1" t="str">
        <f ca="1">IFERROR(__xludf.DUMMYFUNCTION("GOOGLETRANSLATE(English!F3875,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3875" s="1" t="str">
        <f ca="1">IFERROR(__xludf.DUMMYFUNCTION("GOOGLETRANSLATE(English!G3875, ""en"", ""bg"")"),"помощ_за_домашно_изпълнение")</f>
        <v>помощ_за_домашно_изпълнение</v>
      </c>
      <c r="H3875" s="1" t="str">
        <f ca="1">IFERROR(__xludf.DUMMYFUNCTION("GOOGLETRANSLATE(English!H3875, ""en"", ""bg"")"),"помощ_за_домашно_задаване")</f>
        <v>помощ_за_домашно_задаване</v>
      </c>
    </row>
    <row r="3876" spans="1:8" ht="13.2" x14ac:dyDescent="0.25">
      <c r="A3876" s="1" t="str">
        <f ca="1">IFERROR(__xludf.DUMMYFUNCTION("GOOGLETRANSLATE(English!A3876, ""en"", ""bg"")"),"conv_07237")</f>
        <v>conv_07237</v>
      </c>
      <c r="B3876" s="1" t="str">
        <f ca="1">IFERROR(__xludf.DUMMYFUNCTION("GOOGLETRANSLATE(English!B3876, ""en"", ""bg"")"),"физика")</f>
        <v>физика</v>
      </c>
      <c r="C3876" s="1" t="str">
        <f ca="1">IFERROR(__xludf.DUMMYFUNCTION("GOOGLETRANSLATE(English!C3876, ""en"", ""bg"")"),"средата")</f>
        <v>средата</v>
      </c>
      <c r="D3876" s="1" t="str">
        <f ca="1">IFERROR(__xludf.DUMMYFUNCTION("GOOGLETRANSLATE(English!D3876, ""en"", ""bg"")"),"прости схеми")</f>
        <v>прости схеми</v>
      </c>
      <c r="E3876" s="1" t="str">
        <f ca="1">IFERROR(__xludf.DUMMYFUNCTION("GOOGLETRANSLATE(English!E3876, ""en"", ""bg"")"),"Имам нужда от помощ с домашното. Защо простите електрически вериги са важни?")</f>
        <v>Имам нужда от помощ с домашното. Защо простите електрически вериги са важни?</v>
      </c>
      <c r="F3876" s="1" t="str">
        <f ca="1">IFERROR(__xludf.DUMMYFUNCTION("GOOGLETRANSLATE(English!F3876,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3876" s="1" t="str">
        <f ca="1">IFERROR(__xludf.DUMMYFUNCTION("GOOGLETRANSLATE(English!G3876, ""en"", ""bg"")"),"разговор")</f>
        <v>разговор</v>
      </c>
      <c r="H3876" s="1" t="str">
        <f ca="1">IFERROR(__xludf.DUMMYFUNCTION("GOOGLETRANSLATE(English!H3876, ""en"", ""bg"")"),"образователна_помощ")</f>
        <v>образователна_помощ</v>
      </c>
    </row>
    <row r="3877" spans="1:8" ht="13.2" x14ac:dyDescent="0.25">
      <c r="A3877" s="1" t="str">
        <f ca="1">IFERROR(__xludf.DUMMYFUNCTION("GOOGLETRANSLATE(English!A3877, ""en"", ""bg"")"),"hw_06990")</f>
        <v>hw_06990</v>
      </c>
      <c r="B3877" s="1" t="str">
        <f ca="1">IFERROR(__xludf.DUMMYFUNCTION("GOOGLETRANSLATE(English!B3877, ""en"", ""bg"")"),"физика")</f>
        <v>физика</v>
      </c>
      <c r="C3877" s="1" t="str">
        <f ca="1">IFERROR(__xludf.DUMMYFUNCTION("GOOGLETRANSLATE(English!C3877, ""en"", ""bg"")"),"високо")</f>
        <v>високо</v>
      </c>
      <c r="D3877" s="1" t="str">
        <f ca="1">IFERROR(__xludf.DUMMYFUNCTION("GOOGLETRANSLATE(English!D3877, ""en"", ""bg"")"),"електромагнетизъм")</f>
        <v>електромагнетизъм</v>
      </c>
      <c r="E3877" s="1" t="str">
        <f ca="1">IFERROR(__xludf.DUMMYFUNCTION("GOOGLETRANSLATE(English!E3877, ""en"", ""bg"")"),"Трябва да разбирам електромагнетизма за изпита си.")</f>
        <v>Трябва да разбирам електромагнетизма за изпита си.</v>
      </c>
      <c r="F3877" s="1" t="str">
        <f ca="1">IFERROR(__xludf.DUMMYFUNCTION("GOOGLETRANSLATE(English!F3877,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3877" s="1" t="str">
        <f ca="1">IFERROR(__xludf.DUMMYFUNCTION("GOOGLETRANSLATE(English!G3877, ""en"", ""bg"")"),"помощ_за_домашно_изпълнение")</f>
        <v>помощ_за_домашно_изпълнение</v>
      </c>
      <c r="H3877" s="1" t="str">
        <f ca="1">IFERROR(__xludf.DUMMYFUNCTION("GOOGLETRANSLATE(English!H3877, ""en"", ""bg"")"),"помощ_за_домашно_задаване")</f>
        <v>помощ_за_домашно_задаване</v>
      </c>
    </row>
    <row r="3878" spans="1:8" ht="13.2" x14ac:dyDescent="0.25">
      <c r="A3878" s="1" t="str">
        <f ca="1">IFERROR(__xludf.DUMMYFUNCTION("GOOGLETRANSLATE(English!A3878, ""en"", ""bg"")"),"hw_01663")</f>
        <v>hw_01663</v>
      </c>
      <c r="B3878" s="1" t="str">
        <f ca="1">IFERROR(__xludf.DUMMYFUNCTION("GOOGLETRANSLATE(English!B3878, ""en"", ""bg"")"),"химия")</f>
        <v>химия</v>
      </c>
      <c r="C3878" s="1" t="str">
        <f ca="1">IFERROR(__xludf.DUMMYFUNCTION("GOOGLETRANSLATE(English!C3878, ""en"", ""bg"")"),"елементарен")</f>
        <v>елементарен</v>
      </c>
      <c r="D3878" s="1" t="str">
        <f ca="1">IFERROR(__xludf.DUMMYFUNCTION("GOOGLETRANSLATE(English!D3878, ""en"", ""bg"")"),"смесване на материали")</f>
        <v>смесване на материали</v>
      </c>
      <c r="E3878" s="1" t="str">
        <f ca="1">IFERROR(__xludf.DUMMYFUNCTION("GOOGLETRANSLATE(English!E3878, ""en"", ""bg"")"),"Трудно ми е да смесвам материали в домашните си.")</f>
        <v>Трудно ми е да смесвам материали в домашните си.</v>
      </c>
      <c r="F3878" s="1" t="str">
        <f ca="1">IFERROR(__xludf.DUMMYFUNCTION("GOOGLETRANSLATE(English!F3878,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878" s="1" t="str">
        <f ca="1">IFERROR(__xludf.DUMMYFUNCTION("GOOGLETRANSLATE(English!G3878, ""en"", ""bg"")"),"помощ_за_домашно_изпълнение")</f>
        <v>помощ_за_домашно_изпълнение</v>
      </c>
      <c r="H3878" s="1" t="str">
        <f ca="1">IFERROR(__xludf.DUMMYFUNCTION("GOOGLETRANSLATE(English!H3878, ""en"", ""bg"")"),"помощ_за_домашно_задаване")</f>
        <v>помощ_за_домашно_задаване</v>
      </c>
    </row>
    <row r="3879" spans="1:8" ht="13.2" x14ac:dyDescent="0.25">
      <c r="A3879" s="1" t="str">
        <f ca="1">IFERROR(__xludf.DUMMYFUNCTION("GOOGLETRANSLATE(English!A3879, ""en"", ""bg"")"),"hw_14183")</f>
        <v>hw_14183</v>
      </c>
      <c r="B3879" s="1" t="str">
        <f ca="1">IFERROR(__xludf.DUMMYFUNCTION("GOOGLETRANSLATE(English!B3879, ""en"", ""bg"")"),"физика")</f>
        <v>физика</v>
      </c>
      <c r="C3879" s="1" t="str">
        <f ca="1">IFERROR(__xludf.DUMMYFUNCTION("GOOGLETRANSLATE(English!C3879, ""en"", ""bg"")"),"високо")</f>
        <v>високо</v>
      </c>
      <c r="D3879" s="1" t="str">
        <f ca="1">IFERROR(__xludf.DUMMYFUNCTION("GOOGLETRANSLATE(English!D3879, ""en"", ""bg"")"),"радиоактивност")</f>
        <v>радиоактивност</v>
      </c>
      <c r="E3879" s="1" t="str">
        <f ca="1">IFERROR(__xludf.DUMMYFUNCTION("GOOGLETRANSLATE(English!E3879, ""en"", ""bg"")"),"Трябва да разбера радиоактивността за изпита си.")</f>
        <v>Трябва да разбера радиоактивността за изпита си.</v>
      </c>
      <c r="F3879" s="1" t="str">
        <f ca="1">IFERROR(__xludf.DUMMYFUNCTION("GOOGLETRANSLATE(English!F3879,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3879" s="1" t="str">
        <f ca="1">IFERROR(__xludf.DUMMYFUNCTION("GOOGLETRANSLATE(English!G3879, ""en"", ""bg"")"),"помощ_за_домашно_изпълнение")</f>
        <v>помощ_за_домашно_изпълнение</v>
      </c>
      <c r="H3879" s="1" t="str">
        <f ca="1">IFERROR(__xludf.DUMMYFUNCTION("GOOGLETRANSLATE(English!H3879, ""en"", ""bg"")"),"помощ_за_домашно_задаване")</f>
        <v>помощ_за_домашно_задаване</v>
      </c>
    </row>
    <row r="3880" spans="1:8" ht="13.2" x14ac:dyDescent="0.25">
      <c r="A3880" s="1" t="str">
        <f ca="1">IFERROR(__xludf.DUMMYFUNCTION("GOOGLETRANSLATE(English!A3880, ""en"", ""bg"")"),"hw_12763")</f>
        <v>hw_12763</v>
      </c>
      <c r="B3880" s="1" t="str">
        <f ca="1">IFERROR(__xludf.DUMMYFUNCTION("GOOGLETRANSLATE(English!B3880, ""en"", ""bg"")"),"биология")</f>
        <v>биология</v>
      </c>
      <c r="C3880" s="1" t="str">
        <f ca="1">IFERROR(__xludf.DUMMYFUNCTION("GOOGLETRANSLATE(English!C3880, ""en"", ""bg"")"),"средата")</f>
        <v>средата</v>
      </c>
      <c r="D3880" s="1" t="str">
        <f ca="1">IFERROR(__xludf.DUMMYFUNCTION("GOOGLETRANSLATE(English!D3880, ""en"", ""bg"")"),"екосистеми")</f>
        <v>екосистеми</v>
      </c>
      <c r="E3880" s="1" t="str">
        <f ca="1">IFERROR(__xludf.DUMMYFUNCTION("GOOGLETRANSLATE(English!E3880, ""en"", ""bg"")"),"Трябва да напиша доклад за екосистемите. Можете ли да ми помогнете да започна?")</f>
        <v>Трябва да напиша доклад за екосистемите. Можете ли да ми помогнете да започна?</v>
      </c>
      <c r="F3880" s="1" t="str">
        <f ca="1">IFERROR(__xludf.DUMMYFUNCTION("GOOGLETRANSLATE(English!F3880,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3880" s="1" t="str">
        <f ca="1">IFERROR(__xludf.DUMMYFUNCTION("GOOGLETRANSLATE(English!G3880, ""en"", ""bg"")"),"помощ_за_домашно_изпълнение")</f>
        <v>помощ_за_домашно_изпълнение</v>
      </c>
      <c r="H3880" s="1" t="str">
        <f ca="1">IFERROR(__xludf.DUMMYFUNCTION("GOOGLETRANSLATE(English!H3880, ""en"", ""bg"")"),"помощ_за_домашно_задаване")</f>
        <v>помощ_за_домашно_задаване</v>
      </c>
    </row>
    <row r="3881" spans="1:8" ht="13.2" x14ac:dyDescent="0.25">
      <c r="A3881" s="1" t="str">
        <f ca="1">IFERROR(__xludf.DUMMYFUNCTION("GOOGLETRANSLATE(English!A3881, ""en"", ""bg"")"),"conv_17359")</f>
        <v>conv_17359</v>
      </c>
      <c r="B3881" s="1" t="str">
        <f ca="1">IFERROR(__xludf.DUMMYFUNCTION("GOOGLETRANSLATE(English!B3881, ""en"", ""bg"")"),"химия")</f>
        <v>химия</v>
      </c>
      <c r="C3881" s="1" t="str">
        <f ca="1">IFERROR(__xludf.DUMMYFUNCTION("GOOGLETRANSLATE(English!C3881, ""en"", ""bg"")"),"средата")</f>
        <v>средата</v>
      </c>
      <c r="D3881" s="1" t="str">
        <f ca="1">IFERROR(__xludf.DUMMYFUNCTION("GOOGLETRANSLATE(English!D3881, ""en"", ""bg"")"),"атоми и молекули")</f>
        <v>атоми и молекули</v>
      </c>
      <c r="E3881" s="1" t="str">
        <f ca="1">IFERROR(__xludf.DUMMYFUNCTION("GOOGLETRANSLATE(English!E3881, ""en"", ""bg"")"),"Здравей, преподавателю! По какво се различават атомите и молекулите?")</f>
        <v>Здравей, преподавателю! По какво се различават атомите и молекулите?</v>
      </c>
      <c r="F3881" s="1" t="str">
        <f ca="1">IFERROR(__xludf.DUMMYFUNCTION("GOOGLETRANSLATE(English!F3881,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3881" s="1" t="str">
        <f ca="1">IFERROR(__xludf.DUMMYFUNCTION("GOOGLETRANSLATE(English!G3881, ""en"", ""bg"")"),"разговор")</f>
        <v>разговор</v>
      </c>
      <c r="H3881" s="1" t="str">
        <f ca="1">IFERROR(__xludf.DUMMYFUNCTION("GOOGLETRANSLATE(English!H3881, ""en"", ""bg"")"),"образователна_помощ")</f>
        <v>образователна_помощ</v>
      </c>
    </row>
    <row r="3882" spans="1:8" ht="13.2" x14ac:dyDescent="0.25">
      <c r="A3882" s="1" t="str">
        <f ca="1">IFERROR(__xludf.DUMMYFUNCTION("GOOGLETRANSLATE(English!A3882, ""en"", ""bg"")"),"conv_19055")</f>
        <v>conv_19055</v>
      </c>
      <c r="B3882" s="1" t="str">
        <f ca="1">IFERROR(__xludf.DUMMYFUNCTION("GOOGLETRANSLATE(English!B3882, ""en"", ""bg"")"),"химия")</f>
        <v>химия</v>
      </c>
      <c r="C3882" s="1" t="str">
        <f ca="1">IFERROR(__xludf.DUMMYFUNCTION("GOOGLETRANSLATE(English!C3882, ""en"", ""bg"")"),"средата")</f>
        <v>средата</v>
      </c>
      <c r="D3882" s="1" t="str">
        <f ca="1">IFERROR(__xludf.DUMMYFUNCTION("GOOGLETRANSLATE(English!D3882, ""en"", ""bg"")"),"съединения срещу елементи")</f>
        <v>съединения срещу елементи</v>
      </c>
      <c r="E3882" s="1" t="str">
        <f ca="1">IFERROR(__xludf.DUMMYFUNCTION("GOOGLETRANSLATE(English!E3882, ""en"", ""bg"")"),"Имам научен въпрос. Можете ли да ми помогнете да разбера какво представляват съединенията и елементите?")</f>
        <v>Имам научен въпрос. Можете ли да ми помогнете да разбера какво представляват съединенията и елементите?</v>
      </c>
      <c r="F3882" s="1" t="str">
        <f ca="1">IFERROR(__xludf.DUMMYFUNCTION("GOOGLETRANSLATE(English!F3882,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3882" s="1" t="str">
        <f ca="1">IFERROR(__xludf.DUMMYFUNCTION("GOOGLETRANSLATE(English!G3882, ""en"", ""bg"")"),"разговор")</f>
        <v>разговор</v>
      </c>
      <c r="H3882" s="1" t="str">
        <f ca="1">IFERROR(__xludf.DUMMYFUNCTION("GOOGLETRANSLATE(English!H3882, ""en"", ""bg"")"),"образователна_помощ")</f>
        <v>образователна_помощ</v>
      </c>
    </row>
    <row r="3883" spans="1:8" ht="13.2" x14ac:dyDescent="0.25">
      <c r="A3883" s="1" t="str">
        <f ca="1">IFERROR(__xludf.DUMMYFUNCTION("GOOGLETRANSLATE(English!A3883, ""en"", ""bg"")"),"conv_12930")</f>
        <v>conv_12930</v>
      </c>
      <c r="B3883" s="1" t="str">
        <f ca="1">IFERROR(__xludf.DUMMYFUNCTION("GOOGLETRANSLATE(English!B3883, ""en"", ""bg"")"),"химия")</f>
        <v>химия</v>
      </c>
      <c r="C3883" s="1" t="str">
        <f ca="1">IFERROR(__xludf.DUMMYFUNCTION("GOOGLETRANSLATE(English!C3883, ""en"", ""bg"")"),"елементарен")</f>
        <v>елементарен</v>
      </c>
      <c r="D3883" s="1" t="str">
        <f ca="1">IFERROR(__xludf.DUMMYFUNCTION("GOOGLETRANSLATE(English!D3883, ""en"", ""bg"")"),"смесване на материали")</f>
        <v>смесване на материали</v>
      </c>
      <c r="E3883" s="1" t="str">
        <f ca="1">IFERROR(__xludf.DUMMYFUNCTION("GOOGLETRANSLATE(English!E3883, ""en"", ""bg"")"),"Здравей, преподавателю! Какво е решение?")</f>
        <v>Здравей, преподавателю! Какво е решение?</v>
      </c>
      <c r="F3883" s="1" t="str">
        <f ca="1">IFERROR(__xludf.DUMMYFUNCTION("GOOGLETRANSLATE(English!F3883,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3883" s="1" t="str">
        <f ca="1">IFERROR(__xludf.DUMMYFUNCTION("GOOGLETRANSLATE(English!G3883, ""en"", ""bg"")"),"разговор")</f>
        <v>разговор</v>
      </c>
      <c r="H3883" s="1" t="str">
        <f ca="1">IFERROR(__xludf.DUMMYFUNCTION("GOOGLETRANSLATE(English!H3883, ""en"", ""bg"")"),"образователна_помощ")</f>
        <v>образователна_помощ</v>
      </c>
    </row>
    <row r="3884" spans="1:8" ht="13.2" x14ac:dyDescent="0.25">
      <c r="A3884" s="1" t="str">
        <f ca="1">IFERROR(__xludf.DUMMYFUNCTION("GOOGLETRANSLATE(English!A3884, ""en"", ""bg"")"),"conv_07400")</f>
        <v>conv_07400</v>
      </c>
      <c r="B3884" s="1" t="str">
        <f ca="1">IFERROR(__xludf.DUMMYFUNCTION("GOOGLETRANSLATE(English!B3884, ""en"", ""bg"")"),"биология")</f>
        <v>биология</v>
      </c>
      <c r="C3884" s="1" t="str">
        <f ca="1">IFERROR(__xludf.DUMMYFUNCTION("GOOGLETRANSLATE(English!C3884, ""en"", ""bg"")"),"елементарен")</f>
        <v>елементарен</v>
      </c>
      <c r="D3884" s="1" t="str">
        <f ca="1">IFERROR(__xludf.DUMMYFUNCTION("GOOGLETRANSLATE(English!D3884, ""en"", ""bg"")"),"местообитания")</f>
        <v>местообитания</v>
      </c>
      <c r="E3884" s="1" t="str">
        <f ca="1">IFERROR(__xludf.DUMMYFUNCTION("GOOGLETRANSLATE(English!E3884, ""en"", ""bg"")"),"Имам нужда от помощ с домашното. Можете ли да ми разкажете за местообитанията?")</f>
        <v>Имам нужда от помощ с домашното. Можете ли да ми разкажете за местообитанията?</v>
      </c>
      <c r="F3884" s="1" t="str">
        <f ca="1">IFERROR(__xludf.DUMMYFUNCTION("GOOGLETRANSLATE(English!F3884,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3884" s="1" t="str">
        <f ca="1">IFERROR(__xludf.DUMMYFUNCTION("GOOGLETRANSLATE(English!G3884, ""en"", ""bg"")"),"разговор")</f>
        <v>разговор</v>
      </c>
      <c r="H3884" s="1" t="str">
        <f ca="1">IFERROR(__xludf.DUMMYFUNCTION("GOOGLETRANSLATE(English!H3884, ""en"", ""bg"")"),"образователна_помощ")</f>
        <v>образователна_помощ</v>
      </c>
    </row>
    <row r="3885" spans="1:8" ht="13.2" x14ac:dyDescent="0.25">
      <c r="A3885" s="1" t="str">
        <f ca="1">IFERROR(__xludf.DUMMYFUNCTION("GOOGLETRANSLATE(English!A3885, ""en"", ""bg"")"),"conv_04358")</f>
        <v>conv_04358</v>
      </c>
      <c r="B3885" s="1" t="str">
        <f ca="1">IFERROR(__xludf.DUMMYFUNCTION("GOOGLETRANSLATE(English!B3885, ""en"", ""bg"")"),"химия")</f>
        <v>химия</v>
      </c>
      <c r="C3885" s="1" t="str">
        <f ca="1">IFERROR(__xludf.DUMMYFUNCTION("GOOGLETRANSLATE(English!C3885, ""en"", ""bg"")"),"високо")</f>
        <v>високо</v>
      </c>
      <c r="D3885" s="1" t="str">
        <f ca="1">IFERROR(__xludf.DUMMYFUNCTION("GOOGLETRANSLATE(English!D3885, ""en"", ""bg"")"),"органична химия")</f>
        <v>органична химия</v>
      </c>
      <c r="E3885" s="1" t="str">
        <f ca="1">IFERROR(__xludf.DUMMYFUNCTION("GOOGLETRANSLATE(English!E3885, ""en"", ""bg"")"),"Можете ли да ми помогнете? Какво представлява органичната химия?")</f>
        <v>Можете ли да ми помогнете? Какво представлява органичната химия?</v>
      </c>
      <c r="F3885" s="1" t="str">
        <f ca="1">IFERROR(__xludf.DUMMYFUNCTION("GOOGLETRANSLATE(English!F3885,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3885" s="1" t="str">
        <f ca="1">IFERROR(__xludf.DUMMYFUNCTION("GOOGLETRANSLATE(English!G3885, ""en"", ""bg"")"),"разговор")</f>
        <v>разговор</v>
      </c>
      <c r="H3885" s="1" t="str">
        <f ca="1">IFERROR(__xludf.DUMMYFUNCTION("GOOGLETRANSLATE(English!H3885, ""en"", ""bg"")"),"образователна_помощ")</f>
        <v>образователна_помощ</v>
      </c>
    </row>
    <row r="3886" spans="1:8" ht="13.2" x14ac:dyDescent="0.25">
      <c r="A3886" s="1" t="str">
        <f ca="1">IFERROR(__xludf.DUMMYFUNCTION("GOOGLETRANSLATE(English!A3886, ""en"", ""bg"")"),"qa_04276")</f>
        <v>qa_04276</v>
      </c>
      <c r="B3886" s="1" t="str">
        <f ca="1">IFERROR(__xludf.DUMMYFUNCTION("GOOGLETRANSLATE(English!B3886, ""en"", ""bg"")"),"биология")</f>
        <v>биология</v>
      </c>
      <c r="C3886" s="1" t="str">
        <f ca="1">IFERROR(__xludf.DUMMYFUNCTION("GOOGLETRANSLATE(English!C3886, ""en"", ""bg"")"),"високо")</f>
        <v>високо</v>
      </c>
      <c r="D3886" s="1" t="str">
        <f ca="1">IFERROR(__xludf.DUMMYFUNCTION("GOOGLETRANSLATE(English!D3886, ""en"", ""bg"")"),"Структура на ДНК")</f>
        <v>Структура на ДНК</v>
      </c>
      <c r="E3886" s="1" t="str">
        <f ca="1">IFERROR(__xludf.DUMMYFUNCTION("GOOGLETRANSLATE(English!E3886, ""en"", ""bg"")"),"Какво е важно да знаем за структурата на ДНК?")</f>
        <v>Какво е важно да знаем за структурата на ДНК?</v>
      </c>
      <c r="F3886" s="1" t="str">
        <f ca="1">IFERROR(__xludf.DUMMYFUNCTION("GOOGLETRANSLATE(English!F3886,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3886" s="1" t="str">
        <f ca="1">IFERROR(__xludf.DUMMYFUNCTION("GOOGLETRANSLATE(English!G3886, ""en"", ""bg"")"),"direct_qa")</f>
        <v>direct_qa</v>
      </c>
      <c r="H3886" s="1" t="str">
        <f ca="1">IFERROR(__xludf.DUMMYFUNCTION("GOOGLETRANSLATE(English!H3886, ""en"", ""bg"")"),"заявка_за_знание")</f>
        <v>заявка_за_знание</v>
      </c>
    </row>
    <row r="3887" spans="1:8" ht="13.2" x14ac:dyDescent="0.25">
      <c r="A3887" s="1" t="str">
        <f ca="1">IFERROR(__xludf.DUMMYFUNCTION("GOOGLETRANSLATE(English!A3887, ""en"", ""bg"")"),"conv_01968")</f>
        <v>conv_01968</v>
      </c>
      <c r="B3887" s="1" t="str">
        <f ca="1">IFERROR(__xludf.DUMMYFUNCTION("GOOGLETRANSLATE(English!B3887, ""en"", ""bg"")"),"физика")</f>
        <v>физика</v>
      </c>
      <c r="C3887" s="1" t="str">
        <f ca="1">IFERROR(__xludf.DUMMYFUNCTION("GOOGLETRANSLATE(English!C3887, ""en"", ""bg"")"),"високо")</f>
        <v>високо</v>
      </c>
      <c r="D3887" s="1" t="str">
        <f ca="1">IFERROR(__xludf.DUMMYFUNCTION("GOOGLETRANSLATE(English!D3887, ""en"", ""bg"")"),"радиоактивност")</f>
        <v>радиоактивност</v>
      </c>
      <c r="E3887" s="1" t="str">
        <f ca="1">IFERROR(__xludf.DUMMYFUNCTION("GOOGLETRANSLATE(English!E3887, ""en"", ""bg"")"),"Имам научен въпрос. Можете ли да ми обясните радиоактивността?")</f>
        <v>Имам научен въпрос. Можете ли да ми обясните радиоактивността?</v>
      </c>
      <c r="F3887" s="1" t="str">
        <f ca="1">IFERROR(__xludf.DUMMYFUNCTION("GOOGLETRANSLATE(English!F3887,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3887" s="1" t="str">
        <f ca="1">IFERROR(__xludf.DUMMYFUNCTION("GOOGLETRANSLATE(English!G3887, ""en"", ""bg"")"),"разговор")</f>
        <v>разговор</v>
      </c>
      <c r="H3887" s="1" t="str">
        <f ca="1">IFERROR(__xludf.DUMMYFUNCTION("GOOGLETRANSLATE(English!H3887, ""en"", ""bg"")"),"образователна_помощ")</f>
        <v>образователна_помощ</v>
      </c>
    </row>
    <row r="3888" spans="1:8" ht="13.2" x14ac:dyDescent="0.25">
      <c r="A3888" s="1" t="str">
        <f ca="1">IFERROR(__xludf.DUMMYFUNCTION("GOOGLETRANSLATE(English!A3888, ""en"", ""bg"")"),"qa_00283")</f>
        <v>qa_00283</v>
      </c>
      <c r="B3888" s="1" t="str">
        <f ca="1">IFERROR(__xludf.DUMMYFUNCTION("GOOGLETRANSLATE(English!B3888, ""en"", ""bg"")"),"биология")</f>
        <v>биология</v>
      </c>
      <c r="C3888" s="1" t="str">
        <f ca="1">IFERROR(__xludf.DUMMYFUNCTION("GOOGLETRANSLATE(English!C3888, ""en"", ""bg"")"),"средата")</f>
        <v>средата</v>
      </c>
      <c r="D3888" s="1" t="str">
        <f ca="1">IFERROR(__xludf.DUMMYFUNCTION("GOOGLETRANSLATE(English!D3888, ""en"", ""bg"")"),"основи на генетиката")</f>
        <v>основи на генетиката</v>
      </c>
      <c r="E3888" s="1" t="str">
        <f ca="1">IFERROR(__xludf.DUMMYFUNCTION("GOOGLETRANSLATE(English!E3888, ""en"", ""bg"")"),"Защо основите на генетиката са важни в биологията?")</f>
        <v>Защо основите на генетиката са важни в биологията?</v>
      </c>
      <c r="F3888" s="1" t="str">
        <f ca="1">IFERROR(__xludf.DUMMYFUNCTION("GOOGLETRANSLATE(English!F3888,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3888" s="1" t="str">
        <f ca="1">IFERROR(__xludf.DUMMYFUNCTION("GOOGLETRANSLATE(English!G3888, ""en"", ""bg"")"),"direct_qa")</f>
        <v>direct_qa</v>
      </c>
      <c r="H3888" s="1" t="str">
        <f ca="1">IFERROR(__xludf.DUMMYFUNCTION("GOOGLETRANSLATE(English!H3888, ""en"", ""bg"")"),"заявка_за_знание")</f>
        <v>заявка_за_знание</v>
      </c>
    </row>
    <row r="3889" spans="1:8" ht="13.2" x14ac:dyDescent="0.25">
      <c r="A3889" s="1" t="str">
        <f ca="1">IFERROR(__xludf.DUMMYFUNCTION("GOOGLETRANSLATE(English!A3889, ""en"", ""bg"")"),"conv_07710")</f>
        <v>conv_07710</v>
      </c>
      <c r="B3889" s="1" t="str">
        <f ca="1">IFERROR(__xludf.DUMMYFUNCTION("GOOGLETRANSLATE(English!B3889, ""en"", ""bg"")"),"физика")</f>
        <v>физика</v>
      </c>
      <c r="C3889" s="1" t="str">
        <f ca="1">IFERROR(__xludf.DUMMYFUNCTION("GOOGLETRANSLATE(English!C3889, ""en"", ""bg"")"),"елементарен")</f>
        <v>елементарен</v>
      </c>
      <c r="D3889" s="1" t="str">
        <f ca="1">IFERROR(__xludf.DUMMYFUNCTION("GOOGLETRANSLATE(English!D3889, ""en"", ""bg"")"),"горещо и студено")</f>
        <v>горещо и студено</v>
      </c>
      <c r="E3889" s="1" t="str">
        <f ca="1">IFERROR(__xludf.DUMMYFUNCTION("GOOGLETRANSLATE(English!E3889, ""en"", ""bg"")"),"Здравей, преподавателю! Можеш ли да ми обясниш какво е топло и студено?")</f>
        <v>Здравей, преподавателю! Можеш ли да ми обясниш какво е топло и студено?</v>
      </c>
      <c r="F3889" s="1" t="str">
        <f ca="1">IFERROR(__xludf.DUMMYFUNCTION("GOOGLETRANSLATE(English!F3889,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3889" s="1" t="str">
        <f ca="1">IFERROR(__xludf.DUMMYFUNCTION("GOOGLETRANSLATE(English!G3889, ""en"", ""bg"")"),"разговор")</f>
        <v>разговор</v>
      </c>
      <c r="H3889" s="1" t="str">
        <f ca="1">IFERROR(__xludf.DUMMYFUNCTION("GOOGLETRANSLATE(English!H3889, ""en"", ""bg"")"),"образователна_помощ")</f>
        <v>образователна_помощ</v>
      </c>
    </row>
    <row r="3890" spans="1:8" ht="13.2" x14ac:dyDescent="0.25">
      <c r="A3890" s="1" t="str">
        <f ca="1">IFERROR(__xludf.DUMMYFUNCTION("GOOGLETRANSLATE(English!A3890, ""en"", ""bg"")"),"hw_05343")</f>
        <v>hw_05343</v>
      </c>
      <c r="B3890" s="1" t="str">
        <f ca="1">IFERROR(__xludf.DUMMYFUNCTION("GOOGLETRANSLATE(English!B3890, ""en"", ""bg"")"),"физика")</f>
        <v>физика</v>
      </c>
      <c r="C3890" s="1" t="str">
        <f ca="1">IFERROR(__xludf.DUMMYFUNCTION("GOOGLETRANSLATE(English!C3890, ""en"", ""bg"")"),"високо")</f>
        <v>високо</v>
      </c>
      <c r="D3890" s="1" t="str">
        <f ca="1">IFERROR(__xludf.DUMMYFUNCTION("GOOGLETRANSLATE(English!D3890, ""en"", ""bg"")"),"електромагнетизъм")</f>
        <v>електромагнетизъм</v>
      </c>
      <c r="E3890" s="1" t="str">
        <f ca="1">IFERROR(__xludf.DUMMYFUNCTION("GOOGLETRANSLATE(English!E3890, ""en"", ""bg"")"),"Домашното ми по физика е за електромагнетизъм. Объркващо е!")</f>
        <v>Домашното ми по физика е за електромагнетизъм. Объркващо е!</v>
      </c>
      <c r="F3890" s="1" t="str">
        <f ca="1">IFERROR(__xludf.DUMMYFUNCTION("GOOGLETRANSLATE(English!F3890,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3890" s="1" t="str">
        <f ca="1">IFERROR(__xludf.DUMMYFUNCTION("GOOGLETRANSLATE(English!G3890, ""en"", ""bg"")"),"помощ_за_домашно_изпълнение")</f>
        <v>помощ_за_домашно_изпълнение</v>
      </c>
      <c r="H3890" s="1" t="str">
        <f ca="1">IFERROR(__xludf.DUMMYFUNCTION("GOOGLETRANSLATE(English!H3890, ""en"", ""bg"")"),"помощ_за_домашно_задаване")</f>
        <v>помощ_за_домашно_задаване</v>
      </c>
    </row>
    <row r="3891" spans="1:8" ht="13.2" x14ac:dyDescent="0.25">
      <c r="A3891" s="1" t="str">
        <f ca="1">IFERROR(__xludf.DUMMYFUNCTION("GOOGLETRANSLATE(English!A3891, ""en"", ""bg"")"),"conv_17780")</f>
        <v>conv_17780</v>
      </c>
      <c r="B3891" s="1" t="str">
        <f ca="1">IFERROR(__xludf.DUMMYFUNCTION("GOOGLETRANSLATE(English!B3891, ""en"", ""bg"")"),"химия")</f>
        <v>химия</v>
      </c>
      <c r="C3891" s="1" t="str">
        <f ca="1">IFERROR(__xludf.DUMMYFUNCTION("GOOGLETRANSLATE(English!C3891, ""en"", ""bg"")"),"високо")</f>
        <v>високо</v>
      </c>
      <c r="D3891" s="1" t="str">
        <f ca="1">IFERROR(__xludf.DUMMYFUNCTION("GOOGLETRANSLATE(English!D3891, ""en"", ""bg"")"),"химическо свързване")</f>
        <v>химическо свързване</v>
      </c>
      <c r="E3891" s="1" t="str">
        <f ca="1">IFERROR(__xludf.DUMMYFUNCTION("GOOGLETRANSLATE(English!E3891, ""en"", ""bg"")"),"Можете ли да ми помогнете? Какво представлява химичното свързване?")</f>
        <v>Можете ли да ми помогнете? Какво представлява химичното свързване?</v>
      </c>
      <c r="F3891" s="1" t="str">
        <f ca="1">IFERROR(__xludf.DUMMYFUNCTION("GOOGLETRANSLATE(English!F3891,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3891" s="1" t="str">
        <f ca="1">IFERROR(__xludf.DUMMYFUNCTION("GOOGLETRANSLATE(English!G3891, ""en"", ""bg"")"),"разговор")</f>
        <v>разговор</v>
      </c>
      <c r="H3891" s="1" t="str">
        <f ca="1">IFERROR(__xludf.DUMMYFUNCTION("GOOGLETRANSLATE(English!H3891, ""en"", ""bg"")"),"образователна_помощ")</f>
        <v>образователна_помощ</v>
      </c>
    </row>
    <row r="3892" spans="1:8" ht="13.2" x14ac:dyDescent="0.25">
      <c r="A3892" s="1" t="str">
        <f ca="1">IFERROR(__xludf.DUMMYFUNCTION("GOOGLETRANSLATE(English!A3892, ""en"", ""bg"")"),"conv_16223")</f>
        <v>conv_16223</v>
      </c>
      <c r="B3892" s="1" t="str">
        <f ca="1">IFERROR(__xludf.DUMMYFUNCTION("GOOGLETRANSLATE(English!B3892, ""en"", ""bg"")"),"биология")</f>
        <v>биология</v>
      </c>
      <c r="C3892" s="1" t="str">
        <f ca="1">IFERROR(__xludf.DUMMYFUNCTION("GOOGLETRANSLATE(English!C3892, ""en"", ""bg"")"),"елементарен")</f>
        <v>елементарен</v>
      </c>
      <c r="D3892" s="1" t="str">
        <f ca="1">IFERROR(__xludf.DUMMYFUNCTION("GOOGLETRANSLATE(English!D3892, ""en"", ""bg"")"),"жизнени цикли")</f>
        <v>жизнени цикли</v>
      </c>
      <c r="E3892" s="1" t="str">
        <f ca="1">IFERROR(__xludf.DUMMYFUNCTION("GOOGLETRANSLATE(English!E3892, ""en"", ""bg"")"),"Имам научен въпрос. Как функционират жизнените цикли?")</f>
        <v>Имам научен въпрос. Как функционират жизнените цикли?</v>
      </c>
      <c r="F3892" s="1" t="str">
        <f ca="1">IFERROR(__xludf.DUMMYFUNCTION("GOOGLETRANSLATE(English!F3892,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3892" s="1" t="str">
        <f ca="1">IFERROR(__xludf.DUMMYFUNCTION("GOOGLETRANSLATE(English!G3892, ""en"", ""bg"")"),"разговор")</f>
        <v>разговор</v>
      </c>
      <c r="H3892" s="1" t="str">
        <f ca="1">IFERROR(__xludf.DUMMYFUNCTION("GOOGLETRANSLATE(English!H3892, ""en"", ""bg"")"),"образователна_помощ")</f>
        <v>образователна_помощ</v>
      </c>
    </row>
    <row r="3893" spans="1:8" ht="13.2" x14ac:dyDescent="0.25">
      <c r="A3893" s="1" t="str">
        <f ca="1">IFERROR(__xludf.DUMMYFUNCTION("GOOGLETRANSLATE(English!A3893, ""en"", ""bg"")"),"conv_17668")</f>
        <v>conv_17668</v>
      </c>
      <c r="B3893" s="1" t="str">
        <f ca="1">IFERROR(__xludf.DUMMYFUNCTION("GOOGLETRANSLATE(English!B3893, ""en"", ""bg"")"),"химия")</f>
        <v>химия</v>
      </c>
      <c r="C3893" s="1" t="str">
        <f ca="1">IFERROR(__xludf.DUMMYFUNCTION("GOOGLETRANSLATE(English!C3893, ""en"", ""bg"")"),"елементарен")</f>
        <v>елементарен</v>
      </c>
      <c r="D3893" s="1" t="str">
        <f ca="1">IFERROR(__xludf.DUMMYFUNCTION("GOOGLETRANSLATE(English!D3893, ""en"", ""bg"")"),"разтваряне")</f>
        <v>разтваряне</v>
      </c>
      <c r="E3893" s="1" t="str">
        <f ca="1">IFERROR(__xludf.DUMMYFUNCTION("GOOGLETRANSLATE(English!E3893, ""en"", ""bg"")"),"Можете ли да ми обясните това? Можете ли да ми помогнете да разбера разтварянето?")</f>
        <v>Можете ли да ми обясните това? Можете ли да ми помогнете да разбера разтварянето?</v>
      </c>
      <c r="F3893" s="1" t="str">
        <f ca="1">IFERROR(__xludf.DUMMYFUNCTION("GOOGLETRANSLATE(English!F3893,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3893" s="1" t="str">
        <f ca="1">IFERROR(__xludf.DUMMYFUNCTION("GOOGLETRANSLATE(English!G3893, ""en"", ""bg"")"),"разговор")</f>
        <v>разговор</v>
      </c>
      <c r="H3893" s="1" t="str">
        <f ca="1">IFERROR(__xludf.DUMMYFUNCTION("GOOGLETRANSLATE(English!H3893, ""en"", ""bg"")"),"образователна_помощ")</f>
        <v>образователна_помощ</v>
      </c>
    </row>
    <row r="3894" spans="1:8" ht="13.2" x14ac:dyDescent="0.25">
      <c r="A3894" s="1" t="str">
        <f ca="1">IFERROR(__xludf.DUMMYFUNCTION("GOOGLETRANSLATE(English!A3894, ""en"", ""bg"")"),"hw_10774")</f>
        <v>hw_10774</v>
      </c>
      <c r="B3894" s="1" t="str">
        <f ca="1">IFERROR(__xludf.DUMMYFUNCTION("GOOGLETRANSLATE(English!B3894, ""en"", ""bg"")"),"химия")</f>
        <v>химия</v>
      </c>
      <c r="C3894" s="1" t="str">
        <f ca="1">IFERROR(__xludf.DUMMYFUNCTION("GOOGLETRANSLATE(English!C3894, ""en"", ""bg"")"),"високо")</f>
        <v>високо</v>
      </c>
      <c r="D3894" s="1" t="str">
        <f ca="1">IFERROR(__xludf.DUMMYFUNCTION("GOOGLETRANSLATE(English!D3894, ""en"", ""bg"")"),"равновесие")</f>
        <v>равновесие</v>
      </c>
      <c r="E3894" s="1" t="str">
        <f ca="1">IFERROR(__xludf.DUMMYFUNCTION("GOOGLETRANSLATE(English!E3894, ""en"", ""bg"")"),"Не разбирам тази концепция за равновесие. Моля, обяснете!")</f>
        <v>Не разбирам тази концепция за равновесие. Моля, обяснете!</v>
      </c>
      <c r="F3894" s="1" t="str">
        <f ca="1">IFERROR(__xludf.DUMMYFUNCTION("GOOGLETRANSLATE(English!F3894,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894" s="1" t="str">
        <f ca="1">IFERROR(__xludf.DUMMYFUNCTION("GOOGLETRANSLATE(English!G3894, ""en"", ""bg"")"),"помощ_за_домашно_изпълнение")</f>
        <v>помощ_за_домашно_изпълнение</v>
      </c>
      <c r="H3894" s="1" t="str">
        <f ca="1">IFERROR(__xludf.DUMMYFUNCTION("GOOGLETRANSLATE(English!H3894, ""en"", ""bg"")"),"помощ_за_домашно_задаване")</f>
        <v>помощ_за_домашно_задаване</v>
      </c>
    </row>
    <row r="3895" spans="1:8" ht="13.2" x14ac:dyDescent="0.25">
      <c r="A3895" s="1" t="str">
        <f ca="1">IFERROR(__xludf.DUMMYFUNCTION("GOOGLETRANSLATE(English!A3895, ""en"", ""bg"")"),"qa_06841")</f>
        <v>qa_06841</v>
      </c>
      <c r="B3895" s="1" t="str">
        <f ca="1">IFERROR(__xludf.DUMMYFUNCTION("GOOGLETRANSLATE(English!B3895, ""en"", ""bg"")"),"биология")</f>
        <v>биология</v>
      </c>
      <c r="C3895" s="1" t="str">
        <f ca="1">IFERROR(__xludf.DUMMYFUNCTION("GOOGLETRANSLATE(English!C3895, ""en"", ""bg"")"),"високо")</f>
        <v>високо</v>
      </c>
      <c r="D3895" s="1" t="str">
        <f ca="1">IFERROR(__xludf.DUMMYFUNCTION("GOOGLETRANSLATE(English!D3895, ""en"", ""bg"")"),"клетъчно дишане")</f>
        <v>клетъчно дишане</v>
      </c>
      <c r="E3895" s="1" t="str">
        <f ca="1">IFERROR(__xludf.DUMMYFUNCTION("GOOGLETRANSLATE(English!E3895, ""en"", ""bg"")"),"Как работи клетъчното дишане?")</f>
        <v>Как работи клетъчното дишане?</v>
      </c>
      <c r="F3895" s="1" t="str">
        <f ca="1">IFERROR(__xludf.DUMMYFUNCTION("GOOGLETRANSLATE(English!F3895,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3895" s="1" t="str">
        <f ca="1">IFERROR(__xludf.DUMMYFUNCTION("GOOGLETRANSLATE(English!G3895, ""en"", ""bg"")"),"direct_qa")</f>
        <v>direct_qa</v>
      </c>
      <c r="H3895" s="1" t="str">
        <f ca="1">IFERROR(__xludf.DUMMYFUNCTION("GOOGLETRANSLATE(English!H3895, ""en"", ""bg"")"),"заявка_за_знание")</f>
        <v>заявка_за_знание</v>
      </c>
    </row>
    <row r="3896" spans="1:8" ht="13.2" x14ac:dyDescent="0.25">
      <c r="A3896" s="1" t="str">
        <f ca="1">IFERROR(__xludf.DUMMYFUNCTION("GOOGLETRANSLATE(English!A3896, ""en"", ""bg"")"),"conv_00986")</f>
        <v>conv_00986</v>
      </c>
      <c r="B3896" s="1" t="str">
        <f ca="1">IFERROR(__xludf.DUMMYFUNCTION("GOOGLETRANSLATE(English!B3896, ""en"", ""bg"")"),"физика")</f>
        <v>физика</v>
      </c>
      <c r="C3896" s="1" t="str">
        <f ca="1">IFERROR(__xludf.DUMMYFUNCTION("GOOGLETRANSLATE(English!C3896, ""en"", ""bg"")"),"високо")</f>
        <v>високо</v>
      </c>
      <c r="D3896" s="1" t="str">
        <f ca="1">IFERROR(__xludf.DUMMYFUNCTION("GOOGLETRANSLATE(English!D3896, ""en"", ""bg"")"),"електромагнетизъм")</f>
        <v>електромагнетизъм</v>
      </c>
      <c r="E3896" s="1" t="str">
        <f ca="1">IFERROR(__xludf.DUMMYFUNCTION("GOOGLETRANSLATE(English!E3896, ""en"", ""bg"")"),"Можете ли да ми обясните това? Как работи електромагнетизмът във физиката?")</f>
        <v>Можете ли да ми обясните това? Как работи електромагнетизмът във физиката?</v>
      </c>
      <c r="F3896" s="1" t="str">
        <f ca="1">IFERROR(__xludf.DUMMYFUNCTION("GOOGLETRANSLATE(English!F3896,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3896" s="1" t="str">
        <f ca="1">IFERROR(__xludf.DUMMYFUNCTION("GOOGLETRANSLATE(English!G3896, ""en"", ""bg"")"),"разговор")</f>
        <v>разговор</v>
      </c>
      <c r="H3896" s="1" t="str">
        <f ca="1">IFERROR(__xludf.DUMMYFUNCTION("GOOGLETRANSLATE(English!H3896, ""en"", ""bg"")"),"образователна_помощ")</f>
        <v>образователна_помощ</v>
      </c>
    </row>
    <row r="3897" spans="1:8" ht="13.2" x14ac:dyDescent="0.25">
      <c r="A3897" s="1" t="str">
        <f ca="1">IFERROR(__xludf.DUMMYFUNCTION("GOOGLETRANSLATE(English!A3897, ""en"", ""bg"")"),"conv_19237")</f>
        <v>conv_19237</v>
      </c>
      <c r="B3897" s="1" t="str">
        <f ca="1">IFERROR(__xludf.DUMMYFUNCTION("GOOGLETRANSLATE(English!B3897, ""en"", ""bg"")"),"биология")</f>
        <v>биология</v>
      </c>
      <c r="C3897" s="1" t="str">
        <f ca="1">IFERROR(__xludf.DUMMYFUNCTION("GOOGLETRANSLATE(English!C3897, ""en"", ""bg"")"),"елементарен")</f>
        <v>елементарен</v>
      </c>
      <c r="D3897" s="1" t="str">
        <f ca="1">IFERROR(__xludf.DUMMYFUNCTION("GOOGLETRANSLATE(English!D3897, ""en"", ""bg"")"),"домашни любимци срещу диви животни")</f>
        <v>домашни любимци срещу диви животни</v>
      </c>
      <c r="E3897" s="1" t="str">
        <f ca="1">IFERROR(__xludf.DUMMYFUNCTION("GOOGLETRANSLATE(English!E3897, ""en"", ""bg"")"),"Имам нужда от помощ с домашното. Какво е важно да знаем за домашните любимци спрямо дивите животни?")</f>
        <v>Имам нужда от помощ с домашното. Какво е важно да знаем за домашните любимци спрямо дивите животни?</v>
      </c>
      <c r="F3897" s="1" t="str">
        <f ca="1">IFERROR(__xludf.DUMMYFUNCTION("GOOGLETRANSLATE(English!F3897,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3897" s="1" t="str">
        <f ca="1">IFERROR(__xludf.DUMMYFUNCTION("GOOGLETRANSLATE(English!G3897, ""en"", ""bg"")"),"разговор")</f>
        <v>разговор</v>
      </c>
      <c r="H3897" s="1" t="str">
        <f ca="1">IFERROR(__xludf.DUMMYFUNCTION("GOOGLETRANSLATE(English!H3897, ""en"", ""bg"")"),"образователна_помощ")</f>
        <v>образователна_помощ</v>
      </c>
    </row>
    <row r="3898" spans="1:8" ht="13.2" x14ac:dyDescent="0.25">
      <c r="A3898" s="1" t="str">
        <f ca="1">IFERROR(__xludf.DUMMYFUNCTION("GOOGLETRANSLATE(English!A3898, ""en"", ""bg"")"),"hw_03621")</f>
        <v>hw_03621</v>
      </c>
      <c r="B3898" s="1" t="str">
        <f ca="1">IFERROR(__xludf.DUMMYFUNCTION("GOOGLETRANSLATE(English!B3898, ""en"", ""bg"")"),"биология")</f>
        <v>биология</v>
      </c>
      <c r="C3898" s="1" t="str">
        <f ca="1">IFERROR(__xludf.DUMMYFUNCTION("GOOGLETRANSLATE(English!C3898, ""en"", ""bg"")"),"средата")</f>
        <v>средата</v>
      </c>
      <c r="D3898" s="1" t="str">
        <f ca="1">IFERROR(__xludf.DUMMYFUNCTION("GOOGLETRANSLATE(English!D3898, ""en"", ""bg"")"),"дишане")</f>
        <v>дишане</v>
      </c>
      <c r="E3898" s="1" t="str">
        <f ca="1">IFERROR(__xludf.DUMMYFUNCTION("GOOGLETRANSLATE(English!E3898, ""en"", ""bg"")"),"Домашното ми пита за дишането. Не го разбирам.")</f>
        <v>Домашното ми пита за дишането. Не го разбирам.</v>
      </c>
      <c r="F3898" s="1" t="str">
        <f ca="1">IFERROR(__xludf.DUMMYFUNCTION("GOOGLETRANSLATE(English!F3898,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3898" s="1" t="str">
        <f ca="1">IFERROR(__xludf.DUMMYFUNCTION("GOOGLETRANSLATE(English!G3898, ""en"", ""bg"")"),"помощ_за_домашно_изпълнение")</f>
        <v>помощ_за_домашно_изпълнение</v>
      </c>
      <c r="H3898" s="1" t="str">
        <f ca="1">IFERROR(__xludf.DUMMYFUNCTION("GOOGLETRANSLATE(English!H3898, ""en"", ""bg"")"),"помощ_за_домашно_задаване")</f>
        <v>помощ_за_домашно_задаване</v>
      </c>
    </row>
    <row r="3899" spans="1:8" ht="13.2" x14ac:dyDescent="0.25">
      <c r="A3899" s="1" t="str">
        <f ca="1">IFERROR(__xludf.DUMMYFUNCTION("GOOGLETRANSLATE(English!A3899, ""en"", ""bg"")"),"qa_14837")</f>
        <v>qa_14837</v>
      </c>
      <c r="B3899" s="1" t="str">
        <f ca="1">IFERROR(__xludf.DUMMYFUNCTION("GOOGLETRANSLATE(English!B3899, ""en"", ""bg"")"),"биология")</f>
        <v>биология</v>
      </c>
      <c r="C3899" s="1" t="str">
        <f ca="1">IFERROR(__xludf.DUMMYFUNCTION("GOOGLETRANSLATE(English!C3899, ""en"", ""bg"")"),"високо")</f>
        <v>високо</v>
      </c>
      <c r="D3899" s="1" t="str">
        <f ca="1">IFERROR(__xludf.DUMMYFUNCTION("GOOGLETRANSLATE(English!D3899, ""en"", ""bg"")"),"клетъчно дишане")</f>
        <v>клетъчно дишане</v>
      </c>
      <c r="E3899" s="1" t="str">
        <f ca="1">IFERROR(__xludf.DUMMYFUNCTION("GOOGLETRANSLATE(English!E3899, ""en"", ""bg"")"),"Какво е важно да знаем за клетъчното дишане?")</f>
        <v>Какво е важно да знаем за клетъчното дишане?</v>
      </c>
      <c r="F3899" s="1" t="str">
        <f ca="1">IFERROR(__xludf.DUMMYFUNCTION("GOOGLETRANSLATE(English!F3899,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3899" s="1" t="str">
        <f ca="1">IFERROR(__xludf.DUMMYFUNCTION("GOOGLETRANSLATE(English!G3899, ""en"", ""bg"")"),"direct_qa")</f>
        <v>direct_qa</v>
      </c>
      <c r="H3899" s="1" t="str">
        <f ca="1">IFERROR(__xludf.DUMMYFUNCTION("GOOGLETRANSLATE(English!H3899, ""en"", ""bg"")"),"заявка_за_знание")</f>
        <v>заявка_за_знание</v>
      </c>
    </row>
    <row r="3900" spans="1:8" ht="13.2" x14ac:dyDescent="0.25">
      <c r="A3900" s="1" t="str">
        <f ca="1">IFERROR(__xludf.DUMMYFUNCTION("GOOGLETRANSLATE(English!A3900, ""en"", ""bg"")"),"qa_12421")</f>
        <v>qa_12421</v>
      </c>
      <c r="B3900" s="1" t="str">
        <f ca="1">IFERROR(__xludf.DUMMYFUNCTION("GOOGLETRANSLATE(English!B3900, ""en"", ""bg"")"),"биология")</f>
        <v>биология</v>
      </c>
      <c r="C3900" s="1" t="str">
        <f ca="1">IFERROR(__xludf.DUMMYFUNCTION("GOOGLETRANSLATE(English!C3900, ""en"", ""bg"")"),"средата")</f>
        <v>средата</v>
      </c>
      <c r="D3900" s="1" t="str">
        <f ca="1">IFERROR(__xludf.DUMMYFUNCTION("GOOGLETRANSLATE(English!D3900, ""en"", ""bg"")"),"класификация")</f>
        <v>класификация</v>
      </c>
      <c r="E3900" s="1" t="str">
        <f ca="1">IFERROR(__xludf.DUMMYFUNCTION("GOOGLETRANSLATE(English!E3900, ""en"", ""bg"")"),"Защо класификацията е важна в биологията?")</f>
        <v>Защо класификацията е важна в биологията?</v>
      </c>
      <c r="F3900" s="1" t="str">
        <f ca="1">IFERROR(__xludf.DUMMYFUNCTION("GOOGLETRANSLATE(English!F3900,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3900" s="1" t="str">
        <f ca="1">IFERROR(__xludf.DUMMYFUNCTION("GOOGLETRANSLATE(English!G3900, ""en"", ""bg"")"),"direct_qa")</f>
        <v>direct_qa</v>
      </c>
      <c r="H3900" s="1" t="str">
        <f ca="1">IFERROR(__xludf.DUMMYFUNCTION("GOOGLETRANSLATE(English!H3900, ""en"", ""bg"")"),"заявка_за_знание")</f>
        <v>заявка_за_знание</v>
      </c>
    </row>
    <row r="3901" spans="1:8" ht="13.2" x14ac:dyDescent="0.25">
      <c r="A3901" s="1" t="str">
        <f ca="1">IFERROR(__xludf.DUMMYFUNCTION("GOOGLETRANSLATE(English!A3901, ""en"", ""bg"")"),"qa_03904")</f>
        <v>qa_03904</v>
      </c>
      <c r="B3901" s="1" t="str">
        <f ca="1">IFERROR(__xludf.DUMMYFUNCTION("GOOGLETRANSLATE(English!B3901, ""en"", ""bg"")"),"физика")</f>
        <v>физика</v>
      </c>
      <c r="C3901" s="1" t="str">
        <f ca="1">IFERROR(__xludf.DUMMYFUNCTION("GOOGLETRANSLATE(English!C3901, ""en"", ""bg"")"),"високо")</f>
        <v>високо</v>
      </c>
      <c r="D3901" s="1" t="str">
        <f ca="1">IFERROR(__xludf.DUMMYFUNCTION("GOOGLETRANSLATE(English!D3901, ""en"", ""bg"")"),"термодинамика")</f>
        <v>термодинамика</v>
      </c>
      <c r="E3901" s="1" t="str">
        <f ca="1">IFERROR(__xludf.DUMMYFUNCTION("GOOGLETRANSLATE(English!E3901, ""en"", ""bg"")"),"Защо термодинамиката е важна?")</f>
        <v>Защо термодинамиката е важна?</v>
      </c>
      <c r="F3901" s="1" t="str">
        <f ca="1">IFERROR(__xludf.DUMMYFUNCTION("GOOGLETRANSLATE(English!F3901,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3901" s="1" t="str">
        <f ca="1">IFERROR(__xludf.DUMMYFUNCTION("GOOGLETRANSLATE(English!G3901, ""en"", ""bg"")"),"direct_qa")</f>
        <v>direct_qa</v>
      </c>
      <c r="H3901" s="1" t="str">
        <f ca="1">IFERROR(__xludf.DUMMYFUNCTION("GOOGLETRANSLATE(English!H3901, ""en"", ""bg"")"),"заявка_за_знание")</f>
        <v>заявка_за_знание</v>
      </c>
    </row>
    <row r="3902" spans="1:8" ht="13.2" x14ac:dyDescent="0.25">
      <c r="A3902" s="1" t="str">
        <f ca="1">IFERROR(__xludf.DUMMYFUNCTION("GOOGLETRANSLATE(English!A3902, ""en"", ""bg"")"),"conv_09498")</f>
        <v>conv_09498</v>
      </c>
      <c r="B3902" s="1" t="str">
        <f ca="1">IFERROR(__xludf.DUMMYFUNCTION("GOOGLETRANSLATE(English!B3902, ""en"", ""bg"")"),"биология")</f>
        <v>биология</v>
      </c>
      <c r="C3902" s="1" t="str">
        <f ca="1">IFERROR(__xludf.DUMMYFUNCTION("GOOGLETRANSLATE(English!C3902, ""en"", ""bg"")"),"елементарен")</f>
        <v>елементарен</v>
      </c>
      <c r="D3902" s="1" t="str">
        <f ca="1">IFERROR(__xludf.DUMMYFUNCTION("GOOGLETRANSLATE(English!D3902, ""en"", ""bg"")"),"сетива")</f>
        <v>сетива</v>
      </c>
      <c r="E3902" s="1" t="str">
        <f ca="1">IFERROR(__xludf.DUMMYFUNCTION("GOOGLETRANSLATE(English!E3902, ""en"", ""bg"")"),"Имам научен въпрос. Как работят сетивата?")</f>
        <v>Имам научен въпрос. Как работят сетивата?</v>
      </c>
      <c r="F3902" s="1" t="str">
        <f ca="1">IFERROR(__xludf.DUMMYFUNCTION("GOOGLETRANSLATE(English!F3902,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3902" s="1" t="str">
        <f ca="1">IFERROR(__xludf.DUMMYFUNCTION("GOOGLETRANSLATE(English!G3902, ""en"", ""bg"")"),"разговор")</f>
        <v>разговор</v>
      </c>
      <c r="H3902" s="1" t="str">
        <f ca="1">IFERROR(__xludf.DUMMYFUNCTION("GOOGLETRANSLATE(English!H3902, ""en"", ""bg"")"),"образователна_помощ")</f>
        <v>образователна_помощ</v>
      </c>
    </row>
    <row r="3903" spans="1:8" ht="13.2" x14ac:dyDescent="0.25">
      <c r="A3903" s="1" t="str">
        <f ca="1">IFERROR(__xludf.DUMMYFUNCTION("GOOGLETRANSLATE(English!A3903, ""en"", ""bg"")"),"conv_01381")</f>
        <v>conv_01381</v>
      </c>
      <c r="B3903" s="1" t="str">
        <f ca="1">IFERROR(__xludf.DUMMYFUNCTION("GOOGLETRANSLATE(English!B3903, ""en"", ""bg"")"),"химия")</f>
        <v>химия</v>
      </c>
      <c r="C3903" s="1" t="str">
        <f ca="1">IFERROR(__xludf.DUMMYFUNCTION("GOOGLETRANSLATE(English!C3903, ""en"", ""bg"")"),"средата")</f>
        <v>средата</v>
      </c>
      <c r="D3903" s="1" t="str">
        <f ca="1">IFERROR(__xludf.DUMMYFUNCTION("GOOGLETRANSLATE(English!D3903, ""en"", ""bg"")"),"атоми и молекули")</f>
        <v>атоми и молекули</v>
      </c>
      <c r="E3903" s="1" t="str">
        <f ca="1">IFERROR(__xludf.DUMMYFUNCTION("GOOGLETRANSLATE(English!E3903, ""en"", ""bg"")"),"Имам научен въпрос: По какво се различават атомите и молекулите?")</f>
        <v>Имам научен въпрос: По какво се различават атомите и молекулите?</v>
      </c>
      <c r="F3903" s="1" t="str">
        <f ca="1">IFERROR(__xludf.DUMMYFUNCTION("GOOGLETRANSLATE(English!F3903,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3903" s="1" t="str">
        <f ca="1">IFERROR(__xludf.DUMMYFUNCTION("GOOGLETRANSLATE(English!G3903, ""en"", ""bg"")"),"разговор")</f>
        <v>разговор</v>
      </c>
      <c r="H3903" s="1" t="str">
        <f ca="1">IFERROR(__xludf.DUMMYFUNCTION("GOOGLETRANSLATE(English!H3903, ""en"", ""bg"")"),"образователна_помощ")</f>
        <v>образователна_помощ</v>
      </c>
    </row>
    <row r="3904" spans="1:8" ht="13.2" x14ac:dyDescent="0.25">
      <c r="A3904" s="1" t="str">
        <f ca="1">IFERROR(__xludf.DUMMYFUNCTION("GOOGLETRANSLATE(English!A3904, ""en"", ""bg"")"),"hw_13337")</f>
        <v>hw_13337</v>
      </c>
      <c r="B3904" s="1" t="str">
        <f ca="1">IFERROR(__xludf.DUMMYFUNCTION("GOOGLETRANSLATE(English!B3904, ""en"", ""bg"")"),"химия")</f>
        <v>химия</v>
      </c>
      <c r="C3904" s="1" t="str">
        <f ca="1">IFERROR(__xludf.DUMMYFUNCTION("GOOGLETRANSLATE(English!C3904, ""en"", ""bg"")"),"високо")</f>
        <v>високо</v>
      </c>
      <c r="D3904" s="1" t="str">
        <f ca="1">IFERROR(__xludf.DUMMYFUNCTION("GOOGLETRANSLATE(English!D3904, ""en"", ""bg"")"),"електрохимия")</f>
        <v>електрохимия</v>
      </c>
      <c r="E3904" s="1" t="str">
        <f ca="1">IFERROR(__xludf.DUMMYFUNCTION("GOOGLETRANSLATE(English!E3904, ""en"", ""bg"")"),"Можете ли да ми помогнете с електрохимични изчисления?")</f>
        <v>Можете ли да ми помогнете с електрохимични изчисления?</v>
      </c>
      <c r="F3904" s="1" t="str">
        <f ca="1">IFERROR(__xludf.DUMMYFUNCTION("GOOGLETRANSLATE(English!F3904,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3904" s="1" t="str">
        <f ca="1">IFERROR(__xludf.DUMMYFUNCTION("GOOGLETRANSLATE(English!G3904, ""en"", ""bg"")"),"помощ_за_домашно_изпълнение")</f>
        <v>помощ_за_домашно_изпълнение</v>
      </c>
      <c r="H3904" s="1" t="str">
        <f ca="1">IFERROR(__xludf.DUMMYFUNCTION("GOOGLETRANSLATE(English!H3904, ""en"", ""bg"")"),"помощ_за_домашно_задаване")</f>
        <v>помощ_за_домашно_задаване</v>
      </c>
    </row>
    <row r="3905" spans="1:8" ht="13.2" x14ac:dyDescent="0.25">
      <c r="A3905" s="1" t="str">
        <f ca="1">IFERROR(__xludf.DUMMYFUNCTION("GOOGLETRANSLATE(English!A3905, ""en"", ""bg"")"),"qa_08540")</f>
        <v>qa_08540</v>
      </c>
      <c r="B3905" s="1" t="str">
        <f ca="1">IFERROR(__xludf.DUMMYFUNCTION("GOOGLETRANSLATE(English!B3905, ""en"", ""bg"")"),"химия")</f>
        <v>химия</v>
      </c>
      <c r="C3905" s="1" t="str">
        <f ca="1">IFERROR(__xludf.DUMMYFUNCTION("GOOGLETRANSLATE(English!C3905, ""en"", ""bg"")"),"средата")</f>
        <v>средата</v>
      </c>
      <c r="D3905" s="1" t="str">
        <f ca="1">IFERROR(__xludf.DUMMYFUNCTION("GOOGLETRANSLATE(English!D3905, ""en"", ""bg"")"),"съединения срещу елементи")</f>
        <v>съединения срещу елементи</v>
      </c>
      <c r="E3905" s="1" t="str">
        <f ca="1">IFERROR(__xludf.DUMMYFUNCTION("GOOGLETRANSLATE(English!E3905, ""en"", ""bg"")"),"Защо е важно да се изучават съединенията спрямо елементите?")</f>
        <v>Защо е важно да се изучават съединенията спрямо елементите?</v>
      </c>
      <c r="F3905" s="1" t="str">
        <f ca="1">IFERROR(__xludf.DUMMYFUNCTION("GOOGLETRANSLATE(English!F3905,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3905" s="1" t="str">
        <f ca="1">IFERROR(__xludf.DUMMYFUNCTION("GOOGLETRANSLATE(English!G3905, ""en"", ""bg"")"),"direct_qa")</f>
        <v>direct_qa</v>
      </c>
      <c r="H3905" s="1" t="str">
        <f ca="1">IFERROR(__xludf.DUMMYFUNCTION("GOOGLETRANSLATE(English!H3905, ""en"", ""bg"")"),"заявка_за_знание")</f>
        <v>заявка_за_знание</v>
      </c>
    </row>
    <row r="3906" spans="1:8" ht="13.2" x14ac:dyDescent="0.25">
      <c r="A3906" s="1" t="str">
        <f ca="1">IFERROR(__xludf.DUMMYFUNCTION("GOOGLETRANSLATE(English!A3906, ""en"", ""bg"")"),"hw_14780")</f>
        <v>hw_14780</v>
      </c>
      <c r="B3906" s="1" t="str">
        <f ca="1">IFERROR(__xludf.DUMMYFUNCTION("GOOGLETRANSLATE(English!B3906, ""en"", ""bg"")"),"биология")</f>
        <v>биология</v>
      </c>
      <c r="C3906" s="1" t="str">
        <f ca="1">IFERROR(__xludf.DUMMYFUNCTION("GOOGLETRANSLATE(English!C3906, ""en"", ""bg"")"),"високо")</f>
        <v>високо</v>
      </c>
      <c r="D3906" s="1" t="str">
        <f ca="1">IFERROR(__xludf.DUMMYFUNCTION("GOOGLETRANSLATE(English!D3906, ""en"", ""bg"")"),"модели на наследяване")</f>
        <v>модели на наследяване</v>
      </c>
      <c r="E3906" s="1" t="str">
        <f ca="1">IFERROR(__xludf.DUMMYFUNCTION("GOOGLETRANSLATE(English!E3906, ""en"", ""bg"")"),"Трябва да напиша доклад за моделите на наследяване. Можете ли да ми помогнете да започна?")</f>
        <v>Трябва да напиша доклад за моделите на наследяване. Можете ли да ми помогнете да започна?</v>
      </c>
      <c r="F3906" s="1" t="str">
        <f ca="1">IFERROR(__xludf.DUMMYFUNCTION("GOOGLETRANSLATE(English!F3906,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3906" s="1" t="str">
        <f ca="1">IFERROR(__xludf.DUMMYFUNCTION("GOOGLETRANSLATE(English!G3906, ""en"", ""bg"")"),"помощ_за_домашно_изпълнение")</f>
        <v>помощ_за_домашно_изпълнение</v>
      </c>
      <c r="H3906" s="1" t="str">
        <f ca="1">IFERROR(__xludf.DUMMYFUNCTION("GOOGLETRANSLATE(English!H3906, ""en"", ""bg"")"),"помощ_за_домашно_задаване")</f>
        <v>помощ_за_домашно_задаване</v>
      </c>
    </row>
    <row r="3907" spans="1:8" ht="13.2" x14ac:dyDescent="0.25">
      <c r="A3907" s="1" t="str">
        <f ca="1">IFERROR(__xludf.DUMMYFUNCTION("GOOGLETRANSLATE(English!A3907, ""en"", ""bg"")"),"conv_13720")</f>
        <v>conv_13720</v>
      </c>
      <c r="B3907" s="1" t="str">
        <f ca="1">IFERROR(__xludf.DUMMYFUNCTION("GOOGLETRANSLATE(English!B3907, ""en"", ""bg"")"),"биология")</f>
        <v>биология</v>
      </c>
      <c r="C3907" s="1" t="str">
        <f ca="1">IFERROR(__xludf.DUMMYFUNCTION("GOOGLETRANSLATE(English!C3907, ""en"", ""bg"")"),"средата")</f>
        <v>средата</v>
      </c>
      <c r="D3907" s="1" t="str">
        <f ca="1">IFERROR(__xludf.DUMMYFUNCTION("GOOGLETRANSLATE(English!D3907, ""en"", ""bg"")"),"класификация")</f>
        <v>класификация</v>
      </c>
      <c r="E3907" s="1" t="str">
        <f ca="1">IFERROR(__xludf.DUMMYFUNCTION("GOOGLETRANSLATE(English!E3907, ""en"", ""bg"")"),"Имам научен въпрос. Можете ли да ми кажете нещо за класификацията?")</f>
        <v>Имам научен въпрос. Можете ли да ми кажете нещо за класификацията?</v>
      </c>
      <c r="F3907" s="1" t="str">
        <f ca="1">IFERROR(__xludf.DUMMYFUNCTION("GOOGLETRANSLATE(English!F3907,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3907" s="1" t="str">
        <f ca="1">IFERROR(__xludf.DUMMYFUNCTION("GOOGLETRANSLATE(English!G3907, ""en"", ""bg"")"),"разговор")</f>
        <v>разговор</v>
      </c>
      <c r="H3907" s="1" t="str">
        <f ca="1">IFERROR(__xludf.DUMMYFUNCTION("GOOGLETRANSLATE(English!H3907, ""en"", ""bg"")"),"образователна_помощ")</f>
        <v>образователна_помощ</v>
      </c>
    </row>
    <row r="3908" spans="1:8" ht="13.2" x14ac:dyDescent="0.25">
      <c r="A3908" s="1" t="str">
        <f ca="1">IFERROR(__xludf.DUMMYFUNCTION("GOOGLETRANSLATE(English!A3908, ""en"", ""bg"")"),"hw_03012")</f>
        <v>hw_03012</v>
      </c>
      <c r="B3908" s="1" t="str">
        <f ca="1">IFERROR(__xludf.DUMMYFUNCTION("GOOGLETRANSLATE(English!B3908, ""en"", ""bg"")"),"химия")</f>
        <v>химия</v>
      </c>
      <c r="C3908" s="1" t="str">
        <f ca="1">IFERROR(__xludf.DUMMYFUNCTION("GOOGLETRANSLATE(English!C3908, ""en"", ""bg"")"),"средата")</f>
        <v>средата</v>
      </c>
      <c r="D3908" s="1" t="str">
        <f ca="1">IFERROR(__xludf.DUMMYFUNCTION("GOOGLETRANSLATE(English!D3908, ""en"", ""bg"")"),"атоми и молекули")</f>
        <v>атоми и молекули</v>
      </c>
      <c r="E3908" s="1" t="str">
        <f ca="1">IFERROR(__xludf.DUMMYFUNCTION("GOOGLETRANSLATE(English!E3908,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3908" s="1" t="str">
        <f ca="1">IFERROR(__xludf.DUMMYFUNCTION("GOOGLETRANSLATE(English!F3908,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3908" s="1" t="str">
        <f ca="1">IFERROR(__xludf.DUMMYFUNCTION("GOOGLETRANSLATE(English!G3908, ""en"", ""bg"")"),"помощ_за_домашно_изпълнение")</f>
        <v>помощ_за_домашно_изпълнение</v>
      </c>
      <c r="H3908" s="1" t="str">
        <f ca="1">IFERROR(__xludf.DUMMYFUNCTION("GOOGLETRANSLATE(English!H3908, ""en"", ""bg"")"),"помощ_за_домашно_задаване")</f>
        <v>помощ_за_домашно_задаване</v>
      </c>
    </row>
    <row r="3909" spans="1:8" ht="13.2" x14ac:dyDescent="0.25">
      <c r="A3909" s="1" t="str">
        <f ca="1">IFERROR(__xludf.DUMMYFUNCTION("GOOGLETRANSLATE(English!A3909, ""en"", ""bg"")"),"qa_00734")</f>
        <v>qa_00734</v>
      </c>
      <c r="B3909" s="1" t="str">
        <f ca="1">IFERROR(__xludf.DUMMYFUNCTION("GOOGLETRANSLATE(English!B3909, ""en"", ""bg"")"),"физика")</f>
        <v>физика</v>
      </c>
      <c r="C3909" s="1" t="str">
        <f ca="1">IFERROR(__xludf.DUMMYFUNCTION("GOOGLETRANSLATE(English!C3909, ""en"", ""bg"")"),"средата")</f>
        <v>средата</v>
      </c>
      <c r="D3909" s="1" t="str">
        <f ca="1">IFERROR(__xludf.DUMMYFUNCTION("GOOGLETRANSLATE(English!D3909, ""en"", ""bg"")"),"основи на електричеството")</f>
        <v>основи на електричеството</v>
      </c>
      <c r="E3909" s="1" t="str">
        <f ca="1">IFERROR(__xludf.DUMMYFUNCTION("GOOGLETRANSLATE(English!E3909, ""en"", ""bg"")"),"Защо основите на електричеството са важни?")</f>
        <v>Защо основите на електричеството са важни?</v>
      </c>
      <c r="F3909" s="1" t="str">
        <f ca="1">IFERROR(__xludf.DUMMYFUNCTION("GOOGLETRANSLATE(English!F3909,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3909" s="1" t="str">
        <f ca="1">IFERROR(__xludf.DUMMYFUNCTION("GOOGLETRANSLATE(English!G3909, ""en"", ""bg"")"),"direct_qa")</f>
        <v>direct_qa</v>
      </c>
      <c r="H3909" s="1" t="str">
        <f ca="1">IFERROR(__xludf.DUMMYFUNCTION("GOOGLETRANSLATE(English!H3909, ""en"", ""bg"")"),"заявка_за_знание")</f>
        <v>заявка_за_знание</v>
      </c>
    </row>
    <row r="3910" spans="1:8" ht="13.2" x14ac:dyDescent="0.25">
      <c r="A3910" s="1" t="str">
        <f ca="1">IFERROR(__xludf.DUMMYFUNCTION("GOOGLETRANSLATE(English!A3910, ""en"", ""bg"")"),"conv_15174")</f>
        <v>conv_15174</v>
      </c>
      <c r="B3910" s="1" t="str">
        <f ca="1">IFERROR(__xludf.DUMMYFUNCTION("GOOGLETRANSLATE(English!B3910, ""en"", ""bg"")"),"химия")</f>
        <v>химия</v>
      </c>
      <c r="C3910" s="1" t="str">
        <f ca="1">IFERROR(__xludf.DUMMYFUNCTION("GOOGLETRANSLATE(English!C3910, ""en"", ""bg"")"),"високо")</f>
        <v>високо</v>
      </c>
      <c r="D3910" s="1" t="str">
        <f ca="1">IFERROR(__xludf.DUMMYFUNCTION("GOOGLETRANSLATE(English!D3910, ""en"", ""bg"")"),"химическо свързване")</f>
        <v>химическо свързване</v>
      </c>
      <c r="E3910" s="1" t="str">
        <f ca="1">IFERROR(__xludf.DUMMYFUNCTION("GOOGLETRANSLATE(English!E3910, ""en"", ""bg"")"),"Можете ли да ми обясните това? Защо е важно да се учи химичната връзка?")</f>
        <v>Можете ли да ми обясните това? Защо е важно да се учи химичната връзка?</v>
      </c>
      <c r="F3910" s="1" t="str">
        <f ca="1">IFERROR(__xludf.DUMMYFUNCTION("GOOGLETRANSLATE(English!F3910,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3910" s="1" t="str">
        <f ca="1">IFERROR(__xludf.DUMMYFUNCTION("GOOGLETRANSLATE(English!G3910, ""en"", ""bg"")"),"разговор")</f>
        <v>разговор</v>
      </c>
      <c r="H3910" s="1" t="str">
        <f ca="1">IFERROR(__xludf.DUMMYFUNCTION("GOOGLETRANSLATE(English!H3910, ""en"", ""bg"")"),"образователна_помощ")</f>
        <v>образователна_помощ</v>
      </c>
    </row>
    <row r="3911" spans="1:8" ht="13.2" x14ac:dyDescent="0.25">
      <c r="A3911" s="1" t="str">
        <f ca="1">IFERROR(__xludf.DUMMYFUNCTION("GOOGLETRANSLATE(English!A3911, ""en"", ""bg"")"),"hw_10219")</f>
        <v>hw_10219</v>
      </c>
      <c r="B3911" s="1" t="str">
        <f ca="1">IFERROR(__xludf.DUMMYFUNCTION("GOOGLETRANSLATE(English!B3911, ""en"", ""bg"")"),"химия")</f>
        <v>химия</v>
      </c>
      <c r="C3911" s="1" t="str">
        <f ca="1">IFERROR(__xludf.DUMMYFUNCTION("GOOGLETRANSLATE(English!C3911, ""en"", ""bg"")"),"високо")</f>
        <v>високо</v>
      </c>
      <c r="D3911" s="1" t="str">
        <f ca="1">IFERROR(__xludf.DUMMYFUNCTION("GOOGLETRANSLATE(English!D3911, ""en"", ""bg"")"),"равновесие")</f>
        <v>равновесие</v>
      </c>
      <c r="E3911" s="1" t="str">
        <f ca="1">IFERROR(__xludf.DUMMYFUNCTION("GOOGLETRANSLATE(English!E3911, ""en"", ""bg"")"),"Не разбирам тази концепция за равновесие. Моля, обяснете!")</f>
        <v>Не разбирам тази концепция за равновесие. Моля, обяснете!</v>
      </c>
      <c r="F3911" s="1" t="str">
        <f ca="1">IFERROR(__xludf.DUMMYFUNCTION("GOOGLETRANSLATE(English!F3911,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3911" s="1" t="str">
        <f ca="1">IFERROR(__xludf.DUMMYFUNCTION("GOOGLETRANSLATE(English!G3911, ""en"", ""bg"")"),"помощ_за_домашно_изпълнение")</f>
        <v>помощ_за_домашно_изпълнение</v>
      </c>
      <c r="H3911" s="1" t="str">
        <f ca="1">IFERROR(__xludf.DUMMYFUNCTION("GOOGLETRANSLATE(English!H3911, ""en"", ""bg"")"),"помощ_за_домашно_задаване")</f>
        <v>помощ_за_домашно_задаване</v>
      </c>
    </row>
    <row r="3912" spans="1:8" ht="13.2" x14ac:dyDescent="0.25">
      <c r="A3912" s="1" t="str">
        <f ca="1">IFERROR(__xludf.DUMMYFUNCTION("GOOGLETRANSLATE(English!A3912, ""en"", ""bg"")"),"hw_04367")</f>
        <v>hw_04367</v>
      </c>
      <c r="B3912" s="1" t="str">
        <f ca="1">IFERROR(__xludf.DUMMYFUNCTION("GOOGLETRANSLATE(English!B3912, ""en"", ""bg"")"),"биология")</f>
        <v>биология</v>
      </c>
      <c r="C3912" s="1" t="str">
        <f ca="1">IFERROR(__xludf.DUMMYFUNCTION("GOOGLETRANSLATE(English!C3912, ""en"", ""bg"")"),"средата")</f>
        <v>средата</v>
      </c>
      <c r="D3912" s="1" t="str">
        <f ca="1">IFERROR(__xludf.DUMMYFUNCTION("GOOGLETRANSLATE(English!D3912, ""en"", ""bg"")"),"основи на еволюцията")</f>
        <v>основи на еволюцията</v>
      </c>
      <c r="E3912" s="1" t="str">
        <f ca="1">IFERROR(__xludf.DUMMYFUNCTION("GOOGLETRANSLATE(English!E3912, ""en"", ""bg"")"),"Домашното ми пита за основите на еволюцията. Не го разбирам.")</f>
        <v>Домашното ми пита за основите на еволюцията. Не го разбирам.</v>
      </c>
      <c r="F3912" s="1" t="str">
        <f ca="1">IFERROR(__xludf.DUMMYFUNCTION("GOOGLETRANSLATE(English!F3912,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3912" s="1" t="str">
        <f ca="1">IFERROR(__xludf.DUMMYFUNCTION("GOOGLETRANSLATE(English!G3912, ""en"", ""bg"")"),"помощ_за_домашно_изпълнение")</f>
        <v>помощ_за_домашно_изпълнение</v>
      </c>
      <c r="H3912" s="1" t="str">
        <f ca="1">IFERROR(__xludf.DUMMYFUNCTION("GOOGLETRANSLATE(English!H3912, ""en"", ""bg"")"),"помощ_за_домашно_задаване")</f>
        <v>помощ_за_домашно_задаване</v>
      </c>
    </row>
    <row r="3913" spans="1:8" ht="13.2" x14ac:dyDescent="0.25">
      <c r="A3913" s="1" t="str">
        <f ca="1">IFERROR(__xludf.DUMMYFUNCTION("GOOGLETRANSLATE(English!A3913, ""en"", ""bg"")"),"qa_08657")</f>
        <v>qa_08657</v>
      </c>
      <c r="B3913" s="1" t="str">
        <f ca="1">IFERROR(__xludf.DUMMYFUNCTION("GOOGLETRANSLATE(English!B3913, ""en"", ""bg"")"),"физика")</f>
        <v>физика</v>
      </c>
      <c r="C3913" s="1" t="str">
        <f ca="1">IFERROR(__xludf.DUMMYFUNCTION("GOOGLETRANSLATE(English!C3913, ""en"", ""bg"")"),"високо")</f>
        <v>високо</v>
      </c>
      <c r="D3913" s="1" t="str">
        <f ca="1">IFERROR(__xludf.DUMMYFUNCTION("GOOGLETRANSLATE(English!D3913, ""en"", ""bg"")"),"оптика")</f>
        <v>оптика</v>
      </c>
      <c r="E3913" s="1" t="str">
        <f ca="1">IFERROR(__xludf.DUMMYFUNCTION("GOOGLETRANSLATE(English!E3913, ""en"", ""bg"")"),"Какво трябва да знам за оптиката?")</f>
        <v>Какво трябва да знам за оптиката?</v>
      </c>
      <c r="F3913" s="1" t="str">
        <f ca="1">IFERROR(__xludf.DUMMYFUNCTION("GOOGLETRANSLATE(English!F3913,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3913" s="1" t="str">
        <f ca="1">IFERROR(__xludf.DUMMYFUNCTION("GOOGLETRANSLATE(English!G3913, ""en"", ""bg"")"),"direct_qa")</f>
        <v>direct_qa</v>
      </c>
      <c r="H3913" s="1" t="str">
        <f ca="1">IFERROR(__xludf.DUMMYFUNCTION("GOOGLETRANSLATE(English!H3913, ""en"", ""bg"")"),"заявка_за_знание")</f>
        <v>заявка_за_знание</v>
      </c>
    </row>
    <row r="3914" spans="1:8" ht="13.2" x14ac:dyDescent="0.25">
      <c r="A3914" s="1" t="str">
        <f ca="1">IFERROR(__xludf.DUMMYFUNCTION("GOOGLETRANSLATE(English!A3914, ""en"", ""bg"")"),"conv_03173")</f>
        <v>conv_03173</v>
      </c>
      <c r="B3914" s="1" t="str">
        <f ca="1">IFERROR(__xludf.DUMMYFUNCTION("GOOGLETRANSLATE(English!B3914, ""en"", ""bg"")"),"биология")</f>
        <v>биология</v>
      </c>
      <c r="C3914" s="1" t="str">
        <f ca="1">IFERROR(__xludf.DUMMYFUNCTION("GOOGLETRANSLATE(English!C3914, ""en"", ""bg"")"),"високо")</f>
        <v>високо</v>
      </c>
      <c r="D3914" s="1" t="str">
        <f ca="1">IFERROR(__xludf.DUMMYFUNCTION("GOOGLETRANSLATE(English!D3914, ""en"", ""bg"")"),"Структура на ДНК")</f>
        <v>Структура на ДНК</v>
      </c>
      <c r="E3914" s="1" t="str">
        <f ca="1">IFERROR(__xludf.DUMMYFUNCTION("GOOGLETRANSLATE(English!E3914, ""en"", ""bg"")"),"Можете ли да ми помогнете? Можете ли да ми разкажете за структурата на ДНК?")</f>
        <v>Можете ли да ми помогнете? Можете ли да ми разкажете за структурата на ДНК?</v>
      </c>
      <c r="F3914" s="1" t="str">
        <f ca="1">IFERROR(__xludf.DUMMYFUNCTION("GOOGLETRANSLATE(English!F3914,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3914" s="1" t="str">
        <f ca="1">IFERROR(__xludf.DUMMYFUNCTION("GOOGLETRANSLATE(English!G3914, ""en"", ""bg"")"),"разговор")</f>
        <v>разговор</v>
      </c>
      <c r="H3914" s="1" t="str">
        <f ca="1">IFERROR(__xludf.DUMMYFUNCTION("GOOGLETRANSLATE(English!H3914, ""en"", ""bg"")"),"образователна_помощ")</f>
        <v>образователна_помощ</v>
      </c>
    </row>
    <row r="3915" spans="1:8" ht="13.2" x14ac:dyDescent="0.25">
      <c r="A3915" s="1" t="str">
        <f ca="1">IFERROR(__xludf.DUMMYFUNCTION("GOOGLETRANSLATE(English!A3915, ""en"", ""bg"")"),"qa_05505")</f>
        <v>qa_05505</v>
      </c>
      <c r="B3915" s="1" t="str">
        <f ca="1">IFERROR(__xludf.DUMMYFUNCTION("GOOGLETRANSLATE(English!B3915, ""en"", ""bg"")"),"физика")</f>
        <v>физика</v>
      </c>
      <c r="C3915" s="1" t="str">
        <f ca="1">IFERROR(__xludf.DUMMYFUNCTION("GOOGLETRANSLATE(English!C3915, ""en"", ""bg"")"),"високо")</f>
        <v>високо</v>
      </c>
      <c r="D3915" s="1" t="str">
        <f ca="1">IFERROR(__xludf.DUMMYFUNCTION("GOOGLETRANSLATE(English!D3915, ""en"", ""bg"")"),"радиоактивност")</f>
        <v>радиоактивност</v>
      </c>
      <c r="E3915" s="1" t="str">
        <f ca="1">IFERROR(__xludf.DUMMYFUNCTION("GOOGLETRANSLATE(English!E3915, ""en"", ""bg"")"),"Можете ли да ми обясните какво е радиоактивност?")</f>
        <v>Можете ли да ми обясните какво е радиоактивност?</v>
      </c>
      <c r="F3915" s="1" t="str">
        <f ca="1">IFERROR(__xludf.DUMMYFUNCTION("GOOGLETRANSLATE(English!F3915,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3915" s="1" t="str">
        <f ca="1">IFERROR(__xludf.DUMMYFUNCTION("GOOGLETRANSLATE(English!G3915, ""en"", ""bg"")"),"direct_qa")</f>
        <v>direct_qa</v>
      </c>
      <c r="H3915" s="1" t="str">
        <f ca="1">IFERROR(__xludf.DUMMYFUNCTION("GOOGLETRANSLATE(English!H3915, ""en"", ""bg"")"),"заявка_за_знание")</f>
        <v>заявка_за_знание</v>
      </c>
    </row>
    <row r="3916" spans="1:8" ht="13.2" x14ac:dyDescent="0.25">
      <c r="A3916" s="1" t="str">
        <f ca="1">IFERROR(__xludf.DUMMYFUNCTION("GOOGLETRANSLATE(English!A3916, ""en"", ""bg"")"),"conv_06157")</f>
        <v>conv_06157</v>
      </c>
      <c r="B3916" s="1" t="str">
        <f ca="1">IFERROR(__xludf.DUMMYFUNCTION("GOOGLETRANSLATE(English!B3916, ""en"", ""bg"")"),"биология")</f>
        <v>биология</v>
      </c>
      <c r="C3916" s="1" t="str">
        <f ca="1">IFERROR(__xludf.DUMMYFUNCTION("GOOGLETRANSLATE(English!C3916, ""en"", ""bg"")"),"средата")</f>
        <v>средата</v>
      </c>
      <c r="D3916" s="1" t="str">
        <f ca="1">IFERROR(__xludf.DUMMYFUNCTION("GOOGLETRANSLATE(English!D3916, ""en"", ""bg"")"),"класификация")</f>
        <v>класификация</v>
      </c>
      <c r="E3916" s="1" t="str">
        <f ca="1">IFERROR(__xludf.DUMMYFUNCTION("GOOGLETRANSLATE(English!E3916, ""en"", ""bg"")"),"Можете ли да ми помогнете? Как работи класификацията?")</f>
        <v>Можете ли да ми помогнете? Как работи класификацията?</v>
      </c>
      <c r="F3916" s="1" t="str">
        <f ca="1">IFERROR(__xludf.DUMMYFUNCTION("GOOGLETRANSLATE(English!F3916,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3916" s="1" t="str">
        <f ca="1">IFERROR(__xludf.DUMMYFUNCTION("GOOGLETRANSLATE(English!G3916, ""en"", ""bg"")"),"разговор")</f>
        <v>разговор</v>
      </c>
      <c r="H3916" s="1" t="str">
        <f ca="1">IFERROR(__xludf.DUMMYFUNCTION("GOOGLETRANSLATE(English!H3916, ""en"", ""bg"")"),"образователна_помощ")</f>
        <v>образователна_помощ</v>
      </c>
    </row>
    <row r="3917" spans="1:8" ht="13.2" x14ac:dyDescent="0.25">
      <c r="A3917" s="1" t="str">
        <f ca="1">IFERROR(__xludf.DUMMYFUNCTION("GOOGLETRANSLATE(English!A3917, ""en"", ""bg"")"),"qa_08993")</f>
        <v>qa_08993</v>
      </c>
      <c r="B3917" s="1" t="str">
        <f ca="1">IFERROR(__xludf.DUMMYFUNCTION("GOOGLETRANSLATE(English!B3917, ""en"", ""bg"")"),"химия")</f>
        <v>химия</v>
      </c>
      <c r="C3917" s="1" t="str">
        <f ca="1">IFERROR(__xludf.DUMMYFUNCTION("GOOGLETRANSLATE(English!C3917, ""en"", ""bg"")"),"елементарен")</f>
        <v>елементарен</v>
      </c>
      <c r="D3917" s="1" t="str">
        <f ca="1">IFERROR(__xludf.DUMMYFUNCTION("GOOGLETRANSLATE(English!D3917, ""en"", ""bg"")"),"ежедневни химикали")</f>
        <v>ежедневни химикали</v>
      </c>
      <c r="E3917" s="1" t="str">
        <f ca="1">IFERROR(__xludf.DUMMYFUNCTION("GOOGLETRANSLATE(English!E3917, ""en"", ""bg"")"),"Защо е важно да се изучават ежедневните химикали?")</f>
        <v>Защо е важно да се изучават ежедневните химикали?</v>
      </c>
      <c r="F3917" s="1" t="str">
        <f ca="1">IFERROR(__xludf.DUMMYFUNCTION("GOOGLETRANSLATE(English!F3917,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3917" s="1" t="str">
        <f ca="1">IFERROR(__xludf.DUMMYFUNCTION("GOOGLETRANSLATE(English!G3917, ""en"", ""bg"")"),"direct_qa")</f>
        <v>direct_qa</v>
      </c>
      <c r="H3917" s="1" t="str">
        <f ca="1">IFERROR(__xludf.DUMMYFUNCTION("GOOGLETRANSLATE(English!H3917, ""en"", ""bg"")"),"заявка_за_знание")</f>
        <v>заявка_за_знание</v>
      </c>
    </row>
    <row r="3918" spans="1:8" ht="13.2" x14ac:dyDescent="0.25">
      <c r="A3918" s="1" t="str">
        <f ca="1">IFERROR(__xludf.DUMMYFUNCTION("GOOGLETRANSLATE(English!A3918, ""en"", ""bg"")"),"hw_03962")</f>
        <v>hw_03962</v>
      </c>
      <c r="B3918" s="1" t="str">
        <f ca="1">IFERROR(__xludf.DUMMYFUNCTION("GOOGLETRANSLATE(English!B3918, ""en"", ""bg"")"),"физика")</f>
        <v>физика</v>
      </c>
      <c r="C3918" s="1" t="str">
        <f ca="1">IFERROR(__xludf.DUMMYFUNCTION("GOOGLETRANSLATE(English!C3918, ""en"", ""bg"")"),"средата")</f>
        <v>средата</v>
      </c>
      <c r="D3918" s="1" t="str">
        <f ca="1">IFERROR(__xludf.DUMMYFUNCTION("GOOGLETRANSLATE(English!D3918, ""en"", ""bg"")"),"вълни")</f>
        <v>вълни</v>
      </c>
      <c r="E3918" s="1" t="str">
        <f ca="1">IFERROR(__xludf.DUMMYFUNCTION("GOOGLETRANSLATE(English!E3918, ""en"", ""bg"")"),"Заседнал съм с този проблем с вълните. Можете ли да помогнете?")</f>
        <v>Заседнал съм с този проблем с вълните. Можете ли да помогнете?</v>
      </c>
      <c r="F3918" s="1" t="str">
        <f ca="1">IFERROR(__xludf.DUMMYFUNCTION("GOOGLETRANSLATE(English!F3918,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3918" s="1" t="str">
        <f ca="1">IFERROR(__xludf.DUMMYFUNCTION("GOOGLETRANSLATE(English!G3918, ""en"", ""bg"")"),"помощ_за_домашно_изпълнение")</f>
        <v>помощ_за_домашно_изпълнение</v>
      </c>
      <c r="H3918" s="1" t="str">
        <f ca="1">IFERROR(__xludf.DUMMYFUNCTION("GOOGLETRANSLATE(English!H3918, ""en"", ""bg"")"),"помощ_за_домашно_задаване")</f>
        <v>помощ_за_домашно_задаване</v>
      </c>
    </row>
    <row r="3919" spans="1:8" ht="13.2" x14ac:dyDescent="0.25">
      <c r="A3919" s="1" t="str">
        <f ca="1">IFERROR(__xludf.DUMMYFUNCTION("GOOGLETRANSLATE(English!A3919, ""en"", ""bg"")"),"qa_12009")</f>
        <v>qa_12009</v>
      </c>
      <c r="B3919" s="1" t="str">
        <f ca="1">IFERROR(__xludf.DUMMYFUNCTION("GOOGLETRANSLATE(English!B3919, ""en"", ""bg"")"),"физика")</f>
        <v>физика</v>
      </c>
      <c r="C3919" s="1" t="str">
        <f ca="1">IFERROR(__xludf.DUMMYFUNCTION("GOOGLETRANSLATE(English!C3919, ""en"", ""bg"")"),"високо")</f>
        <v>високо</v>
      </c>
      <c r="D3919" s="1" t="str">
        <f ca="1">IFERROR(__xludf.DUMMYFUNCTION("GOOGLETRANSLATE(English!D3919, ""en"", ""bg"")"),"електромагнетизъм")</f>
        <v>електромагнетизъм</v>
      </c>
      <c r="E3919" s="1" t="str">
        <f ca="1">IFERROR(__xludf.DUMMYFUNCTION("GOOGLETRANSLATE(English!E3919, ""en"", ""bg"")"),"Как работи електромагнетизмът във физиката?")</f>
        <v>Как работи електромагнетизмът във физиката?</v>
      </c>
      <c r="F3919" s="1" t="str">
        <f ca="1">IFERROR(__xludf.DUMMYFUNCTION("GOOGLETRANSLATE(English!F3919,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3919" s="1" t="str">
        <f ca="1">IFERROR(__xludf.DUMMYFUNCTION("GOOGLETRANSLATE(English!G3919, ""en"", ""bg"")"),"direct_qa")</f>
        <v>direct_qa</v>
      </c>
      <c r="H3919" s="1" t="str">
        <f ca="1">IFERROR(__xludf.DUMMYFUNCTION("GOOGLETRANSLATE(English!H3919, ""en"", ""bg"")"),"заявка_за_знание")</f>
        <v>заявка_за_знание</v>
      </c>
    </row>
    <row r="3920" spans="1:8" ht="13.2" x14ac:dyDescent="0.25">
      <c r="A3920" s="1" t="str">
        <f ca="1">IFERROR(__xludf.DUMMYFUNCTION("GOOGLETRANSLATE(English!A3920, ""en"", ""bg"")"),"qa_08912")</f>
        <v>qa_08912</v>
      </c>
      <c r="B3920" s="1" t="str">
        <f ca="1">IFERROR(__xludf.DUMMYFUNCTION("GOOGLETRANSLATE(English!B3920, ""en"", ""bg"")"),"физика")</f>
        <v>физика</v>
      </c>
      <c r="C3920" s="1" t="str">
        <f ca="1">IFERROR(__xludf.DUMMYFUNCTION("GOOGLETRANSLATE(English!C3920, ""en"", ""bg"")"),"високо")</f>
        <v>високо</v>
      </c>
      <c r="D3920" s="1" t="str">
        <f ca="1">IFERROR(__xludf.DUMMYFUNCTION("GOOGLETRANSLATE(English!D3920, ""en"", ""bg"")"),"електромагнетизъм")</f>
        <v>електромагнетизъм</v>
      </c>
      <c r="E3920" s="1" t="str">
        <f ca="1">IFERROR(__xludf.DUMMYFUNCTION("GOOGLETRANSLATE(English!E3920, ""en"", ""bg"")"),"Можете ли да ми обясните електромагнетизма?")</f>
        <v>Можете ли да ми обясните електромагнетизма?</v>
      </c>
      <c r="F3920" s="1" t="str">
        <f ca="1">IFERROR(__xludf.DUMMYFUNCTION("GOOGLETRANSLATE(English!F3920,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3920" s="1" t="str">
        <f ca="1">IFERROR(__xludf.DUMMYFUNCTION("GOOGLETRANSLATE(English!G3920, ""en"", ""bg"")"),"direct_qa")</f>
        <v>direct_qa</v>
      </c>
      <c r="H3920" s="1" t="str">
        <f ca="1">IFERROR(__xludf.DUMMYFUNCTION("GOOGLETRANSLATE(English!H3920, ""en"", ""bg"")"),"заявка_за_знание")</f>
        <v>заявка_за_знание</v>
      </c>
    </row>
    <row r="3921" spans="1:8" ht="13.2" x14ac:dyDescent="0.25">
      <c r="A3921" s="1" t="str">
        <f ca="1">IFERROR(__xludf.DUMMYFUNCTION("GOOGLETRANSLATE(English!A3921, ""en"", ""bg"")"),"qa_01643")</f>
        <v>qa_01643</v>
      </c>
      <c r="B3921" s="1" t="str">
        <f ca="1">IFERROR(__xludf.DUMMYFUNCTION("GOOGLETRANSLATE(English!B3921, ""en"", ""bg"")"),"химия")</f>
        <v>химия</v>
      </c>
      <c r="C3921" s="1" t="str">
        <f ca="1">IFERROR(__xludf.DUMMYFUNCTION("GOOGLETRANSLATE(English!C3921, ""en"", ""bg"")"),"елементарен")</f>
        <v>елементарен</v>
      </c>
      <c r="D3921" s="1" t="str">
        <f ca="1">IFERROR(__xludf.DUMMYFUNCTION("GOOGLETRANSLATE(English!D3921, ""en"", ""bg"")"),"разтваряне")</f>
        <v>разтваряне</v>
      </c>
      <c r="E3921" s="1" t="str">
        <f ca="1">IFERROR(__xludf.DUMMYFUNCTION("GOOGLETRANSLATE(English!E3921, ""en"", ""bg"")"),"Защо е важно да се научим да разтваряме?")</f>
        <v>Защо е важно да се научим да разтваряме?</v>
      </c>
      <c r="F3921" s="1" t="str">
        <f ca="1">IFERROR(__xludf.DUMMYFUNCTION("GOOGLETRANSLATE(English!F3921,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3921" s="1" t="str">
        <f ca="1">IFERROR(__xludf.DUMMYFUNCTION("GOOGLETRANSLATE(English!G3921, ""en"", ""bg"")"),"direct_qa")</f>
        <v>direct_qa</v>
      </c>
      <c r="H3921" s="1" t="str">
        <f ca="1">IFERROR(__xludf.DUMMYFUNCTION("GOOGLETRANSLATE(English!H3921, ""en"", ""bg"")"),"заявка_за_знание")</f>
        <v>заявка_за_знание</v>
      </c>
    </row>
    <row r="3922" spans="1:8" ht="13.2" x14ac:dyDescent="0.25">
      <c r="A3922" s="1" t="str">
        <f ca="1">IFERROR(__xludf.DUMMYFUNCTION("GOOGLETRANSLATE(English!A3922, ""en"", ""bg"")"),"hw_01049")</f>
        <v>hw_01049</v>
      </c>
      <c r="B3922" s="1" t="str">
        <f ca="1">IFERROR(__xludf.DUMMYFUNCTION("GOOGLETRANSLATE(English!B3922, ""en"", ""bg"")"),"биология")</f>
        <v>биология</v>
      </c>
      <c r="C3922" s="1" t="str">
        <f ca="1">IFERROR(__xludf.DUMMYFUNCTION("GOOGLETRANSLATE(English!C3922, ""en"", ""bg"")"),"високо")</f>
        <v>високо</v>
      </c>
      <c r="D3922" s="1" t="str">
        <f ca="1">IFERROR(__xludf.DUMMYFUNCTION("GOOGLETRANSLATE(English!D3922, ""en"", ""bg"")"),"молекулярна биология")</f>
        <v>молекулярна биология</v>
      </c>
      <c r="E3922" s="1" t="str">
        <f ca="1">IFERROR(__xludf.DUMMYFUNCTION("GOOGLETRANSLATE(English!E3922,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3922" s="1" t="str">
        <f ca="1">IFERROR(__xludf.DUMMYFUNCTION("GOOGLETRANSLATE(English!F3922,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3922" s="1" t="str">
        <f ca="1">IFERROR(__xludf.DUMMYFUNCTION("GOOGLETRANSLATE(English!G3922, ""en"", ""bg"")"),"помощ_за_домашно_изпълнение")</f>
        <v>помощ_за_домашно_изпълнение</v>
      </c>
      <c r="H3922" s="1" t="str">
        <f ca="1">IFERROR(__xludf.DUMMYFUNCTION("GOOGLETRANSLATE(English!H3922, ""en"", ""bg"")"),"помощ_за_домашно_задаване")</f>
        <v>помощ_за_домашно_задаване</v>
      </c>
    </row>
    <row r="3923" spans="1:8" ht="13.2" x14ac:dyDescent="0.25">
      <c r="A3923" s="1" t="str">
        <f ca="1">IFERROR(__xludf.DUMMYFUNCTION("GOOGLETRANSLATE(English!A3923, ""en"", ""bg"")"),"qa_14003")</f>
        <v>qa_14003</v>
      </c>
      <c r="B3923" s="1" t="str">
        <f ca="1">IFERROR(__xludf.DUMMYFUNCTION("GOOGLETRANSLATE(English!B3923, ""en"", ""bg"")"),"физика")</f>
        <v>физика</v>
      </c>
      <c r="C3923" s="1" t="str">
        <f ca="1">IFERROR(__xludf.DUMMYFUNCTION("GOOGLETRANSLATE(English!C3923, ""en"", ""bg"")"),"елементарен")</f>
        <v>елементарен</v>
      </c>
      <c r="D3923" s="1" t="str">
        <f ca="1">IFERROR(__xludf.DUMMYFUNCTION("GOOGLETRANSLATE(English!D3923, ""en"", ""bg"")"),"звук")</f>
        <v>звук</v>
      </c>
      <c r="E3923" s="1" t="str">
        <f ca="1">IFERROR(__xludf.DUMMYFUNCTION("GOOGLETRANSLATE(English!E3923, ""en"", ""bg"")"),"Защо звукът е важен?")</f>
        <v>Защо звукът е важен?</v>
      </c>
      <c r="F3923" s="1" t="str">
        <f ca="1">IFERROR(__xludf.DUMMYFUNCTION("GOOGLETRANSLATE(English!F3923,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3923" s="1" t="str">
        <f ca="1">IFERROR(__xludf.DUMMYFUNCTION("GOOGLETRANSLATE(English!G3923, ""en"", ""bg"")"),"direct_qa")</f>
        <v>direct_qa</v>
      </c>
      <c r="H3923" s="1" t="str">
        <f ca="1">IFERROR(__xludf.DUMMYFUNCTION("GOOGLETRANSLATE(English!H3923, ""en"", ""bg"")"),"заявка_за_знание")</f>
        <v>заявка_за_знание</v>
      </c>
    </row>
    <row r="3924" spans="1:8" ht="13.2" x14ac:dyDescent="0.25">
      <c r="A3924" s="1" t="str">
        <f ca="1">IFERROR(__xludf.DUMMYFUNCTION("GOOGLETRANSLATE(English!A3924, ""en"", ""bg"")"),"hw_14875")</f>
        <v>hw_14875</v>
      </c>
      <c r="B3924" s="1" t="str">
        <f ca="1">IFERROR(__xludf.DUMMYFUNCTION("GOOGLETRANSLATE(English!B3924, ""en"", ""bg"")"),"химия")</f>
        <v>химия</v>
      </c>
      <c r="C3924" s="1" t="str">
        <f ca="1">IFERROR(__xludf.DUMMYFUNCTION("GOOGLETRANSLATE(English!C3924, ""en"", ""bg"")"),"елементарен")</f>
        <v>елементарен</v>
      </c>
      <c r="D3924" s="1" t="str">
        <f ca="1">IFERROR(__xludf.DUMMYFUNCTION("GOOGLETRANSLATE(English!D3924, ""en"", ""bg"")"),"смесване на материали")</f>
        <v>смесване на материали</v>
      </c>
      <c r="E3924" s="1" t="str">
        <f ca="1">IFERROR(__xludf.DUMMYFUNCTION("GOOGLETRANSLATE(English!E3924, ""en"", ""bg"")"),"Трудно ми е да смесвам материали в домашните си.")</f>
        <v>Трудно ми е да смесвам материали в домашните си.</v>
      </c>
      <c r="F3924" s="1" t="str">
        <f ca="1">IFERROR(__xludf.DUMMYFUNCTION("GOOGLETRANSLATE(English!F3924,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924" s="1" t="str">
        <f ca="1">IFERROR(__xludf.DUMMYFUNCTION("GOOGLETRANSLATE(English!G3924, ""en"", ""bg"")"),"помощ_за_домашно_изпълнение")</f>
        <v>помощ_за_домашно_изпълнение</v>
      </c>
      <c r="H3924" s="1" t="str">
        <f ca="1">IFERROR(__xludf.DUMMYFUNCTION("GOOGLETRANSLATE(English!H3924, ""en"", ""bg"")"),"помощ_за_домашно_задаване")</f>
        <v>помощ_за_домашно_задаване</v>
      </c>
    </row>
    <row r="3925" spans="1:8" ht="13.2" x14ac:dyDescent="0.25">
      <c r="A3925" s="1" t="str">
        <f ca="1">IFERROR(__xludf.DUMMYFUNCTION("GOOGLETRANSLATE(English!A3925, ""en"", ""bg"")"),"conv_12652")</f>
        <v>conv_12652</v>
      </c>
      <c r="B3925" s="1" t="str">
        <f ca="1">IFERROR(__xludf.DUMMYFUNCTION("GOOGLETRANSLATE(English!B3925, ""en"", ""bg"")"),"биология")</f>
        <v>биология</v>
      </c>
      <c r="C3925" s="1" t="str">
        <f ca="1">IFERROR(__xludf.DUMMYFUNCTION("GOOGLETRANSLATE(English!C3925, ""en"", ""bg"")"),"елементарен")</f>
        <v>елементарен</v>
      </c>
      <c r="D3925" s="1" t="str">
        <f ca="1">IFERROR(__xludf.DUMMYFUNCTION("GOOGLETRANSLATE(English!D3925, ""en"", ""bg"")"),"домашни любимци срещу диви животни")</f>
        <v>домашни любимци срещу диви животни</v>
      </c>
      <c r="E3925" s="1" t="str">
        <f ca="1">IFERROR(__xludf.DUMMYFUNCTION("GOOGLETRANSLATE(English!E3925, ""en"", ""bg"")"),"Помогнете ми да уча за теста. Какво е важно да знам за домашните любимци спрямо дивите животни?")</f>
        <v>Помогнете ми да уча за теста. Какво е важно да знам за домашните любимци спрямо дивите животни?</v>
      </c>
      <c r="F3925" s="1" t="str">
        <f ca="1">IFERROR(__xludf.DUMMYFUNCTION("GOOGLETRANSLATE(English!F3925,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3925" s="1" t="str">
        <f ca="1">IFERROR(__xludf.DUMMYFUNCTION("GOOGLETRANSLATE(English!G3925, ""en"", ""bg"")"),"разговор")</f>
        <v>разговор</v>
      </c>
      <c r="H3925" s="1" t="str">
        <f ca="1">IFERROR(__xludf.DUMMYFUNCTION("GOOGLETRANSLATE(English!H3925, ""en"", ""bg"")"),"образователна_помощ")</f>
        <v>образователна_помощ</v>
      </c>
    </row>
    <row r="3926" spans="1:8" ht="13.2" x14ac:dyDescent="0.25">
      <c r="A3926" s="1" t="str">
        <f ca="1">IFERROR(__xludf.DUMMYFUNCTION("GOOGLETRANSLATE(English!A3926, ""en"", ""bg"")"),"conv_10425")</f>
        <v>conv_10425</v>
      </c>
      <c r="B3926" s="1" t="str">
        <f ca="1">IFERROR(__xludf.DUMMYFUNCTION("GOOGLETRANSLATE(English!B3926, ""en"", ""bg"")"),"химия")</f>
        <v>химия</v>
      </c>
      <c r="C3926" s="1" t="str">
        <f ca="1">IFERROR(__xludf.DUMMYFUNCTION("GOOGLETRANSLATE(English!C3926, ""en"", ""bg"")"),"средата")</f>
        <v>средата</v>
      </c>
      <c r="D3926" s="1" t="str">
        <f ca="1">IFERROR(__xludf.DUMMYFUNCTION("GOOGLETRANSLATE(English!D3926, ""en"", ""bg"")"),"съединения срещу елементи")</f>
        <v>съединения срещу елементи</v>
      </c>
      <c r="E3926" s="1" t="str">
        <f ca="1">IFERROR(__xludf.DUMMYFUNCTION("GOOGLETRANSLATE(English!E3926, ""en"", ""bg"")"),"Можете ли да ми помогнете? Как взаимодействат съединенията и елементите в химията?")</f>
        <v>Можете ли да ми помогнете? Как взаимодействат съединенията и елементите в химията?</v>
      </c>
      <c r="F3926" s="1" t="str">
        <f ca="1">IFERROR(__xludf.DUMMYFUNCTION("GOOGLETRANSLATE(English!F3926,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3926" s="1" t="str">
        <f ca="1">IFERROR(__xludf.DUMMYFUNCTION("GOOGLETRANSLATE(English!G3926, ""en"", ""bg"")"),"разговор")</f>
        <v>разговор</v>
      </c>
      <c r="H3926" s="1" t="str">
        <f ca="1">IFERROR(__xludf.DUMMYFUNCTION("GOOGLETRANSLATE(English!H3926, ""en"", ""bg"")"),"образователна_помощ")</f>
        <v>образователна_помощ</v>
      </c>
    </row>
    <row r="3927" spans="1:8" ht="13.2" x14ac:dyDescent="0.25">
      <c r="A3927" s="1" t="str">
        <f ca="1">IFERROR(__xludf.DUMMYFUNCTION("GOOGLETRANSLATE(English!A3927, ""en"", ""bg"")"),"conv_13499")</f>
        <v>conv_13499</v>
      </c>
      <c r="B3927" s="1" t="str">
        <f ca="1">IFERROR(__xludf.DUMMYFUNCTION("GOOGLETRANSLATE(English!B3927, ""en"", ""bg"")"),"химия")</f>
        <v>химия</v>
      </c>
      <c r="C3927" s="1" t="str">
        <f ca="1">IFERROR(__xludf.DUMMYFUNCTION("GOOGLETRANSLATE(English!C3927, ""en"", ""bg"")"),"елементарен")</f>
        <v>елементарен</v>
      </c>
      <c r="D3927" s="1" t="str">
        <f ca="1">IFERROR(__xludf.DUMMYFUNCTION("GOOGLETRANSLATE(English!D3927, ""en"", ""bg"")"),"разтваряне")</f>
        <v>разтваряне</v>
      </c>
      <c r="E3927" s="1" t="str">
        <f ca="1">IFERROR(__xludf.DUMMYFUNCTION("GOOGLETRANSLATE(English!E3927, ""en"", ""bg"")"),"Можете ли да ми помогнете? Защо е важно да се научим да разтваряме?")</f>
        <v>Можете ли да ми помогнете? Защо е важно да се научим да разтваряме?</v>
      </c>
      <c r="F3927" s="1" t="str">
        <f ca="1">IFERROR(__xludf.DUMMYFUNCTION("GOOGLETRANSLATE(English!F3927,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3927" s="1" t="str">
        <f ca="1">IFERROR(__xludf.DUMMYFUNCTION("GOOGLETRANSLATE(English!G3927, ""en"", ""bg"")"),"разговор")</f>
        <v>разговор</v>
      </c>
      <c r="H3927" s="1" t="str">
        <f ca="1">IFERROR(__xludf.DUMMYFUNCTION("GOOGLETRANSLATE(English!H3927, ""en"", ""bg"")"),"образователна_помощ")</f>
        <v>образователна_помощ</v>
      </c>
    </row>
    <row r="3928" spans="1:8" ht="13.2" x14ac:dyDescent="0.25">
      <c r="A3928" s="1" t="str">
        <f ca="1">IFERROR(__xludf.DUMMYFUNCTION("GOOGLETRANSLATE(English!A3928, ""en"", ""bg"")"),"conv_09032")</f>
        <v>conv_09032</v>
      </c>
      <c r="B3928" s="1" t="str">
        <f ca="1">IFERROR(__xludf.DUMMYFUNCTION("GOOGLETRANSLATE(English!B3928, ""en"", ""bg"")"),"биология")</f>
        <v>биология</v>
      </c>
      <c r="C3928" s="1" t="str">
        <f ca="1">IFERROR(__xludf.DUMMYFUNCTION("GOOGLETRANSLATE(English!C3928, ""en"", ""bg"")"),"средата")</f>
        <v>средата</v>
      </c>
      <c r="D3928" s="1" t="str">
        <f ca="1">IFERROR(__xludf.DUMMYFUNCTION("GOOGLETRANSLATE(English!D3928, ""en"", ""bg"")"),"класификация")</f>
        <v>класификация</v>
      </c>
      <c r="E3928" s="1" t="str">
        <f ca="1">IFERROR(__xludf.DUMMYFUNCTION("GOOGLETRANSLATE(English!E3928, ""en"", ""bg"")"),"Можете ли да ми обясните това? Как работи класификацията?")</f>
        <v>Можете ли да ми обясните това? Как работи класификацията?</v>
      </c>
      <c r="F3928" s="1" t="str">
        <f ca="1">IFERROR(__xludf.DUMMYFUNCTION("GOOGLETRANSLATE(English!F3928, ""en"", ""bg"")"),"Класификацията работи чрез естествени процеси, които учените изучават в продължение на много години.")</f>
        <v>Класификацията работи чрез естествени процеси, които учените изучават в продължение на много години.</v>
      </c>
      <c r="G3928" s="1" t="str">
        <f ca="1">IFERROR(__xludf.DUMMYFUNCTION("GOOGLETRANSLATE(English!G3928, ""en"", ""bg"")"),"разговор")</f>
        <v>разговор</v>
      </c>
      <c r="H3928" s="1" t="str">
        <f ca="1">IFERROR(__xludf.DUMMYFUNCTION("GOOGLETRANSLATE(English!H3928, ""en"", ""bg"")"),"образователна_помощ")</f>
        <v>образователна_помощ</v>
      </c>
    </row>
    <row r="3929" spans="1:8" ht="13.2" x14ac:dyDescent="0.25">
      <c r="A3929" s="1" t="str">
        <f ca="1">IFERROR(__xludf.DUMMYFUNCTION("GOOGLETRANSLATE(English!A3929, ""en"", ""bg"")"),"qa_10252")</f>
        <v>qa_10252</v>
      </c>
      <c r="B3929" s="1" t="str">
        <f ca="1">IFERROR(__xludf.DUMMYFUNCTION("GOOGLETRANSLATE(English!B3929, ""en"", ""bg"")"),"химия")</f>
        <v>химия</v>
      </c>
      <c r="C3929" s="1" t="str">
        <f ca="1">IFERROR(__xludf.DUMMYFUNCTION("GOOGLETRANSLATE(English!C3929, ""en"", ""bg"")"),"елементарен")</f>
        <v>елементарен</v>
      </c>
      <c r="D3929" s="1" t="str">
        <f ca="1">IFERROR(__xludf.DUMMYFUNCTION("GOOGLETRANSLATE(English!D3929, ""en"", ""bg"")"),"разтваряне")</f>
        <v>разтваряне</v>
      </c>
      <c r="E3929" s="1" t="str">
        <f ca="1">IFERROR(__xludf.DUMMYFUNCTION("GOOGLETRANSLATE(English!E3929, ""en"", ""bg"")"),"Какво е разтварянето?")</f>
        <v>Какво е разтварянето?</v>
      </c>
      <c r="F3929" s="1" t="str">
        <f ca="1">IFERROR(__xludf.DUMMYFUNCTION("GOOGLETRANSLATE(English!F3929,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3929" s="1" t="str">
        <f ca="1">IFERROR(__xludf.DUMMYFUNCTION("GOOGLETRANSLATE(English!G3929, ""en"", ""bg"")"),"direct_qa")</f>
        <v>direct_qa</v>
      </c>
      <c r="H3929" s="1" t="str">
        <f ca="1">IFERROR(__xludf.DUMMYFUNCTION("GOOGLETRANSLATE(English!H3929, ""en"", ""bg"")"),"заявка_за_знание")</f>
        <v>заявка_за_знание</v>
      </c>
    </row>
    <row r="3930" spans="1:8" ht="13.2" x14ac:dyDescent="0.25">
      <c r="A3930" s="1" t="str">
        <f ca="1">IFERROR(__xludf.DUMMYFUNCTION("GOOGLETRANSLATE(English!A3930, ""en"", ""bg"")"),"qa_03354")</f>
        <v>qa_03354</v>
      </c>
      <c r="B3930" s="1" t="str">
        <f ca="1">IFERROR(__xludf.DUMMYFUNCTION("GOOGLETRANSLATE(English!B3930, ""en"", ""bg"")"),"биология")</f>
        <v>биология</v>
      </c>
      <c r="C3930" s="1" t="str">
        <f ca="1">IFERROR(__xludf.DUMMYFUNCTION("GOOGLETRANSLATE(English!C3930, ""en"", ""bg"")"),"високо")</f>
        <v>високо</v>
      </c>
      <c r="D3930" s="1" t="str">
        <f ca="1">IFERROR(__xludf.DUMMYFUNCTION("GOOGLETRANSLATE(English!D3930, ""en"", ""bg"")"),"молекулярна биология")</f>
        <v>молекулярна биология</v>
      </c>
      <c r="E3930" s="1" t="str">
        <f ca="1">IFERROR(__xludf.DUMMYFUNCTION("GOOGLETRANSLATE(English!E3930, ""en"", ""bg"")"),"Какво е важно да знаем за молекулярната биология?")</f>
        <v>Какво е важно да знаем за молекулярната биология?</v>
      </c>
      <c r="F3930" s="1" t="str">
        <f ca="1">IFERROR(__xludf.DUMMYFUNCTION("GOOGLETRANSLATE(English!F3930,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3930" s="1" t="str">
        <f ca="1">IFERROR(__xludf.DUMMYFUNCTION("GOOGLETRANSLATE(English!G3930, ""en"", ""bg"")"),"direct_qa")</f>
        <v>direct_qa</v>
      </c>
      <c r="H3930" s="1" t="str">
        <f ca="1">IFERROR(__xludf.DUMMYFUNCTION("GOOGLETRANSLATE(English!H3930, ""en"", ""bg"")"),"заявка_за_знание")</f>
        <v>заявка_за_знание</v>
      </c>
    </row>
    <row r="3931" spans="1:8" ht="13.2" x14ac:dyDescent="0.25">
      <c r="A3931" s="1" t="str">
        <f ca="1">IFERROR(__xludf.DUMMYFUNCTION("GOOGLETRANSLATE(English!A3931, ""en"", ""bg"")"),"conv_02433")</f>
        <v>conv_02433</v>
      </c>
      <c r="B3931" s="1" t="str">
        <f ca="1">IFERROR(__xludf.DUMMYFUNCTION("GOOGLETRANSLATE(English!B3931, ""en"", ""bg"")"),"биология")</f>
        <v>биология</v>
      </c>
      <c r="C3931" s="1" t="str">
        <f ca="1">IFERROR(__xludf.DUMMYFUNCTION("GOOGLETRANSLATE(English!C3931, ""en"", ""bg"")"),"елементарен")</f>
        <v>елементарен</v>
      </c>
      <c r="D3931" s="1" t="str">
        <f ca="1">IFERROR(__xludf.DUMMYFUNCTION("GOOGLETRANSLATE(English!D3931, ""en"", ""bg"")"),"основни нужди")</f>
        <v>основни нужди</v>
      </c>
      <c r="E3931" s="1" t="str">
        <f ca="1">IFERROR(__xludf.DUMMYFUNCTION("GOOGLETRANSLATE(English!E3931, ""en"", ""bg"")"),"Здравей, преподавател! Можеш ли да ми кажеш за основните нужди?")</f>
        <v>Здравей, преподавател! Можеш ли да ми кажеш за основните нужди?</v>
      </c>
      <c r="F3931" s="1" t="str">
        <f ca="1">IFERROR(__xludf.DUMMYFUNCTION("GOOGLETRANSLATE(English!F3931,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3931" s="1" t="str">
        <f ca="1">IFERROR(__xludf.DUMMYFUNCTION("GOOGLETRANSLATE(English!G3931, ""en"", ""bg"")"),"разговор")</f>
        <v>разговор</v>
      </c>
      <c r="H3931" s="1" t="str">
        <f ca="1">IFERROR(__xludf.DUMMYFUNCTION("GOOGLETRANSLATE(English!H3931, ""en"", ""bg"")"),"образователна_помощ")</f>
        <v>образователна_помощ</v>
      </c>
    </row>
    <row r="3932" spans="1:8" ht="13.2" x14ac:dyDescent="0.25">
      <c r="A3932" s="1" t="str">
        <f ca="1">IFERROR(__xludf.DUMMYFUNCTION("GOOGLETRANSLATE(English!A3932, ""en"", ""bg"")"),"hw_01618")</f>
        <v>hw_01618</v>
      </c>
      <c r="B3932" s="1" t="str">
        <f ca="1">IFERROR(__xludf.DUMMYFUNCTION("GOOGLETRANSLATE(English!B3932, ""en"", ""bg"")"),"биология")</f>
        <v>биология</v>
      </c>
      <c r="C3932" s="1" t="str">
        <f ca="1">IFERROR(__xludf.DUMMYFUNCTION("GOOGLETRANSLATE(English!C3932, ""en"", ""bg"")"),"елементарен")</f>
        <v>елементарен</v>
      </c>
      <c r="D3932" s="1" t="str">
        <f ca="1">IFERROR(__xludf.DUMMYFUNCTION("GOOGLETRANSLATE(English!D3932, ""en"", ""bg"")"),"хранителни вериги")</f>
        <v>хранителни вериги</v>
      </c>
      <c r="E3932" s="1" t="str">
        <f ca="1">IFERROR(__xludf.DUMMYFUNCTION("GOOGLETRANSLATE(English!E3932,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3932" s="1" t="str">
        <f ca="1">IFERROR(__xludf.DUMMYFUNCTION("GOOGLETRANSLATE(English!F3932,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3932" s="1" t="str">
        <f ca="1">IFERROR(__xludf.DUMMYFUNCTION("GOOGLETRANSLATE(English!G3932, ""en"", ""bg"")"),"помощ_за_домашно_изпълнение")</f>
        <v>помощ_за_домашно_изпълнение</v>
      </c>
      <c r="H3932" s="1" t="str">
        <f ca="1">IFERROR(__xludf.DUMMYFUNCTION("GOOGLETRANSLATE(English!H3932, ""en"", ""bg"")"),"помощ_за_домашно_задаване")</f>
        <v>помощ_за_домашно_задаване</v>
      </c>
    </row>
    <row r="3933" spans="1:8" ht="13.2" x14ac:dyDescent="0.25">
      <c r="A3933" s="1" t="str">
        <f ca="1">IFERROR(__xludf.DUMMYFUNCTION("GOOGLETRANSLATE(English!A3933, ""en"", ""bg"")"),"qa_04304")</f>
        <v>qa_04304</v>
      </c>
      <c r="B3933" s="1" t="str">
        <f ca="1">IFERROR(__xludf.DUMMYFUNCTION("GOOGLETRANSLATE(English!B3933, ""en"", ""bg"")"),"физика")</f>
        <v>физика</v>
      </c>
      <c r="C3933" s="1" t="str">
        <f ca="1">IFERROR(__xludf.DUMMYFUNCTION("GOOGLETRANSLATE(English!C3933, ""en"", ""bg"")"),"елементарен")</f>
        <v>елементарен</v>
      </c>
      <c r="D3933" s="1" t="str">
        <f ca="1">IFERROR(__xludf.DUMMYFUNCTION("GOOGLETRANSLATE(English!D3933, ""en"", ""bg"")"),"бутане и дърпане")</f>
        <v>бутане и дърпане</v>
      </c>
      <c r="E3933" s="1" t="str">
        <f ca="1">IFERROR(__xludf.DUMMYFUNCTION("GOOGLETRANSLATE(English!E3933, ""en"", ""bg"")"),"Как работят бутането и дърпането във физиката?")</f>
        <v>Как работят бутането и дърпането във физиката?</v>
      </c>
      <c r="F3933" s="1" t="str">
        <f ca="1">IFERROR(__xludf.DUMMYFUNCTION("GOOGLETRANSLATE(English!F3933,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3933" s="1" t="str">
        <f ca="1">IFERROR(__xludf.DUMMYFUNCTION("GOOGLETRANSLATE(English!G3933, ""en"", ""bg"")"),"direct_qa")</f>
        <v>direct_qa</v>
      </c>
      <c r="H3933" s="1" t="str">
        <f ca="1">IFERROR(__xludf.DUMMYFUNCTION("GOOGLETRANSLATE(English!H3933, ""en"", ""bg"")"),"заявка_за_знание")</f>
        <v>заявка_за_знание</v>
      </c>
    </row>
    <row r="3934" spans="1:8" ht="13.2" x14ac:dyDescent="0.25">
      <c r="A3934" s="1" t="str">
        <f ca="1">IFERROR(__xludf.DUMMYFUNCTION("GOOGLETRANSLATE(English!A3934, ""en"", ""bg"")"),"qa_07042")</f>
        <v>qa_07042</v>
      </c>
      <c r="B3934" s="1" t="str">
        <f ca="1">IFERROR(__xludf.DUMMYFUNCTION("GOOGLETRANSLATE(English!B3934, ""en"", ""bg"")"),"физика")</f>
        <v>физика</v>
      </c>
      <c r="C3934" s="1" t="str">
        <f ca="1">IFERROR(__xludf.DUMMYFUNCTION("GOOGLETRANSLATE(English!C3934, ""en"", ""bg"")"),"средата")</f>
        <v>средата</v>
      </c>
      <c r="D3934" s="1" t="str">
        <f ca="1">IFERROR(__xludf.DUMMYFUNCTION("GOOGLETRANSLATE(English!D3934, ""en"", ""bg"")"),"състояния на материята")</f>
        <v>състояния на материята</v>
      </c>
      <c r="E3934" s="1" t="str">
        <f ca="1">IFERROR(__xludf.DUMMYFUNCTION("GOOGLETRANSLATE(English!E3934, ""en"", ""bg"")"),"Можете ли да ми обясните състоянията на материята?")</f>
        <v>Можете ли да ми обясните състоянията на материята?</v>
      </c>
      <c r="F3934" s="1" t="str">
        <f ca="1">IFERROR(__xludf.DUMMYFUNCTION("GOOGLETRANSLATE(English!F3934,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3934" s="1" t="str">
        <f ca="1">IFERROR(__xludf.DUMMYFUNCTION("GOOGLETRANSLATE(English!G3934, ""en"", ""bg"")"),"direct_qa")</f>
        <v>direct_qa</v>
      </c>
      <c r="H3934" s="1" t="str">
        <f ca="1">IFERROR(__xludf.DUMMYFUNCTION("GOOGLETRANSLATE(English!H3934, ""en"", ""bg"")"),"заявка_за_знание")</f>
        <v>заявка_за_знание</v>
      </c>
    </row>
    <row r="3935" spans="1:8" ht="13.2" x14ac:dyDescent="0.25">
      <c r="A3935" s="1" t="str">
        <f ca="1">IFERROR(__xludf.DUMMYFUNCTION("GOOGLETRANSLATE(English!A3935, ""en"", ""bg"")"),"conv_19826")</f>
        <v>conv_19826</v>
      </c>
      <c r="B3935" s="1" t="str">
        <f ca="1">IFERROR(__xludf.DUMMYFUNCTION("GOOGLETRANSLATE(English!B3935, ""en"", ""bg"")"),"биология")</f>
        <v>биология</v>
      </c>
      <c r="C3935" s="1" t="str">
        <f ca="1">IFERROR(__xludf.DUMMYFUNCTION("GOOGLETRANSLATE(English!C3935, ""en"", ""bg"")"),"елементарен")</f>
        <v>елементарен</v>
      </c>
      <c r="D3935" s="1" t="str">
        <f ca="1">IFERROR(__xludf.DUMMYFUNCTION("GOOGLETRANSLATE(English!D3935, ""en"", ""bg"")"),"домашни любимци срещу диви животни")</f>
        <v>домашни любимци срещу диви животни</v>
      </c>
      <c r="E3935" s="1" t="str">
        <f ca="1">IFERROR(__xludf.DUMMYFUNCTION("GOOGLETRANSLATE(English!E3935, ""en"", ""bg"")"),"Можете ли да ми помогнете? Как се различават домашните любимци от дивите животни?")</f>
        <v>Можете ли да ми помогнете? Как се различават домашните любимци от дивите животни?</v>
      </c>
      <c r="F3935" s="1" t="str">
        <f ca="1">IFERROR(__xludf.DUMMYFUNCTION("GOOGLETRANSLATE(English!F3935,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3935" s="1" t="str">
        <f ca="1">IFERROR(__xludf.DUMMYFUNCTION("GOOGLETRANSLATE(English!G3935, ""en"", ""bg"")"),"разговор")</f>
        <v>разговор</v>
      </c>
      <c r="H3935" s="1" t="str">
        <f ca="1">IFERROR(__xludf.DUMMYFUNCTION("GOOGLETRANSLATE(English!H3935, ""en"", ""bg"")"),"образователна_помощ")</f>
        <v>образователна_помощ</v>
      </c>
    </row>
    <row r="3936" spans="1:8" ht="13.2" x14ac:dyDescent="0.25">
      <c r="A3936" s="1" t="str">
        <f ca="1">IFERROR(__xludf.DUMMYFUNCTION("GOOGLETRANSLATE(English!A3936, ""en"", ""bg"")"),"conv_16799")</f>
        <v>conv_16799</v>
      </c>
      <c r="B3936" s="1" t="str">
        <f ca="1">IFERROR(__xludf.DUMMYFUNCTION("GOOGLETRANSLATE(English!B3936, ""en"", ""bg"")"),"физика")</f>
        <v>физика</v>
      </c>
      <c r="C3936" s="1" t="str">
        <f ca="1">IFERROR(__xludf.DUMMYFUNCTION("GOOGLETRANSLATE(English!C3936, ""en"", ""bg"")"),"високо")</f>
        <v>високо</v>
      </c>
      <c r="D3936" s="1" t="str">
        <f ca="1">IFERROR(__xludf.DUMMYFUNCTION("GOOGLETRANSLATE(English!D3936, ""en"", ""bg"")"),"термодинамика")</f>
        <v>термодинамика</v>
      </c>
      <c r="E3936" s="1" t="str">
        <f ca="1">IFERROR(__xludf.DUMMYFUNCTION("GOOGLETRANSLATE(English!E3936, ""en"", ""bg"")"),"Имам научен въпрос: Какво трябва да знам за термодинамиката?")</f>
        <v>Имам научен въпрос: Какво трябва да знам за термодинамиката?</v>
      </c>
      <c r="F3936" s="1" t="str">
        <f ca="1">IFERROR(__xludf.DUMMYFUNCTION("GOOGLETRANSLATE(English!F3936, ""en"", ""bg"")"),"Ключовото нещо за термодинамиката е как тя следва законите на физиката, които управляват нашата вселена.")</f>
        <v>Ключовото нещо за термодинамиката е как тя следва законите на физиката, които управляват нашата вселена.</v>
      </c>
      <c r="G3936" s="1" t="str">
        <f ca="1">IFERROR(__xludf.DUMMYFUNCTION("GOOGLETRANSLATE(English!G3936, ""en"", ""bg"")"),"разговор")</f>
        <v>разговор</v>
      </c>
      <c r="H3936" s="1" t="str">
        <f ca="1">IFERROR(__xludf.DUMMYFUNCTION("GOOGLETRANSLATE(English!H3936, ""en"", ""bg"")"),"образователна_помощ")</f>
        <v>образователна_помощ</v>
      </c>
    </row>
    <row r="3937" spans="1:8" ht="13.2" x14ac:dyDescent="0.25">
      <c r="A3937" s="1" t="str">
        <f ca="1">IFERROR(__xludf.DUMMYFUNCTION("GOOGLETRANSLATE(English!A3937, ""en"", ""bg"")"),"hw_02386")</f>
        <v>hw_02386</v>
      </c>
      <c r="B3937" s="1" t="str">
        <f ca="1">IFERROR(__xludf.DUMMYFUNCTION("GOOGLETRANSLATE(English!B3937, ""en"", ""bg"")"),"химия")</f>
        <v>химия</v>
      </c>
      <c r="C3937" s="1" t="str">
        <f ca="1">IFERROR(__xludf.DUMMYFUNCTION("GOOGLETRANSLATE(English!C3937, ""en"", ""bg"")"),"високо")</f>
        <v>високо</v>
      </c>
      <c r="D3937" s="1" t="str">
        <f ca="1">IFERROR(__xludf.DUMMYFUNCTION("GOOGLETRANSLATE(English!D3937, ""en"", ""bg"")"),"органична химия")</f>
        <v>органична химия</v>
      </c>
      <c r="E3937" s="1" t="str">
        <f ca="1">IFERROR(__xludf.DUMMYFUNCTION("GOOGLETRANSLATE(English!E3937, ""en"", ""bg"")"),"Имам затруднения с органичната химия в домашното си.")</f>
        <v>Имам затруднения с органичната химия в домашното си.</v>
      </c>
      <c r="F3937" s="1" t="str">
        <f ca="1">IFERROR(__xludf.DUMMYFUNCTION("GOOGLETRANSLATE(English!F3937,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937" s="1" t="str">
        <f ca="1">IFERROR(__xludf.DUMMYFUNCTION("GOOGLETRANSLATE(English!G3937, ""en"", ""bg"")"),"помощ_за_домашно_изпълнение")</f>
        <v>помощ_за_домашно_изпълнение</v>
      </c>
      <c r="H3937" s="1" t="str">
        <f ca="1">IFERROR(__xludf.DUMMYFUNCTION("GOOGLETRANSLATE(English!H3937, ""en"", ""bg"")"),"помощ_за_домашно_задаване")</f>
        <v>помощ_за_домашно_задаване</v>
      </c>
    </row>
    <row r="3938" spans="1:8" ht="13.2" x14ac:dyDescent="0.25">
      <c r="A3938" s="1" t="str">
        <f ca="1">IFERROR(__xludf.DUMMYFUNCTION("GOOGLETRANSLATE(English!A3938, ""en"", ""bg"")"),"qa_14692")</f>
        <v>qa_14692</v>
      </c>
      <c r="B3938" s="1" t="str">
        <f ca="1">IFERROR(__xludf.DUMMYFUNCTION("GOOGLETRANSLATE(English!B3938, ""en"", ""bg"")"),"физика")</f>
        <v>физика</v>
      </c>
      <c r="C3938" s="1" t="str">
        <f ca="1">IFERROR(__xludf.DUMMYFUNCTION("GOOGLETRANSLATE(English!C3938, ""en"", ""bg"")"),"средата")</f>
        <v>средата</v>
      </c>
      <c r="D3938" s="1" t="str">
        <f ca="1">IFERROR(__xludf.DUMMYFUNCTION("GOOGLETRANSLATE(English!D3938, ""en"", ""bg"")"),"прости схеми")</f>
        <v>прости схеми</v>
      </c>
      <c r="E3938" s="1" t="str">
        <f ca="1">IFERROR(__xludf.DUMMYFUNCTION("GOOGLETRANSLATE(English!E3938, ""en"", ""bg"")"),"Какво трябва да знам за прости електрически вериги?")</f>
        <v>Какво трябва да знам за прости електрически вериги?</v>
      </c>
      <c r="F3938" s="1" t="str">
        <f ca="1">IFERROR(__xludf.DUMMYFUNCTION("GOOGLETRANSLATE(English!F3938,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3938" s="1" t="str">
        <f ca="1">IFERROR(__xludf.DUMMYFUNCTION("GOOGLETRANSLATE(English!G3938, ""en"", ""bg"")"),"direct_qa")</f>
        <v>direct_qa</v>
      </c>
      <c r="H3938" s="1" t="str">
        <f ca="1">IFERROR(__xludf.DUMMYFUNCTION("GOOGLETRANSLATE(English!H3938, ""en"", ""bg"")"),"заявка_за_знание")</f>
        <v>заявка_за_знание</v>
      </c>
    </row>
    <row r="3939" spans="1:8" ht="13.2" x14ac:dyDescent="0.25">
      <c r="A3939" s="1" t="str">
        <f ca="1">IFERROR(__xludf.DUMMYFUNCTION("GOOGLETRANSLATE(English!A3939, ""en"", ""bg"")"),"hw_13051")</f>
        <v>hw_13051</v>
      </c>
      <c r="B3939" s="1" t="str">
        <f ca="1">IFERROR(__xludf.DUMMYFUNCTION("GOOGLETRANSLATE(English!B3939, ""en"", ""bg"")"),"химия")</f>
        <v>химия</v>
      </c>
      <c r="C3939" s="1" t="str">
        <f ca="1">IFERROR(__xludf.DUMMYFUNCTION("GOOGLETRANSLATE(English!C3939, ""en"", ""bg"")"),"високо")</f>
        <v>високо</v>
      </c>
      <c r="D3939" s="1" t="str">
        <f ca="1">IFERROR(__xludf.DUMMYFUNCTION("GOOGLETRANSLATE(English!D3939, ""en"", ""bg"")"),"химическо свързване")</f>
        <v>химическо свързване</v>
      </c>
      <c r="E3939" s="1" t="str">
        <f ca="1">IFERROR(__xludf.DUMMYFUNCTION("GOOGLETRANSLATE(English!E3939, ""en"", ""bg"")"),"Не разбирам тази концепция за химическа връзка. Моля, обяснете!")</f>
        <v>Не разбирам тази концепция за химическа връзка. Моля, обяснете!</v>
      </c>
      <c r="F3939" s="1" t="str">
        <f ca="1">IFERROR(__xludf.DUMMYFUNCTION("GOOGLETRANSLATE(English!F3939,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939" s="1" t="str">
        <f ca="1">IFERROR(__xludf.DUMMYFUNCTION("GOOGLETRANSLATE(English!G3939, ""en"", ""bg"")"),"помощ_за_домашно_изпълнение")</f>
        <v>помощ_за_домашно_изпълнение</v>
      </c>
      <c r="H3939" s="1" t="str">
        <f ca="1">IFERROR(__xludf.DUMMYFUNCTION("GOOGLETRANSLATE(English!H3939, ""en"", ""bg"")"),"помощ_за_домашно_задаване")</f>
        <v>помощ_за_домашно_задаване</v>
      </c>
    </row>
    <row r="3940" spans="1:8" ht="13.2" x14ac:dyDescent="0.25">
      <c r="A3940" s="1" t="str">
        <f ca="1">IFERROR(__xludf.DUMMYFUNCTION("GOOGLETRANSLATE(English!A3940, ""en"", ""bg"")"),"conv_04125")</f>
        <v>conv_04125</v>
      </c>
      <c r="B3940" s="1" t="str">
        <f ca="1">IFERROR(__xludf.DUMMYFUNCTION("GOOGLETRANSLATE(English!B3940, ""en"", ""bg"")"),"физика")</f>
        <v>физика</v>
      </c>
      <c r="C3940" s="1" t="str">
        <f ca="1">IFERROR(__xludf.DUMMYFUNCTION("GOOGLETRANSLATE(English!C3940, ""en"", ""bg"")"),"елементарен")</f>
        <v>елементарен</v>
      </c>
      <c r="D3940" s="1" t="str">
        <f ca="1">IFERROR(__xludf.DUMMYFUNCTION("GOOGLETRANSLATE(English!D3940, ""en"", ""bg"")"),"светлина и сянка")</f>
        <v>светлина и сянка</v>
      </c>
      <c r="E3940" s="1" t="str">
        <f ca="1">IFERROR(__xludf.DUMMYFUNCTION("GOOGLETRANSLATE(English!E3940, ""en"", ""bg"")"),"Помогни ми да уча за теста си. Какво се случва, когато светлината попадне в огледало?")</f>
        <v>Помогни ми да уча за теста си. Какво се случва, когато светлината попадне в огледало?</v>
      </c>
      <c r="F3940" s="1" t="str">
        <f ca="1">IFERROR(__xludf.DUMMYFUNCTION("GOOGLETRANSLATE(English!F3940,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3940" s="1" t="str">
        <f ca="1">IFERROR(__xludf.DUMMYFUNCTION("GOOGLETRANSLATE(English!G3940, ""en"", ""bg"")"),"разговор")</f>
        <v>разговор</v>
      </c>
      <c r="H3940" s="1" t="str">
        <f ca="1">IFERROR(__xludf.DUMMYFUNCTION("GOOGLETRANSLATE(English!H3940, ""en"", ""bg"")"),"образователна_помощ")</f>
        <v>образователна_помощ</v>
      </c>
    </row>
    <row r="3941" spans="1:8" ht="13.2" x14ac:dyDescent="0.25">
      <c r="A3941" s="1" t="str">
        <f ca="1">IFERROR(__xludf.DUMMYFUNCTION("GOOGLETRANSLATE(English!A3941, ""en"", ""bg"")"),"qa_07708")</f>
        <v>qa_07708</v>
      </c>
      <c r="B3941" s="1" t="str">
        <f ca="1">IFERROR(__xludf.DUMMYFUNCTION("GOOGLETRANSLATE(English!B3941, ""en"", ""bg"")"),"химия")</f>
        <v>химия</v>
      </c>
      <c r="C3941" s="1" t="str">
        <f ca="1">IFERROR(__xludf.DUMMYFUNCTION("GOOGLETRANSLATE(English!C3941, ""en"", ""bg"")"),"средата")</f>
        <v>средата</v>
      </c>
      <c r="D3941" s="1" t="str">
        <f ca="1">IFERROR(__xludf.DUMMYFUNCTION("GOOGLETRANSLATE(English!D3941, ""en"", ""bg"")"),"киселини и основи")</f>
        <v>киселини и основи</v>
      </c>
      <c r="E3941" s="1" t="str">
        <f ca="1">IFERROR(__xludf.DUMMYFUNCTION("GOOGLETRANSLATE(English!E3941, ""en"", ""bg"")"),"Как действат киселините и основите в химията?")</f>
        <v>Как действат киселините и основите в химията?</v>
      </c>
      <c r="F3941" s="1" t="str">
        <f ca="1">IFERROR(__xludf.DUMMYFUNCTION("GOOGLETRANSLATE(English!F3941,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3941" s="1" t="str">
        <f ca="1">IFERROR(__xludf.DUMMYFUNCTION("GOOGLETRANSLATE(English!G3941, ""en"", ""bg"")"),"direct_qa")</f>
        <v>direct_qa</v>
      </c>
      <c r="H3941" s="1" t="str">
        <f ca="1">IFERROR(__xludf.DUMMYFUNCTION("GOOGLETRANSLATE(English!H3941, ""en"", ""bg"")"),"заявка_за_знание")</f>
        <v>заявка_за_знание</v>
      </c>
    </row>
    <row r="3942" spans="1:8" ht="13.2" x14ac:dyDescent="0.25">
      <c r="A3942" s="1" t="str">
        <f ca="1">IFERROR(__xludf.DUMMYFUNCTION("GOOGLETRANSLATE(English!A3942, ""en"", ""bg"")"),"qa_12360")</f>
        <v>qa_12360</v>
      </c>
      <c r="B3942" s="1" t="str">
        <f ca="1">IFERROR(__xludf.DUMMYFUNCTION("GOOGLETRANSLATE(English!B3942, ""en"", ""bg"")"),"биология")</f>
        <v>биология</v>
      </c>
      <c r="C3942" s="1" t="str">
        <f ca="1">IFERROR(__xludf.DUMMYFUNCTION("GOOGLETRANSLATE(English!C3942, ""en"", ""bg"")"),"високо")</f>
        <v>високо</v>
      </c>
      <c r="D3942" s="1" t="str">
        <f ca="1">IFERROR(__xludf.DUMMYFUNCTION("GOOGLETRANSLATE(English!D3942, ""en"", ""bg"")"),"синтез на протеини")</f>
        <v>синтез на протеини</v>
      </c>
      <c r="E3942" s="1" t="str">
        <f ca="1">IFERROR(__xludf.DUMMYFUNCTION("GOOGLETRANSLATE(English!E3942, ""en"", ""bg"")"),"Защо синтезът на протеини е важен в биологията?")</f>
        <v>Защо синтезът на протеини е важен в биологията?</v>
      </c>
      <c r="F3942" s="1" t="str">
        <f ca="1">IFERROR(__xludf.DUMMYFUNCTION("GOOGLETRANSLATE(English!F3942,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3942" s="1" t="str">
        <f ca="1">IFERROR(__xludf.DUMMYFUNCTION("GOOGLETRANSLATE(English!G3942, ""en"", ""bg"")"),"direct_qa")</f>
        <v>direct_qa</v>
      </c>
      <c r="H3942" s="1" t="str">
        <f ca="1">IFERROR(__xludf.DUMMYFUNCTION("GOOGLETRANSLATE(English!H3942, ""en"", ""bg"")"),"заявка_за_знание")</f>
        <v>заявка_за_знание</v>
      </c>
    </row>
    <row r="3943" spans="1:8" ht="13.2" x14ac:dyDescent="0.25">
      <c r="A3943" s="1" t="str">
        <f ca="1">IFERROR(__xludf.DUMMYFUNCTION("GOOGLETRANSLATE(English!A3943, ""en"", ""bg"")"),"qa_03671")</f>
        <v>qa_03671</v>
      </c>
      <c r="B3943" s="1" t="str">
        <f ca="1">IFERROR(__xludf.DUMMYFUNCTION("GOOGLETRANSLATE(English!B3943, ""en"", ""bg"")"),"химия")</f>
        <v>химия</v>
      </c>
      <c r="C3943" s="1" t="str">
        <f ca="1">IFERROR(__xludf.DUMMYFUNCTION("GOOGLETRANSLATE(English!C3943, ""en"", ""bg"")"),"елементарен")</f>
        <v>елементарен</v>
      </c>
      <c r="D3943" s="1" t="str">
        <f ca="1">IFERROR(__xludf.DUMMYFUNCTION("GOOGLETRANSLATE(English!D3943, ""en"", ""bg"")"),"ежедневни химикали")</f>
        <v>ежедневни химикали</v>
      </c>
      <c r="E3943" s="1" t="str">
        <f ca="1">IFERROR(__xludf.DUMMYFUNCTION("GOOGLETRANSLATE(English!E3943, ""en"", ""bg"")"),"Как действат ежедневните химикали в химията?")</f>
        <v>Как действат ежедневните химикали в химията?</v>
      </c>
      <c r="F3943" s="1" t="str">
        <f ca="1">IFERROR(__xludf.DUMMYFUNCTION("GOOGLETRANSLATE(English!F3943,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3943" s="1" t="str">
        <f ca="1">IFERROR(__xludf.DUMMYFUNCTION("GOOGLETRANSLATE(English!G3943, ""en"", ""bg"")"),"direct_qa")</f>
        <v>direct_qa</v>
      </c>
      <c r="H3943" s="1" t="str">
        <f ca="1">IFERROR(__xludf.DUMMYFUNCTION("GOOGLETRANSLATE(English!H3943, ""en"", ""bg"")"),"заявка_за_знание")</f>
        <v>заявка_за_знание</v>
      </c>
    </row>
    <row r="3944" spans="1:8" ht="13.2" x14ac:dyDescent="0.25">
      <c r="A3944" s="1" t="str">
        <f ca="1">IFERROR(__xludf.DUMMYFUNCTION("GOOGLETRANSLATE(English!A3944, ""en"", ""bg"")"),"conv_18756")</f>
        <v>conv_18756</v>
      </c>
      <c r="B3944" s="1" t="str">
        <f ca="1">IFERROR(__xludf.DUMMYFUNCTION("GOOGLETRANSLATE(English!B3944, ""en"", ""bg"")"),"химия")</f>
        <v>химия</v>
      </c>
      <c r="C3944" s="1" t="str">
        <f ca="1">IFERROR(__xludf.DUMMYFUNCTION("GOOGLETRANSLATE(English!C3944, ""en"", ""bg"")"),"средата")</f>
        <v>средата</v>
      </c>
      <c r="D3944" s="1" t="str">
        <f ca="1">IFERROR(__xludf.DUMMYFUNCTION("GOOGLETRANSLATE(English!D3944, ""en"", ""bg"")"),"химични промени")</f>
        <v>химични промени</v>
      </c>
      <c r="E3944" s="1" t="str">
        <f ca="1">IFERROR(__xludf.DUMMYFUNCTION("GOOGLETRANSLATE(English!E3944, ""en"", ""bg"")"),"Имам научен въпрос. Можете ли да ми помогнете да разбера химичните промени?")</f>
        <v>Имам научен въпрос. Можете ли да ми помогнете да разбера химичните промени?</v>
      </c>
      <c r="F3944" s="1" t="str">
        <f ca="1">IFERROR(__xludf.DUMMYFUNCTION("GOOGLETRANSLATE(English!F3944, ""en"", ""bg"")"),"Химичните промени са важна химическа концепция, която ни помага да разберем как се държи и променя материята!")</f>
        <v>Химичните промени са важна химическа концепция, която ни помага да разберем как се държи и променя материята!</v>
      </c>
      <c r="G3944" s="1" t="str">
        <f ca="1">IFERROR(__xludf.DUMMYFUNCTION("GOOGLETRANSLATE(English!G3944, ""en"", ""bg"")"),"разговор")</f>
        <v>разговор</v>
      </c>
      <c r="H3944" s="1" t="str">
        <f ca="1">IFERROR(__xludf.DUMMYFUNCTION("GOOGLETRANSLATE(English!H3944, ""en"", ""bg"")"),"образователна_помощ")</f>
        <v>образователна_помощ</v>
      </c>
    </row>
    <row r="3945" spans="1:8" ht="13.2" x14ac:dyDescent="0.25">
      <c r="A3945" s="1" t="str">
        <f ca="1">IFERROR(__xludf.DUMMYFUNCTION("GOOGLETRANSLATE(English!A3945, ""en"", ""bg"")"),"qa_06804")</f>
        <v>qa_06804</v>
      </c>
      <c r="B3945" s="1" t="str">
        <f ca="1">IFERROR(__xludf.DUMMYFUNCTION("GOOGLETRANSLATE(English!B3945, ""en"", ""bg"")"),"физика")</f>
        <v>физика</v>
      </c>
      <c r="C3945" s="1" t="str">
        <f ca="1">IFERROR(__xludf.DUMMYFUNCTION("GOOGLETRANSLATE(English!C3945, ""en"", ""bg"")"),"високо")</f>
        <v>високо</v>
      </c>
      <c r="D3945" s="1" t="str">
        <f ca="1">IFERROR(__xludf.DUMMYFUNCTION("GOOGLETRANSLATE(English!D3945, ""en"", ""bg"")"),"механика")</f>
        <v>механика</v>
      </c>
      <c r="E3945" s="1" t="str">
        <f ca="1">IFERROR(__xludf.DUMMYFUNCTION("GOOGLETRANSLATE(English!E3945, ""en"", ""bg"")"),"Какво трябва да знам за механиката?")</f>
        <v>Какво трябва да знам за механиката?</v>
      </c>
      <c r="F3945" s="1" t="str">
        <f ca="1">IFERROR(__xludf.DUMMYFUNCTION("GOOGLETRANSLATE(English!F3945,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3945" s="1" t="str">
        <f ca="1">IFERROR(__xludf.DUMMYFUNCTION("GOOGLETRANSLATE(English!G3945, ""en"", ""bg"")"),"direct_qa")</f>
        <v>direct_qa</v>
      </c>
      <c r="H3945" s="1" t="str">
        <f ca="1">IFERROR(__xludf.DUMMYFUNCTION("GOOGLETRANSLATE(English!H3945, ""en"", ""bg"")"),"заявка_за_знание")</f>
        <v>заявка_за_знание</v>
      </c>
    </row>
    <row r="3946" spans="1:8" ht="13.2" x14ac:dyDescent="0.25">
      <c r="A3946" s="1" t="str">
        <f ca="1">IFERROR(__xludf.DUMMYFUNCTION("GOOGLETRANSLATE(English!A3946, ""en"", ""bg"")"),"hw_02474")</f>
        <v>hw_02474</v>
      </c>
      <c r="B3946" s="1" t="str">
        <f ca="1">IFERROR(__xludf.DUMMYFUNCTION("GOOGLETRANSLATE(English!B3946, ""en"", ""bg"")"),"физика")</f>
        <v>физика</v>
      </c>
      <c r="C3946" s="1" t="str">
        <f ca="1">IFERROR(__xludf.DUMMYFUNCTION("GOOGLETRANSLATE(English!C3946, ""en"", ""bg"")"),"високо")</f>
        <v>високо</v>
      </c>
      <c r="D3946" s="1" t="str">
        <f ca="1">IFERROR(__xludf.DUMMYFUNCTION("GOOGLETRANSLATE(English!D3946, ""en"", ""bg"")"),"оптика")</f>
        <v>оптика</v>
      </c>
      <c r="E3946" s="1" t="str">
        <f ca="1">IFERROR(__xludf.DUMMYFUNCTION("GOOGLETRANSLATE(English!E3946, ""en"", ""bg"")"),"Заседнал съм с този проблем с оптиката. Можете ли да помогнете?")</f>
        <v>Заседнал съм с този проблем с оптиката. Можете ли да помогнете?</v>
      </c>
      <c r="F3946" s="1" t="str">
        <f ca="1">IFERROR(__xludf.DUMMYFUNCTION("GOOGLETRANSLATE(English!F3946,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3946" s="1" t="str">
        <f ca="1">IFERROR(__xludf.DUMMYFUNCTION("GOOGLETRANSLATE(English!G3946, ""en"", ""bg"")"),"помощ_за_домашно_изпълнение")</f>
        <v>помощ_за_домашно_изпълнение</v>
      </c>
      <c r="H3946" s="1" t="str">
        <f ca="1">IFERROR(__xludf.DUMMYFUNCTION("GOOGLETRANSLATE(English!H3946, ""en"", ""bg"")"),"помощ_за_домашно_задаване")</f>
        <v>помощ_за_домашно_задаване</v>
      </c>
    </row>
    <row r="3947" spans="1:8" ht="13.2" x14ac:dyDescent="0.25">
      <c r="A3947" s="1" t="str">
        <f ca="1">IFERROR(__xludf.DUMMYFUNCTION("GOOGLETRANSLATE(English!A3947, ""en"", ""bg"")"),"qa_00669")</f>
        <v>qa_00669</v>
      </c>
      <c r="B3947" s="1" t="str">
        <f ca="1">IFERROR(__xludf.DUMMYFUNCTION("GOOGLETRANSLATE(English!B3947, ""en"", ""bg"")"),"химия")</f>
        <v>химия</v>
      </c>
      <c r="C3947" s="1" t="str">
        <f ca="1">IFERROR(__xludf.DUMMYFUNCTION("GOOGLETRANSLATE(English!C3947, ""en"", ""bg"")"),"високо")</f>
        <v>високо</v>
      </c>
      <c r="D3947" s="1" t="str">
        <f ca="1">IFERROR(__xludf.DUMMYFUNCTION("GOOGLETRANSLATE(English!D3947, ""en"", ""bg"")"),"стехиометрия")</f>
        <v>стехиометрия</v>
      </c>
      <c r="E3947" s="1" t="str">
        <f ca="1">IFERROR(__xludf.DUMMYFUNCTION("GOOGLETRANSLATE(English!E3947, ""en"", ""bg"")"),"Можете ли да ми помогнете да разбера стехиометрията?")</f>
        <v>Можете ли да ми помогнете да разбера стехиометрията?</v>
      </c>
      <c r="F3947" s="1" t="str">
        <f ca="1">IFERROR(__xludf.DUMMYFUNCTION("GOOGLETRANSLATE(English!F3947,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3947" s="1" t="str">
        <f ca="1">IFERROR(__xludf.DUMMYFUNCTION("GOOGLETRANSLATE(English!G3947, ""en"", ""bg"")"),"direct_qa")</f>
        <v>direct_qa</v>
      </c>
      <c r="H3947" s="1" t="str">
        <f ca="1">IFERROR(__xludf.DUMMYFUNCTION("GOOGLETRANSLATE(English!H3947, ""en"", ""bg"")"),"заявка_за_знание")</f>
        <v>заявка_за_знание</v>
      </c>
    </row>
    <row r="3948" spans="1:8" ht="13.2" x14ac:dyDescent="0.25">
      <c r="A3948" s="1" t="str">
        <f ca="1">IFERROR(__xludf.DUMMYFUNCTION("GOOGLETRANSLATE(English!A3948, ""en"", ""bg"")"),"qa_05317")</f>
        <v>qa_05317</v>
      </c>
      <c r="B3948" s="1" t="str">
        <f ca="1">IFERROR(__xludf.DUMMYFUNCTION("GOOGLETRANSLATE(English!B3948, ""en"", ""bg"")"),"химия")</f>
        <v>химия</v>
      </c>
      <c r="C3948" s="1" t="str">
        <f ca="1">IFERROR(__xludf.DUMMYFUNCTION("GOOGLETRANSLATE(English!C3948, ""en"", ""bg"")"),"високо")</f>
        <v>високо</v>
      </c>
      <c r="D3948" s="1" t="str">
        <f ca="1">IFERROR(__xludf.DUMMYFUNCTION("GOOGLETRANSLATE(English!D3948, ""en"", ""bg"")"),"равновесие")</f>
        <v>равновесие</v>
      </c>
      <c r="E3948" s="1" t="str">
        <f ca="1">IFERROR(__xludf.DUMMYFUNCTION("GOOGLETRANSLATE(English!E3948, ""en"", ""bg"")"),"Какво е равновесието изобщо?")</f>
        <v>Какво е равновесието изобщо?</v>
      </c>
      <c r="F3948" s="1" t="str">
        <f ca="1">IFERROR(__xludf.DUMMYFUNCTION("GOOGLETRANSLATE(English!F3948,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3948" s="1" t="str">
        <f ca="1">IFERROR(__xludf.DUMMYFUNCTION("GOOGLETRANSLATE(English!G3948, ""en"", ""bg"")"),"direct_qa")</f>
        <v>direct_qa</v>
      </c>
      <c r="H3948" s="1" t="str">
        <f ca="1">IFERROR(__xludf.DUMMYFUNCTION("GOOGLETRANSLATE(English!H3948, ""en"", ""bg"")"),"заявка_за_знание")</f>
        <v>заявка_за_знание</v>
      </c>
    </row>
    <row r="3949" spans="1:8" ht="13.2" x14ac:dyDescent="0.25">
      <c r="A3949" s="1" t="str">
        <f ca="1">IFERROR(__xludf.DUMMYFUNCTION("GOOGLETRANSLATE(English!A3949, ""en"", ""bg"")"),"hw_14389")</f>
        <v>hw_14389</v>
      </c>
      <c r="B3949" s="1" t="str">
        <f ca="1">IFERROR(__xludf.DUMMYFUNCTION("GOOGLETRANSLATE(English!B3949, ""en"", ""bg"")"),"физика")</f>
        <v>физика</v>
      </c>
      <c r="C3949" s="1" t="str">
        <f ca="1">IFERROR(__xludf.DUMMYFUNCTION("GOOGLETRANSLATE(English!C3949, ""en"", ""bg"")"),"елементарен")</f>
        <v>елементарен</v>
      </c>
      <c r="D3949" s="1" t="str">
        <f ca="1">IFERROR(__xludf.DUMMYFUNCTION("GOOGLETRANSLATE(English!D3949, ""en"", ""bg"")"),"бутане и дърпане")</f>
        <v>бутане и дърпане</v>
      </c>
      <c r="E3949" s="1" t="str">
        <f ca="1">IFERROR(__xludf.DUMMYFUNCTION("GOOGLETRANSLATE(English!E3949,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3949" s="1" t="str">
        <f ca="1">IFERROR(__xludf.DUMMYFUNCTION("GOOGLETRANSLATE(English!F3949,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3949" s="1" t="str">
        <f ca="1">IFERROR(__xludf.DUMMYFUNCTION("GOOGLETRANSLATE(English!G3949, ""en"", ""bg"")"),"помощ_за_домашно_изпълнение")</f>
        <v>помощ_за_домашно_изпълнение</v>
      </c>
      <c r="H3949" s="1" t="str">
        <f ca="1">IFERROR(__xludf.DUMMYFUNCTION("GOOGLETRANSLATE(English!H3949, ""en"", ""bg"")"),"помощ_за_домашно_задаване")</f>
        <v>помощ_за_домашно_задаване</v>
      </c>
    </row>
    <row r="3950" spans="1:8" ht="13.2" x14ac:dyDescent="0.25">
      <c r="A3950" s="1" t="str">
        <f ca="1">IFERROR(__xludf.DUMMYFUNCTION("GOOGLETRANSLATE(English!A3950, ""en"", ""bg"")"),"hw_11235")</f>
        <v>hw_11235</v>
      </c>
      <c r="B3950" s="1" t="str">
        <f ca="1">IFERROR(__xludf.DUMMYFUNCTION("GOOGLETRANSLATE(English!B3950, ""en"", ""bg"")"),"химия")</f>
        <v>химия</v>
      </c>
      <c r="C3950" s="1" t="str">
        <f ca="1">IFERROR(__xludf.DUMMYFUNCTION("GOOGLETRANSLATE(English!C3950, ""en"", ""bg"")"),"високо")</f>
        <v>високо</v>
      </c>
      <c r="D3950" s="1" t="str">
        <f ca="1">IFERROR(__xludf.DUMMYFUNCTION("GOOGLETRANSLATE(English!D3950, ""en"", ""bg"")"),"химическо свързване")</f>
        <v>химическо свързване</v>
      </c>
      <c r="E3950" s="1" t="str">
        <f ca="1">IFERROR(__xludf.DUMMYFUNCTION("GOOGLETRANSLATE(English!E3950, ""en"", ""bg"")"),"Имам проблеми с химичните връзки в домашното си.")</f>
        <v>Имам проблеми с химичните връзки в домашното си.</v>
      </c>
      <c r="F3950" s="1" t="str">
        <f ca="1">IFERROR(__xludf.DUMMYFUNCTION("GOOGLETRANSLATE(English!F3950,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3950" s="1" t="str">
        <f ca="1">IFERROR(__xludf.DUMMYFUNCTION("GOOGLETRANSLATE(English!G3950, ""en"", ""bg"")"),"помощ_за_домашно_изпълнение")</f>
        <v>помощ_за_домашно_изпълнение</v>
      </c>
      <c r="H3950" s="1" t="str">
        <f ca="1">IFERROR(__xludf.DUMMYFUNCTION("GOOGLETRANSLATE(English!H3950, ""en"", ""bg"")"),"помощ_за_домашно_задаване")</f>
        <v>помощ_за_домашно_задаване</v>
      </c>
    </row>
    <row r="3951" spans="1:8" ht="13.2" x14ac:dyDescent="0.25">
      <c r="A3951" s="1" t="str">
        <f ca="1">IFERROR(__xludf.DUMMYFUNCTION("GOOGLETRANSLATE(English!A3951, ""en"", ""bg"")"),"qa_00463")</f>
        <v>qa_00463</v>
      </c>
      <c r="B3951" s="1" t="str">
        <f ca="1">IFERROR(__xludf.DUMMYFUNCTION("GOOGLETRANSLATE(English!B3951, ""en"", ""bg"")"),"химия")</f>
        <v>химия</v>
      </c>
      <c r="C3951" s="1" t="str">
        <f ca="1">IFERROR(__xludf.DUMMYFUNCTION("GOOGLETRANSLATE(English!C3951, ""en"", ""bg"")"),"елементарен")</f>
        <v>елементарен</v>
      </c>
      <c r="D3951" s="1" t="str">
        <f ca="1">IFERROR(__xludf.DUMMYFUNCTION("GOOGLETRANSLATE(English!D3951, ""en"", ""bg"")"),"безопасност")</f>
        <v>безопасност</v>
      </c>
      <c r="E3951" s="1" t="str">
        <f ca="1">IFERROR(__xludf.DUMMYFUNCTION("GOOGLETRANSLATE(English!E3951, ""en"", ""bg"")"),"Как работи безопасността в химията?")</f>
        <v>Как работи безопасността в химията?</v>
      </c>
      <c r="F3951" s="1" t="str">
        <f ca="1">IFERROR(__xludf.DUMMYFUNCTION("GOOGLETRANSLATE(English!F3951,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3951" s="1" t="str">
        <f ca="1">IFERROR(__xludf.DUMMYFUNCTION("GOOGLETRANSLATE(English!G3951, ""en"", ""bg"")"),"direct_qa")</f>
        <v>direct_qa</v>
      </c>
      <c r="H3951" s="1" t="str">
        <f ca="1">IFERROR(__xludf.DUMMYFUNCTION("GOOGLETRANSLATE(English!H3951, ""en"", ""bg"")"),"заявка_за_знание")</f>
        <v>заявка_за_знание</v>
      </c>
    </row>
    <row r="3952" spans="1:8" ht="13.2" x14ac:dyDescent="0.25">
      <c r="A3952" s="1" t="str">
        <f ca="1">IFERROR(__xludf.DUMMYFUNCTION("GOOGLETRANSLATE(English!A3952, ""en"", ""bg"")"),"qa_00551")</f>
        <v>qa_00551</v>
      </c>
      <c r="B3952" s="1" t="str">
        <f ca="1">IFERROR(__xludf.DUMMYFUNCTION("GOOGLETRANSLATE(English!B3952, ""en"", ""bg"")"),"физика")</f>
        <v>физика</v>
      </c>
      <c r="C3952" s="1" t="str">
        <f ca="1">IFERROR(__xludf.DUMMYFUNCTION("GOOGLETRANSLATE(English!C3952, ""en"", ""bg"")"),"средата")</f>
        <v>средата</v>
      </c>
      <c r="D3952" s="1" t="str">
        <f ca="1">IFERROR(__xludf.DUMMYFUNCTION("GOOGLETRANSLATE(English!D3952, ""en"", ""bg"")"),"плътност")</f>
        <v>плътност</v>
      </c>
      <c r="E3952" s="1" t="str">
        <f ca="1">IFERROR(__xludf.DUMMYFUNCTION("GOOGLETRANSLATE(English!E3952, ""en"", ""bg"")"),"Как работи плътността във физиката?")</f>
        <v>Как работи плътността във физиката?</v>
      </c>
      <c r="F3952" s="1" t="str">
        <f ca="1">IFERROR(__xludf.DUMMYFUNCTION("GOOGLETRANSLATE(English!F3952,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3952" s="1" t="str">
        <f ca="1">IFERROR(__xludf.DUMMYFUNCTION("GOOGLETRANSLATE(English!G3952, ""en"", ""bg"")"),"direct_qa")</f>
        <v>direct_qa</v>
      </c>
      <c r="H3952" s="1" t="str">
        <f ca="1">IFERROR(__xludf.DUMMYFUNCTION("GOOGLETRANSLATE(English!H3952, ""en"", ""bg"")"),"заявка_за_знание")</f>
        <v>заявка_за_знание</v>
      </c>
    </row>
    <row r="3953" spans="1:8" ht="13.2" x14ac:dyDescent="0.25">
      <c r="A3953" s="1" t="str">
        <f ca="1">IFERROR(__xludf.DUMMYFUNCTION("GOOGLETRANSLATE(English!A3953, ""en"", ""bg"")"),"conv_01496")</f>
        <v>conv_01496</v>
      </c>
      <c r="B3953" s="1" t="str">
        <f ca="1">IFERROR(__xludf.DUMMYFUNCTION("GOOGLETRANSLATE(English!B3953, ""en"", ""bg"")"),"физика")</f>
        <v>физика</v>
      </c>
      <c r="C3953" s="1" t="str">
        <f ca="1">IFERROR(__xludf.DUMMYFUNCTION("GOOGLETRANSLATE(English!C3953, ""en"", ""bg"")"),"елементарен")</f>
        <v>елементарен</v>
      </c>
      <c r="D3953" s="1" t="str">
        <f ca="1">IFERROR(__xludf.DUMMYFUNCTION("GOOGLETRANSLATE(English!D3953, ""en"", ""bg"")"),"светлина и сянка")</f>
        <v>светлина и сянка</v>
      </c>
      <c r="E3953" s="1" t="str">
        <f ca="1">IFERROR(__xludf.DUMMYFUNCTION("GOOGLETRANSLATE(English!E3953, ""en"", ""bg"")"),"Здравей, преподавателю! Какво е светлина?")</f>
        <v>Здравей, преподавателю! Какво е светлина?</v>
      </c>
      <c r="F3953" s="1" t="str">
        <f ca="1">IFERROR(__xludf.DUMMYFUNCTION("GOOGLETRANSLATE(English!F3953,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3953" s="1" t="str">
        <f ca="1">IFERROR(__xludf.DUMMYFUNCTION("GOOGLETRANSLATE(English!G3953, ""en"", ""bg"")"),"разговор")</f>
        <v>разговор</v>
      </c>
      <c r="H3953" s="1" t="str">
        <f ca="1">IFERROR(__xludf.DUMMYFUNCTION("GOOGLETRANSLATE(English!H3953, ""en"", ""bg"")"),"образователна_помощ")</f>
        <v>образователна_помощ</v>
      </c>
    </row>
    <row r="3954" spans="1:8" ht="13.2" x14ac:dyDescent="0.25">
      <c r="A3954" s="1" t="str">
        <f ca="1">IFERROR(__xludf.DUMMYFUNCTION("GOOGLETRANSLATE(English!A3954, ""en"", ""bg"")"),"hw_00117")</f>
        <v>hw_00117</v>
      </c>
      <c r="B3954" s="1" t="str">
        <f ca="1">IFERROR(__xludf.DUMMYFUNCTION("GOOGLETRANSLATE(English!B3954, ""en"", ""bg"")"),"биология")</f>
        <v>биология</v>
      </c>
      <c r="C3954" s="1" t="str">
        <f ca="1">IFERROR(__xludf.DUMMYFUNCTION("GOOGLETRANSLATE(English!C3954, ""en"", ""bg"")"),"елементарен")</f>
        <v>елементарен</v>
      </c>
      <c r="D3954" s="1" t="str">
        <f ca="1">IFERROR(__xludf.DUMMYFUNCTION("GOOGLETRANSLATE(English!D3954, ""en"", ""bg"")"),"жизнени цикли")</f>
        <v>жизнени цикли</v>
      </c>
      <c r="E3954" s="1" t="str">
        <f ca="1">IFERROR(__xludf.DUMMYFUNCTION("GOOGLETRANSLATE(English!E3954, ""en"", ""bg"")"),"Домашното ми пита за жизнените цикли. Не го разбирам.")</f>
        <v>Домашното ми пита за жизнените цикли. Не го разбирам.</v>
      </c>
      <c r="F3954" s="1" t="str">
        <f ca="1">IFERROR(__xludf.DUMMYFUNCTION("GOOGLETRANSLATE(English!F3954,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3954" s="1" t="str">
        <f ca="1">IFERROR(__xludf.DUMMYFUNCTION("GOOGLETRANSLATE(English!G3954, ""en"", ""bg"")"),"помощ_за_домашно_изпълнение")</f>
        <v>помощ_за_домашно_изпълнение</v>
      </c>
      <c r="H3954" s="1" t="str">
        <f ca="1">IFERROR(__xludf.DUMMYFUNCTION("GOOGLETRANSLATE(English!H3954, ""en"", ""bg"")"),"помощ_за_домашно_задаване")</f>
        <v>помощ_за_домашно_задаване</v>
      </c>
    </row>
    <row r="3955" spans="1:8" ht="13.2" x14ac:dyDescent="0.25">
      <c r="A3955" s="1" t="str">
        <f ca="1">IFERROR(__xludf.DUMMYFUNCTION("GOOGLETRANSLATE(English!A3955, ""en"", ""bg"")"),"qa_11920")</f>
        <v>qa_11920</v>
      </c>
      <c r="B3955" s="1" t="str">
        <f ca="1">IFERROR(__xludf.DUMMYFUNCTION("GOOGLETRANSLATE(English!B3955, ""en"", ""bg"")"),"химия")</f>
        <v>химия</v>
      </c>
      <c r="C3955" s="1" t="str">
        <f ca="1">IFERROR(__xludf.DUMMYFUNCTION("GOOGLETRANSLATE(English!C3955, ""en"", ""bg"")"),"средата")</f>
        <v>средата</v>
      </c>
      <c r="D3955" s="1" t="str">
        <f ca="1">IFERROR(__xludf.DUMMYFUNCTION("GOOGLETRANSLATE(English!D3955, ""en"", ""bg"")"),"основи на периодичната таблица")</f>
        <v>основи на периодичната таблица</v>
      </c>
      <c r="E3955" s="1" t="str">
        <f ca="1">IFERROR(__xludf.DUMMYFUNCTION("GOOGLETRANSLATE(English!E3955,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3955" s="1" t="str">
        <f ca="1">IFERROR(__xludf.DUMMYFUNCTION("GOOGLETRANSLATE(English!F3955,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3955" s="1" t="str">
        <f ca="1">IFERROR(__xludf.DUMMYFUNCTION("GOOGLETRANSLATE(English!G3955, ""en"", ""bg"")"),"direct_qa")</f>
        <v>direct_qa</v>
      </c>
      <c r="H3955" s="1" t="str">
        <f ca="1">IFERROR(__xludf.DUMMYFUNCTION("GOOGLETRANSLATE(English!H3955, ""en"", ""bg"")"),"заявка_за_знание")</f>
        <v>заявка_за_знание</v>
      </c>
    </row>
    <row r="3956" spans="1:8" ht="13.2" x14ac:dyDescent="0.25">
      <c r="A3956" s="1" t="str">
        <f ca="1">IFERROR(__xludf.DUMMYFUNCTION("GOOGLETRANSLATE(English!A3956, ""en"", ""bg"")"),"conv_14770")</f>
        <v>conv_14770</v>
      </c>
      <c r="B3956" s="1" t="str">
        <f ca="1">IFERROR(__xludf.DUMMYFUNCTION("GOOGLETRANSLATE(English!B3956, ""en"", ""bg"")"),"биология")</f>
        <v>биология</v>
      </c>
      <c r="C3956" s="1" t="str">
        <f ca="1">IFERROR(__xludf.DUMMYFUNCTION("GOOGLETRANSLATE(English!C3956, ""en"", ""bg"")"),"елементарен")</f>
        <v>елементарен</v>
      </c>
      <c r="D3956" s="1" t="str">
        <f ca="1">IFERROR(__xludf.DUMMYFUNCTION("GOOGLETRANSLATE(English!D3956, ""en"", ""bg"")"),"животни")</f>
        <v>животни</v>
      </c>
      <c r="E3956" s="1" t="str">
        <f ca="1">IFERROR(__xludf.DUMMYFUNCTION("GOOGLETRANSLATE(English!E3956, ""en"", ""bg"")"),"Не разбирам тази тема. Как животните се защитават?")</f>
        <v>Не разбирам тази тема. Как животните се защитават?</v>
      </c>
      <c r="F3956" s="1" t="str">
        <f ca="1">IFERROR(__xludf.DUMMYFUNCTION("GOOGLETRANSLATE(English!F3956, ""en"", ""bg"")"),"Животните се защитават по много начини: камуфлаж, бързо бягане, остри зъби или нокти или живот на групи!")</f>
        <v>Животните се защитават по много начини: камуфлаж, бързо бягане, остри зъби или нокти или живот на групи!</v>
      </c>
      <c r="G3956" s="1" t="str">
        <f ca="1">IFERROR(__xludf.DUMMYFUNCTION("GOOGLETRANSLATE(English!G3956, ""en"", ""bg"")"),"разговор")</f>
        <v>разговор</v>
      </c>
      <c r="H3956" s="1" t="str">
        <f ca="1">IFERROR(__xludf.DUMMYFUNCTION("GOOGLETRANSLATE(English!H3956, ""en"", ""bg"")"),"образователна_помощ")</f>
        <v>образователна_помощ</v>
      </c>
    </row>
    <row r="3957" spans="1:8" ht="13.2" x14ac:dyDescent="0.25">
      <c r="A3957" s="1" t="str">
        <f ca="1">IFERROR(__xludf.DUMMYFUNCTION("GOOGLETRANSLATE(English!A3957, ""en"", ""bg"")"),"conv_19155")</f>
        <v>conv_19155</v>
      </c>
      <c r="B3957" s="1" t="str">
        <f ca="1">IFERROR(__xludf.DUMMYFUNCTION("GOOGLETRANSLATE(English!B3957, ""en"", ""bg"")"),"химия")</f>
        <v>химия</v>
      </c>
      <c r="C3957" s="1" t="str">
        <f ca="1">IFERROR(__xludf.DUMMYFUNCTION("GOOGLETRANSLATE(English!C3957, ""en"", ""bg"")"),"високо")</f>
        <v>високо</v>
      </c>
      <c r="D3957" s="1" t="str">
        <f ca="1">IFERROR(__xludf.DUMMYFUNCTION("GOOGLETRANSLATE(English!D3957, ""en"", ""bg"")"),"органична химия")</f>
        <v>органична химия</v>
      </c>
      <c r="E3957" s="1" t="str">
        <f ca="1">IFERROR(__xludf.DUMMYFUNCTION("GOOGLETRANSLATE(English!E3957, ""en"", ""bg"")"),"Можете ли да ми помогнете? Защо е важно да се учи органична химия?")</f>
        <v>Можете ли да ми помогнете? Защо е важно да се учи органична химия?</v>
      </c>
      <c r="F3957" s="1" t="str">
        <f ca="1">IFERROR(__xludf.DUMMYFUNCTION("GOOGLETRANSLATE(English!F3957,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3957" s="1" t="str">
        <f ca="1">IFERROR(__xludf.DUMMYFUNCTION("GOOGLETRANSLATE(English!G3957, ""en"", ""bg"")"),"разговор")</f>
        <v>разговор</v>
      </c>
      <c r="H3957" s="1" t="str">
        <f ca="1">IFERROR(__xludf.DUMMYFUNCTION("GOOGLETRANSLATE(English!H3957, ""en"", ""bg"")"),"образователна_помощ")</f>
        <v>образователна_помощ</v>
      </c>
    </row>
    <row r="3958" spans="1:8" ht="13.2" x14ac:dyDescent="0.25">
      <c r="A3958" s="1" t="str">
        <f ca="1">IFERROR(__xludf.DUMMYFUNCTION("GOOGLETRANSLATE(English!A3958, ""en"", ""bg"")"),"conv_15910")</f>
        <v>conv_15910</v>
      </c>
      <c r="B3958" s="1" t="str">
        <f ca="1">IFERROR(__xludf.DUMMYFUNCTION("GOOGLETRANSLATE(English!B3958, ""en"", ""bg"")"),"биология")</f>
        <v>биология</v>
      </c>
      <c r="C3958" s="1" t="str">
        <f ca="1">IFERROR(__xludf.DUMMYFUNCTION("GOOGLETRANSLATE(English!C3958, ""en"", ""bg"")"),"средата")</f>
        <v>средата</v>
      </c>
      <c r="D3958" s="1" t="str">
        <f ca="1">IFERROR(__xludf.DUMMYFUNCTION("GOOGLETRANSLATE(English!D3958, ""en"", ""bg"")"),"фотосинтеза")</f>
        <v>фотосинтеза</v>
      </c>
      <c r="E3958" s="1" t="str">
        <f ca="1">IFERROR(__xludf.DUMMYFUNCTION("GOOGLETRANSLATE(English!E3958, ""en"", ""bg"")"),"Здравей, преподавателю! Можеш ли да ми разкажеш за фотосинтезата?")</f>
        <v>Здравей, преподавателю! Можеш ли да ми разкажеш за фотосинтезата?</v>
      </c>
      <c r="F3958" s="1" t="str">
        <f ca="1">IFERROR(__xludf.DUMMYFUNCTION("GOOGLETRANSLATE(English!F3958,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3958" s="1" t="str">
        <f ca="1">IFERROR(__xludf.DUMMYFUNCTION("GOOGLETRANSLATE(English!G3958, ""en"", ""bg"")"),"разговор")</f>
        <v>разговор</v>
      </c>
      <c r="H3958" s="1" t="str">
        <f ca="1">IFERROR(__xludf.DUMMYFUNCTION("GOOGLETRANSLATE(English!H3958, ""en"", ""bg"")"),"образователна_помощ")</f>
        <v>образователна_помощ</v>
      </c>
    </row>
    <row r="3959" spans="1:8" ht="13.2" x14ac:dyDescent="0.25">
      <c r="A3959" s="1" t="str">
        <f ca="1">IFERROR(__xludf.DUMMYFUNCTION("GOOGLETRANSLATE(English!A3959, ""en"", ""bg"")"),"hw_10336")</f>
        <v>hw_10336</v>
      </c>
      <c r="B3959" s="1" t="str">
        <f ca="1">IFERROR(__xludf.DUMMYFUNCTION("GOOGLETRANSLATE(English!B3959, ""en"", ""bg"")"),"биология")</f>
        <v>биология</v>
      </c>
      <c r="C3959" s="1" t="str">
        <f ca="1">IFERROR(__xludf.DUMMYFUNCTION("GOOGLETRANSLATE(English!C3959, ""en"", ""bg"")"),"високо")</f>
        <v>високо</v>
      </c>
      <c r="D3959" s="1" t="str">
        <f ca="1">IFERROR(__xludf.DUMMYFUNCTION("GOOGLETRANSLATE(English!D3959, ""en"", ""bg"")"),"Структура на ДНК")</f>
        <v>Структура на ДНК</v>
      </c>
      <c r="E3959" s="1" t="str">
        <f ca="1">IFERROR(__xludf.DUMMYFUNCTION("GOOGLETRANSLATE(English!E3959,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3959" s="1" t="str">
        <f ca="1">IFERROR(__xludf.DUMMYFUNCTION("GOOGLETRANSLATE(English!F3959,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3959" s="1" t="str">
        <f ca="1">IFERROR(__xludf.DUMMYFUNCTION("GOOGLETRANSLATE(English!G3959, ""en"", ""bg"")"),"помощ_за_домашно_изпълнение")</f>
        <v>помощ_за_домашно_изпълнение</v>
      </c>
      <c r="H3959" s="1" t="str">
        <f ca="1">IFERROR(__xludf.DUMMYFUNCTION("GOOGLETRANSLATE(English!H3959, ""en"", ""bg"")"),"помощ_за_домашно_задаване")</f>
        <v>помощ_за_домашно_задаване</v>
      </c>
    </row>
    <row r="3960" spans="1:8" ht="13.2" x14ac:dyDescent="0.25">
      <c r="A3960" s="1" t="str">
        <f ca="1">IFERROR(__xludf.DUMMYFUNCTION("GOOGLETRANSLATE(English!A3960, ""en"", ""bg"")"),"conv_02473")</f>
        <v>conv_02473</v>
      </c>
      <c r="B3960" s="1" t="str">
        <f ca="1">IFERROR(__xludf.DUMMYFUNCTION("GOOGLETRANSLATE(English!B3960, ""en"", ""bg"")"),"физика")</f>
        <v>физика</v>
      </c>
      <c r="C3960" s="1" t="str">
        <f ca="1">IFERROR(__xludf.DUMMYFUNCTION("GOOGLETRANSLATE(English!C3960, ""en"", ""bg"")"),"средата")</f>
        <v>средата</v>
      </c>
      <c r="D3960" s="1" t="str">
        <f ca="1">IFERROR(__xludf.DUMMYFUNCTION("GOOGLETRANSLATE(English!D3960, ""en"", ""bg"")"),"вълни")</f>
        <v>вълни</v>
      </c>
      <c r="E3960" s="1" t="str">
        <f ca="1">IFERROR(__xludf.DUMMYFUNCTION("GOOGLETRANSLATE(English!E3960, ""en"", ""bg"")"),"Имам нужда от помощ с домашното. Можете ли да ми обясните вълните?")</f>
        <v>Имам нужда от помощ с домашното. Можете ли да ми обясните вълните?</v>
      </c>
      <c r="F3960" s="1" t="str">
        <f ca="1">IFERROR(__xludf.DUMMYFUNCTION("GOOGLETRANSLATE(English!F3960,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3960" s="1" t="str">
        <f ca="1">IFERROR(__xludf.DUMMYFUNCTION("GOOGLETRANSLATE(English!G3960, ""en"", ""bg"")"),"разговор")</f>
        <v>разговор</v>
      </c>
      <c r="H3960" s="1" t="str">
        <f ca="1">IFERROR(__xludf.DUMMYFUNCTION("GOOGLETRANSLATE(English!H3960, ""en"", ""bg"")"),"образователна_помощ")</f>
        <v>образователна_помощ</v>
      </c>
    </row>
    <row r="3961" spans="1:8" ht="13.2" x14ac:dyDescent="0.25">
      <c r="A3961" s="1" t="str">
        <f ca="1">IFERROR(__xludf.DUMMYFUNCTION("GOOGLETRANSLATE(English!A3961, ""en"", ""bg"")"),"qa_02250")</f>
        <v>qa_02250</v>
      </c>
      <c r="B3961" s="1" t="str">
        <f ca="1">IFERROR(__xludf.DUMMYFUNCTION("GOOGLETRANSLATE(English!B3961, ""en"", ""bg"")"),"химия")</f>
        <v>химия</v>
      </c>
      <c r="C3961" s="1" t="str">
        <f ca="1">IFERROR(__xludf.DUMMYFUNCTION("GOOGLETRANSLATE(English!C3961, ""en"", ""bg"")"),"високо")</f>
        <v>високо</v>
      </c>
      <c r="D3961" s="1" t="str">
        <f ca="1">IFERROR(__xludf.DUMMYFUNCTION("GOOGLETRANSLATE(English!D3961, ""en"", ""bg"")"),"скорости на реакция")</f>
        <v>скорости на реакция</v>
      </c>
      <c r="E3961" s="1" t="str">
        <f ca="1">IFERROR(__xludf.DUMMYFUNCTION("GOOGLETRANSLATE(English!E3961, ""en"", ""bg"")"),"Какво представляват скоростите на реакция?")</f>
        <v>Какво представляват скоростите на реакция?</v>
      </c>
      <c r="F3961" s="1" t="str">
        <f ca="1">IFERROR(__xludf.DUMMYFUNCTION("GOOGLETRANSLATE(English!F3961,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3961" s="1" t="str">
        <f ca="1">IFERROR(__xludf.DUMMYFUNCTION("GOOGLETRANSLATE(English!G3961, ""en"", ""bg"")"),"direct_qa")</f>
        <v>direct_qa</v>
      </c>
      <c r="H3961" s="1" t="str">
        <f ca="1">IFERROR(__xludf.DUMMYFUNCTION("GOOGLETRANSLATE(English!H3961, ""en"", ""bg"")"),"заявка_за_знание")</f>
        <v>заявка_за_знание</v>
      </c>
    </row>
    <row r="3962" spans="1:8" ht="13.2" x14ac:dyDescent="0.25">
      <c r="A3962" s="1" t="str">
        <f ca="1">IFERROR(__xludf.DUMMYFUNCTION("GOOGLETRANSLATE(English!A3962, ""en"", ""bg"")"),"qa_12172")</f>
        <v>qa_12172</v>
      </c>
      <c r="B3962" s="1" t="str">
        <f ca="1">IFERROR(__xludf.DUMMYFUNCTION("GOOGLETRANSLATE(English!B3962, ""en"", ""bg"")"),"физика")</f>
        <v>физика</v>
      </c>
      <c r="C3962" s="1" t="str">
        <f ca="1">IFERROR(__xludf.DUMMYFUNCTION("GOOGLETRANSLATE(English!C3962, ""en"", ""bg"")"),"елементарен")</f>
        <v>елементарен</v>
      </c>
      <c r="D3962" s="1" t="str">
        <f ca="1">IFERROR(__xludf.DUMMYFUNCTION("GOOGLETRANSLATE(English!D3962, ""en"", ""bg"")"),"прости машини")</f>
        <v>прости машини</v>
      </c>
      <c r="E3962" s="1" t="str">
        <f ca="1">IFERROR(__xludf.DUMMYFUNCTION("GOOGLETRANSLATE(English!E3962, ""en"", ""bg"")"),"Защо простите машини са важни?")</f>
        <v>Защо простите машини са важни?</v>
      </c>
      <c r="F3962" s="1" t="str">
        <f ca="1">IFERROR(__xludf.DUMMYFUNCTION("GOOGLETRANSLATE(English!F3962,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3962" s="1" t="str">
        <f ca="1">IFERROR(__xludf.DUMMYFUNCTION("GOOGLETRANSLATE(English!G3962, ""en"", ""bg"")"),"direct_qa")</f>
        <v>direct_qa</v>
      </c>
      <c r="H3962" s="1" t="str">
        <f ca="1">IFERROR(__xludf.DUMMYFUNCTION("GOOGLETRANSLATE(English!H3962, ""en"", ""bg"")"),"заявка_за_знание")</f>
        <v>заявка_за_знание</v>
      </c>
    </row>
    <row r="3963" spans="1:8" ht="13.2" x14ac:dyDescent="0.25">
      <c r="A3963" s="1" t="str">
        <f ca="1">IFERROR(__xludf.DUMMYFUNCTION("GOOGLETRANSLATE(English!A3963, ""en"", ""bg"")"),"conv_13383")</f>
        <v>conv_13383</v>
      </c>
      <c r="B3963" s="1" t="str">
        <f ca="1">IFERROR(__xludf.DUMMYFUNCTION("GOOGLETRANSLATE(English!B3963, ""en"", ""bg"")"),"химия")</f>
        <v>химия</v>
      </c>
      <c r="C3963" s="1" t="str">
        <f ca="1">IFERROR(__xludf.DUMMYFUNCTION("GOOGLETRANSLATE(English!C3963, ""en"", ""bg"")"),"елементарен")</f>
        <v>елементарен</v>
      </c>
      <c r="D3963" s="1" t="str">
        <f ca="1">IFERROR(__xludf.DUMMYFUNCTION("GOOGLETRANSLATE(English!D3963, ""en"", ""bg"")"),"разтваряне")</f>
        <v>разтваряне</v>
      </c>
      <c r="E3963" s="1" t="str">
        <f ca="1">IFERROR(__xludf.DUMMYFUNCTION("GOOGLETRANSLATE(English!E3963, ""en"", ""bg"")"),"Имам научен въпрос. Какво представлява разтварянето?")</f>
        <v>Имам научен въпрос. Какво представлява разтварянето?</v>
      </c>
      <c r="F3963" s="1" t="str">
        <f ca="1">IFERROR(__xludf.DUMMYFUNCTION("GOOGLETRANSLATE(English!F3963,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3963" s="1" t="str">
        <f ca="1">IFERROR(__xludf.DUMMYFUNCTION("GOOGLETRANSLATE(English!G3963, ""en"", ""bg"")"),"разговор")</f>
        <v>разговор</v>
      </c>
      <c r="H3963" s="1" t="str">
        <f ca="1">IFERROR(__xludf.DUMMYFUNCTION("GOOGLETRANSLATE(English!H3963, ""en"", ""bg"")"),"образователна_помощ")</f>
        <v>образователна_помощ</v>
      </c>
    </row>
    <row r="3964" spans="1:8" ht="13.2" x14ac:dyDescent="0.25">
      <c r="A3964" s="1" t="str">
        <f ca="1">IFERROR(__xludf.DUMMYFUNCTION("GOOGLETRANSLATE(English!A3964, ""en"", ""bg"")"),"qa_02832")</f>
        <v>qa_02832</v>
      </c>
      <c r="B3964" s="1" t="str">
        <f ca="1">IFERROR(__xludf.DUMMYFUNCTION("GOOGLETRANSLATE(English!B3964, ""en"", ""bg"")"),"биология")</f>
        <v>биология</v>
      </c>
      <c r="C3964" s="1" t="str">
        <f ca="1">IFERROR(__xludf.DUMMYFUNCTION("GOOGLETRANSLATE(English!C3964, ""en"", ""bg"")"),"средата")</f>
        <v>средата</v>
      </c>
      <c r="D3964" s="1" t="str">
        <f ca="1">IFERROR(__xludf.DUMMYFUNCTION("GOOGLETRANSLATE(English!D3964, ""en"", ""bg"")"),"основи на генетиката")</f>
        <v>основи на генетиката</v>
      </c>
      <c r="E3964" s="1" t="str">
        <f ca="1">IFERROR(__xludf.DUMMYFUNCTION("GOOGLETRANSLATE(English!E3964, ""en"", ""bg"")"),"Защо основите на генетиката са важни в биологията?")</f>
        <v>Защо основите на генетиката са важни в биологията?</v>
      </c>
      <c r="F3964" s="1" t="str">
        <f ca="1">IFERROR(__xludf.DUMMYFUNCTION("GOOGLETRANSLATE(English!F3964,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3964" s="1" t="str">
        <f ca="1">IFERROR(__xludf.DUMMYFUNCTION("GOOGLETRANSLATE(English!G3964, ""en"", ""bg"")"),"direct_qa")</f>
        <v>direct_qa</v>
      </c>
      <c r="H3964" s="1" t="str">
        <f ca="1">IFERROR(__xludf.DUMMYFUNCTION("GOOGLETRANSLATE(English!H3964, ""en"", ""bg"")"),"заявка_за_знание")</f>
        <v>заявка_за_знание</v>
      </c>
    </row>
    <row r="3965" spans="1:8" ht="13.2" x14ac:dyDescent="0.25">
      <c r="A3965" s="1" t="str">
        <f ca="1">IFERROR(__xludf.DUMMYFUNCTION("GOOGLETRANSLATE(English!A3965, ""en"", ""bg"")"),"conv_00433")</f>
        <v>conv_00433</v>
      </c>
      <c r="B3965" s="1" t="str">
        <f ca="1">IFERROR(__xludf.DUMMYFUNCTION("GOOGLETRANSLATE(English!B3965, ""en"", ""bg"")"),"физика")</f>
        <v>физика</v>
      </c>
      <c r="C3965" s="1" t="str">
        <f ca="1">IFERROR(__xludf.DUMMYFUNCTION("GOOGLETRANSLATE(English!C3965, ""en"", ""bg"")"),"елементарен")</f>
        <v>елементарен</v>
      </c>
      <c r="D3965" s="1" t="str">
        <f ca="1">IFERROR(__xludf.DUMMYFUNCTION("GOOGLETRANSLATE(English!D3965, ""en"", ""bg"")"),"бутане и дърпане")</f>
        <v>бутане и дърпане</v>
      </c>
      <c r="E3965" s="1" t="str">
        <f ca="1">IFERROR(__xludf.DUMMYFUNCTION("GOOGLETRANSLATE(English!E3965, ""en"", ""bg"")"),"Можете ли да ми помогнете? Какво трябва да знам за бутането и дърпането?")</f>
        <v>Можете ли да ми помогнете? Какво трябва да знам за бутането и дърпането?</v>
      </c>
      <c r="F3965" s="1" t="str">
        <f ca="1">IFERROR(__xludf.DUMMYFUNCTION("GOOGLETRANSLATE(English!F3965,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3965" s="1" t="str">
        <f ca="1">IFERROR(__xludf.DUMMYFUNCTION("GOOGLETRANSLATE(English!G3965, ""en"", ""bg"")"),"разговор")</f>
        <v>разговор</v>
      </c>
      <c r="H3965" s="1" t="str">
        <f ca="1">IFERROR(__xludf.DUMMYFUNCTION("GOOGLETRANSLATE(English!H3965, ""en"", ""bg"")"),"образователна_помощ")</f>
        <v>образователна_помощ</v>
      </c>
    </row>
    <row r="3966" spans="1:8" ht="13.2" x14ac:dyDescent="0.25">
      <c r="A3966" s="1" t="str">
        <f ca="1">IFERROR(__xludf.DUMMYFUNCTION("GOOGLETRANSLATE(English!A3966, ""en"", ""bg"")"),"qa_05387")</f>
        <v>qa_05387</v>
      </c>
      <c r="B3966" s="1" t="str">
        <f ca="1">IFERROR(__xludf.DUMMYFUNCTION("GOOGLETRANSLATE(English!B3966, ""en"", ""bg"")"),"химия")</f>
        <v>химия</v>
      </c>
      <c r="C3966" s="1" t="str">
        <f ca="1">IFERROR(__xludf.DUMMYFUNCTION("GOOGLETRANSLATE(English!C3966, ""en"", ""bg"")"),"високо")</f>
        <v>високо</v>
      </c>
      <c r="D3966" s="1" t="str">
        <f ca="1">IFERROR(__xludf.DUMMYFUNCTION("GOOGLETRANSLATE(English!D3966, ""en"", ""bg"")"),"химическо свързване")</f>
        <v>химическо свързване</v>
      </c>
      <c r="E3966" s="1" t="str">
        <f ca="1">IFERROR(__xludf.DUMMYFUNCTION("GOOGLETRANSLATE(English!E3966, ""en"", ""bg"")"),"Можете ли да ми помогнете да разбера какво представлява химичната връзка?")</f>
        <v>Можете ли да ми помогнете да разбера какво представлява химичната връзка?</v>
      </c>
      <c r="F3966" s="1" t="str">
        <f ca="1">IFERROR(__xludf.DUMMYFUNCTION("GOOGLETRANSLATE(English!F3966,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3966" s="1" t="str">
        <f ca="1">IFERROR(__xludf.DUMMYFUNCTION("GOOGLETRANSLATE(English!G3966, ""en"", ""bg"")"),"direct_qa")</f>
        <v>direct_qa</v>
      </c>
      <c r="H3966" s="1" t="str">
        <f ca="1">IFERROR(__xludf.DUMMYFUNCTION("GOOGLETRANSLATE(English!H3966, ""en"", ""bg"")"),"заявка_за_знание")</f>
        <v>заявка_за_знание</v>
      </c>
    </row>
    <row r="3967" spans="1:8" ht="13.2" x14ac:dyDescent="0.25">
      <c r="A3967" s="1" t="str">
        <f ca="1">IFERROR(__xludf.DUMMYFUNCTION("GOOGLETRANSLATE(English!A3967, ""en"", ""bg"")"),"hw_09857")</f>
        <v>hw_09857</v>
      </c>
      <c r="B3967" s="1" t="str">
        <f ca="1">IFERROR(__xludf.DUMMYFUNCTION("GOOGLETRANSLATE(English!B3967, ""en"", ""bg"")"),"химия")</f>
        <v>химия</v>
      </c>
      <c r="C3967" s="1" t="str">
        <f ca="1">IFERROR(__xludf.DUMMYFUNCTION("GOOGLETRANSLATE(English!C3967, ""en"", ""bg"")"),"елементарен")</f>
        <v>елементарен</v>
      </c>
      <c r="D3967" s="1" t="str">
        <f ca="1">IFERROR(__xludf.DUMMYFUNCTION("GOOGLETRANSLATE(English!D3967, ""en"", ""bg"")"),"безопасност")</f>
        <v>безопасност</v>
      </c>
      <c r="E3967" s="1" t="str">
        <f ca="1">IFERROR(__xludf.DUMMYFUNCTION("GOOGLETRANSLATE(English!E3967,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3967" s="1" t="str">
        <f ca="1">IFERROR(__xludf.DUMMYFUNCTION("GOOGLETRANSLATE(English!F3967,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3967" s="1" t="str">
        <f ca="1">IFERROR(__xludf.DUMMYFUNCTION("GOOGLETRANSLATE(English!G3967, ""en"", ""bg"")"),"помощ_за_домашно_изпълнение")</f>
        <v>помощ_за_домашно_изпълнение</v>
      </c>
      <c r="H3967" s="1" t="str">
        <f ca="1">IFERROR(__xludf.DUMMYFUNCTION("GOOGLETRANSLATE(English!H3967, ""en"", ""bg"")"),"помощ_за_домашно_задаване")</f>
        <v>помощ_за_домашно_задаване</v>
      </c>
    </row>
    <row r="3968" spans="1:8" ht="13.2" x14ac:dyDescent="0.25">
      <c r="A3968" s="1" t="str">
        <f ca="1">IFERROR(__xludf.DUMMYFUNCTION("GOOGLETRANSLATE(English!A3968, ""en"", ""bg"")"),"hw_11000")</f>
        <v>hw_11000</v>
      </c>
      <c r="B3968" s="1" t="str">
        <f ca="1">IFERROR(__xludf.DUMMYFUNCTION("GOOGLETRANSLATE(English!B3968, ""en"", ""bg"")"),"химия")</f>
        <v>химия</v>
      </c>
      <c r="C3968" s="1" t="str">
        <f ca="1">IFERROR(__xludf.DUMMYFUNCTION("GOOGLETRANSLATE(English!C3968, ""en"", ""bg"")"),"елементарен")</f>
        <v>елементарен</v>
      </c>
      <c r="D3968" s="1" t="str">
        <f ca="1">IFERROR(__xludf.DUMMYFUNCTION("GOOGLETRANSLATE(English!D3968, ""en"", ""bg"")"),"промени в материалите")</f>
        <v>промени в материалите</v>
      </c>
      <c r="E3968" s="1" t="str">
        <f ca="1">IFERROR(__xludf.DUMMYFUNCTION("GOOGLETRANSLATE(English!E3968,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3968" s="1" t="str">
        <f ca="1">IFERROR(__xludf.DUMMYFUNCTION("GOOGLETRANSLATE(English!F3968,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3968" s="1" t="str">
        <f ca="1">IFERROR(__xludf.DUMMYFUNCTION("GOOGLETRANSLATE(English!G3968, ""en"", ""bg"")"),"помощ_за_домашно_изпълнение")</f>
        <v>помощ_за_домашно_изпълнение</v>
      </c>
      <c r="H3968" s="1" t="str">
        <f ca="1">IFERROR(__xludf.DUMMYFUNCTION("GOOGLETRANSLATE(English!H3968, ""en"", ""bg"")"),"помощ_за_домашно_задаване")</f>
        <v>помощ_за_домашно_задаване</v>
      </c>
    </row>
    <row r="3969" spans="1:8" ht="13.2" x14ac:dyDescent="0.25">
      <c r="A3969" s="1" t="str">
        <f ca="1">IFERROR(__xludf.DUMMYFUNCTION("GOOGLETRANSLATE(English!A3969, ""en"", ""bg"")"),"qa_13351")</f>
        <v>qa_13351</v>
      </c>
      <c r="B3969" s="1" t="str">
        <f ca="1">IFERROR(__xludf.DUMMYFUNCTION("GOOGLETRANSLATE(English!B3969, ""en"", ""bg"")"),"химия")</f>
        <v>химия</v>
      </c>
      <c r="C3969" s="1" t="str">
        <f ca="1">IFERROR(__xludf.DUMMYFUNCTION("GOOGLETRANSLATE(English!C3969, ""en"", ""bg"")"),"елементарен")</f>
        <v>елементарен</v>
      </c>
      <c r="D3969" s="1" t="str">
        <f ca="1">IFERROR(__xludf.DUMMYFUNCTION("GOOGLETRANSLATE(English!D3969, ""en"", ""bg"")"),"разтваряне")</f>
        <v>разтваряне</v>
      </c>
      <c r="E3969" s="1" t="str">
        <f ca="1">IFERROR(__xludf.DUMMYFUNCTION("GOOGLETRANSLATE(English!E3969, ""en"", ""bg"")"),"Как работи разтварянето в химията?")</f>
        <v>Как работи разтварянето в химията?</v>
      </c>
      <c r="F3969" s="1" t="str">
        <f ca="1">IFERROR(__xludf.DUMMYFUNCTION("GOOGLETRANSLATE(English!F3969, ""en"", ""bg"")"),"Разтварянето протича според химични принципи, които обясняват как атомите и молекулите взаимодействат.")</f>
        <v>Разтварянето протича според химични принципи, които обясняват как атомите и молекулите взаимодействат.</v>
      </c>
      <c r="G3969" s="1" t="str">
        <f ca="1">IFERROR(__xludf.DUMMYFUNCTION("GOOGLETRANSLATE(English!G3969, ""en"", ""bg"")"),"direct_qa")</f>
        <v>direct_qa</v>
      </c>
      <c r="H3969" s="1" t="str">
        <f ca="1">IFERROR(__xludf.DUMMYFUNCTION("GOOGLETRANSLATE(English!H3969, ""en"", ""bg"")"),"заявка_за_знание")</f>
        <v>заявка_за_знание</v>
      </c>
    </row>
    <row r="3970" spans="1:8" ht="13.2" x14ac:dyDescent="0.25">
      <c r="A3970" s="1" t="str">
        <f ca="1">IFERROR(__xludf.DUMMYFUNCTION("GOOGLETRANSLATE(English!A3970, ""en"", ""bg"")"),"conv_12218")</f>
        <v>conv_12218</v>
      </c>
      <c r="B3970" s="1" t="str">
        <f ca="1">IFERROR(__xludf.DUMMYFUNCTION("GOOGLETRANSLATE(English!B3970, ""en"", ""bg"")"),"биология")</f>
        <v>биология</v>
      </c>
      <c r="C3970" s="1" t="str">
        <f ca="1">IFERROR(__xludf.DUMMYFUNCTION("GOOGLETRANSLATE(English!C3970, ""en"", ""bg"")"),"високо")</f>
        <v>високо</v>
      </c>
      <c r="D3970" s="1" t="str">
        <f ca="1">IFERROR(__xludf.DUMMYFUNCTION("GOOGLETRANSLATE(English!D3970, ""en"", ""bg"")"),"молекулярна биология")</f>
        <v>молекулярна биология</v>
      </c>
      <c r="E3970" s="1" t="str">
        <f ca="1">IFERROR(__xludf.DUMMYFUNCTION("GOOGLETRANSLATE(English!E3970, ""en"", ""bg"")"),"Не разбирам тази тема. Как работи молекулярната биология?")</f>
        <v>Не разбирам тази тема. Как работи молекулярната биология?</v>
      </c>
      <c r="F3970" s="1" t="str">
        <f ca="1">IFERROR(__xludf.DUMMYFUNCTION("GOOGLETRANSLATE(English!F3970,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3970" s="1" t="str">
        <f ca="1">IFERROR(__xludf.DUMMYFUNCTION("GOOGLETRANSLATE(English!G3970, ""en"", ""bg"")"),"разговор")</f>
        <v>разговор</v>
      </c>
      <c r="H3970" s="1" t="str">
        <f ca="1">IFERROR(__xludf.DUMMYFUNCTION("GOOGLETRANSLATE(English!H3970, ""en"", ""bg"")"),"образователна_помощ")</f>
        <v>образователна_помощ</v>
      </c>
    </row>
    <row r="3971" spans="1:8" ht="13.2" x14ac:dyDescent="0.25">
      <c r="A3971" s="1" t="str">
        <f ca="1">IFERROR(__xludf.DUMMYFUNCTION("GOOGLETRANSLATE(English!A3971, ""en"", ""bg"")"),"qa_10358")</f>
        <v>qa_10358</v>
      </c>
      <c r="B3971" s="1" t="str">
        <f ca="1">IFERROR(__xludf.DUMMYFUNCTION("GOOGLETRANSLATE(English!B3971, ""en"", ""bg"")"),"физика")</f>
        <v>физика</v>
      </c>
      <c r="C3971" s="1" t="str">
        <f ca="1">IFERROR(__xludf.DUMMYFUNCTION("GOOGLETRANSLATE(English!C3971, ""en"", ""bg"")"),"средата")</f>
        <v>средата</v>
      </c>
      <c r="D3971" s="1" t="str">
        <f ca="1">IFERROR(__xludf.DUMMYFUNCTION("GOOGLETRANSLATE(English!D3971, ""en"", ""bg"")"),"прости схеми")</f>
        <v>прости схеми</v>
      </c>
      <c r="E3971" s="1" t="str">
        <f ca="1">IFERROR(__xludf.DUMMYFUNCTION("GOOGLETRANSLATE(English!E3971, ""en"", ""bg"")"),"Защо простите електрически вериги са важни?")</f>
        <v>Защо простите електрически вериги са важни?</v>
      </c>
      <c r="F3971" s="1" t="str">
        <f ca="1">IFERROR(__xludf.DUMMYFUNCTION("GOOGLETRANSLATE(English!F3971,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3971" s="1" t="str">
        <f ca="1">IFERROR(__xludf.DUMMYFUNCTION("GOOGLETRANSLATE(English!G3971, ""en"", ""bg"")"),"direct_qa")</f>
        <v>direct_qa</v>
      </c>
      <c r="H3971" s="1" t="str">
        <f ca="1">IFERROR(__xludf.DUMMYFUNCTION("GOOGLETRANSLATE(English!H3971, ""en"", ""bg"")"),"заявка_за_знание")</f>
        <v>заявка_за_знание</v>
      </c>
    </row>
    <row r="3972" spans="1:8" ht="13.2" x14ac:dyDescent="0.25">
      <c r="A3972" s="1" t="str">
        <f ca="1">IFERROR(__xludf.DUMMYFUNCTION("GOOGLETRANSLATE(English!A3972, ""en"", ""bg"")"),"hw_07274")</f>
        <v>hw_07274</v>
      </c>
      <c r="B3972" s="1" t="str">
        <f ca="1">IFERROR(__xludf.DUMMYFUNCTION("GOOGLETRANSLATE(English!B3972, ""en"", ""bg"")"),"химия")</f>
        <v>химия</v>
      </c>
      <c r="C3972" s="1" t="str">
        <f ca="1">IFERROR(__xludf.DUMMYFUNCTION("GOOGLETRANSLATE(English!C3972, ""en"", ""bg"")"),"средата")</f>
        <v>средата</v>
      </c>
      <c r="D3972" s="1" t="str">
        <f ca="1">IFERROR(__xludf.DUMMYFUNCTION("GOOGLETRANSLATE(English!D3972, ""en"", ""bg"")"),"химични реакции")</f>
        <v>химични реакции</v>
      </c>
      <c r="E3972" s="1" t="str">
        <f ca="1">IFERROR(__xludf.DUMMYFUNCTION("GOOGLETRANSLATE(English!E3972, ""en"", ""bg"")"),"Не разбирам тази концепция за химични реакции. Моля, обяснете!")</f>
        <v>Не разбирам тази концепция за химични реакции. Моля, обяснете!</v>
      </c>
      <c r="F3972" s="1" t="str">
        <f ca="1">IFERROR(__xludf.DUMMYFUNCTION("GOOGLETRANSLATE(English!F3972,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3972" s="1" t="str">
        <f ca="1">IFERROR(__xludf.DUMMYFUNCTION("GOOGLETRANSLATE(English!G3972, ""en"", ""bg"")"),"помощ_за_домашно_изпълнение")</f>
        <v>помощ_за_домашно_изпълнение</v>
      </c>
      <c r="H3972" s="1" t="str">
        <f ca="1">IFERROR(__xludf.DUMMYFUNCTION("GOOGLETRANSLATE(English!H3972, ""en"", ""bg"")"),"помощ_за_домашно_задаване")</f>
        <v>помощ_за_домашно_задаване</v>
      </c>
    </row>
    <row r="3973" spans="1:8" ht="13.2" x14ac:dyDescent="0.25">
      <c r="A3973" s="1" t="str">
        <f ca="1">IFERROR(__xludf.DUMMYFUNCTION("GOOGLETRANSLATE(English!A3973, ""en"", ""bg"")"),"conv_17254")</f>
        <v>conv_17254</v>
      </c>
      <c r="B3973" s="1" t="str">
        <f ca="1">IFERROR(__xludf.DUMMYFUNCTION("GOOGLETRANSLATE(English!B3973, ""en"", ""bg"")"),"биология")</f>
        <v>биология</v>
      </c>
      <c r="C3973" s="1" t="str">
        <f ca="1">IFERROR(__xludf.DUMMYFUNCTION("GOOGLETRANSLATE(English!C3973, ""en"", ""bg"")"),"средата")</f>
        <v>средата</v>
      </c>
      <c r="D3973" s="1" t="str">
        <f ca="1">IFERROR(__xludf.DUMMYFUNCTION("GOOGLETRANSLATE(English!D3973, ""en"", ""bg"")"),"основи на генетиката")</f>
        <v>основи на генетиката</v>
      </c>
      <c r="E3973" s="1" t="str">
        <f ca="1">IFERROR(__xludf.DUMMYFUNCTION("GOOGLETRANSLATE(English!E3973, ""en"", ""bg"")"),"Можете ли да ми обясните това? Как работят основите на генетиката?")</f>
        <v>Можете ли да ми обясните това? Как работят основите на генетиката?</v>
      </c>
      <c r="F3973" s="1" t="str">
        <f ca="1">IFERROR(__xludf.DUMMYFUNCTION("GOOGLETRANSLATE(English!F3973,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3973" s="1" t="str">
        <f ca="1">IFERROR(__xludf.DUMMYFUNCTION("GOOGLETRANSLATE(English!G3973, ""en"", ""bg"")"),"разговор")</f>
        <v>разговор</v>
      </c>
      <c r="H3973" s="1" t="str">
        <f ca="1">IFERROR(__xludf.DUMMYFUNCTION("GOOGLETRANSLATE(English!H3973, ""en"", ""bg"")"),"образователна_помощ")</f>
        <v>образователна_помощ</v>
      </c>
    </row>
    <row r="3974" spans="1:8" ht="13.2" x14ac:dyDescent="0.25">
      <c r="A3974" s="1" t="str">
        <f ca="1">IFERROR(__xludf.DUMMYFUNCTION("GOOGLETRANSLATE(English!A3974, ""en"", ""bg"")"),"conv_05748")</f>
        <v>conv_05748</v>
      </c>
      <c r="B3974" s="1" t="str">
        <f ca="1">IFERROR(__xludf.DUMMYFUNCTION("GOOGLETRANSLATE(English!B3974, ""en"", ""bg"")"),"биология")</f>
        <v>биология</v>
      </c>
      <c r="C3974" s="1" t="str">
        <f ca="1">IFERROR(__xludf.DUMMYFUNCTION("GOOGLETRANSLATE(English!C3974, ""en"", ""bg"")"),"средата")</f>
        <v>средата</v>
      </c>
      <c r="D3974" s="1" t="str">
        <f ca="1">IFERROR(__xludf.DUMMYFUNCTION("GOOGLETRANSLATE(English!D3974, ""en"", ""bg"")"),"екосистеми")</f>
        <v>екосистеми</v>
      </c>
      <c r="E3974" s="1" t="str">
        <f ca="1">IFERROR(__xludf.DUMMYFUNCTION("GOOGLETRANSLATE(English!E3974, ""en"", ""bg"")"),"Здравей, преподавателю! Защо екосистемите са важни в биологията?")</f>
        <v>Здравей, преподавателю! Защо екосистемите са важни в биологията?</v>
      </c>
      <c r="F3974" s="1" t="str">
        <f ca="1">IFERROR(__xludf.DUMMYFUNCTION("GOOGLETRANSLATE(English!F3974,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3974" s="1" t="str">
        <f ca="1">IFERROR(__xludf.DUMMYFUNCTION("GOOGLETRANSLATE(English!G3974, ""en"", ""bg"")"),"разговор")</f>
        <v>разговор</v>
      </c>
      <c r="H3974" s="1" t="str">
        <f ca="1">IFERROR(__xludf.DUMMYFUNCTION("GOOGLETRANSLATE(English!H3974, ""en"", ""bg"")"),"образователна_помощ")</f>
        <v>образователна_помощ</v>
      </c>
    </row>
    <row r="3975" spans="1:8" ht="13.2" x14ac:dyDescent="0.25">
      <c r="A3975" s="1" t="str">
        <f ca="1">IFERROR(__xludf.DUMMYFUNCTION("GOOGLETRANSLATE(English!A3975, ""en"", ""bg"")"),"hw_02206")</f>
        <v>hw_02206</v>
      </c>
      <c r="B3975" s="1" t="str">
        <f ca="1">IFERROR(__xludf.DUMMYFUNCTION("GOOGLETRANSLATE(English!B3975, ""en"", ""bg"")"),"физика")</f>
        <v>физика</v>
      </c>
      <c r="C3975" s="1" t="str">
        <f ca="1">IFERROR(__xludf.DUMMYFUNCTION("GOOGLETRANSLATE(English!C3975, ""en"", ""bg"")"),"средата")</f>
        <v>средата</v>
      </c>
      <c r="D3975" s="1" t="str">
        <f ca="1">IFERROR(__xludf.DUMMYFUNCTION("GOOGLETRANSLATE(English!D3975, ""en"", ""bg"")"),"плътност")</f>
        <v>плътност</v>
      </c>
      <c r="E3975" s="1" t="str">
        <f ca="1">IFERROR(__xludf.DUMMYFUNCTION("GOOGLETRANSLATE(English!E3975, ""en"", ""bg"")"),"Можете ли да решите тази задача за плътност с мен?")</f>
        <v>Можете ли да решите тази задача за плътност с мен?</v>
      </c>
      <c r="F3975" s="1" t="str">
        <f ca="1">IFERROR(__xludf.DUMMYFUNCTION("GOOGLETRANSLATE(English!F3975,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3975" s="1" t="str">
        <f ca="1">IFERROR(__xludf.DUMMYFUNCTION("GOOGLETRANSLATE(English!G3975, ""en"", ""bg"")"),"помощ_за_домашно_изпълнение")</f>
        <v>помощ_за_домашно_изпълнение</v>
      </c>
      <c r="H3975" s="1" t="str">
        <f ca="1">IFERROR(__xludf.DUMMYFUNCTION("GOOGLETRANSLATE(English!H3975, ""en"", ""bg"")"),"помощ_за_домашно_задаване")</f>
        <v>помощ_за_домашно_задаване</v>
      </c>
    </row>
    <row r="3976" spans="1:8" ht="13.2" x14ac:dyDescent="0.25">
      <c r="A3976" s="1" t="str">
        <f ca="1">IFERROR(__xludf.DUMMYFUNCTION("GOOGLETRANSLATE(English!A3976, ""en"", ""bg"")"),"conv_07688")</f>
        <v>conv_07688</v>
      </c>
      <c r="B3976" s="1" t="str">
        <f ca="1">IFERROR(__xludf.DUMMYFUNCTION("GOOGLETRANSLATE(English!B3976, ""en"", ""bg"")"),"физика")</f>
        <v>физика</v>
      </c>
      <c r="C3976" s="1" t="str">
        <f ca="1">IFERROR(__xludf.DUMMYFUNCTION("GOOGLETRANSLATE(English!C3976, ""en"", ""bg"")"),"средата")</f>
        <v>средата</v>
      </c>
      <c r="D3976" s="1" t="str">
        <f ca="1">IFERROR(__xludf.DUMMYFUNCTION("GOOGLETRANSLATE(English!D3976, ""en"", ""bg"")"),"основи на електричеството")</f>
        <v>основи на електричеството</v>
      </c>
      <c r="E3976" s="1" t="str">
        <f ca="1">IFERROR(__xludf.DUMMYFUNCTION("GOOGLETRANSLATE(English!E3976, ""en"", ""bg"")"),"Имам нужда от помощ с домашното. Можете ли да ми обясните основите на електричеството?")</f>
        <v>Имам нужда от помощ с домашното. Можете ли да ми обясните основите на електричеството?</v>
      </c>
      <c r="F3976" s="1" t="str">
        <f ca="1">IFERROR(__xludf.DUMMYFUNCTION("GOOGLETRANSLATE(English!F3976,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3976" s="1" t="str">
        <f ca="1">IFERROR(__xludf.DUMMYFUNCTION("GOOGLETRANSLATE(English!G3976, ""en"", ""bg"")"),"разговор")</f>
        <v>разговор</v>
      </c>
      <c r="H3976" s="1" t="str">
        <f ca="1">IFERROR(__xludf.DUMMYFUNCTION("GOOGLETRANSLATE(English!H3976, ""en"", ""bg"")"),"образователна_помощ")</f>
        <v>образователна_помощ</v>
      </c>
    </row>
    <row r="3977" spans="1:8" ht="13.2" x14ac:dyDescent="0.25">
      <c r="A3977" s="1" t="str">
        <f ca="1">IFERROR(__xludf.DUMMYFUNCTION("GOOGLETRANSLATE(English!A3977, ""en"", ""bg"")"),"qa_04894")</f>
        <v>qa_04894</v>
      </c>
      <c r="B3977" s="1" t="str">
        <f ca="1">IFERROR(__xludf.DUMMYFUNCTION("GOOGLETRANSLATE(English!B3977, ""en"", ""bg"")"),"химия")</f>
        <v>химия</v>
      </c>
      <c r="C3977" s="1" t="str">
        <f ca="1">IFERROR(__xludf.DUMMYFUNCTION("GOOGLETRANSLATE(English!C3977, ""en"", ""bg"")"),"високо")</f>
        <v>високо</v>
      </c>
      <c r="D3977" s="1" t="str">
        <f ca="1">IFERROR(__xludf.DUMMYFUNCTION("GOOGLETRANSLATE(English!D3977, ""en"", ""bg"")"),"стехиометрия")</f>
        <v>стехиометрия</v>
      </c>
      <c r="E3977" s="1" t="str">
        <f ca="1">IFERROR(__xludf.DUMMYFUNCTION("GOOGLETRANSLATE(English!E3977, ""en"", ""bg"")"),"Как работи стехиометрията в химията?")</f>
        <v>Как работи стехиометрията в химията?</v>
      </c>
      <c r="F3977" s="1" t="str">
        <f ca="1">IFERROR(__xludf.DUMMYFUNCTION("GOOGLETRANSLATE(English!F3977,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3977" s="1" t="str">
        <f ca="1">IFERROR(__xludf.DUMMYFUNCTION("GOOGLETRANSLATE(English!G3977, ""en"", ""bg"")"),"direct_qa")</f>
        <v>direct_qa</v>
      </c>
      <c r="H3977" s="1" t="str">
        <f ca="1">IFERROR(__xludf.DUMMYFUNCTION("GOOGLETRANSLATE(English!H3977, ""en"", ""bg"")"),"заявка_за_знание")</f>
        <v>заявка_за_знание</v>
      </c>
    </row>
    <row r="3978" spans="1:8" ht="13.2" x14ac:dyDescent="0.25">
      <c r="A3978" s="1" t="str">
        <f ca="1">IFERROR(__xludf.DUMMYFUNCTION("GOOGLETRANSLATE(English!A3978, ""en"", ""bg"")"),"qa_05309")</f>
        <v>qa_05309</v>
      </c>
      <c r="B3978" s="1" t="str">
        <f ca="1">IFERROR(__xludf.DUMMYFUNCTION("GOOGLETRANSLATE(English!B3978, ""en"", ""bg"")"),"физика")</f>
        <v>физика</v>
      </c>
      <c r="C3978" s="1" t="str">
        <f ca="1">IFERROR(__xludf.DUMMYFUNCTION("GOOGLETRANSLATE(English!C3978, ""en"", ""bg"")"),"високо")</f>
        <v>високо</v>
      </c>
      <c r="D3978" s="1" t="str">
        <f ca="1">IFERROR(__xludf.DUMMYFUNCTION("GOOGLETRANSLATE(English!D3978, ""en"", ""bg"")"),"механика")</f>
        <v>механика</v>
      </c>
      <c r="E3978" s="1" t="str">
        <f ca="1">IFERROR(__xludf.DUMMYFUNCTION("GOOGLETRANSLATE(English!E3978, ""en"", ""bg"")"),"Как работи механиката във физиката?")</f>
        <v>Как работи механиката във физиката?</v>
      </c>
      <c r="F3978" s="1" t="str">
        <f ca="1">IFERROR(__xludf.DUMMYFUNCTION("GOOGLETRANSLATE(English!F3978,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3978" s="1" t="str">
        <f ca="1">IFERROR(__xludf.DUMMYFUNCTION("GOOGLETRANSLATE(English!G3978, ""en"", ""bg"")"),"direct_qa")</f>
        <v>direct_qa</v>
      </c>
      <c r="H3978" s="1" t="str">
        <f ca="1">IFERROR(__xludf.DUMMYFUNCTION("GOOGLETRANSLATE(English!H3978, ""en"", ""bg"")"),"заявка_за_знание")</f>
        <v>заявка_за_знание</v>
      </c>
    </row>
    <row r="3979" spans="1:8" ht="13.2" x14ac:dyDescent="0.25">
      <c r="A3979" s="1" t="str">
        <f ca="1">IFERROR(__xludf.DUMMYFUNCTION("GOOGLETRANSLATE(English!A3979, ""en"", ""bg"")"),"qa_04313")</f>
        <v>qa_04313</v>
      </c>
      <c r="B3979" s="1" t="str">
        <f ca="1">IFERROR(__xludf.DUMMYFUNCTION("GOOGLETRANSLATE(English!B3979, ""en"", ""bg"")"),"биология")</f>
        <v>биология</v>
      </c>
      <c r="C3979" s="1" t="str">
        <f ca="1">IFERROR(__xludf.DUMMYFUNCTION("GOOGLETRANSLATE(English!C3979, ""en"", ""bg"")"),"високо")</f>
        <v>високо</v>
      </c>
      <c r="D3979" s="1" t="str">
        <f ca="1">IFERROR(__xludf.DUMMYFUNCTION("GOOGLETRANSLATE(English!D3979, ""en"", ""bg"")"),"модели на наследяване")</f>
        <v>модели на наследяване</v>
      </c>
      <c r="E3979" s="1" t="str">
        <f ca="1">IFERROR(__xludf.DUMMYFUNCTION("GOOGLETRANSLATE(English!E3979, ""en"", ""bg"")"),"Как работят моделите на наследяване?")</f>
        <v>Как работят моделите на наследяване?</v>
      </c>
      <c r="F3979" s="1" t="str">
        <f ca="1">IFERROR(__xludf.DUMMYFUNCTION("GOOGLETRANSLATE(English!F3979,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3979" s="1" t="str">
        <f ca="1">IFERROR(__xludf.DUMMYFUNCTION("GOOGLETRANSLATE(English!G3979, ""en"", ""bg"")"),"direct_qa")</f>
        <v>direct_qa</v>
      </c>
      <c r="H3979" s="1" t="str">
        <f ca="1">IFERROR(__xludf.DUMMYFUNCTION("GOOGLETRANSLATE(English!H3979, ""en"", ""bg"")"),"заявка_за_знание")</f>
        <v>заявка_за_знание</v>
      </c>
    </row>
    <row r="3980" spans="1:8" ht="13.2" x14ac:dyDescent="0.25">
      <c r="A3980" s="1" t="str">
        <f ca="1">IFERROR(__xludf.DUMMYFUNCTION("GOOGLETRANSLATE(English!A3980, ""en"", ""bg"")"),"conv_15234")</f>
        <v>conv_15234</v>
      </c>
      <c r="B3980" s="1" t="str">
        <f ca="1">IFERROR(__xludf.DUMMYFUNCTION("GOOGLETRANSLATE(English!B3980, ""en"", ""bg"")"),"физика")</f>
        <v>физика</v>
      </c>
      <c r="C3980" s="1" t="str">
        <f ca="1">IFERROR(__xludf.DUMMYFUNCTION("GOOGLETRANSLATE(English!C3980, ""en"", ""bg"")"),"средата")</f>
        <v>средата</v>
      </c>
      <c r="D3980" s="1" t="str">
        <f ca="1">IFERROR(__xludf.DUMMYFUNCTION("GOOGLETRANSLATE(English!D3980, ""en"", ""bg"")"),"плътност")</f>
        <v>плътност</v>
      </c>
      <c r="E3980" s="1" t="str">
        <f ca="1">IFERROR(__xludf.DUMMYFUNCTION("GOOGLETRANSLATE(English!E3980, ""en"", ""bg"")"),"Можете ли да ми обясните това? Какво трябва да знам за плътността?")</f>
        <v>Можете ли да ми обясните това? Какво трябва да знам за плътността?</v>
      </c>
      <c r="F3980" s="1" t="str">
        <f ca="1">IFERROR(__xludf.DUMMYFUNCTION("GOOGLETRANSLATE(English!F3980,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3980" s="1" t="str">
        <f ca="1">IFERROR(__xludf.DUMMYFUNCTION("GOOGLETRANSLATE(English!G3980, ""en"", ""bg"")"),"разговор")</f>
        <v>разговор</v>
      </c>
      <c r="H3980" s="1" t="str">
        <f ca="1">IFERROR(__xludf.DUMMYFUNCTION("GOOGLETRANSLATE(English!H3980, ""en"", ""bg"")"),"образователна_помощ")</f>
        <v>образователна_помощ</v>
      </c>
    </row>
    <row r="3981" spans="1:8" ht="13.2" x14ac:dyDescent="0.25">
      <c r="A3981" s="1" t="str">
        <f ca="1">IFERROR(__xludf.DUMMYFUNCTION("GOOGLETRANSLATE(English!A3981, ""en"", ""bg"")"),"conv_07281")</f>
        <v>conv_07281</v>
      </c>
      <c r="B3981" s="1" t="str">
        <f ca="1">IFERROR(__xludf.DUMMYFUNCTION("GOOGLETRANSLATE(English!B3981, ""en"", ""bg"")"),"физика")</f>
        <v>физика</v>
      </c>
      <c r="C3981" s="1" t="str">
        <f ca="1">IFERROR(__xludf.DUMMYFUNCTION("GOOGLETRANSLATE(English!C3981, ""en"", ""bg"")"),"елементарен")</f>
        <v>елементарен</v>
      </c>
      <c r="D3981" s="1" t="str">
        <f ca="1">IFERROR(__xludf.DUMMYFUNCTION("GOOGLETRANSLATE(English!D3981, ""en"", ""bg"")"),"бутане и дърпане")</f>
        <v>бутане и дърпане</v>
      </c>
      <c r="E3981" s="1" t="str">
        <f ca="1">IFERROR(__xludf.DUMMYFUNCTION("GOOGLETRANSLATE(English!E3981, ""en"", ""bg"")"),"Можете ли да ми помогнете? Какво трябва да знам за бутането и дърпането?")</f>
        <v>Можете ли да ми помогнете? Какво трябва да знам за бутането и дърпането?</v>
      </c>
      <c r="F3981" s="1" t="str">
        <f ca="1">IFERROR(__xludf.DUMMYFUNCTION("GOOGLETRANSLATE(English!F3981,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3981" s="1" t="str">
        <f ca="1">IFERROR(__xludf.DUMMYFUNCTION("GOOGLETRANSLATE(English!G3981, ""en"", ""bg"")"),"разговор")</f>
        <v>разговор</v>
      </c>
      <c r="H3981" s="1" t="str">
        <f ca="1">IFERROR(__xludf.DUMMYFUNCTION("GOOGLETRANSLATE(English!H3981, ""en"", ""bg"")"),"образователна_помощ")</f>
        <v>образователна_помощ</v>
      </c>
    </row>
    <row r="3982" spans="1:8" ht="13.2" x14ac:dyDescent="0.25">
      <c r="A3982" s="1" t="str">
        <f ca="1">IFERROR(__xludf.DUMMYFUNCTION("GOOGLETRANSLATE(English!A3982, ""en"", ""bg"")"),"conv_05972")</f>
        <v>conv_05972</v>
      </c>
      <c r="B3982" s="1" t="str">
        <f ca="1">IFERROR(__xludf.DUMMYFUNCTION("GOOGLETRANSLATE(English!B3982, ""en"", ""bg"")"),"химия")</f>
        <v>химия</v>
      </c>
      <c r="C3982" s="1" t="str">
        <f ca="1">IFERROR(__xludf.DUMMYFUNCTION("GOOGLETRANSLATE(English!C3982, ""en"", ""bg"")"),"средата")</f>
        <v>средата</v>
      </c>
      <c r="D3982" s="1" t="str">
        <f ca="1">IFERROR(__xludf.DUMMYFUNCTION("GOOGLETRANSLATE(English!D3982, ""en"", ""bg"")"),"химични реакции")</f>
        <v>химични реакции</v>
      </c>
      <c r="E3982" s="1" t="str">
        <f ca="1">IFERROR(__xludf.DUMMYFUNCTION("GOOGLETRANSLATE(English!E3982, ""en"", ""bg"")"),"Не разбирам тази тема. Какво е химична реакция?")</f>
        <v>Не разбирам тази тема. Какво е химична реакция?</v>
      </c>
      <c r="F3982" s="1" t="str">
        <f ca="1">IFERROR(__xludf.DUMMYFUNCTION("GOOGLETRANSLATE(English!F3982,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3982" s="1" t="str">
        <f ca="1">IFERROR(__xludf.DUMMYFUNCTION("GOOGLETRANSLATE(English!G3982, ""en"", ""bg"")"),"разговор")</f>
        <v>разговор</v>
      </c>
      <c r="H3982" s="1" t="str">
        <f ca="1">IFERROR(__xludf.DUMMYFUNCTION("GOOGLETRANSLATE(English!H3982, ""en"", ""bg"")"),"образователна_помощ")</f>
        <v>образователна_помощ</v>
      </c>
    </row>
    <row r="3983" spans="1:8" ht="13.2" x14ac:dyDescent="0.25">
      <c r="A3983" s="1" t="str">
        <f ca="1">IFERROR(__xludf.DUMMYFUNCTION("GOOGLETRANSLATE(English!A3983, ""en"", ""bg"")"),"hw_14063")</f>
        <v>hw_14063</v>
      </c>
      <c r="B3983" s="1" t="str">
        <f ca="1">IFERROR(__xludf.DUMMYFUNCTION("GOOGLETRANSLATE(English!B3983, ""en"", ""bg"")"),"физика")</f>
        <v>физика</v>
      </c>
      <c r="C3983" s="1" t="str">
        <f ca="1">IFERROR(__xludf.DUMMYFUNCTION("GOOGLETRANSLATE(English!C3983, ""en"", ""bg"")"),"елементарен")</f>
        <v>елементарен</v>
      </c>
      <c r="D3983" s="1" t="str">
        <f ca="1">IFERROR(__xludf.DUMMYFUNCTION("GOOGLETRANSLATE(English!D3983, ""en"", ""bg"")"),"бутане и дърпане")</f>
        <v>бутане и дърпане</v>
      </c>
      <c r="E3983" s="1" t="str">
        <f ca="1">IFERROR(__xludf.DUMMYFUNCTION("GOOGLETRANSLATE(English!E3983, ""en"", ""bg"")"),"Трябва да разбера тласкането и дърпането за изпита си.")</f>
        <v>Трябва да разбера тласкането и дърпането за изпита си.</v>
      </c>
      <c r="F3983" s="1" t="str">
        <f ca="1">IFERROR(__xludf.DUMMYFUNCTION("GOOGLETRANSLATE(English!F3983,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3983" s="1" t="str">
        <f ca="1">IFERROR(__xludf.DUMMYFUNCTION("GOOGLETRANSLATE(English!G3983, ""en"", ""bg"")"),"помощ_за_домашно_изпълнение")</f>
        <v>помощ_за_домашно_изпълнение</v>
      </c>
      <c r="H3983" s="1" t="str">
        <f ca="1">IFERROR(__xludf.DUMMYFUNCTION("GOOGLETRANSLATE(English!H3983, ""en"", ""bg"")"),"помощ_за_домашно_задаване")</f>
        <v>помощ_за_домашно_задаване</v>
      </c>
    </row>
    <row r="3984" spans="1:8" ht="13.2" x14ac:dyDescent="0.25">
      <c r="A3984" s="1" t="str">
        <f ca="1">IFERROR(__xludf.DUMMYFUNCTION("GOOGLETRANSLATE(English!A3984, ""en"", ""bg"")"),"hw_07433")</f>
        <v>hw_07433</v>
      </c>
      <c r="B3984" s="1" t="str">
        <f ca="1">IFERROR(__xludf.DUMMYFUNCTION("GOOGLETRANSLATE(English!B3984, ""en"", ""bg"")"),"химия")</f>
        <v>химия</v>
      </c>
      <c r="C3984" s="1" t="str">
        <f ca="1">IFERROR(__xludf.DUMMYFUNCTION("GOOGLETRANSLATE(English!C3984, ""en"", ""bg"")"),"високо")</f>
        <v>високо</v>
      </c>
      <c r="D3984" s="1" t="str">
        <f ca="1">IFERROR(__xludf.DUMMYFUNCTION("GOOGLETRANSLATE(English!D3984, ""en"", ""bg"")"),"органична химия")</f>
        <v>органична химия</v>
      </c>
      <c r="E3984" s="1" t="str">
        <f ca="1">IFERROR(__xludf.DUMMYFUNCTION("GOOGLETRANSLATE(English!E3984,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3984" s="1" t="str">
        <f ca="1">IFERROR(__xludf.DUMMYFUNCTION("GOOGLETRANSLATE(English!F3984,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3984" s="1" t="str">
        <f ca="1">IFERROR(__xludf.DUMMYFUNCTION("GOOGLETRANSLATE(English!G3984, ""en"", ""bg"")"),"помощ_за_домашно_изпълнение")</f>
        <v>помощ_за_домашно_изпълнение</v>
      </c>
      <c r="H3984" s="1" t="str">
        <f ca="1">IFERROR(__xludf.DUMMYFUNCTION("GOOGLETRANSLATE(English!H3984, ""en"", ""bg"")"),"помощ_за_домашно_задаване")</f>
        <v>помощ_за_домашно_задаване</v>
      </c>
    </row>
    <row r="3985" spans="1:8" ht="13.2" x14ac:dyDescent="0.25">
      <c r="A3985" s="1" t="str">
        <f ca="1">IFERROR(__xludf.DUMMYFUNCTION("GOOGLETRANSLATE(English!A3985, ""en"", ""bg"")"),"conv_01672")</f>
        <v>conv_01672</v>
      </c>
      <c r="B3985" s="1" t="str">
        <f ca="1">IFERROR(__xludf.DUMMYFUNCTION("GOOGLETRANSLATE(English!B3985, ""en"", ""bg"")"),"биология")</f>
        <v>биология</v>
      </c>
      <c r="C3985" s="1" t="str">
        <f ca="1">IFERROR(__xludf.DUMMYFUNCTION("GOOGLETRANSLATE(English!C3985, ""en"", ""bg"")"),"елементарен")</f>
        <v>елементарен</v>
      </c>
      <c r="D3985" s="1" t="str">
        <f ca="1">IFERROR(__xludf.DUMMYFUNCTION("GOOGLETRANSLATE(English!D3985, ""en"", ""bg"")"),"жизнени цикли")</f>
        <v>жизнени цикли</v>
      </c>
      <c r="E3985" s="1" t="str">
        <f ca="1">IFERROR(__xludf.DUMMYFUNCTION("GOOGLETRANSLATE(English!E3985, ""en"", ""bg"")"),"Здравей, преподавателю! Можеш ли да ми разкажеш за жизнените цикли?")</f>
        <v>Здравей, преподавателю! Можеш ли да ми разкажеш за жизнените цикли?</v>
      </c>
      <c r="F3985" s="1" t="str">
        <f ca="1">IFERROR(__xludf.DUMMYFUNCTION("GOOGLETRANSLATE(English!F3985,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3985" s="1" t="str">
        <f ca="1">IFERROR(__xludf.DUMMYFUNCTION("GOOGLETRANSLATE(English!G3985, ""en"", ""bg"")"),"разговор")</f>
        <v>разговор</v>
      </c>
      <c r="H3985" s="1" t="str">
        <f ca="1">IFERROR(__xludf.DUMMYFUNCTION("GOOGLETRANSLATE(English!H3985, ""en"", ""bg"")"),"образователна_помощ")</f>
        <v>образователна_помощ</v>
      </c>
    </row>
    <row r="3986" spans="1:8" ht="13.2" x14ac:dyDescent="0.25">
      <c r="A3986" s="1" t="str">
        <f ca="1">IFERROR(__xludf.DUMMYFUNCTION("GOOGLETRANSLATE(English!A3986, ""en"", ""bg"")"),"conv_01849")</f>
        <v>conv_01849</v>
      </c>
      <c r="B3986" s="1" t="str">
        <f ca="1">IFERROR(__xludf.DUMMYFUNCTION("GOOGLETRANSLATE(English!B3986, ""en"", ""bg"")"),"химия")</f>
        <v>химия</v>
      </c>
      <c r="C3986" s="1" t="str">
        <f ca="1">IFERROR(__xludf.DUMMYFUNCTION("GOOGLETRANSLATE(English!C3986, ""en"", ""bg"")"),"средата")</f>
        <v>средата</v>
      </c>
      <c r="D3986" s="1" t="str">
        <f ca="1">IFERROR(__xludf.DUMMYFUNCTION("GOOGLETRANSLATE(English!D3986, ""en"", ""bg"")"),"киселини и основи")</f>
        <v>киселини и основи</v>
      </c>
      <c r="E3986" s="1" t="str">
        <f ca="1">IFERROR(__xludf.DUMMYFUNCTION("GOOGLETRANSLATE(English!E3986, ""en"", ""bg"")"),"Можете ли да ми обясните това? Какво представляват киселините и основите?")</f>
        <v>Можете ли да ми обясните това? Какво представляват киселините и основите?</v>
      </c>
      <c r="F3986" s="1" t="str">
        <f ca="1">IFERROR(__xludf.DUMMYFUNCTION("GOOGLETRANSLATE(English!F3986,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3986" s="1" t="str">
        <f ca="1">IFERROR(__xludf.DUMMYFUNCTION("GOOGLETRANSLATE(English!G3986, ""en"", ""bg"")"),"разговор")</f>
        <v>разговор</v>
      </c>
      <c r="H3986" s="1" t="str">
        <f ca="1">IFERROR(__xludf.DUMMYFUNCTION("GOOGLETRANSLATE(English!H3986, ""en"", ""bg"")"),"образователна_помощ")</f>
        <v>образователна_помощ</v>
      </c>
    </row>
    <row r="3987" spans="1:8" ht="13.2" x14ac:dyDescent="0.25">
      <c r="A3987" s="1" t="str">
        <f ca="1">IFERROR(__xludf.DUMMYFUNCTION("GOOGLETRANSLATE(English!A3987, ""en"", ""bg"")"),"conv_07751")</f>
        <v>conv_07751</v>
      </c>
      <c r="B3987" s="1" t="str">
        <f ca="1">IFERROR(__xludf.DUMMYFUNCTION("GOOGLETRANSLATE(English!B3987, ""en"", ""bg"")"),"биология")</f>
        <v>биология</v>
      </c>
      <c r="C3987" s="1" t="str">
        <f ca="1">IFERROR(__xludf.DUMMYFUNCTION("GOOGLETRANSLATE(English!C3987, ""en"", ""bg"")"),"високо")</f>
        <v>високо</v>
      </c>
      <c r="D3987" s="1" t="str">
        <f ca="1">IFERROR(__xludf.DUMMYFUNCTION("GOOGLETRANSLATE(English!D3987, ""en"", ""bg"")"),"клетъчно дишане")</f>
        <v>клетъчно дишане</v>
      </c>
      <c r="E3987" s="1" t="str">
        <f ca="1">IFERROR(__xludf.DUMMYFUNCTION("GOOGLETRANSLATE(English!E3987, ""en"", ""bg"")"),"Имам нужда от помощ с домашното. Можете ли да ми разкажете за клетъчното дишане?")</f>
        <v>Имам нужда от помощ с домашното. Можете ли да ми разкажете за клетъчното дишане?</v>
      </c>
      <c r="F3987" s="1" t="str">
        <f ca="1">IFERROR(__xludf.DUMMYFUNCTION("GOOGLETRANSLATE(English!F3987,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3987" s="1" t="str">
        <f ca="1">IFERROR(__xludf.DUMMYFUNCTION("GOOGLETRANSLATE(English!G3987, ""en"", ""bg"")"),"разговор")</f>
        <v>разговор</v>
      </c>
      <c r="H3987" s="1" t="str">
        <f ca="1">IFERROR(__xludf.DUMMYFUNCTION("GOOGLETRANSLATE(English!H3987, ""en"", ""bg"")"),"образователна_помощ")</f>
        <v>образователна_помощ</v>
      </c>
    </row>
    <row r="3988" spans="1:8" ht="13.2" x14ac:dyDescent="0.25">
      <c r="A3988" s="1" t="str">
        <f ca="1">IFERROR(__xludf.DUMMYFUNCTION("GOOGLETRANSLATE(English!A3988, ""en"", ""bg"")"),"conv_10591")</f>
        <v>conv_10591</v>
      </c>
      <c r="B3988" s="1" t="str">
        <f ca="1">IFERROR(__xludf.DUMMYFUNCTION("GOOGLETRANSLATE(English!B3988, ""en"", ""bg"")"),"физика")</f>
        <v>физика</v>
      </c>
      <c r="C3988" s="1" t="str">
        <f ca="1">IFERROR(__xludf.DUMMYFUNCTION("GOOGLETRANSLATE(English!C3988, ""en"", ""bg"")"),"средата")</f>
        <v>средата</v>
      </c>
      <c r="D3988" s="1" t="str">
        <f ca="1">IFERROR(__xludf.DUMMYFUNCTION("GOOGLETRANSLATE(English!D3988, ""en"", ""bg"")"),"видове енергия")</f>
        <v>видове енергия</v>
      </c>
      <c r="E3988" s="1" t="str">
        <f ca="1">IFERROR(__xludf.DUMMYFUNCTION("GOOGLETRANSLATE(English!E3988, ""en"", ""bg"")"),"Не разбирам тази тема. Как се променя видът на енергията?")</f>
        <v>Не разбирам тази тема. Как се променя видът на енергията?</v>
      </c>
      <c r="F3988" s="1" t="str">
        <f ca="1">IFERROR(__xludf.DUMMYFUNCTION("GOOGLETRANSLATE(English!F3988,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3988" s="1" t="str">
        <f ca="1">IFERROR(__xludf.DUMMYFUNCTION("GOOGLETRANSLATE(English!G3988, ""en"", ""bg"")"),"разговор")</f>
        <v>разговор</v>
      </c>
      <c r="H3988" s="1" t="str">
        <f ca="1">IFERROR(__xludf.DUMMYFUNCTION("GOOGLETRANSLATE(English!H3988, ""en"", ""bg"")"),"образователна_помощ")</f>
        <v>образователна_помощ</v>
      </c>
    </row>
    <row r="3989" spans="1:8" ht="13.2" x14ac:dyDescent="0.25">
      <c r="A3989" s="1" t="str">
        <f ca="1">IFERROR(__xludf.DUMMYFUNCTION("GOOGLETRANSLATE(English!A3989, ""en"", ""bg"")"),"conv_16075")</f>
        <v>conv_16075</v>
      </c>
      <c r="B3989" s="1" t="str">
        <f ca="1">IFERROR(__xludf.DUMMYFUNCTION("GOOGLETRANSLATE(English!B3989, ""en"", ""bg"")"),"химия")</f>
        <v>химия</v>
      </c>
      <c r="C3989" s="1" t="str">
        <f ca="1">IFERROR(__xludf.DUMMYFUNCTION("GOOGLETRANSLATE(English!C3989, ""en"", ""bg"")"),"средата")</f>
        <v>средата</v>
      </c>
      <c r="D3989" s="1" t="str">
        <f ca="1">IFERROR(__xludf.DUMMYFUNCTION("GOOGLETRANSLATE(English!D3989, ""en"", ""bg"")"),"атоми и молекули")</f>
        <v>атоми и молекули</v>
      </c>
      <c r="E3989" s="1" t="str">
        <f ca="1">IFERROR(__xludf.DUMMYFUNCTION("GOOGLETRANSLATE(English!E3989, ""en"", ""bg"")"),"Помогнете ми да уча за теста си. Коя е най-малката част от един елемент?")</f>
        <v>Помогнете ми да уча за теста си. Коя е най-малката част от един елемент?</v>
      </c>
      <c r="F3989" s="1" t="str">
        <f ca="1">IFERROR(__xludf.DUMMYFUNCTION("GOOGLETRANSLATE(English!F3989,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3989" s="1" t="str">
        <f ca="1">IFERROR(__xludf.DUMMYFUNCTION("GOOGLETRANSLATE(English!G3989, ""en"", ""bg"")"),"разговор")</f>
        <v>разговор</v>
      </c>
      <c r="H3989" s="1" t="str">
        <f ca="1">IFERROR(__xludf.DUMMYFUNCTION("GOOGLETRANSLATE(English!H3989, ""en"", ""bg"")"),"образователна_помощ")</f>
        <v>образователна_помощ</v>
      </c>
    </row>
    <row r="3990" spans="1:8" ht="13.2" x14ac:dyDescent="0.25">
      <c r="A3990" s="1" t="str">
        <f ca="1">IFERROR(__xludf.DUMMYFUNCTION("GOOGLETRANSLATE(English!A3990, ""en"", ""bg"")"),"hw_10545")</f>
        <v>hw_10545</v>
      </c>
      <c r="B3990" s="1" t="str">
        <f ca="1">IFERROR(__xludf.DUMMYFUNCTION("GOOGLETRANSLATE(English!B3990, ""en"", ""bg"")"),"биология")</f>
        <v>биология</v>
      </c>
      <c r="C3990" s="1" t="str">
        <f ca="1">IFERROR(__xludf.DUMMYFUNCTION("GOOGLETRANSLATE(English!C3990, ""en"", ""bg"")"),"средата")</f>
        <v>средата</v>
      </c>
      <c r="D3990" s="1" t="str">
        <f ca="1">IFERROR(__xludf.DUMMYFUNCTION("GOOGLETRANSLATE(English!D3990, ""en"", ""bg"")"),"основи на еволюцията")</f>
        <v>основи на еволюцията</v>
      </c>
      <c r="E3990" s="1" t="str">
        <f ca="1">IFERROR(__xludf.DUMMYFUNCTION("GOOGLETRANSLATE(English!E3990, ""en"", ""bg"")"),"Утре имам тест по основи на еволюцията. Помогни ми да уча!")</f>
        <v>Утре имам тест по основи на еволюцията. Помогни ми да уча!</v>
      </c>
      <c r="F3990" s="1" t="str">
        <f ca="1">IFERROR(__xludf.DUMMYFUNCTION("GOOGLETRANSLATE(English!F3990,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3990" s="1" t="str">
        <f ca="1">IFERROR(__xludf.DUMMYFUNCTION("GOOGLETRANSLATE(English!G3990, ""en"", ""bg"")"),"помощ_за_домашно_изпълнение")</f>
        <v>помощ_за_домашно_изпълнение</v>
      </c>
      <c r="H3990" s="1" t="str">
        <f ca="1">IFERROR(__xludf.DUMMYFUNCTION("GOOGLETRANSLATE(English!H3990, ""en"", ""bg"")"),"помощ_за_домашно_задаване")</f>
        <v>помощ_за_домашно_задаване</v>
      </c>
    </row>
    <row r="3991" spans="1:8" ht="13.2" x14ac:dyDescent="0.25">
      <c r="A3991" s="1" t="str">
        <f ca="1">IFERROR(__xludf.DUMMYFUNCTION("GOOGLETRANSLATE(English!A3991, ""en"", ""bg"")"),"qa_13631")</f>
        <v>qa_13631</v>
      </c>
      <c r="B3991" s="1" t="str">
        <f ca="1">IFERROR(__xludf.DUMMYFUNCTION("GOOGLETRANSLATE(English!B3991, ""en"", ""bg"")"),"химия")</f>
        <v>химия</v>
      </c>
      <c r="C3991" s="1" t="str">
        <f ca="1">IFERROR(__xludf.DUMMYFUNCTION("GOOGLETRANSLATE(English!C3991, ""en"", ""bg"")"),"високо")</f>
        <v>високо</v>
      </c>
      <c r="D3991" s="1" t="str">
        <f ca="1">IFERROR(__xludf.DUMMYFUNCTION("GOOGLETRANSLATE(English!D3991, ""en"", ""bg"")"),"химическо свързване")</f>
        <v>химическо свързване</v>
      </c>
      <c r="E3991" s="1" t="str">
        <f ca="1">IFERROR(__xludf.DUMMYFUNCTION("GOOGLETRANSLATE(English!E3991, ""en"", ""bg"")"),"Какво представлява химическото свързване?")</f>
        <v>Какво представлява химическото свързване?</v>
      </c>
      <c r="F3991" s="1" t="str">
        <f ca="1">IFERROR(__xludf.DUMMYFUNCTION("GOOGLETRANSLATE(English!F3991,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3991" s="1" t="str">
        <f ca="1">IFERROR(__xludf.DUMMYFUNCTION("GOOGLETRANSLATE(English!G3991, ""en"", ""bg"")"),"direct_qa")</f>
        <v>direct_qa</v>
      </c>
      <c r="H3991" s="1" t="str">
        <f ca="1">IFERROR(__xludf.DUMMYFUNCTION("GOOGLETRANSLATE(English!H3991, ""en"", ""bg"")"),"заявка_за_знание")</f>
        <v>заявка_за_знание</v>
      </c>
    </row>
    <row r="3992" spans="1:8" ht="13.2" x14ac:dyDescent="0.25">
      <c r="A3992" s="1" t="str">
        <f ca="1">IFERROR(__xludf.DUMMYFUNCTION("GOOGLETRANSLATE(English!A3992, ""en"", ""bg"")"),"conv_00130")</f>
        <v>conv_00130</v>
      </c>
      <c r="B3992" s="1" t="str">
        <f ca="1">IFERROR(__xludf.DUMMYFUNCTION("GOOGLETRANSLATE(English!B3992, ""en"", ""bg"")"),"биология")</f>
        <v>биология</v>
      </c>
      <c r="C3992" s="1" t="str">
        <f ca="1">IFERROR(__xludf.DUMMYFUNCTION("GOOGLETRANSLATE(English!C3992, ""en"", ""bg"")"),"високо")</f>
        <v>високо</v>
      </c>
      <c r="D3992" s="1" t="str">
        <f ca="1">IFERROR(__xludf.DUMMYFUNCTION("GOOGLETRANSLATE(English!D3992, ""en"", ""bg"")"),"клетъчно дишане")</f>
        <v>клетъчно дишане</v>
      </c>
      <c r="E3992" s="1" t="str">
        <f ca="1">IFERROR(__xludf.DUMMYFUNCTION("GOOGLETRANSLATE(English!E3992, ""en"", ""bg"")"),"Помогнете ми да уча за теста. Можете ли да ми разкажете за клетъчното дишане?")</f>
        <v>Помогнете ми да уча за теста. Можете ли да ми разкажете за клетъчното дишане?</v>
      </c>
      <c r="F3992" s="1" t="str">
        <f ca="1">IFERROR(__xludf.DUMMYFUNCTION("GOOGLETRANSLATE(English!F3992,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3992" s="1" t="str">
        <f ca="1">IFERROR(__xludf.DUMMYFUNCTION("GOOGLETRANSLATE(English!G3992, ""en"", ""bg"")"),"разговор")</f>
        <v>разговор</v>
      </c>
      <c r="H3992" s="1" t="str">
        <f ca="1">IFERROR(__xludf.DUMMYFUNCTION("GOOGLETRANSLATE(English!H3992, ""en"", ""bg"")"),"образователна_помощ")</f>
        <v>образователна_помощ</v>
      </c>
    </row>
    <row r="3993" spans="1:8" ht="13.2" x14ac:dyDescent="0.25">
      <c r="A3993" s="1" t="str">
        <f ca="1">IFERROR(__xludf.DUMMYFUNCTION("GOOGLETRANSLATE(English!A3993, ""en"", ""bg"")"),"conv_00015")</f>
        <v>conv_00015</v>
      </c>
      <c r="B3993" s="1" t="str">
        <f ca="1">IFERROR(__xludf.DUMMYFUNCTION("GOOGLETRANSLATE(English!B3993, ""en"", ""bg"")"),"биология")</f>
        <v>биология</v>
      </c>
      <c r="C3993" s="1" t="str">
        <f ca="1">IFERROR(__xludf.DUMMYFUNCTION("GOOGLETRANSLATE(English!C3993, ""en"", ""bg"")"),"елементарен")</f>
        <v>елементарен</v>
      </c>
      <c r="D3993" s="1" t="str">
        <f ca="1">IFERROR(__xludf.DUMMYFUNCTION("GOOGLETRANSLATE(English!D3993, ""en"", ""bg"")"),"животни")</f>
        <v>животни</v>
      </c>
      <c r="E3993" s="1" t="str">
        <f ca="1">IFERROR(__xludf.DUMMYFUNCTION("GOOGLETRANSLATE(English!E3993, ""en"", ""bg"")"),"Можете ли да ми обясните това? С какво се хранят слоновете?")</f>
        <v>Можете ли да ми обясните това? С какво се хранят слоновете?</v>
      </c>
      <c r="F3993" s="1" t="str">
        <f ca="1">IFERROR(__xludf.DUMMYFUNCTION("GOOGLETRANSLATE(English!F3993,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3993" s="1" t="str">
        <f ca="1">IFERROR(__xludf.DUMMYFUNCTION("GOOGLETRANSLATE(English!G3993, ""en"", ""bg"")"),"разговор")</f>
        <v>разговор</v>
      </c>
      <c r="H3993" s="1" t="str">
        <f ca="1">IFERROR(__xludf.DUMMYFUNCTION("GOOGLETRANSLATE(English!H3993, ""en"", ""bg"")"),"образователна_помощ")</f>
        <v>образователна_помощ</v>
      </c>
    </row>
    <row r="3994" spans="1:8" ht="13.2" x14ac:dyDescent="0.25">
      <c r="A3994" s="1" t="str">
        <f ca="1">IFERROR(__xludf.DUMMYFUNCTION("GOOGLETRANSLATE(English!A3994, ""en"", ""bg"")"),"conv_11327")</f>
        <v>conv_11327</v>
      </c>
      <c r="B3994" s="1" t="str">
        <f ca="1">IFERROR(__xludf.DUMMYFUNCTION("GOOGLETRANSLATE(English!B3994, ""en"", ""bg"")"),"химия")</f>
        <v>химия</v>
      </c>
      <c r="C3994" s="1" t="str">
        <f ca="1">IFERROR(__xludf.DUMMYFUNCTION("GOOGLETRANSLATE(English!C3994, ""en"", ""bg"")"),"високо")</f>
        <v>високо</v>
      </c>
      <c r="D3994" s="1" t="str">
        <f ca="1">IFERROR(__xludf.DUMMYFUNCTION("GOOGLETRANSLATE(English!D3994, ""en"", ""bg"")"),"химическо свързване")</f>
        <v>химическо свързване</v>
      </c>
      <c r="E3994" s="1" t="str">
        <f ca="1">IFERROR(__xludf.DUMMYFUNCTION("GOOGLETRANSLATE(English!E3994, ""en"", ""bg"")"),"Здравей, преподавателю! Как работи химическата връзка в химията?")</f>
        <v>Здравей, преподавателю! Как работи химическата връзка в химията?</v>
      </c>
      <c r="F3994" s="1" t="str">
        <f ca="1">IFERROR(__xludf.DUMMYFUNCTION("GOOGLETRANSLATE(English!F3994,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3994" s="1" t="str">
        <f ca="1">IFERROR(__xludf.DUMMYFUNCTION("GOOGLETRANSLATE(English!G3994, ""en"", ""bg"")"),"разговор")</f>
        <v>разговор</v>
      </c>
      <c r="H3994" s="1" t="str">
        <f ca="1">IFERROR(__xludf.DUMMYFUNCTION("GOOGLETRANSLATE(English!H3994, ""en"", ""bg"")"),"образователна_помощ")</f>
        <v>образователна_помощ</v>
      </c>
    </row>
    <row r="3995" spans="1:8" ht="13.2" x14ac:dyDescent="0.25">
      <c r="A3995" s="1" t="str">
        <f ca="1">IFERROR(__xludf.DUMMYFUNCTION("GOOGLETRANSLATE(English!A3995, ""en"", ""bg"")"),"hw_04269")</f>
        <v>hw_04269</v>
      </c>
      <c r="B3995" s="1" t="str">
        <f ca="1">IFERROR(__xludf.DUMMYFUNCTION("GOOGLETRANSLATE(English!B3995, ""en"", ""bg"")"),"физика")</f>
        <v>физика</v>
      </c>
      <c r="C3995" s="1" t="str">
        <f ca="1">IFERROR(__xludf.DUMMYFUNCTION("GOOGLETRANSLATE(English!C3995, ""en"", ""bg"")"),"високо")</f>
        <v>високо</v>
      </c>
      <c r="D3995" s="1" t="str">
        <f ca="1">IFERROR(__xludf.DUMMYFUNCTION("GOOGLETRANSLATE(English!D3995, ""en"", ""bg"")"),"електромагнетизъм")</f>
        <v>електромагнетизъм</v>
      </c>
      <c r="E3995" s="1" t="str">
        <f ca="1">IFERROR(__xludf.DUMMYFUNCTION("GOOGLETRANSLATE(English!E3995, ""en"", ""bg"")"),"Трябва да разбирам електромагнетизма за изпита си.")</f>
        <v>Трябва да разбирам електромагнетизма за изпита си.</v>
      </c>
      <c r="F3995" s="1" t="str">
        <f ca="1">IFERROR(__xludf.DUMMYFUNCTION("GOOGLETRANSLATE(English!F3995,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3995" s="1" t="str">
        <f ca="1">IFERROR(__xludf.DUMMYFUNCTION("GOOGLETRANSLATE(English!G3995, ""en"", ""bg"")"),"помощ_за_домашно_изпълнение")</f>
        <v>помощ_за_домашно_изпълнение</v>
      </c>
      <c r="H3995" s="1" t="str">
        <f ca="1">IFERROR(__xludf.DUMMYFUNCTION("GOOGLETRANSLATE(English!H3995, ""en"", ""bg"")"),"помощ_за_домашно_задаване")</f>
        <v>помощ_за_домашно_задаване</v>
      </c>
    </row>
    <row r="3996" spans="1:8" ht="13.2" x14ac:dyDescent="0.25">
      <c r="A3996" s="1" t="str">
        <f ca="1">IFERROR(__xludf.DUMMYFUNCTION("GOOGLETRANSLATE(English!A3996, ""en"", ""bg"")"),"hw_07211")</f>
        <v>hw_07211</v>
      </c>
      <c r="B3996" s="1" t="str">
        <f ca="1">IFERROR(__xludf.DUMMYFUNCTION("GOOGLETRANSLATE(English!B3996, ""en"", ""bg"")"),"физика")</f>
        <v>физика</v>
      </c>
      <c r="C3996" s="1" t="str">
        <f ca="1">IFERROR(__xludf.DUMMYFUNCTION("GOOGLETRANSLATE(English!C3996, ""en"", ""bg"")"),"елементарен")</f>
        <v>елементарен</v>
      </c>
      <c r="D3996" s="1" t="str">
        <f ca="1">IFERROR(__xludf.DUMMYFUNCTION("GOOGLETRANSLATE(English!D3996, ""en"", ""bg"")"),"магнити")</f>
        <v>магнити</v>
      </c>
      <c r="E3996" s="1" t="str">
        <f ca="1">IFERROR(__xludf.DUMMYFUNCTION("GOOGLETRANSLATE(English!E3996, ""en"", ""bg"")"),"Можете ли да решите този въпрос с магнитите заедно с мен?")</f>
        <v>Можете ли да решите този въпрос с магнитите заедно с мен?</v>
      </c>
      <c r="F3996" s="1" t="str">
        <f ca="1">IFERROR(__xludf.DUMMYFUNCTION("GOOGLETRANSLATE(English!F3996,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3996" s="1" t="str">
        <f ca="1">IFERROR(__xludf.DUMMYFUNCTION("GOOGLETRANSLATE(English!G3996, ""en"", ""bg"")"),"помощ_за_домашно_изпълнение")</f>
        <v>помощ_за_домашно_изпълнение</v>
      </c>
      <c r="H3996" s="1" t="str">
        <f ca="1">IFERROR(__xludf.DUMMYFUNCTION("GOOGLETRANSLATE(English!H3996, ""en"", ""bg"")"),"помощ_за_домашно_задаване")</f>
        <v>помощ_за_домашно_задаване</v>
      </c>
    </row>
    <row r="3997" spans="1:8" ht="13.2" x14ac:dyDescent="0.25">
      <c r="A3997" s="1" t="str">
        <f ca="1">IFERROR(__xludf.DUMMYFUNCTION("GOOGLETRANSLATE(English!A3997, ""en"", ""bg"")"),"qa_09158")</f>
        <v>qa_09158</v>
      </c>
      <c r="B3997" s="1" t="str">
        <f ca="1">IFERROR(__xludf.DUMMYFUNCTION("GOOGLETRANSLATE(English!B3997, ""en"", ""bg"")"),"химия")</f>
        <v>химия</v>
      </c>
      <c r="C3997" s="1" t="str">
        <f ca="1">IFERROR(__xludf.DUMMYFUNCTION("GOOGLETRANSLATE(English!C3997, ""en"", ""bg"")"),"средата")</f>
        <v>средата</v>
      </c>
      <c r="D3997" s="1" t="str">
        <f ca="1">IFERROR(__xludf.DUMMYFUNCTION("GOOGLETRANSLATE(English!D3997, ""en"", ""bg"")"),"химични реакции")</f>
        <v>химични реакции</v>
      </c>
      <c r="E3997" s="1" t="str">
        <f ca="1">IFERROR(__xludf.DUMMYFUNCTION("GOOGLETRANSLATE(English!E3997, ""en"", ""bg"")"),"Могат ли химичните реакции да бъдат обратими?")</f>
        <v>Могат ли химичните реакции да бъдат обратими?</v>
      </c>
      <c r="F3997" s="1" t="str">
        <f ca="1">IFERROR(__xludf.DUMMYFUNCTION("GOOGLETRANSLATE(English!F3997,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3997" s="1" t="str">
        <f ca="1">IFERROR(__xludf.DUMMYFUNCTION("GOOGLETRANSLATE(English!G3997, ""en"", ""bg"")"),"direct_qa")</f>
        <v>direct_qa</v>
      </c>
      <c r="H3997" s="1" t="str">
        <f ca="1">IFERROR(__xludf.DUMMYFUNCTION("GOOGLETRANSLATE(English!H3997, ""en"", ""bg"")"),"заявка_за_знание")</f>
        <v>заявка_за_знание</v>
      </c>
    </row>
    <row r="3998" spans="1:8" ht="13.2" x14ac:dyDescent="0.25">
      <c r="A3998" s="1" t="str">
        <f ca="1">IFERROR(__xludf.DUMMYFUNCTION("GOOGLETRANSLATE(English!A3998, ""en"", ""bg"")"),"hw_13569")</f>
        <v>hw_13569</v>
      </c>
      <c r="B3998" s="1" t="str">
        <f ca="1">IFERROR(__xludf.DUMMYFUNCTION("GOOGLETRANSLATE(English!B3998, ""en"", ""bg"")"),"химия")</f>
        <v>химия</v>
      </c>
      <c r="C3998" s="1" t="str">
        <f ca="1">IFERROR(__xludf.DUMMYFUNCTION("GOOGLETRANSLATE(English!C3998, ""en"", ""bg"")"),"елементарен")</f>
        <v>елементарен</v>
      </c>
      <c r="D3998" s="1" t="str">
        <f ca="1">IFERROR(__xludf.DUMMYFUNCTION("GOOGLETRANSLATE(English!D3998, ""en"", ""bg"")"),"смесване на материали")</f>
        <v>смесване на материали</v>
      </c>
      <c r="E3998" s="1" t="str">
        <f ca="1">IFERROR(__xludf.DUMMYFUNCTION("GOOGLETRANSLATE(English!E3998, ""en"", ""bg"")"),"Трудно ми е да смесвам материали в домашните си.")</f>
        <v>Трудно ми е да смесвам материали в домашните си.</v>
      </c>
      <c r="F3998" s="1" t="str">
        <f ca="1">IFERROR(__xludf.DUMMYFUNCTION("GOOGLETRANSLATE(English!F3998,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3998" s="1" t="str">
        <f ca="1">IFERROR(__xludf.DUMMYFUNCTION("GOOGLETRANSLATE(English!G3998, ""en"", ""bg"")"),"помощ_за_домашно_изпълнение")</f>
        <v>помощ_за_домашно_изпълнение</v>
      </c>
      <c r="H3998" s="1" t="str">
        <f ca="1">IFERROR(__xludf.DUMMYFUNCTION("GOOGLETRANSLATE(English!H3998, ""en"", ""bg"")"),"помощ_за_домашно_задаване")</f>
        <v>помощ_за_домашно_задаване</v>
      </c>
    </row>
    <row r="3999" spans="1:8" ht="13.2" x14ac:dyDescent="0.25">
      <c r="A3999" s="1" t="str">
        <f ca="1">IFERROR(__xludf.DUMMYFUNCTION("GOOGLETRANSLATE(English!A3999, ""en"", ""bg"")"),"conv_18999")</f>
        <v>conv_18999</v>
      </c>
      <c r="B3999" s="1" t="str">
        <f ca="1">IFERROR(__xludf.DUMMYFUNCTION("GOOGLETRANSLATE(English!B3999, ""en"", ""bg"")"),"химия")</f>
        <v>химия</v>
      </c>
      <c r="C3999" s="1" t="str">
        <f ca="1">IFERROR(__xludf.DUMMYFUNCTION("GOOGLETRANSLATE(English!C3999, ""en"", ""bg"")"),"високо")</f>
        <v>високо</v>
      </c>
      <c r="D3999" s="1" t="str">
        <f ca="1">IFERROR(__xludf.DUMMYFUNCTION("GOOGLETRANSLATE(English!D3999, ""en"", ""bg"")"),"скорости на реакция")</f>
        <v>скорости на реакция</v>
      </c>
      <c r="E3999" s="1" t="str">
        <f ca="1">IFERROR(__xludf.DUMMYFUNCTION("GOOGLETRANSLATE(English!E3999, ""en"", ""bg"")"),"Здравей, преподавателю! Можеш ли да ми помогнеш да разбера скоростта на реакция?")</f>
        <v>Здравей, преподавателю! Можеш ли да ми помогнеш да разбера скоростта на реакция?</v>
      </c>
      <c r="F3999" s="1" t="str">
        <f ca="1">IFERROR(__xludf.DUMMYFUNCTION("GOOGLETRANSLATE(English!F3999,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3999" s="1" t="str">
        <f ca="1">IFERROR(__xludf.DUMMYFUNCTION("GOOGLETRANSLATE(English!G3999, ""en"", ""bg"")"),"разговор")</f>
        <v>разговор</v>
      </c>
      <c r="H3999" s="1" t="str">
        <f ca="1">IFERROR(__xludf.DUMMYFUNCTION("GOOGLETRANSLATE(English!H3999, ""en"", ""bg"")"),"образователна_помощ")</f>
        <v>образователна_помощ</v>
      </c>
    </row>
    <row r="4000" spans="1:8" ht="13.2" x14ac:dyDescent="0.25">
      <c r="A4000" s="1" t="str">
        <f ca="1">IFERROR(__xludf.DUMMYFUNCTION("GOOGLETRANSLATE(English!A4000, ""en"", ""bg"")"),"hw_11354")</f>
        <v>hw_11354</v>
      </c>
      <c r="B4000" s="1" t="str">
        <f ca="1">IFERROR(__xludf.DUMMYFUNCTION("GOOGLETRANSLATE(English!B4000, ""en"", ""bg"")"),"биология")</f>
        <v>биология</v>
      </c>
      <c r="C4000" s="1" t="str">
        <f ca="1">IFERROR(__xludf.DUMMYFUNCTION("GOOGLETRANSLATE(English!C4000, ""en"", ""bg"")"),"високо")</f>
        <v>високо</v>
      </c>
      <c r="D4000" s="1" t="str">
        <f ca="1">IFERROR(__xludf.DUMMYFUNCTION("GOOGLETRANSLATE(English!D4000, ""en"", ""bg"")"),"модели на наследяване")</f>
        <v>модели на наследяване</v>
      </c>
      <c r="E4000" s="1" t="str">
        <f ca="1">IFERROR(__xludf.DUMMYFUNCTION("GOOGLETRANSLATE(English!E4000,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4000" s="1" t="str">
        <f ca="1">IFERROR(__xludf.DUMMYFUNCTION("GOOGLETRANSLATE(English!F4000,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4000" s="1" t="str">
        <f ca="1">IFERROR(__xludf.DUMMYFUNCTION("GOOGLETRANSLATE(English!G4000, ""en"", ""bg"")"),"помощ_за_домашно_изпълнение")</f>
        <v>помощ_за_домашно_изпълнение</v>
      </c>
      <c r="H4000" s="1" t="str">
        <f ca="1">IFERROR(__xludf.DUMMYFUNCTION("GOOGLETRANSLATE(English!H4000, ""en"", ""bg"")"),"помощ_за_домашно_задаване")</f>
        <v>помощ_за_домашно_задаване</v>
      </c>
    </row>
    <row r="4001" spans="1:8" ht="13.2" x14ac:dyDescent="0.25">
      <c r="A4001" s="1" t="str">
        <f ca="1">IFERROR(__xludf.DUMMYFUNCTION("GOOGLETRANSLATE(English!A4001, ""en"", ""bg"")"),"conv_04783")</f>
        <v>conv_04783</v>
      </c>
      <c r="B4001" s="1" t="str">
        <f ca="1">IFERROR(__xludf.DUMMYFUNCTION("GOOGLETRANSLATE(English!B4001, ""en"", ""bg"")"),"химия")</f>
        <v>химия</v>
      </c>
      <c r="C4001" s="1" t="str">
        <f ca="1">IFERROR(__xludf.DUMMYFUNCTION("GOOGLETRANSLATE(English!C4001, ""en"", ""bg"")"),"елементарен")</f>
        <v>елементарен</v>
      </c>
      <c r="D4001" s="1" t="str">
        <f ca="1">IFERROR(__xludf.DUMMYFUNCTION("GOOGLETRANSLATE(English!D4001, ""en"", ""bg"")"),"промени в материалите")</f>
        <v>промени в материалите</v>
      </c>
      <c r="E4001" s="1" t="str">
        <f ca="1">IFERROR(__xludf.DUMMYFUNCTION("GOOGLETRANSLATE(English!E4001, ""en"", ""bg"")"),"Можете ли да ми помогнете? Можете ли да ми помогнете да разбера промените в материалите?")</f>
        <v>Можете ли да ми помогнете? Можете ли да ми помогнете да разбера промените в материалите?</v>
      </c>
      <c r="F4001" s="1" t="str">
        <f ca="1">IFERROR(__xludf.DUMMYFUNCTION("GOOGLETRANSLATE(English!F4001,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4001" s="1" t="str">
        <f ca="1">IFERROR(__xludf.DUMMYFUNCTION("GOOGLETRANSLATE(English!G4001, ""en"", ""bg"")"),"разговор")</f>
        <v>разговор</v>
      </c>
      <c r="H4001" s="1" t="str">
        <f ca="1">IFERROR(__xludf.DUMMYFUNCTION("GOOGLETRANSLATE(English!H4001, ""en"", ""bg"")"),"образователна_помощ")</f>
        <v>образователна_помощ</v>
      </c>
    </row>
    <row r="4002" spans="1:8" ht="13.2" x14ac:dyDescent="0.25">
      <c r="A4002" s="1" t="str">
        <f ca="1">IFERROR(__xludf.DUMMYFUNCTION("GOOGLETRANSLATE(English!A4002, ""en"", ""bg"")"),"conv_18129")</f>
        <v>conv_18129</v>
      </c>
      <c r="B4002" s="1" t="str">
        <f ca="1">IFERROR(__xludf.DUMMYFUNCTION("GOOGLETRANSLATE(English!B4002, ""en"", ""bg"")"),"физика")</f>
        <v>физика</v>
      </c>
      <c r="C4002" s="1" t="str">
        <f ca="1">IFERROR(__xludf.DUMMYFUNCTION("GOOGLETRANSLATE(English!C4002, ""en"", ""bg"")"),"средата")</f>
        <v>средата</v>
      </c>
      <c r="D4002" s="1" t="str">
        <f ca="1">IFERROR(__xludf.DUMMYFUNCTION("GOOGLETRANSLATE(English!D4002, ""en"", ""bg"")"),"състояния на материята")</f>
        <v>състояния на материята</v>
      </c>
      <c r="E4002" s="1" t="str">
        <f ca="1">IFERROR(__xludf.DUMMYFUNCTION("GOOGLETRANSLATE(English!E4002, ""en"", ""bg"")"),"Имам научен въпрос. Как функционират състоянията на материята във физиката?")</f>
        <v>Имам научен въпрос. Как функционират състоянията на материята във физиката?</v>
      </c>
      <c r="F4002" s="1" t="str">
        <f ca="1">IFERROR(__xludf.DUMMYFUNCTION("GOOGLETRANSLATE(English!F4002,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4002" s="1" t="str">
        <f ca="1">IFERROR(__xludf.DUMMYFUNCTION("GOOGLETRANSLATE(English!G4002, ""en"", ""bg"")"),"разговор")</f>
        <v>разговор</v>
      </c>
      <c r="H4002" s="1" t="str">
        <f ca="1">IFERROR(__xludf.DUMMYFUNCTION("GOOGLETRANSLATE(English!H4002, ""en"", ""bg"")"),"образователна_помощ")</f>
        <v>образователна_помощ</v>
      </c>
    </row>
    <row r="4003" spans="1:8" ht="13.2" x14ac:dyDescent="0.25">
      <c r="A4003" s="1" t="str">
        <f ca="1">IFERROR(__xludf.DUMMYFUNCTION("GOOGLETRANSLATE(English!A4003, ""en"", ""bg"")"),"qa_03950")</f>
        <v>qa_03950</v>
      </c>
      <c r="B4003" s="1" t="str">
        <f ca="1">IFERROR(__xludf.DUMMYFUNCTION("GOOGLETRANSLATE(English!B4003, ""en"", ""bg"")"),"биология")</f>
        <v>биология</v>
      </c>
      <c r="C4003" s="1" t="str">
        <f ca="1">IFERROR(__xludf.DUMMYFUNCTION("GOOGLETRANSLATE(English!C4003, ""en"", ""bg"")"),"средата")</f>
        <v>средата</v>
      </c>
      <c r="D4003" s="1" t="str">
        <f ca="1">IFERROR(__xludf.DUMMYFUNCTION("GOOGLETRANSLATE(English!D4003, ""en"", ""bg"")"),"основи на еволюцията")</f>
        <v>основи на еволюцията</v>
      </c>
      <c r="E4003" s="1" t="str">
        <f ca="1">IFERROR(__xludf.DUMMYFUNCTION("GOOGLETRANSLATE(English!E4003, ""en"", ""bg"")"),"Можете ли да ми разкажете за основите на еволюцията?")</f>
        <v>Можете ли да ми разкажете за основите на еволюцията?</v>
      </c>
      <c r="F4003" s="1" t="str">
        <f ca="1">IFERROR(__xludf.DUMMYFUNCTION("GOOGLETRANSLATE(English!F4003, ""en"", ""bg"")"),"Основите на еволюцията са завладяваща част от биологията! Те ни помагат да разберем как функционират живите организми.")</f>
        <v>Основите на еволюцията са завладяваща част от биологията! Те ни помагат да разберем как функционират живите организми.</v>
      </c>
      <c r="G4003" s="1" t="str">
        <f ca="1">IFERROR(__xludf.DUMMYFUNCTION("GOOGLETRANSLATE(English!G4003, ""en"", ""bg"")"),"direct_qa")</f>
        <v>direct_qa</v>
      </c>
      <c r="H4003" s="1" t="str">
        <f ca="1">IFERROR(__xludf.DUMMYFUNCTION("GOOGLETRANSLATE(English!H4003, ""en"", ""bg"")"),"заявка_за_знание")</f>
        <v>заявка_за_знание</v>
      </c>
    </row>
    <row r="4004" spans="1:8" ht="13.2" x14ac:dyDescent="0.25">
      <c r="A4004" s="1" t="str">
        <f ca="1">IFERROR(__xludf.DUMMYFUNCTION("GOOGLETRANSLATE(English!A4004, ""en"", ""bg"")"),"qa_12015")</f>
        <v>qa_12015</v>
      </c>
      <c r="B4004" s="1" t="str">
        <f ca="1">IFERROR(__xludf.DUMMYFUNCTION("GOOGLETRANSLATE(English!B4004, ""en"", ""bg"")"),"биология")</f>
        <v>биология</v>
      </c>
      <c r="C4004" s="1" t="str">
        <f ca="1">IFERROR(__xludf.DUMMYFUNCTION("GOOGLETRANSLATE(English!C4004, ""en"", ""bg"")"),"елементарен")</f>
        <v>елементарен</v>
      </c>
      <c r="D4004" s="1" t="str">
        <f ca="1">IFERROR(__xludf.DUMMYFUNCTION("GOOGLETRANSLATE(English!D4004, ""en"", ""bg"")"),"животни")</f>
        <v>животни</v>
      </c>
      <c r="E4004" s="1" t="str">
        <f ca="1">IFERROR(__xludf.DUMMYFUNCTION("GOOGLETRANSLATE(English!E4004, ""en"", ""bg"")"),"Какво отличава бозайниците от птиците?")</f>
        <v>Какво отличава бозайниците от птиците?</v>
      </c>
      <c r="F4004" s="1" t="str">
        <f ca="1">IFERROR(__xludf.DUMMYFUNCTION("GOOGLETRANSLATE(English!F4004,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4004" s="1" t="str">
        <f ca="1">IFERROR(__xludf.DUMMYFUNCTION("GOOGLETRANSLATE(English!G4004, ""en"", ""bg"")"),"direct_qa")</f>
        <v>direct_qa</v>
      </c>
      <c r="H4004" s="1" t="str">
        <f ca="1">IFERROR(__xludf.DUMMYFUNCTION("GOOGLETRANSLATE(English!H4004, ""en"", ""bg"")"),"заявка_за_знание")</f>
        <v>заявка_за_знание</v>
      </c>
    </row>
    <row r="4005" spans="1:8" ht="13.2" x14ac:dyDescent="0.25">
      <c r="A4005" s="1" t="str">
        <f ca="1">IFERROR(__xludf.DUMMYFUNCTION("GOOGLETRANSLATE(English!A4005, ""en"", ""bg"")"),"conv_19286")</f>
        <v>conv_19286</v>
      </c>
      <c r="B4005" s="1" t="str">
        <f ca="1">IFERROR(__xludf.DUMMYFUNCTION("GOOGLETRANSLATE(English!B4005, ""en"", ""bg"")"),"биология")</f>
        <v>биология</v>
      </c>
      <c r="C4005" s="1" t="str">
        <f ca="1">IFERROR(__xludf.DUMMYFUNCTION("GOOGLETRANSLATE(English!C4005, ""en"", ""bg"")"),"елементарен")</f>
        <v>елементарен</v>
      </c>
      <c r="D4005" s="1" t="str">
        <f ca="1">IFERROR(__xludf.DUMMYFUNCTION("GOOGLETRANSLATE(English!D4005, ""en"", ""bg"")"),"местообитания")</f>
        <v>местообитания</v>
      </c>
      <c r="E4005" s="1" t="str">
        <f ca="1">IFERROR(__xludf.DUMMYFUNCTION("GOOGLETRANSLATE(English!E4005, ""en"", ""bg"")"),"Можете ли да ми обясните това? Можете ли да ми разкажете за местообитанията?")</f>
        <v>Можете ли да ми обясните това? Можете ли да ми разкажете за местообитанията?</v>
      </c>
      <c r="F4005" s="1" t="str">
        <f ca="1">IFERROR(__xludf.DUMMYFUNCTION("GOOGLETRANSLATE(English!F4005, ""en"", ""bg"")"),"Местообитанията са завладяваща част от биологията! Те ни помагат да разберем как функционират живите същества.")</f>
        <v>Местообитанията са завладяваща част от биологията! Те ни помагат да разберем как функционират живите същества.</v>
      </c>
      <c r="G4005" s="1" t="str">
        <f ca="1">IFERROR(__xludf.DUMMYFUNCTION("GOOGLETRANSLATE(English!G4005, ""en"", ""bg"")"),"разговор")</f>
        <v>разговор</v>
      </c>
      <c r="H4005" s="1" t="str">
        <f ca="1">IFERROR(__xludf.DUMMYFUNCTION("GOOGLETRANSLATE(English!H4005, ""en"", ""bg"")"),"образователна_помощ")</f>
        <v>образователна_помощ</v>
      </c>
    </row>
    <row r="4006" spans="1:8" ht="13.2" x14ac:dyDescent="0.25">
      <c r="A4006" s="1" t="str">
        <f ca="1">IFERROR(__xludf.DUMMYFUNCTION("GOOGLETRANSLATE(English!A4006, ""en"", ""bg"")"),"hw_03009")</f>
        <v>hw_03009</v>
      </c>
      <c r="B4006" s="1" t="str">
        <f ca="1">IFERROR(__xludf.DUMMYFUNCTION("GOOGLETRANSLATE(English!B4006, ""en"", ""bg"")"),"химия")</f>
        <v>химия</v>
      </c>
      <c r="C4006" s="1" t="str">
        <f ca="1">IFERROR(__xludf.DUMMYFUNCTION("GOOGLETRANSLATE(English!C4006, ""en"", ""bg"")"),"средата")</f>
        <v>средата</v>
      </c>
      <c r="D4006" s="1" t="str">
        <f ca="1">IFERROR(__xludf.DUMMYFUNCTION("GOOGLETRANSLATE(English!D4006, ""en"", ""bg"")"),"киселини и основи")</f>
        <v>киселини и основи</v>
      </c>
      <c r="E4006" s="1" t="str">
        <f ca="1">IFERROR(__xludf.DUMMYFUNCTION("GOOGLETRANSLATE(English!E4006,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4006" s="1" t="str">
        <f ca="1">IFERROR(__xludf.DUMMYFUNCTION("GOOGLETRANSLATE(English!F4006,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006" s="1" t="str">
        <f ca="1">IFERROR(__xludf.DUMMYFUNCTION("GOOGLETRANSLATE(English!G4006, ""en"", ""bg"")"),"помощ_за_домашно_изпълнение")</f>
        <v>помощ_за_домашно_изпълнение</v>
      </c>
      <c r="H4006" s="1" t="str">
        <f ca="1">IFERROR(__xludf.DUMMYFUNCTION("GOOGLETRANSLATE(English!H4006, ""en"", ""bg"")"),"помощ_за_домашно_задаване")</f>
        <v>помощ_за_домашно_задаване</v>
      </c>
    </row>
    <row r="4007" spans="1:8" ht="13.2" x14ac:dyDescent="0.25">
      <c r="A4007" s="1" t="str">
        <f ca="1">IFERROR(__xludf.DUMMYFUNCTION("GOOGLETRANSLATE(English!A4007, ""en"", ""bg"")"),"conv_17810")</f>
        <v>conv_17810</v>
      </c>
      <c r="B4007" s="1" t="str">
        <f ca="1">IFERROR(__xludf.DUMMYFUNCTION("GOOGLETRANSLATE(English!B4007, ""en"", ""bg"")"),"биология")</f>
        <v>биология</v>
      </c>
      <c r="C4007" s="1" t="str">
        <f ca="1">IFERROR(__xludf.DUMMYFUNCTION("GOOGLETRANSLATE(English!C4007, ""en"", ""bg"")"),"средата")</f>
        <v>средата</v>
      </c>
      <c r="D4007" s="1" t="str">
        <f ca="1">IFERROR(__xludf.DUMMYFUNCTION("GOOGLETRANSLATE(English!D4007, ""en"", ""bg"")"),"основи на еволюцията")</f>
        <v>основи на еволюцията</v>
      </c>
      <c r="E4007" s="1" t="str">
        <f ca="1">IFERROR(__xludf.DUMMYFUNCTION("GOOGLETRANSLATE(English!E4007, ""en"", ""bg"")"),"Здравей, преподавателю! Защо основите на еволюцията са важни в биологията?")</f>
        <v>Здравей, преподавателю! Защо основите на еволюцията са важни в биологията?</v>
      </c>
      <c r="F4007" s="1" t="str">
        <f ca="1">IFERROR(__xludf.DUMMYFUNCTION("GOOGLETRANSLATE(English!F4007,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4007" s="1" t="str">
        <f ca="1">IFERROR(__xludf.DUMMYFUNCTION("GOOGLETRANSLATE(English!G4007, ""en"", ""bg"")"),"разговор")</f>
        <v>разговор</v>
      </c>
      <c r="H4007" s="1" t="str">
        <f ca="1">IFERROR(__xludf.DUMMYFUNCTION("GOOGLETRANSLATE(English!H4007, ""en"", ""bg"")"),"образователна_помощ")</f>
        <v>образователна_помощ</v>
      </c>
    </row>
    <row r="4008" spans="1:8" ht="13.2" x14ac:dyDescent="0.25">
      <c r="A4008" s="1" t="str">
        <f ca="1">IFERROR(__xludf.DUMMYFUNCTION("GOOGLETRANSLATE(English!A4008, ""en"", ""bg"")"),"conv_18649")</f>
        <v>conv_18649</v>
      </c>
      <c r="B4008" s="1" t="str">
        <f ca="1">IFERROR(__xludf.DUMMYFUNCTION("GOOGLETRANSLATE(English!B4008, ""en"", ""bg"")"),"биология")</f>
        <v>биология</v>
      </c>
      <c r="C4008" s="1" t="str">
        <f ca="1">IFERROR(__xludf.DUMMYFUNCTION("GOOGLETRANSLATE(English!C4008, ""en"", ""bg"")"),"елементарен")</f>
        <v>елементарен</v>
      </c>
      <c r="D4008" s="1" t="str">
        <f ca="1">IFERROR(__xludf.DUMMYFUNCTION("GOOGLETRANSLATE(English!D4008, ""en"", ""bg"")"),"жизнени цикли")</f>
        <v>жизнени цикли</v>
      </c>
      <c r="E4008" s="1" t="str">
        <f ca="1">IFERROR(__xludf.DUMMYFUNCTION("GOOGLETRANSLATE(English!E4008, ""en"", ""bg"")"),"Не разбирам тази тема. Можете ли да ми разкажете за жизнените цикли?")</f>
        <v>Не разбирам тази тема. Можете ли да ми разкажете за жизнените цикли?</v>
      </c>
      <c r="F4008" s="1" t="str">
        <f ca="1">IFERROR(__xludf.DUMMYFUNCTION("GOOGLETRANSLATE(English!F4008,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4008" s="1" t="str">
        <f ca="1">IFERROR(__xludf.DUMMYFUNCTION("GOOGLETRANSLATE(English!G4008, ""en"", ""bg"")"),"разговор")</f>
        <v>разговор</v>
      </c>
      <c r="H4008" s="1" t="str">
        <f ca="1">IFERROR(__xludf.DUMMYFUNCTION("GOOGLETRANSLATE(English!H4008, ""en"", ""bg"")"),"образователна_помощ")</f>
        <v>образователна_помощ</v>
      </c>
    </row>
    <row r="4009" spans="1:8" ht="13.2" x14ac:dyDescent="0.25">
      <c r="A4009" s="1" t="str">
        <f ca="1">IFERROR(__xludf.DUMMYFUNCTION("GOOGLETRANSLATE(English!A4009, ""en"", ""bg"")"),"conv_06294")</f>
        <v>conv_06294</v>
      </c>
      <c r="B4009" s="1" t="str">
        <f ca="1">IFERROR(__xludf.DUMMYFUNCTION("GOOGLETRANSLATE(English!B4009, ""en"", ""bg"")"),"химия")</f>
        <v>химия</v>
      </c>
      <c r="C4009" s="1" t="str">
        <f ca="1">IFERROR(__xludf.DUMMYFUNCTION("GOOGLETRANSLATE(English!C4009, ""en"", ""bg"")"),"средата")</f>
        <v>средата</v>
      </c>
      <c r="D4009" s="1" t="str">
        <f ca="1">IFERROR(__xludf.DUMMYFUNCTION("GOOGLETRANSLATE(English!D4009, ""en"", ""bg"")"),"атоми и молекули")</f>
        <v>атоми и молекули</v>
      </c>
      <c r="E4009" s="1" t="str">
        <f ca="1">IFERROR(__xludf.DUMMYFUNCTION("GOOGLETRANSLATE(English!E4009, ""en"", ""bg"")"),"Здравей, преподавателю! Коя е най-малката част от един елемент?")</f>
        <v>Здравей, преподавателю! Коя е най-малката част от един елемент?</v>
      </c>
      <c r="F4009" s="1" t="str">
        <f ca="1">IFERROR(__xludf.DUMMYFUNCTION("GOOGLETRANSLATE(English!F4009,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4009" s="1" t="str">
        <f ca="1">IFERROR(__xludf.DUMMYFUNCTION("GOOGLETRANSLATE(English!G4009, ""en"", ""bg"")"),"разговор")</f>
        <v>разговор</v>
      </c>
      <c r="H4009" s="1" t="str">
        <f ca="1">IFERROR(__xludf.DUMMYFUNCTION("GOOGLETRANSLATE(English!H4009, ""en"", ""bg"")"),"образователна_помощ")</f>
        <v>образователна_помощ</v>
      </c>
    </row>
    <row r="4010" spans="1:8" ht="13.2" x14ac:dyDescent="0.25">
      <c r="A4010" s="1" t="str">
        <f ca="1">IFERROR(__xludf.DUMMYFUNCTION("GOOGLETRANSLATE(English!A4010, ""en"", ""bg"")"),"qa_10883")</f>
        <v>qa_10883</v>
      </c>
      <c r="B4010" s="1" t="str">
        <f ca="1">IFERROR(__xludf.DUMMYFUNCTION("GOOGLETRANSLATE(English!B4010, ""en"", ""bg"")"),"химия")</f>
        <v>химия</v>
      </c>
      <c r="C4010" s="1" t="str">
        <f ca="1">IFERROR(__xludf.DUMMYFUNCTION("GOOGLETRANSLATE(English!C4010, ""en"", ""bg"")"),"високо")</f>
        <v>високо</v>
      </c>
      <c r="D4010" s="1" t="str">
        <f ca="1">IFERROR(__xludf.DUMMYFUNCTION("GOOGLETRANSLATE(English!D4010, ""en"", ""bg"")"),"скорости на реакция")</f>
        <v>скорости на реакция</v>
      </c>
      <c r="E4010" s="1" t="str">
        <f ca="1">IFERROR(__xludf.DUMMYFUNCTION("GOOGLETRANSLATE(English!E4010,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4010" s="1" t="str">
        <f ca="1">IFERROR(__xludf.DUMMYFUNCTION("GOOGLETRANSLATE(English!F4010,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010" s="1" t="str">
        <f ca="1">IFERROR(__xludf.DUMMYFUNCTION("GOOGLETRANSLATE(English!G4010, ""en"", ""bg"")"),"direct_qa")</f>
        <v>direct_qa</v>
      </c>
      <c r="H4010" s="1" t="str">
        <f ca="1">IFERROR(__xludf.DUMMYFUNCTION("GOOGLETRANSLATE(English!H4010, ""en"", ""bg"")"),"заявка_за_знание")</f>
        <v>заявка_за_знание</v>
      </c>
    </row>
    <row r="4011" spans="1:8" ht="13.2" x14ac:dyDescent="0.25">
      <c r="A4011" s="1" t="str">
        <f ca="1">IFERROR(__xludf.DUMMYFUNCTION("GOOGLETRANSLATE(English!A4011, ""en"", ""bg"")"),"conv_03471")</f>
        <v>conv_03471</v>
      </c>
      <c r="B4011" s="1" t="str">
        <f ca="1">IFERROR(__xludf.DUMMYFUNCTION("GOOGLETRANSLATE(English!B4011, ""en"", ""bg"")"),"физика")</f>
        <v>физика</v>
      </c>
      <c r="C4011" s="1" t="str">
        <f ca="1">IFERROR(__xludf.DUMMYFUNCTION("GOOGLETRANSLATE(English!C4011, ""en"", ""bg"")"),"елементарен")</f>
        <v>елементарен</v>
      </c>
      <c r="D4011" s="1" t="str">
        <f ca="1">IFERROR(__xludf.DUMMYFUNCTION("GOOGLETRANSLATE(English!D4011, ""en"", ""bg"")"),"бутане и дърпане")</f>
        <v>бутане и дърпане</v>
      </c>
      <c r="E4011" s="1" t="str">
        <f ca="1">IFERROR(__xludf.DUMMYFUNCTION("GOOGLETRANSLATE(English!E4011, ""en"", ""bg"")"),"Здравей, преподавателю! Какво трябва да знам за бутането и дърпането?")</f>
        <v>Здравей, преподавателю! Какво трябва да знам за бутането и дърпането?</v>
      </c>
      <c r="F4011" s="1" t="str">
        <f ca="1">IFERROR(__xludf.DUMMYFUNCTION("GOOGLETRANSLATE(English!F4011,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4011" s="1" t="str">
        <f ca="1">IFERROR(__xludf.DUMMYFUNCTION("GOOGLETRANSLATE(English!G4011, ""en"", ""bg"")"),"разговор")</f>
        <v>разговор</v>
      </c>
      <c r="H4011" s="1" t="str">
        <f ca="1">IFERROR(__xludf.DUMMYFUNCTION("GOOGLETRANSLATE(English!H4011, ""en"", ""bg"")"),"образователна_помощ")</f>
        <v>образователна_помощ</v>
      </c>
    </row>
    <row r="4012" spans="1:8" ht="13.2" x14ac:dyDescent="0.25">
      <c r="A4012" s="1" t="str">
        <f ca="1">IFERROR(__xludf.DUMMYFUNCTION("GOOGLETRANSLATE(English!A4012, ""en"", ""bg"")"),"conv_13965")</f>
        <v>conv_13965</v>
      </c>
      <c r="B4012" s="1" t="str">
        <f ca="1">IFERROR(__xludf.DUMMYFUNCTION("GOOGLETRANSLATE(English!B4012, ""en"", ""bg"")"),"биология")</f>
        <v>биология</v>
      </c>
      <c r="C4012" s="1" t="str">
        <f ca="1">IFERROR(__xludf.DUMMYFUNCTION("GOOGLETRANSLATE(English!C4012, ""en"", ""bg"")"),"високо")</f>
        <v>високо</v>
      </c>
      <c r="D4012" s="1" t="str">
        <f ca="1">IFERROR(__xludf.DUMMYFUNCTION("GOOGLETRANSLATE(English!D4012, ""en"", ""bg"")"),"Структура на ДНК")</f>
        <v>Структура на ДНК</v>
      </c>
      <c r="E4012" s="1" t="str">
        <f ca="1">IFERROR(__xludf.DUMMYFUNCTION("GOOGLETRANSLATE(English!E4012, ""en"", ""bg"")"),"Можете ли да ми обясните това? Можете ли да ми разкажете за структурата на ДНК?")</f>
        <v>Можете ли да ми обясните това? Можете ли да ми разкажете за структурата на ДНК?</v>
      </c>
      <c r="F4012" s="1" t="str">
        <f ca="1">IFERROR(__xludf.DUMMYFUNCTION("GOOGLETRANSLATE(English!F4012,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4012" s="1" t="str">
        <f ca="1">IFERROR(__xludf.DUMMYFUNCTION("GOOGLETRANSLATE(English!G4012, ""en"", ""bg"")"),"разговор")</f>
        <v>разговор</v>
      </c>
      <c r="H4012" s="1" t="str">
        <f ca="1">IFERROR(__xludf.DUMMYFUNCTION("GOOGLETRANSLATE(English!H4012, ""en"", ""bg"")"),"образователна_помощ")</f>
        <v>образователна_помощ</v>
      </c>
    </row>
    <row r="4013" spans="1:8" ht="13.2" x14ac:dyDescent="0.25">
      <c r="A4013" s="1" t="str">
        <f ca="1">IFERROR(__xludf.DUMMYFUNCTION("GOOGLETRANSLATE(English!A4013, ""en"", ""bg"")"),"conv_07215")</f>
        <v>conv_07215</v>
      </c>
      <c r="B4013" s="1" t="str">
        <f ca="1">IFERROR(__xludf.DUMMYFUNCTION("GOOGLETRANSLATE(English!B4013, ""en"", ""bg"")"),"химия")</f>
        <v>химия</v>
      </c>
      <c r="C4013" s="1" t="str">
        <f ca="1">IFERROR(__xludf.DUMMYFUNCTION("GOOGLETRANSLATE(English!C4013, ""en"", ""bg"")"),"средата")</f>
        <v>средата</v>
      </c>
      <c r="D4013" s="1" t="str">
        <f ca="1">IFERROR(__xludf.DUMMYFUNCTION("GOOGLETRANSLATE(English!D4013, ""en"", ""bg"")"),"съединения срещу елементи")</f>
        <v>съединения срещу елементи</v>
      </c>
      <c r="E4013" s="1" t="str">
        <f ca="1">IFERROR(__xludf.DUMMYFUNCTION("GOOGLETRANSLATE(English!E4013, ""en"", ""bg"")"),"Можете ли да ми обясните това? Защо е важно да се изучават съединенията спрямо елементите?")</f>
        <v>Можете ли да ми обясните това? Защо е важно да се изучават съединенията спрямо елементите?</v>
      </c>
      <c r="F4013" s="1" t="str">
        <f ca="1">IFERROR(__xludf.DUMMYFUNCTION("GOOGLETRANSLATE(English!F4013,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4013" s="1" t="str">
        <f ca="1">IFERROR(__xludf.DUMMYFUNCTION("GOOGLETRANSLATE(English!G4013, ""en"", ""bg"")"),"разговор")</f>
        <v>разговор</v>
      </c>
      <c r="H4013" s="1" t="str">
        <f ca="1">IFERROR(__xludf.DUMMYFUNCTION("GOOGLETRANSLATE(English!H4013, ""en"", ""bg"")"),"образователна_помощ")</f>
        <v>образователна_помощ</v>
      </c>
    </row>
    <row r="4014" spans="1:8" ht="13.2" x14ac:dyDescent="0.25">
      <c r="A4014" s="1" t="str">
        <f ca="1">IFERROR(__xludf.DUMMYFUNCTION("GOOGLETRANSLATE(English!A4014, ""en"", ""bg"")"),"qa_04374")</f>
        <v>qa_04374</v>
      </c>
      <c r="B4014" s="1" t="str">
        <f ca="1">IFERROR(__xludf.DUMMYFUNCTION("GOOGLETRANSLATE(English!B4014, ""en"", ""bg"")"),"физика")</f>
        <v>физика</v>
      </c>
      <c r="C4014" s="1" t="str">
        <f ca="1">IFERROR(__xludf.DUMMYFUNCTION("GOOGLETRANSLATE(English!C4014, ""en"", ""bg"")"),"високо")</f>
        <v>високо</v>
      </c>
      <c r="D4014" s="1" t="str">
        <f ca="1">IFERROR(__xludf.DUMMYFUNCTION("GOOGLETRANSLATE(English!D4014, ""en"", ""bg"")"),"механика")</f>
        <v>механика</v>
      </c>
      <c r="E4014" s="1" t="str">
        <f ca="1">IFERROR(__xludf.DUMMYFUNCTION("GOOGLETRANSLATE(English!E4014, ""en"", ""bg"")"),"Защо механиката е важна?")</f>
        <v>Защо механиката е важна?</v>
      </c>
      <c r="F4014" s="1" t="str">
        <f ca="1">IFERROR(__xludf.DUMMYFUNCTION("GOOGLETRANSLATE(English!F4014,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4014" s="1" t="str">
        <f ca="1">IFERROR(__xludf.DUMMYFUNCTION("GOOGLETRANSLATE(English!G4014, ""en"", ""bg"")"),"direct_qa")</f>
        <v>direct_qa</v>
      </c>
      <c r="H4014" s="1" t="str">
        <f ca="1">IFERROR(__xludf.DUMMYFUNCTION("GOOGLETRANSLATE(English!H4014, ""en"", ""bg"")"),"заявка_за_знание")</f>
        <v>заявка_за_знание</v>
      </c>
    </row>
    <row r="4015" spans="1:8" ht="13.2" x14ac:dyDescent="0.25">
      <c r="A4015" s="1" t="str">
        <f ca="1">IFERROR(__xludf.DUMMYFUNCTION("GOOGLETRANSLATE(English!A4015, ""en"", ""bg"")"),"hw_09277")</f>
        <v>hw_09277</v>
      </c>
      <c r="B4015" s="1" t="str">
        <f ca="1">IFERROR(__xludf.DUMMYFUNCTION("GOOGLETRANSLATE(English!B4015, ""en"", ""bg"")"),"физика")</f>
        <v>физика</v>
      </c>
      <c r="C4015" s="1" t="str">
        <f ca="1">IFERROR(__xludf.DUMMYFUNCTION("GOOGLETRANSLATE(English!C4015, ""en"", ""bg"")"),"елементарен")</f>
        <v>елементарен</v>
      </c>
      <c r="D4015" s="1" t="str">
        <f ca="1">IFERROR(__xludf.DUMMYFUNCTION("GOOGLETRANSLATE(English!D4015, ""en"", ""bg"")"),"звук")</f>
        <v>звук</v>
      </c>
      <c r="E4015" s="1" t="str">
        <f ca="1">IFERROR(__xludf.DUMMYFUNCTION("GOOGLETRANSLATE(English!E4015, ""en"", ""bg"")"),"Домашното ми по физика е за звук. Объркващо е!")</f>
        <v>Домашното ми по физика е за звук. Объркващо е!</v>
      </c>
      <c r="F4015" s="1" t="str">
        <f ca="1">IFERROR(__xludf.DUMMYFUNCTION("GOOGLETRANSLATE(English!F4015,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4015" s="1" t="str">
        <f ca="1">IFERROR(__xludf.DUMMYFUNCTION("GOOGLETRANSLATE(English!G4015, ""en"", ""bg"")"),"помощ_за_домашно_изпълнение")</f>
        <v>помощ_за_домашно_изпълнение</v>
      </c>
      <c r="H4015" s="1" t="str">
        <f ca="1">IFERROR(__xludf.DUMMYFUNCTION("GOOGLETRANSLATE(English!H4015, ""en"", ""bg"")"),"помощ_за_домашно_задаване")</f>
        <v>помощ_за_домашно_задаване</v>
      </c>
    </row>
    <row r="4016" spans="1:8" ht="13.2" x14ac:dyDescent="0.25">
      <c r="A4016" s="1" t="str">
        <f ca="1">IFERROR(__xludf.DUMMYFUNCTION("GOOGLETRANSLATE(English!A4016, ""en"", ""bg"")"),"conv_01097")</f>
        <v>conv_01097</v>
      </c>
      <c r="B4016" s="1" t="str">
        <f ca="1">IFERROR(__xludf.DUMMYFUNCTION("GOOGLETRANSLATE(English!B4016, ""en"", ""bg"")"),"химия")</f>
        <v>химия</v>
      </c>
      <c r="C4016" s="1" t="str">
        <f ca="1">IFERROR(__xludf.DUMMYFUNCTION("GOOGLETRANSLATE(English!C4016, ""en"", ""bg"")"),"елементарен")</f>
        <v>елементарен</v>
      </c>
      <c r="D4016" s="1" t="str">
        <f ca="1">IFERROR(__xludf.DUMMYFUNCTION("GOOGLETRANSLATE(English!D4016, ""en"", ""bg"")"),"разтваряне")</f>
        <v>разтваряне</v>
      </c>
      <c r="E4016" s="1" t="str">
        <f ca="1">IFERROR(__xludf.DUMMYFUNCTION("GOOGLETRANSLATE(English!E4016, ""en"", ""bg"")"),"Здравей, преподавателю! Можеш ли да ми помогнеш да разбера разтварянето?")</f>
        <v>Здравей, преподавателю! Можеш ли да ми помогнеш да разбера разтварянето?</v>
      </c>
      <c r="F4016" s="1" t="str">
        <f ca="1">IFERROR(__xludf.DUMMYFUNCTION("GOOGLETRANSLATE(English!F4016,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4016" s="1" t="str">
        <f ca="1">IFERROR(__xludf.DUMMYFUNCTION("GOOGLETRANSLATE(English!G4016, ""en"", ""bg"")"),"разговор")</f>
        <v>разговор</v>
      </c>
      <c r="H4016" s="1" t="str">
        <f ca="1">IFERROR(__xludf.DUMMYFUNCTION("GOOGLETRANSLATE(English!H4016, ""en"", ""bg"")"),"образователна_помощ")</f>
        <v>образователна_помощ</v>
      </c>
    </row>
    <row r="4017" spans="1:8" ht="13.2" x14ac:dyDescent="0.25">
      <c r="A4017" s="1" t="str">
        <f ca="1">IFERROR(__xludf.DUMMYFUNCTION("GOOGLETRANSLATE(English!A4017, ""en"", ""bg"")"),"qa_11711")</f>
        <v>qa_11711</v>
      </c>
      <c r="B4017" s="1" t="str">
        <f ca="1">IFERROR(__xludf.DUMMYFUNCTION("GOOGLETRANSLATE(English!B4017, ""en"", ""bg"")"),"физика")</f>
        <v>физика</v>
      </c>
      <c r="C4017" s="1" t="str">
        <f ca="1">IFERROR(__xludf.DUMMYFUNCTION("GOOGLETRANSLATE(English!C4017, ""en"", ""bg"")"),"средата")</f>
        <v>средата</v>
      </c>
      <c r="D4017" s="1" t="str">
        <f ca="1">IFERROR(__xludf.DUMMYFUNCTION("GOOGLETRANSLATE(English!D4017, ""en"", ""bg"")"),"състояния на материята")</f>
        <v>състояния на материята</v>
      </c>
      <c r="E4017" s="1" t="str">
        <f ca="1">IFERROR(__xludf.DUMMYFUNCTION("GOOGLETRANSLATE(English!E4017, ""en"", ""bg"")"),"Можете ли да ми обясните състоянията на материята?")</f>
        <v>Можете ли да ми обясните състоянията на материята?</v>
      </c>
      <c r="F4017" s="1" t="str">
        <f ca="1">IFERROR(__xludf.DUMMYFUNCTION("GOOGLETRANSLATE(English!F4017,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4017" s="1" t="str">
        <f ca="1">IFERROR(__xludf.DUMMYFUNCTION("GOOGLETRANSLATE(English!G4017, ""en"", ""bg"")"),"direct_qa")</f>
        <v>direct_qa</v>
      </c>
      <c r="H4017" s="1" t="str">
        <f ca="1">IFERROR(__xludf.DUMMYFUNCTION("GOOGLETRANSLATE(English!H4017, ""en"", ""bg"")"),"заявка_за_знание")</f>
        <v>заявка_за_знание</v>
      </c>
    </row>
    <row r="4018" spans="1:8" ht="13.2" x14ac:dyDescent="0.25">
      <c r="A4018" s="1" t="str">
        <f ca="1">IFERROR(__xludf.DUMMYFUNCTION("GOOGLETRANSLATE(English!A4018, ""en"", ""bg"")"),"conv_18792")</f>
        <v>conv_18792</v>
      </c>
      <c r="B4018" s="1" t="str">
        <f ca="1">IFERROR(__xludf.DUMMYFUNCTION("GOOGLETRANSLATE(English!B4018, ""en"", ""bg"")"),"химия")</f>
        <v>химия</v>
      </c>
      <c r="C4018" s="1" t="str">
        <f ca="1">IFERROR(__xludf.DUMMYFUNCTION("GOOGLETRANSLATE(English!C4018, ""en"", ""bg"")"),"високо")</f>
        <v>високо</v>
      </c>
      <c r="D4018" s="1" t="str">
        <f ca="1">IFERROR(__xludf.DUMMYFUNCTION("GOOGLETRANSLATE(English!D4018, ""en"", ""bg"")"),"равновесие")</f>
        <v>равновесие</v>
      </c>
      <c r="E4018" s="1" t="str">
        <f ca="1">IFERROR(__xludf.DUMMYFUNCTION("GOOGLETRANSLATE(English!E4018, ""en"", ""bg"")"),"Здравей, преподавателю! Защо равновесието е важно за учене?")</f>
        <v>Здравей, преподавателю! Защо равновесието е важно за учене?</v>
      </c>
      <c r="F4018" s="1" t="str">
        <f ca="1">IFERROR(__xludf.DUMMYFUNCTION("GOOGLETRANSLATE(English!F4018,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018" s="1" t="str">
        <f ca="1">IFERROR(__xludf.DUMMYFUNCTION("GOOGLETRANSLATE(English!G4018, ""en"", ""bg"")"),"разговор")</f>
        <v>разговор</v>
      </c>
      <c r="H4018" s="1" t="str">
        <f ca="1">IFERROR(__xludf.DUMMYFUNCTION("GOOGLETRANSLATE(English!H4018, ""en"", ""bg"")"),"образователна_помощ")</f>
        <v>образователна_помощ</v>
      </c>
    </row>
    <row r="4019" spans="1:8" ht="13.2" x14ac:dyDescent="0.25">
      <c r="A4019" s="1" t="str">
        <f ca="1">IFERROR(__xludf.DUMMYFUNCTION("GOOGLETRANSLATE(English!A4019, ""en"", ""bg"")"),"hw_12124")</f>
        <v>hw_12124</v>
      </c>
      <c r="B4019" s="1" t="str">
        <f ca="1">IFERROR(__xludf.DUMMYFUNCTION("GOOGLETRANSLATE(English!B4019, ""en"", ""bg"")"),"химия")</f>
        <v>химия</v>
      </c>
      <c r="C4019" s="1" t="str">
        <f ca="1">IFERROR(__xludf.DUMMYFUNCTION("GOOGLETRANSLATE(English!C4019, ""en"", ""bg"")"),"средата")</f>
        <v>средата</v>
      </c>
      <c r="D4019" s="1" t="str">
        <f ca="1">IFERROR(__xludf.DUMMYFUNCTION("GOOGLETRANSLATE(English!D4019, ""en"", ""bg"")"),"съединения срещу елементи")</f>
        <v>съединения срещу елементи</v>
      </c>
      <c r="E4019" s="1" t="str">
        <f ca="1">IFERROR(__xludf.DUMMYFUNCTION("GOOGLETRANSLATE(English!E4019, ""en"", ""bg"")"),"Затруднявам се със сравнението на съединенията и елементите в домашното си.")</f>
        <v>Затруднявам се със сравнението на съединенията и елементите в домашното си.</v>
      </c>
      <c r="F4019" s="1" t="str">
        <f ca="1">IFERROR(__xludf.DUMMYFUNCTION("GOOGLETRANSLATE(English!F4019,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4019" s="1" t="str">
        <f ca="1">IFERROR(__xludf.DUMMYFUNCTION("GOOGLETRANSLATE(English!G4019, ""en"", ""bg"")"),"помощ_за_домашно_изпълнение")</f>
        <v>помощ_за_домашно_изпълнение</v>
      </c>
      <c r="H4019" s="1" t="str">
        <f ca="1">IFERROR(__xludf.DUMMYFUNCTION("GOOGLETRANSLATE(English!H4019, ""en"", ""bg"")"),"помощ_за_домашно_задаване")</f>
        <v>помощ_за_домашно_задаване</v>
      </c>
    </row>
    <row r="4020" spans="1:8" ht="13.2" x14ac:dyDescent="0.25">
      <c r="A4020" s="1" t="str">
        <f ca="1">IFERROR(__xludf.DUMMYFUNCTION("GOOGLETRANSLATE(English!A4020, ""en"", ""bg"")"),"conv_07958")</f>
        <v>conv_07958</v>
      </c>
      <c r="B4020" s="1" t="str">
        <f ca="1">IFERROR(__xludf.DUMMYFUNCTION("GOOGLETRANSLATE(English!B4020, ""en"", ""bg"")"),"химия")</f>
        <v>химия</v>
      </c>
      <c r="C4020" s="1" t="str">
        <f ca="1">IFERROR(__xludf.DUMMYFUNCTION("GOOGLETRANSLATE(English!C4020, ""en"", ""bg"")"),"елементарен")</f>
        <v>елементарен</v>
      </c>
      <c r="D4020" s="1" t="str">
        <f ca="1">IFERROR(__xludf.DUMMYFUNCTION("GOOGLETRANSLATE(English!D4020, ""en"", ""bg"")"),"промени в материалите")</f>
        <v>промени в материалите</v>
      </c>
      <c r="E4020" s="1" t="str">
        <f ca="1">IFERROR(__xludf.DUMMYFUNCTION("GOOGLETRANSLATE(English!E4020, ""en"", ""bg"")"),"Помогнете ми да уча за теста си. Защо е важно да се учат промените в материалите?")</f>
        <v>Помогнете ми да уча за теста си. Защо е важно да се учат промените в материалите?</v>
      </c>
      <c r="F4020" s="1" t="str">
        <f ca="1">IFERROR(__xludf.DUMMYFUNCTION("GOOGLETRANSLATE(English!F4020,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4020" s="1" t="str">
        <f ca="1">IFERROR(__xludf.DUMMYFUNCTION("GOOGLETRANSLATE(English!G4020, ""en"", ""bg"")"),"разговор")</f>
        <v>разговор</v>
      </c>
      <c r="H4020" s="1" t="str">
        <f ca="1">IFERROR(__xludf.DUMMYFUNCTION("GOOGLETRANSLATE(English!H4020, ""en"", ""bg"")"),"образователна_помощ")</f>
        <v>образователна_помощ</v>
      </c>
    </row>
    <row r="4021" spans="1:8" ht="13.2" x14ac:dyDescent="0.25">
      <c r="A4021" s="1" t="str">
        <f ca="1">IFERROR(__xludf.DUMMYFUNCTION("GOOGLETRANSLATE(English!A4021, ""en"", ""bg"")"),"conv_12055")</f>
        <v>conv_12055</v>
      </c>
      <c r="B4021" s="1" t="str">
        <f ca="1">IFERROR(__xludf.DUMMYFUNCTION("GOOGLETRANSLATE(English!B4021, ""en"", ""bg"")"),"биология")</f>
        <v>биология</v>
      </c>
      <c r="C4021" s="1" t="str">
        <f ca="1">IFERROR(__xludf.DUMMYFUNCTION("GOOGLETRANSLATE(English!C4021, ""en"", ""bg"")"),"елементарен")</f>
        <v>елементарен</v>
      </c>
      <c r="D4021" s="1" t="str">
        <f ca="1">IFERROR(__xludf.DUMMYFUNCTION("GOOGLETRANSLATE(English!D4021, ""en"", ""bg"")"),"растения")</f>
        <v>растения</v>
      </c>
      <c r="E4021" s="1" t="str">
        <f ca="1">IFERROR(__xludf.DUMMYFUNCTION("GOOGLETRANSLATE(English!E4021, ""en"", ""bg"")"),"Имам научен въпрос. Как семената пътуват до нови места?")</f>
        <v>Имам научен въпрос. Как семената пътуват до нови места?</v>
      </c>
      <c r="F4021" s="1" t="str">
        <f ca="1">IFERROR(__xludf.DUMMYFUNCTION("GOOGLETRANSLATE(English!F4021, ""en"", ""bg"")"),"Семената се разпространяват чрез вятър, вода, животни, които ги ядат, или като се залепват за козината на животните!")</f>
        <v>Семената се разпространяват чрез вятър, вода, животни, които ги ядат, или като се залепват за козината на животните!</v>
      </c>
      <c r="G4021" s="1" t="str">
        <f ca="1">IFERROR(__xludf.DUMMYFUNCTION("GOOGLETRANSLATE(English!G4021, ""en"", ""bg"")"),"разговор")</f>
        <v>разговор</v>
      </c>
      <c r="H4021" s="1" t="str">
        <f ca="1">IFERROR(__xludf.DUMMYFUNCTION("GOOGLETRANSLATE(English!H4021, ""en"", ""bg"")"),"образователна_помощ")</f>
        <v>образователна_помощ</v>
      </c>
    </row>
    <row r="4022" spans="1:8" ht="13.2" x14ac:dyDescent="0.25">
      <c r="A4022" s="1" t="str">
        <f ca="1">IFERROR(__xludf.DUMMYFUNCTION("GOOGLETRANSLATE(English!A4022, ""en"", ""bg"")"),"qa_01249")</f>
        <v>qa_01249</v>
      </c>
      <c r="B4022" s="1" t="str">
        <f ca="1">IFERROR(__xludf.DUMMYFUNCTION("GOOGLETRANSLATE(English!B4022, ""en"", ""bg"")"),"биология")</f>
        <v>биология</v>
      </c>
      <c r="C4022" s="1" t="str">
        <f ca="1">IFERROR(__xludf.DUMMYFUNCTION("GOOGLETRANSLATE(English!C4022, ""en"", ""bg"")"),"елементарен")</f>
        <v>елементарен</v>
      </c>
      <c r="D4022" s="1" t="str">
        <f ca="1">IFERROR(__xludf.DUMMYFUNCTION("GOOGLETRANSLATE(English!D4022, ""en"", ""bg"")"),"животни")</f>
        <v>животни</v>
      </c>
      <c r="E4022" s="1" t="str">
        <f ca="1">IFERROR(__xludf.DUMMYFUNCTION("GOOGLETRANSLATE(English!E4022, ""en"", ""bg"")"),"Как кучетата се грижат за своите бебета?")</f>
        <v>Как кучетата се грижат за своите бебета?</v>
      </c>
      <c r="F4022" s="1" t="str">
        <f ca="1">IFERROR(__xludf.DUMMYFUNCTION("GOOGLETRANSLATE(English!F4022,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4022" s="1" t="str">
        <f ca="1">IFERROR(__xludf.DUMMYFUNCTION("GOOGLETRANSLATE(English!G4022, ""en"", ""bg"")"),"direct_qa")</f>
        <v>direct_qa</v>
      </c>
      <c r="H4022" s="1" t="str">
        <f ca="1">IFERROR(__xludf.DUMMYFUNCTION("GOOGLETRANSLATE(English!H4022, ""en"", ""bg"")"),"заявка_за_знание")</f>
        <v>заявка_за_знание</v>
      </c>
    </row>
    <row r="4023" spans="1:8" ht="13.2" x14ac:dyDescent="0.25">
      <c r="A4023" s="1" t="str">
        <f ca="1">IFERROR(__xludf.DUMMYFUNCTION("GOOGLETRANSLATE(English!A4023, ""en"", ""bg"")"),"hw_00905")</f>
        <v>hw_00905</v>
      </c>
      <c r="B4023" s="1" t="str">
        <f ca="1">IFERROR(__xludf.DUMMYFUNCTION("GOOGLETRANSLATE(English!B4023, ""en"", ""bg"")"),"биология")</f>
        <v>биология</v>
      </c>
      <c r="C4023" s="1" t="str">
        <f ca="1">IFERROR(__xludf.DUMMYFUNCTION("GOOGLETRANSLATE(English!C4023, ""en"", ""bg"")"),"високо")</f>
        <v>високо</v>
      </c>
      <c r="D4023" s="1" t="str">
        <f ca="1">IFERROR(__xludf.DUMMYFUNCTION("GOOGLETRANSLATE(English!D4023, ""en"", ""bg"")"),"клетъчно дишане")</f>
        <v>клетъчно дишане</v>
      </c>
      <c r="E4023" s="1" t="str">
        <f ca="1">IFERROR(__xludf.DUMMYFUNCTION("GOOGLETRANSLATE(English!E4023, ""en"", ""bg"")"),"Трябва да напиша доклад за клетъчното дишане. Можете ли да ми помогнете да започна?")</f>
        <v>Трябва да напиша доклад за клетъчното дишане. Можете ли да ми помогнете да започна?</v>
      </c>
      <c r="F4023" s="1" t="str">
        <f ca="1">IFERROR(__xludf.DUMMYFUNCTION("GOOGLETRANSLATE(English!F4023,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4023" s="1" t="str">
        <f ca="1">IFERROR(__xludf.DUMMYFUNCTION("GOOGLETRANSLATE(English!G4023, ""en"", ""bg"")"),"помощ_за_домашно_изпълнение")</f>
        <v>помощ_за_домашно_изпълнение</v>
      </c>
      <c r="H4023" s="1" t="str">
        <f ca="1">IFERROR(__xludf.DUMMYFUNCTION("GOOGLETRANSLATE(English!H4023, ""en"", ""bg"")"),"помощ_за_домашно_задаване")</f>
        <v>помощ_за_домашно_задаване</v>
      </c>
    </row>
    <row r="4024" spans="1:8" ht="13.2" x14ac:dyDescent="0.25">
      <c r="A4024" s="1" t="str">
        <f ca="1">IFERROR(__xludf.DUMMYFUNCTION("GOOGLETRANSLATE(English!A4024, ""en"", ""bg"")"),"conv_04534")</f>
        <v>conv_04534</v>
      </c>
      <c r="B4024" s="1" t="str">
        <f ca="1">IFERROR(__xludf.DUMMYFUNCTION("GOOGLETRANSLATE(English!B4024, ""en"", ""bg"")"),"биология")</f>
        <v>биология</v>
      </c>
      <c r="C4024" s="1" t="str">
        <f ca="1">IFERROR(__xludf.DUMMYFUNCTION("GOOGLETRANSLATE(English!C4024, ""en"", ""bg"")"),"елементарен")</f>
        <v>елементарен</v>
      </c>
      <c r="D4024" s="1" t="str">
        <f ca="1">IFERROR(__xludf.DUMMYFUNCTION("GOOGLETRANSLATE(English!D4024, ""en"", ""bg"")"),"домашни любимци срещу диви животни")</f>
        <v>домашни любимци срещу диви животни</v>
      </c>
      <c r="E4024" s="1" t="str">
        <f ca="1">IFERROR(__xludf.DUMMYFUNCTION("GOOGLETRANSLATE(English!E4024, ""en"", ""bg"")"),"Имам нужда от помощ с домашното. Как се различават домашните любимци от дивите животни?")</f>
        <v>Имам нужда от помощ с домашното. Как се различават домашните любимци от дивите животни?</v>
      </c>
      <c r="F4024" s="1" t="str">
        <f ca="1">IFERROR(__xludf.DUMMYFUNCTION("GOOGLETRANSLATE(English!F4024, ""en"", ""bg"")"),"Домашни любимци срещу диви животни действат чрез естествени процеси, които учените изучават от много години.")</f>
        <v>Домашни любимци срещу диви животни действат чрез естествени процеси, които учените изучават от много години.</v>
      </c>
      <c r="G4024" s="1" t="str">
        <f ca="1">IFERROR(__xludf.DUMMYFUNCTION("GOOGLETRANSLATE(English!G4024, ""en"", ""bg"")"),"разговор")</f>
        <v>разговор</v>
      </c>
      <c r="H4024" s="1" t="str">
        <f ca="1">IFERROR(__xludf.DUMMYFUNCTION("GOOGLETRANSLATE(English!H4024, ""en"", ""bg"")"),"образователна_помощ")</f>
        <v>образователна_помощ</v>
      </c>
    </row>
    <row r="4025" spans="1:8" ht="13.2" x14ac:dyDescent="0.25">
      <c r="A4025" s="1" t="str">
        <f ca="1">IFERROR(__xludf.DUMMYFUNCTION("GOOGLETRANSLATE(English!A4025, ""en"", ""bg"")"),"qa_14055")</f>
        <v>qa_14055</v>
      </c>
      <c r="B4025" s="1" t="str">
        <f ca="1">IFERROR(__xludf.DUMMYFUNCTION("GOOGLETRANSLATE(English!B4025, ""en"", ""bg"")"),"физика")</f>
        <v>физика</v>
      </c>
      <c r="C4025" s="1" t="str">
        <f ca="1">IFERROR(__xludf.DUMMYFUNCTION("GOOGLETRANSLATE(English!C4025, ""en"", ""bg"")"),"средата")</f>
        <v>средата</v>
      </c>
      <c r="D4025" s="1" t="str">
        <f ca="1">IFERROR(__xludf.DUMMYFUNCTION("GOOGLETRANSLATE(English!D4025, ""en"", ""bg"")"),"видове енергия")</f>
        <v>видове енергия</v>
      </c>
      <c r="E4025" s="1" t="str">
        <f ca="1">IFERROR(__xludf.DUMMYFUNCTION("GOOGLETRANSLATE(English!E4025, ""en"", ""bg"")"),"Какво е потенциална енергия?")</f>
        <v>Какво е потенциална енергия?</v>
      </c>
      <c r="F4025" s="1" t="str">
        <f ca="1">IFERROR(__xludf.DUMMYFUNCTION("GOOGLETRANSLATE(English!F4025, ""en"", ""bg"")"),"Потенциалната енергия е съхранена енергия, която има потенциал да извърши работа, като топка на върха на хълм.")</f>
        <v>Потенциалната енергия е съхранена енергия, която има потенциал да извърши работа, като топка на върха на хълм.</v>
      </c>
      <c r="G4025" s="1" t="str">
        <f ca="1">IFERROR(__xludf.DUMMYFUNCTION("GOOGLETRANSLATE(English!G4025, ""en"", ""bg"")"),"direct_qa")</f>
        <v>direct_qa</v>
      </c>
      <c r="H4025" s="1" t="str">
        <f ca="1">IFERROR(__xludf.DUMMYFUNCTION("GOOGLETRANSLATE(English!H4025, ""en"", ""bg"")"),"заявка_за_знание")</f>
        <v>заявка_за_знание</v>
      </c>
    </row>
    <row r="4026" spans="1:8" ht="13.2" x14ac:dyDescent="0.25">
      <c r="A4026" s="1" t="str">
        <f ca="1">IFERROR(__xludf.DUMMYFUNCTION("GOOGLETRANSLATE(English!A4026, ""en"", ""bg"")"),"hw_04879")</f>
        <v>hw_04879</v>
      </c>
      <c r="B4026" s="1" t="str">
        <f ca="1">IFERROR(__xludf.DUMMYFUNCTION("GOOGLETRANSLATE(English!B4026, ""en"", ""bg"")"),"химия")</f>
        <v>химия</v>
      </c>
      <c r="C4026" s="1" t="str">
        <f ca="1">IFERROR(__xludf.DUMMYFUNCTION("GOOGLETRANSLATE(English!C4026, ""en"", ""bg"")"),"високо")</f>
        <v>високо</v>
      </c>
      <c r="D4026" s="1" t="str">
        <f ca="1">IFERROR(__xludf.DUMMYFUNCTION("GOOGLETRANSLATE(English!D4026, ""en"", ""bg"")"),"скорости на реакция")</f>
        <v>скорости на реакция</v>
      </c>
      <c r="E4026" s="1" t="str">
        <f ca="1">IFERROR(__xludf.DUMMYFUNCTION("GOOGLETRANSLATE(English!E4026, ""en"", ""bg"")"),"Не разбирам тази концепция за скоростта на реакцията. Моля, обяснете!")</f>
        <v>Не разбирам тази концепция за скоростта на реакцията. Моля, обяснете!</v>
      </c>
      <c r="F4026" s="1" t="str">
        <f ca="1">IFERROR(__xludf.DUMMYFUNCTION("GOOGLETRANSLATE(English!F4026,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4026" s="1" t="str">
        <f ca="1">IFERROR(__xludf.DUMMYFUNCTION("GOOGLETRANSLATE(English!G4026, ""en"", ""bg"")"),"помощ_за_домашно_изпълнение")</f>
        <v>помощ_за_домашно_изпълнение</v>
      </c>
      <c r="H4026" s="1" t="str">
        <f ca="1">IFERROR(__xludf.DUMMYFUNCTION("GOOGLETRANSLATE(English!H4026, ""en"", ""bg"")"),"помощ_за_домашно_задаване")</f>
        <v>помощ_за_домашно_задаване</v>
      </c>
    </row>
    <row r="4027" spans="1:8" ht="13.2" x14ac:dyDescent="0.25">
      <c r="A4027" s="1" t="str">
        <f ca="1">IFERROR(__xludf.DUMMYFUNCTION("GOOGLETRANSLATE(English!A4027, ""en"", ""bg"")"),"conv_16514")</f>
        <v>conv_16514</v>
      </c>
      <c r="B4027" s="1" t="str">
        <f ca="1">IFERROR(__xludf.DUMMYFUNCTION("GOOGLETRANSLATE(English!B4027, ""en"", ""bg"")"),"физика")</f>
        <v>физика</v>
      </c>
      <c r="C4027" s="1" t="str">
        <f ca="1">IFERROR(__xludf.DUMMYFUNCTION("GOOGLETRANSLATE(English!C4027, ""en"", ""bg"")"),"средата")</f>
        <v>средата</v>
      </c>
      <c r="D4027" s="1" t="str">
        <f ca="1">IFERROR(__xludf.DUMMYFUNCTION("GOOGLETRANSLATE(English!D4027, ""en"", ""bg"")"),"плътност")</f>
        <v>плътност</v>
      </c>
      <c r="E4027" s="1" t="str">
        <f ca="1">IFERROR(__xludf.DUMMYFUNCTION("GOOGLETRANSLATE(English!E4027, ""en"", ""bg"")"),"Имам нужда от помощ с домашното. Можете ли да ми обясните плътността?")</f>
        <v>Имам нужда от помощ с домашното. Можете ли да ми обясните плътността?</v>
      </c>
      <c r="F4027" s="1" t="str">
        <f ca="1">IFERROR(__xludf.DUMMYFUNCTION("GOOGLETRANSLATE(English!F4027,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4027" s="1" t="str">
        <f ca="1">IFERROR(__xludf.DUMMYFUNCTION("GOOGLETRANSLATE(English!G4027, ""en"", ""bg"")"),"разговор")</f>
        <v>разговор</v>
      </c>
      <c r="H4027" s="1" t="str">
        <f ca="1">IFERROR(__xludf.DUMMYFUNCTION("GOOGLETRANSLATE(English!H4027, ""en"", ""bg"")"),"образователна_помощ")</f>
        <v>образователна_помощ</v>
      </c>
    </row>
    <row r="4028" spans="1:8" ht="13.2" x14ac:dyDescent="0.25">
      <c r="A4028" s="1" t="str">
        <f ca="1">IFERROR(__xludf.DUMMYFUNCTION("GOOGLETRANSLATE(English!A4028, ""en"", ""bg"")"),"conv_08393")</f>
        <v>conv_08393</v>
      </c>
      <c r="B4028" s="1" t="str">
        <f ca="1">IFERROR(__xludf.DUMMYFUNCTION("GOOGLETRANSLATE(English!B4028, ""en"", ""bg"")"),"химия")</f>
        <v>химия</v>
      </c>
      <c r="C4028" s="1" t="str">
        <f ca="1">IFERROR(__xludf.DUMMYFUNCTION("GOOGLETRANSLATE(English!C4028, ""en"", ""bg"")"),"средата")</f>
        <v>средата</v>
      </c>
      <c r="D4028" s="1" t="str">
        <f ca="1">IFERROR(__xludf.DUMMYFUNCTION("GOOGLETRANSLATE(English!D4028, ""en"", ""bg"")"),"химични реакции")</f>
        <v>химични реакции</v>
      </c>
      <c r="E4028" s="1" t="str">
        <f ca="1">IFERROR(__xludf.DUMMYFUNCTION("GOOGLETRANSLATE(English!E4028, ""en"", ""bg"")"),"Помогнете ми да се подготвя за теста. Какво представляват реагентите и продуктите?")</f>
        <v>Помогнете ми да се подготвя за теста. Какво представляват реагентите и продуктите?</v>
      </c>
      <c r="F4028" s="1" t="str">
        <f ca="1">IFERROR(__xludf.DUMMYFUNCTION("GOOGLETRANSLATE(English!F4028,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4028" s="1" t="str">
        <f ca="1">IFERROR(__xludf.DUMMYFUNCTION("GOOGLETRANSLATE(English!G4028, ""en"", ""bg"")"),"разговор")</f>
        <v>разговор</v>
      </c>
      <c r="H4028" s="1" t="str">
        <f ca="1">IFERROR(__xludf.DUMMYFUNCTION("GOOGLETRANSLATE(English!H4028, ""en"", ""bg"")"),"образователна_помощ")</f>
        <v>образователна_помощ</v>
      </c>
    </row>
    <row r="4029" spans="1:8" ht="13.2" x14ac:dyDescent="0.25">
      <c r="A4029" s="1" t="str">
        <f ca="1">IFERROR(__xludf.DUMMYFUNCTION("GOOGLETRANSLATE(English!A4029, ""en"", ""bg"")"),"conv_12715")</f>
        <v>conv_12715</v>
      </c>
      <c r="B4029" s="1" t="str">
        <f ca="1">IFERROR(__xludf.DUMMYFUNCTION("GOOGLETRANSLATE(English!B4029, ""en"", ""bg"")"),"биология")</f>
        <v>биология</v>
      </c>
      <c r="C4029" s="1" t="str">
        <f ca="1">IFERROR(__xludf.DUMMYFUNCTION("GOOGLETRANSLATE(English!C4029, ""en"", ""bg"")"),"високо")</f>
        <v>високо</v>
      </c>
      <c r="D4029" s="1" t="str">
        <f ca="1">IFERROR(__xludf.DUMMYFUNCTION("GOOGLETRANSLATE(English!D4029, ""en"", ""bg"")"),"модели на наследяване")</f>
        <v>модели на наследяване</v>
      </c>
      <c r="E4029" s="1" t="str">
        <f ca="1">IFERROR(__xludf.DUMMYFUNCTION("GOOGLETRANSLATE(English!E4029, ""en"", ""bg"")"),"Можете ли да ми помогнете? Как работят моделите на наследяване?")</f>
        <v>Можете ли да ми помогнете? Как работят моделите на наследяване?</v>
      </c>
      <c r="F4029" s="1" t="str">
        <f ca="1">IFERROR(__xludf.DUMMYFUNCTION("GOOGLETRANSLATE(English!F4029,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4029" s="1" t="str">
        <f ca="1">IFERROR(__xludf.DUMMYFUNCTION("GOOGLETRANSLATE(English!G4029, ""en"", ""bg"")"),"разговор")</f>
        <v>разговор</v>
      </c>
      <c r="H4029" s="1" t="str">
        <f ca="1">IFERROR(__xludf.DUMMYFUNCTION("GOOGLETRANSLATE(English!H4029, ""en"", ""bg"")"),"образователна_помощ")</f>
        <v>образователна_помощ</v>
      </c>
    </row>
    <row r="4030" spans="1:8" ht="13.2" x14ac:dyDescent="0.25">
      <c r="A4030" s="1" t="str">
        <f ca="1">IFERROR(__xludf.DUMMYFUNCTION("GOOGLETRANSLATE(English!A4030, ""en"", ""bg"")"),"hw_09160")</f>
        <v>hw_09160</v>
      </c>
      <c r="B4030" s="1" t="str">
        <f ca="1">IFERROR(__xludf.DUMMYFUNCTION("GOOGLETRANSLATE(English!B4030, ""en"", ""bg"")"),"физика")</f>
        <v>физика</v>
      </c>
      <c r="C4030" s="1" t="str">
        <f ca="1">IFERROR(__xludf.DUMMYFUNCTION("GOOGLETRANSLATE(English!C4030, ""en"", ""bg"")"),"средата")</f>
        <v>средата</v>
      </c>
      <c r="D4030" s="1" t="str">
        <f ca="1">IFERROR(__xludf.DUMMYFUNCTION("GOOGLETRANSLATE(English!D4030, ""en"", ""bg"")"),"прости схеми")</f>
        <v>прости схеми</v>
      </c>
      <c r="E4030" s="1" t="str">
        <f ca="1">IFERROR(__xludf.DUMMYFUNCTION("GOOGLETRANSLATE(English!E4030, ""en"", ""bg"")"),"Домашното ми по физика е за прости електрически вериги. Объркващо е!")</f>
        <v>Домашното ми по физика е за прости електрически вериги. Объркващо е!</v>
      </c>
      <c r="F4030" s="1" t="str">
        <f ca="1">IFERROR(__xludf.DUMMYFUNCTION("GOOGLETRANSLATE(English!F4030,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4030" s="1" t="str">
        <f ca="1">IFERROR(__xludf.DUMMYFUNCTION("GOOGLETRANSLATE(English!G4030, ""en"", ""bg"")"),"помощ_за_домашно_изпълнение")</f>
        <v>помощ_за_домашно_изпълнение</v>
      </c>
      <c r="H4030" s="1" t="str">
        <f ca="1">IFERROR(__xludf.DUMMYFUNCTION("GOOGLETRANSLATE(English!H4030, ""en"", ""bg"")"),"помощ_за_домашно_задаване")</f>
        <v>помощ_за_домашно_задаване</v>
      </c>
    </row>
    <row r="4031" spans="1:8" ht="13.2" x14ac:dyDescent="0.25">
      <c r="A4031" s="1" t="str">
        <f ca="1">IFERROR(__xludf.DUMMYFUNCTION("GOOGLETRANSLATE(English!A4031, ""en"", ""bg"")"),"hw_03087")</f>
        <v>hw_03087</v>
      </c>
      <c r="B4031" s="1" t="str">
        <f ca="1">IFERROR(__xludf.DUMMYFUNCTION("GOOGLETRANSLATE(English!B4031, ""en"", ""bg"")"),"химия")</f>
        <v>химия</v>
      </c>
      <c r="C4031" s="1" t="str">
        <f ca="1">IFERROR(__xludf.DUMMYFUNCTION("GOOGLETRANSLATE(English!C4031, ""en"", ""bg"")"),"средата")</f>
        <v>средата</v>
      </c>
      <c r="D4031" s="1" t="str">
        <f ca="1">IFERROR(__xludf.DUMMYFUNCTION("GOOGLETRANSLATE(English!D4031, ""en"", ""bg"")"),"основи на периодичната таблица")</f>
        <v>основи на периодичната таблица</v>
      </c>
      <c r="E4031" s="1" t="str">
        <f ca="1">IFERROR(__xludf.DUMMYFUNCTION("GOOGLETRANSLATE(English!E4031,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4031" s="1" t="str">
        <f ca="1">IFERROR(__xludf.DUMMYFUNCTION("GOOGLETRANSLATE(English!F4031,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4031" s="1" t="str">
        <f ca="1">IFERROR(__xludf.DUMMYFUNCTION("GOOGLETRANSLATE(English!G4031, ""en"", ""bg"")"),"помощ_за_домашно_изпълнение")</f>
        <v>помощ_за_домашно_изпълнение</v>
      </c>
      <c r="H4031" s="1" t="str">
        <f ca="1">IFERROR(__xludf.DUMMYFUNCTION("GOOGLETRANSLATE(English!H4031, ""en"", ""bg"")"),"помощ_за_домашно_задаване")</f>
        <v>помощ_за_домашно_задаване</v>
      </c>
    </row>
    <row r="4032" spans="1:8" ht="13.2" x14ac:dyDescent="0.25">
      <c r="A4032" s="1" t="str">
        <f ca="1">IFERROR(__xludf.DUMMYFUNCTION("GOOGLETRANSLATE(English!A4032, ""en"", ""bg"")"),"conv_15254")</f>
        <v>conv_15254</v>
      </c>
      <c r="B4032" s="1" t="str">
        <f ca="1">IFERROR(__xludf.DUMMYFUNCTION("GOOGLETRANSLATE(English!B4032, ""en"", ""bg"")"),"химия")</f>
        <v>химия</v>
      </c>
      <c r="C4032" s="1" t="str">
        <f ca="1">IFERROR(__xludf.DUMMYFUNCTION("GOOGLETRANSLATE(English!C4032, ""en"", ""bg"")"),"високо")</f>
        <v>високо</v>
      </c>
      <c r="D4032" s="1" t="str">
        <f ca="1">IFERROR(__xludf.DUMMYFUNCTION("GOOGLETRANSLATE(English!D4032, ""en"", ""bg"")"),"скорости на реакция")</f>
        <v>скорости на реакция</v>
      </c>
      <c r="E4032" s="1" t="str">
        <f ca="1">IFERROR(__xludf.DUMMYFUNCTION("GOOGLETRANSLATE(English!E4032, ""en"", ""bg"")"),"Помогнете ми да уча за теста. Защо е важно да се учи скоростта на реакция?")</f>
        <v>Помогнете ми да уча за теста. Защо е важно да се учи скоростта на реакция?</v>
      </c>
      <c r="F4032" s="1" t="str">
        <f ca="1">IFERROR(__xludf.DUMMYFUNCTION("GOOGLETRANSLATE(English!F4032,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4032" s="1" t="str">
        <f ca="1">IFERROR(__xludf.DUMMYFUNCTION("GOOGLETRANSLATE(English!G4032, ""en"", ""bg"")"),"разговор")</f>
        <v>разговор</v>
      </c>
      <c r="H4032" s="1" t="str">
        <f ca="1">IFERROR(__xludf.DUMMYFUNCTION("GOOGLETRANSLATE(English!H4032, ""en"", ""bg"")"),"образователна_помощ")</f>
        <v>образователна_помощ</v>
      </c>
    </row>
    <row r="4033" spans="1:8" ht="13.2" x14ac:dyDescent="0.25">
      <c r="A4033" s="1" t="str">
        <f ca="1">IFERROR(__xludf.DUMMYFUNCTION("GOOGLETRANSLATE(English!A4033, ""en"", ""bg"")"),"hw_13896")</f>
        <v>hw_13896</v>
      </c>
      <c r="B4033" s="1" t="str">
        <f ca="1">IFERROR(__xludf.DUMMYFUNCTION("GOOGLETRANSLATE(English!B4033, ""en"", ""bg"")"),"биология")</f>
        <v>биология</v>
      </c>
      <c r="C4033" s="1" t="str">
        <f ca="1">IFERROR(__xludf.DUMMYFUNCTION("GOOGLETRANSLATE(English!C4033, ""en"", ""bg"")"),"високо")</f>
        <v>високо</v>
      </c>
      <c r="D4033" s="1" t="str">
        <f ca="1">IFERROR(__xludf.DUMMYFUNCTION("GOOGLETRANSLATE(English!D4033, ""en"", ""bg"")"),"молекулярна биология")</f>
        <v>молекулярна биология</v>
      </c>
      <c r="E4033" s="1" t="str">
        <f ca="1">IFERROR(__xludf.DUMMYFUNCTION("GOOGLETRANSLATE(English!E4033,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4033" s="1" t="str">
        <f ca="1">IFERROR(__xludf.DUMMYFUNCTION("GOOGLETRANSLATE(English!F4033,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033" s="1" t="str">
        <f ca="1">IFERROR(__xludf.DUMMYFUNCTION("GOOGLETRANSLATE(English!G4033, ""en"", ""bg"")"),"помощ_за_домашно_изпълнение")</f>
        <v>помощ_за_домашно_изпълнение</v>
      </c>
      <c r="H4033" s="1" t="str">
        <f ca="1">IFERROR(__xludf.DUMMYFUNCTION("GOOGLETRANSLATE(English!H4033, ""en"", ""bg"")"),"помощ_за_домашно_задаване")</f>
        <v>помощ_за_домашно_задаване</v>
      </c>
    </row>
    <row r="4034" spans="1:8" ht="13.2" x14ac:dyDescent="0.25">
      <c r="A4034" s="1" t="str">
        <f ca="1">IFERROR(__xludf.DUMMYFUNCTION("GOOGLETRANSLATE(English!A4034, ""en"", ""bg"")"),"qa_13473")</f>
        <v>qa_13473</v>
      </c>
      <c r="B4034" s="1" t="str">
        <f ca="1">IFERROR(__xludf.DUMMYFUNCTION("GOOGLETRANSLATE(English!B4034, ""en"", ""bg"")"),"химия")</f>
        <v>химия</v>
      </c>
      <c r="C4034" s="1" t="str">
        <f ca="1">IFERROR(__xludf.DUMMYFUNCTION("GOOGLETRANSLATE(English!C4034, ""en"", ""bg"")"),"средата")</f>
        <v>средата</v>
      </c>
      <c r="D4034" s="1" t="str">
        <f ca="1">IFERROR(__xludf.DUMMYFUNCTION("GOOGLETRANSLATE(English!D4034, ""en"", ""bg"")"),"основи на периодичната таблица")</f>
        <v>основи на периодичната таблица</v>
      </c>
      <c r="E4034" s="1" t="str">
        <f ca="1">IFERROR(__xludf.DUMMYFUNCTION("GOOGLETRANSLATE(English!E4034, ""en"", ""bg"")"),"Какво представляват основите на периодичната таблица?")</f>
        <v>Какво представляват основите на периодичната таблица?</v>
      </c>
      <c r="F4034" s="1" t="str">
        <f ca="1">IFERROR(__xludf.DUMMYFUNCTION("GOOGLETRANSLATE(English!F4034,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4034" s="1" t="str">
        <f ca="1">IFERROR(__xludf.DUMMYFUNCTION("GOOGLETRANSLATE(English!G4034, ""en"", ""bg"")"),"direct_qa")</f>
        <v>direct_qa</v>
      </c>
      <c r="H4034" s="1" t="str">
        <f ca="1">IFERROR(__xludf.DUMMYFUNCTION("GOOGLETRANSLATE(English!H4034, ""en"", ""bg"")"),"заявка_за_знание")</f>
        <v>заявка_за_знание</v>
      </c>
    </row>
    <row r="4035" spans="1:8" ht="13.2" x14ac:dyDescent="0.25">
      <c r="A4035" s="1" t="str">
        <f ca="1">IFERROR(__xludf.DUMMYFUNCTION("GOOGLETRANSLATE(English!A4035, ""en"", ""bg"")"),"hw_01611")</f>
        <v>hw_01611</v>
      </c>
      <c r="B4035" s="1" t="str">
        <f ca="1">IFERROR(__xludf.DUMMYFUNCTION("GOOGLETRANSLATE(English!B4035, ""en"", ""bg"")"),"биология")</f>
        <v>биология</v>
      </c>
      <c r="C4035" s="1" t="str">
        <f ca="1">IFERROR(__xludf.DUMMYFUNCTION("GOOGLETRANSLATE(English!C4035, ""en"", ""bg"")"),"елементарен")</f>
        <v>елементарен</v>
      </c>
      <c r="D4035" s="1" t="str">
        <f ca="1">IFERROR(__xludf.DUMMYFUNCTION("GOOGLETRANSLATE(English!D4035, ""en"", ""bg"")"),"растения")</f>
        <v>растения</v>
      </c>
      <c r="E4035" s="1" t="str">
        <f ca="1">IFERROR(__xludf.DUMMYFUNCTION("GOOGLETRANSLATE(English!E4035, ""en"", ""bg"")"),"Утре имам тест по растения. Помогни ми да уча!")</f>
        <v>Утре имам тест по растения. Помогни ми да уча!</v>
      </c>
      <c r="F4035" s="1" t="str">
        <f ca="1">IFERROR(__xludf.DUMMYFUNCTION("GOOGLETRANSLATE(English!F4035,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035" s="1" t="str">
        <f ca="1">IFERROR(__xludf.DUMMYFUNCTION("GOOGLETRANSLATE(English!G4035, ""en"", ""bg"")"),"помощ_за_домашно_изпълнение")</f>
        <v>помощ_за_домашно_изпълнение</v>
      </c>
      <c r="H4035" s="1" t="str">
        <f ca="1">IFERROR(__xludf.DUMMYFUNCTION("GOOGLETRANSLATE(English!H4035, ""en"", ""bg"")"),"помощ_за_домашно_задаване")</f>
        <v>помощ_за_домашно_задаване</v>
      </c>
    </row>
    <row r="4036" spans="1:8" ht="13.2" x14ac:dyDescent="0.25">
      <c r="A4036" s="1" t="str">
        <f ca="1">IFERROR(__xludf.DUMMYFUNCTION("GOOGLETRANSLATE(English!A4036, ""en"", ""bg"")"),"qa_04813")</f>
        <v>qa_04813</v>
      </c>
      <c r="B4036" s="1" t="str">
        <f ca="1">IFERROR(__xludf.DUMMYFUNCTION("GOOGLETRANSLATE(English!B4036, ""en"", ""bg"")"),"биология")</f>
        <v>биология</v>
      </c>
      <c r="C4036" s="1" t="str">
        <f ca="1">IFERROR(__xludf.DUMMYFUNCTION("GOOGLETRANSLATE(English!C4036, ""en"", ""bg"")"),"високо")</f>
        <v>високо</v>
      </c>
      <c r="D4036" s="1" t="str">
        <f ca="1">IFERROR(__xludf.DUMMYFUNCTION("GOOGLETRANSLATE(English!D4036, ""en"", ""bg"")"),"митоза и мейоза")</f>
        <v>митоза и мейоза</v>
      </c>
      <c r="E4036" s="1" t="str">
        <f ca="1">IFERROR(__xludf.DUMMYFUNCTION("GOOGLETRANSLATE(English!E4036, ""en"", ""bg"")"),"Какво е важно да знаем за митозата и мейозата?")</f>
        <v>Какво е важно да знаем за митозата и мейозата?</v>
      </c>
      <c r="F4036" s="1" t="str">
        <f ca="1">IFERROR(__xludf.DUMMYFUNCTION("GOOGLETRANSLATE(English!F4036,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4036" s="1" t="str">
        <f ca="1">IFERROR(__xludf.DUMMYFUNCTION("GOOGLETRANSLATE(English!G4036, ""en"", ""bg"")"),"direct_qa")</f>
        <v>direct_qa</v>
      </c>
      <c r="H4036" s="1" t="str">
        <f ca="1">IFERROR(__xludf.DUMMYFUNCTION("GOOGLETRANSLATE(English!H4036, ""en"", ""bg"")"),"заявка_за_знание")</f>
        <v>заявка_за_знание</v>
      </c>
    </row>
    <row r="4037" spans="1:8" ht="13.2" x14ac:dyDescent="0.25">
      <c r="A4037" s="1" t="str">
        <f ca="1">IFERROR(__xludf.DUMMYFUNCTION("GOOGLETRANSLATE(English!A4037, ""en"", ""bg"")"),"conv_11191")</f>
        <v>conv_11191</v>
      </c>
      <c r="B4037" s="1" t="str">
        <f ca="1">IFERROR(__xludf.DUMMYFUNCTION("GOOGLETRANSLATE(English!B4037, ""en"", ""bg"")"),"физика")</f>
        <v>физика</v>
      </c>
      <c r="C4037" s="1" t="str">
        <f ca="1">IFERROR(__xludf.DUMMYFUNCTION("GOOGLETRANSLATE(English!C4037, ""en"", ""bg"")"),"високо")</f>
        <v>високо</v>
      </c>
      <c r="D4037" s="1" t="str">
        <f ca="1">IFERROR(__xludf.DUMMYFUNCTION("GOOGLETRANSLATE(English!D4037, ""en"", ""bg"")"),"атомна структура")</f>
        <v>атомна структура</v>
      </c>
      <c r="E4037" s="1" t="str">
        <f ca="1">IFERROR(__xludf.DUMMYFUNCTION("GOOGLETRANSLATE(English!E4037, ""en"", ""bg"")"),"Имам научен въпрос. Какво трябва да знам за атомната структура?")</f>
        <v>Имам научен въпрос. Какво трябва да знам за атомната структура?</v>
      </c>
      <c r="F4037" s="1" t="str">
        <f ca="1">IFERROR(__xludf.DUMMYFUNCTION("GOOGLETRANSLATE(English!F4037,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4037" s="1" t="str">
        <f ca="1">IFERROR(__xludf.DUMMYFUNCTION("GOOGLETRANSLATE(English!G4037, ""en"", ""bg"")"),"разговор")</f>
        <v>разговор</v>
      </c>
      <c r="H4037" s="1" t="str">
        <f ca="1">IFERROR(__xludf.DUMMYFUNCTION("GOOGLETRANSLATE(English!H4037, ""en"", ""bg"")"),"образователна_помощ")</f>
        <v>образователна_помощ</v>
      </c>
    </row>
    <row r="4038" spans="1:8" ht="13.2" x14ac:dyDescent="0.25">
      <c r="A4038" s="1" t="str">
        <f ca="1">IFERROR(__xludf.DUMMYFUNCTION("GOOGLETRANSLATE(English!A4038, ""en"", ""bg"")"),"conv_05551")</f>
        <v>conv_05551</v>
      </c>
      <c r="B4038" s="1" t="str">
        <f ca="1">IFERROR(__xludf.DUMMYFUNCTION("GOOGLETRANSLATE(English!B4038, ""en"", ""bg"")"),"физика")</f>
        <v>физика</v>
      </c>
      <c r="C4038" s="1" t="str">
        <f ca="1">IFERROR(__xludf.DUMMYFUNCTION("GOOGLETRANSLATE(English!C4038, ""en"", ""bg"")"),"високо")</f>
        <v>високо</v>
      </c>
      <c r="D4038" s="1" t="str">
        <f ca="1">IFERROR(__xludf.DUMMYFUNCTION("GOOGLETRANSLATE(English!D4038, ""en"", ""bg"")"),"механика")</f>
        <v>механика</v>
      </c>
      <c r="E4038" s="1" t="str">
        <f ca="1">IFERROR(__xludf.DUMMYFUNCTION("GOOGLETRANSLATE(English!E4038, ""en"", ""bg"")"),"Здравей, преподавателю! Как механиката работи във физиката?")</f>
        <v>Здравей, преподавателю! Как механиката работи във физиката?</v>
      </c>
      <c r="F4038" s="1" t="str">
        <f ca="1">IFERROR(__xludf.DUMMYFUNCTION("GOOGLETRANSLATE(English!F4038,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4038" s="1" t="str">
        <f ca="1">IFERROR(__xludf.DUMMYFUNCTION("GOOGLETRANSLATE(English!G4038, ""en"", ""bg"")"),"разговор")</f>
        <v>разговор</v>
      </c>
      <c r="H4038" s="1" t="str">
        <f ca="1">IFERROR(__xludf.DUMMYFUNCTION("GOOGLETRANSLATE(English!H4038, ""en"", ""bg"")"),"образователна_помощ")</f>
        <v>образователна_помощ</v>
      </c>
    </row>
    <row r="4039" spans="1:8" ht="13.2" x14ac:dyDescent="0.25">
      <c r="A4039" s="1" t="str">
        <f ca="1">IFERROR(__xludf.DUMMYFUNCTION("GOOGLETRANSLATE(English!A4039, ""en"", ""bg"")"),"qa_11672")</f>
        <v>qa_11672</v>
      </c>
      <c r="B4039" s="1" t="str">
        <f ca="1">IFERROR(__xludf.DUMMYFUNCTION("GOOGLETRANSLATE(English!B4039, ""en"", ""bg"")"),"химия")</f>
        <v>химия</v>
      </c>
      <c r="C4039" s="1" t="str">
        <f ca="1">IFERROR(__xludf.DUMMYFUNCTION("GOOGLETRANSLATE(English!C4039, ""en"", ""bg"")"),"високо")</f>
        <v>високо</v>
      </c>
      <c r="D4039" s="1" t="str">
        <f ca="1">IFERROR(__xludf.DUMMYFUNCTION("GOOGLETRANSLATE(English!D4039, ""en"", ""bg"")"),"скорости на реакция")</f>
        <v>скорости на реакция</v>
      </c>
      <c r="E4039" s="1" t="str">
        <f ca="1">IFERROR(__xludf.DUMMYFUNCTION("GOOGLETRANSLATE(English!E4039, ""en"", ""bg"")"),"Как работят скоростите на реакциите в химията?")</f>
        <v>Как работят скоростите на реакциите в химията?</v>
      </c>
      <c r="F4039" s="1" t="str">
        <f ca="1">IFERROR(__xludf.DUMMYFUNCTION("GOOGLETRANSLATE(English!F4039,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4039" s="1" t="str">
        <f ca="1">IFERROR(__xludf.DUMMYFUNCTION("GOOGLETRANSLATE(English!G4039, ""en"", ""bg"")"),"direct_qa")</f>
        <v>direct_qa</v>
      </c>
      <c r="H4039" s="1" t="str">
        <f ca="1">IFERROR(__xludf.DUMMYFUNCTION("GOOGLETRANSLATE(English!H4039, ""en"", ""bg"")"),"заявка_за_знание")</f>
        <v>заявка_за_знание</v>
      </c>
    </row>
    <row r="4040" spans="1:8" ht="13.2" x14ac:dyDescent="0.25">
      <c r="A4040" s="1" t="str">
        <f ca="1">IFERROR(__xludf.DUMMYFUNCTION("GOOGLETRANSLATE(English!A4040, ""en"", ""bg"")"),"qa_00596")</f>
        <v>qa_00596</v>
      </c>
      <c r="B4040" s="1" t="str">
        <f ca="1">IFERROR(__xludf.DUMMYFUNCTION("GOOGLETRANSLATE(English!B4040, ""en"", ""bg"")"),"химия")</f>
        <v>химия</v>
      </c>
      <c r="C4040" s="1" t="str">
        <f ca="1">IFERROR(__xludf.DUMMYFUNCTION("GOOGLETRANSLATE(English!C4040, ""en"", ""bg"")"),"високо")</f>
        <v>високо</v>
      </c>
      <c r="D4040" s="1" t="str">
        <f ca="1">IFERROR(__xludf.DUMMYFUNCTION("GOOGLETRANSLATE(English!D4040, ""en"", ""bg"")"),"електрохимия")</f>
        <v>електрохимия</v>
      </c>
      <c r="E4040" s="1" t="str">
        <f ca="1">IFERROR(__xludf.DUMMYFUNCTION("GOOGLETRANSLATE(English!E4040, ""en"", ""bg"")"),"Защо е важно да се учи електрохимия?")</f>
        <v>Защо е важно да се учи електрохимия?</v>
      </c>
      <c r="F4040" s="1" t="str">
        <f ca="1">IFERROR(__xludf.DUMMYFUNCTION("GOOGLETRANSLATE(English!F4040,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4040" s="1" t="str">
        <f ca="1">IFERROR(__xludf.DUMMYFUNCTION("GOOGLETRANSLATE(English!G4040, ""en"", ""bg"")"),"direct_qa")</f>
        <v>direct_qa</v>
      </c>
      <c r="H4040" s="1" t="str">
        <f ca="1">IFERROR(__xludf.DUMMYFUNCTION("GOOGLETRANSLATE(English!H4040, ""en"", ""bg"")"),"заявка_за_знание")</f>
        <v>заявка_за_знание</v>
      </c>
    </row>
    <row r="4041" spans="1:8" ht="13.2" x14ac:dyDescent="0.25">
      <c r="A4041" s="1" t="str">
        <f ca="1">IFERROR(__xludf.DUMMYFUNCTION("GOOGLETRANSLATE(English!A4041, ""en"", ""bg"")"),"conv_11221")</f>
        <v>conv_11221</v>
      </c>
      <c r="B4041" s="1" t="str">
        <f ca="1">IFERROR(__xludf.DUMMYFUNCTION("GOOGLETRANSLATE(English!B4041, ""en"", ""bg"")"),"химия")</f>
        <v>химия</v>
      </c>
      <c r="C4041" s="1" t="str">
        <f ca="1">IFERROR(__xludf.DUMMYFUNCTION("GOOGLETRANSLATE(English!C4041, ""en"", ""bg"")"),"средата")</f>
        <v>средата</v>
      </c>
      <c r="D4041" s="1" t="str">
        <f ca="1">IFERROR(__xludf.DUMMYFUNCTION("GOOGLETRANSLATE(English!D4041, ""en"", ""bg"")"),"атоми и молекули")</f>
        <v>атоми и молекули</v>
      </c>
      <c r="E4041" s="1" t="str">
        <f ca="1">IFERROR(__xludf.DUMMYFUNCTION("GOOGLETRANSLATE(English!E4041, ""en"", ""bg"")"),"Здравей, преподавателю! Защо атомите се свързват?")</f>
        <v>Здравей, преподавателю! Защо атомите се свързват?</v>
      </c>
      <c r="F4041" s="1" t="str">
        <f ca="1">IFERROR(__xludf.DUMMYFUNCTION("GOOGLETRANSLATE(English!F4041,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041" s="1" t="str">
        <f ca="1">IFERROR(__xludf.DUMMYFUNCTION("GOOGLETRANSLATE(English!G4041, ""en"", ""bg"")"),"разговор")</f>
        <v>разговор</v>
      </c>
      <c r="H4041" s="1" t="str">
        <f ca="1">IFERROR(__xludf.DUMMYFUNCTION("GOOGLETRANSLATE(English!H4041, ""en"", ""bg"")"),"образователна_помощ")</f>
        <v>образователна_помощ</v>
      </c>
    </row>
    <row r="4042" spans="1:8" ht="13.2" x14ac:dyDescent="0.25">
      <c r="A4042" s="1" t="str">
        <f ca="1">IFERROR(__xludf.DUMMYFUNCTION("GOOGLETRANSLATE(English!A4042, ""en"", ""bg"")"),"qa_00986")</f>
        <v>qa_00986</v>
      </c>
      <c r="B4042" s="1" t="str">
        <f ca="1">IFERROR(__xludf.DUMMYFUNCTION("GOOGLETRANSLATE(English!B4042, ""en"", ""bg"")"),"химия")</f>
        <v>химия</v>
      </c>
      <c r="C4042" s="1" t="str">
        <f ca="1">IFERROR(__xludf.DUMMYFUNCTION("GOOGLETRANSLATE(English!C4042, ""en"", ""bg"")"),"средата")</f>
        <v>средата</v>
      </c>
      <c r="D4042" s="1" t="str">
        <f ca="1">IFERROR(__xludf.DUMMYFUNCTION("GOOGLETRANSLATE(English!D4042, ""en"", ""bg"")"),"химични реакции")</f>
        <v>химични реакции</v>
      </c>
      <c r="E4042" s="1" t="str">
        <f ca="1">IFERROR(__xludf.DUMMYFUNCTION("GOOGLETRANSLATE(English!E4042, ""en"", ""bg"")"),"Как да разберете дали е възникнала химическа реакция?")</f>
        <v>Как да разберете дали е възникнала химическа реакция?</v>
      </c>
      <c r="F4042" s="1" t="str">
        <f ca="1">IFERROR(__xludf.DUMMYFUNCTION("GOOGLETRANSLATE(English!F4042,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4042" s="1" t="str">
        <f ca="1">IFERROR(__xludf.DUMMYFUNCTION("GOOGLETRANSLATE(English!G4042, ""en"", ""bg"")"),"direct_qa")</f>
        <v>direct_qa</v>
      </c>
      <c r="H4042" s="1" t="str">
        <f ca="1">IFERROR(__xludf.DUMMYFUNCTION("GOOGLETRANSLATE(English!H4042, ""en"", ""bg"")"),"заявка_за_знание")</f>
        <v>заявка_за_знание</v>
      </c>
    </row>
    <row r="4043" spans="1:8" ht="13.2" x14ac:dyDescent="0.25">
      <c r="A4043" s="1" t="str">
        <f ca="1">IFERROR(__xludf.DUMMYFUNCTION("GOOGLETRANSLATE(English!A4043, ""en"", ""bg"")"),"conv_10154")</f>
        <v>conv_10154</v>
      </c>
      <c r="B4043" s="1" t="str">
        <f ca="1">IFERROR(__xludf.DUMMYFUNCTION("GOOGLETRANSLATE(English!B4043, ""en"", ""bg"")"),"физика")</f>
        <v>физика</v>
      </c>
      <c r="C4043" s="1" t="str">
        <f ca="1">IFERROR(__xludf.DUMMYFUNCTION("GOOGLETRANSLATE(English!C4043, ""en"", ""bg"")"),"средата")</f>
        <v>средата</v>
      </c>
      <c r="D4043" s="1" t="str">
        <f ca="1">IFERROR(__xludf.DUMMYFUNCTION("GOOGLETRANSLATE(English!D4043, ""en"", ""bg"")"),"плътност")</f>
        <v>плътност</v>
      </c>
      <c r="E4043" s="1" t="str">
        <f ca="1">IFERROR(__xludf.DUMMYFUNCTION("GOOGLETRANSLATE(English!E4043, ""en"", ""bg"")"),"Здравей, преподавателю! Какво трябва да знам за плътността?")</f>
        <v>Здравей, преподавателю! Какво трябва да знам за плътността?</v>
      </c>
      <c r="F4043" s="1" t="str">
        <f ca="1">IFERROR(__xludf.DUMMYFUNCTION("GOOGLETRANSLATE(English!F4043,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4043" s="1" t="str">
        <f ca="1">IFERROR(__xludf.DUMMYFUNCTION("GOOGLETRANSLATE(English!G4043, ""en"", ""bg"")"),"разговор")</f>
        <v>разговор</v>
      </c>
      <c r="H4043" s="1" t="str">
        <f ca="1">IFERROR(__xludf.DUMMYFUNCTION("GOOGLETRANSLATE(English!H4043, ""en"", ""bg"")"),"образователна_помощ")</f>
        <v>образователна_помощ</v>
      </c>
    </row>
    <row r="4044" spans="1:8" ht="13.2" x14ac:dyDescent="0.25">
      <c r="A4044" s="1" t="str">
        <f ca="1">IFERROR(__xludf.DUMMYFUNCTION("GOOGLETRANSLATE(English!A4044, ""en"", ""bg"")"),"conv_17980")</f>
        <v>conv_17980</v>
      </c>
      <c r="B4044" s="1" t="str">
        <f ca="1">IFERROR(__xludf.DUMMYFUNCTION("GOOGLETRANSLATE(English!B4044, ""en"", ""bg"")"),"биология")</f>
        <v>биология</v>
      </c>
      <c r="C4044" s="1" t="str">
        <f ca="1">IFERROR(__xludf.DUMMYFUNCTION("GOOGLETRANSLATE(English!C4044, ""en"", ""bg"")"),"средата")</f>
        <v>средата</v>
      </c>
      <c r="D4044" s="1" t="str">
        <f ca="1">IFERROR(__xludf.DUMMYFUNCTION("GOOGLETRANSLATE(English!D4044, ""en"", ""bg"")"),"екосистеми")</f>
        <v>екосистеми</v>
      </c>
      <c r="E4044" s="1" t="str">
        <f ca="1">IFERROR(__xludf.DUMMYFUNCTION("GOOGLETRANSLATE(English!E4044, ""en"", ""bg"")"),"Не разбирам тази тема. Какво е важно да знаем за екосистемите?")</f>
        <v>Не разбирам тази тема. Какво е важно да знаем за екосистемите?</v>
      </c>
      <c r="F4044" s="1" t="str">
        <f ca="1">IFERROR(__xludf.DUMMYFUNCTION("GOOGLETRANSLATE(English!F4044,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4044" s="1" t="str">
        <f ca="1">IFERROR(__xludf.DUMMYFUNCTION("GOOGLETRANSLATE(English!G4044, ""en"", ""bg"")"),"разговор")</f>
        <v>разговор</v>
      </c>
      <c r="H4044" s="1" t="str">
        <f ca="1">IFERROR(__xludf.DUMMYFUNCTION("GOOGLETRANSLATE(English!H4044, ""en"", ""bg"")"),"образователна_помощ")</f>
        <v>образователна_помощ</v>
      </c>
    </row>
    <row r="4045" spans="1:8" ht="13.2" x14ac:dyDescent="0.25">
      <c r="A4045" s="1" t="str">
        <f ca="1">IFERROR(__xludf.DUMMYFUNCTION("GOOGLETRANSLATE(English!A4045, ""en"", ""bg"")"),"conv_00736")</f>
        <v>conv_00736</v>
      </c>
      <c r="B4045" s="1" t="str">
        <f ca="1">IFERROR(__xludf.DUMMYFUNCTION("GOOGLETRANSLATE(English!B4045, ""en"", ""bg"")"),"химия")</f>
        <v>химия</v>
      </c>
      <c r="C4045" s="1" t="str">
        <f ca="1">IFERROR(__xludf.DUMMYFUNCTION("GOOGLETRANSLATE(English!C4045, ""en"", ""bg"")"),"средата")</f>
        <v>средата</v>
      </c>
      <c r="D4045" s="1" t="str">
        <f ca="1">IFERROR(__xludf.DUMMYFUNCTION("GOOGLETRANSLATE(English!D4045, ""en"", ""bg"")"),"основи на периодичната таблица")</f>
        <v>основи на периодичната таблица</v>
      </c>
      <c r="E4045" s="1" t="str">
        <f ca="1">IFERROR(__xludf.DUMMYFUNCTION("GOOGLETRANSLATE(English!E4045, ""en"", ""bg"")"),"Можете ли да ми помогнете? Можете ли да ми помогнете да разбера основите на периодичната таблица?")</f>
        <v>Можете ли да ми помогнете? Можете ли да ми помогнете да разбера основите на периодичната таблица?</v>
      </c>
      <c r="F4045" s="1" t="str">
        <f ca="1">IFERROR(__xludf.DUMMYFUNCTION("GOOGLETRANSLATE(English!F4045,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4045" s="1" t="str">
        <f ca="1">IFERROR(__xludf.DUMMYFUNCTION("GOOGLETRANSLATE(English!G4045, ""en"", ""bg"")"),"разговор")</f>
        <v>разговор</v>
      </c>
      <c r="H4045" s="1" t="str">
        <f ca="1">IFERROR(__xludf.DUMMYFUNCTION("GOOGLETRANSLATE(English!H4045, ""en"", ""bg"")"),"образователна_помощ")</f>
        <v>образователна_помощ</v>
      </c>
    </row>
    <row r="4046" spans="1:8" ht="13.2" x14ac:dyDescent="0.25">
      <c r="A4046" s="1" t="str">
        <f ca="1">IFERROR(__xludf.DUMMYFUNCTION("GOOGLETRANSLATE(English!A4046, ""en"", ""bg"")"),"conv_04456")</f>
        <v>conv_04456</v>
      </c>
      <c r="B4046" s="1" t="str">
        <f ca="1">IFERROR(__xludf.DUMMYFUNCTION("GOOGLETRANSLATE(English!B4046, ""en"", ""bg"")"),"биология")</f>
        <v>биология</v>
      </c>
      <c r="C4046" s="1" t="str">
        <f ca="1">IFERROR(__xludf.DUMMYFUNCTION("GOOGLETRANSLATE(English!C4046, ""en"", ""bg"")"),"елементарен")</f>
        <v>елементарен</v>
      </c>
      <c r="D4046" s="1" t="str">
        <f ca="1">IFERROR(__xludf.DUMMYFUNCTION("GOOGLETRANSLATE(English!D4046, ""en"", ""bg"")"),"растения")</f>
        <v>растения</v>
      </c>
      <c r="E4046" s="1" t="str">
        <f ca="1">IFERROR(__xludf.DUMMYFUNCTION("GOOGLETRANSLATE(English!E4046, ""en"", ""bg"")"),"Здравей, учителю! Защо листата обикновено са зелени?")</f>
        <v>Здравей, учителю! Защо листата обикновено са зелени?</v>
      </c>
      <c r="F4046" s="1" t="str">
        <f ca="1">IFERROR(__xludf.DUMMYFUNCTION("GOOGLETRANSLATE(English!F4046, ""en"", ""bg"")"),"Листата са зелени, защото съдържат хлорофил, специално вещество, което помага на растенията да улавят слънчевата светлина.")</f>
        <v>Листата са зелени, защото съдържат хлорофил, специално вещество, което помага на растенията да улавят слънчевата светлина.</v>
      </c>
      <c r="G4046" s="1" t="str">
        <f ca="1">IFERROR(__xludf.DUMMYFUNCTION("GOOGLETRANSLATE(English!G4046, ""en"", ""bg"")"),"разговор")</f>
        <v>разговор</v>
      </c>
      <c r="H4046" s="1" t="str">
        <f ca="1">IFERROR(__xludf.DUMMYFUNCTION("GOOGLETRANSLATE(English!H4046, ""en"", ""bg"")"),"образователна_помощ")</f>
        <v>образователна_помощ</v>
      </c>
    </row>
    <row r="4047" spans="1:8" ht="13.2" x14ac:dyDescent="0.25">
      <c r="A4047" s="1" t="str">
        <f ca="1">IFERROR(__xludf.DUMMYFUNCTION("GOOGLETRANSLATE(English!A4047, ""en"", ""bg"")"),"qa_13603")</f>
        <v>qa_13603</v>
      </c>
      <c r="B4047" s="1" t="str">
        <f ca="1">IFERROR(__xludf.DUMMYFUNCTION("GOOGLETRANSLATE(English!B4047, ""en"", ""bg"")"),"химия")</f>
        <v>химия</v>
      </c>
      <c r="C4047" s="1" t="str">
        <f ca="1">IFERROR(__xludf.DUMMYFUNCTION("GOOGLETRANSLATE(English!C4047, ""en"", ""bg"")"),"средата")</f>
        <v>средата</v>
      </c>
      <c r="D4047" s="1" t="str">
        <f ca="1">IFERROR(__xludf.DUMMYFUNCTION("GOOGLETRANSLATE(English!D4047, ""en"", ""bg"")"),"основи на периодичната таблица")</f>
        <v>основи на периодичната таблица</v>
      </c>
      <c r="E4047" s="1" t="str">
        <f ca="1">IFERROR(__xludf.DUMMYFUNCTION("GOOGLETRANSLATE(English!E4047, ""en"", ""bg"")"),"Какво представляват основите на периодичната таблица?")</f>
        <v>Какво представляват основите на периодичната таблица?</v>
      </c>
      <c r="F4047" s="1" t="str">
        <f ca="1">IFERROR(__xludf.DUMMYFUNCTION("GOOGLETRANSLATE(English!F4047,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4047" s="1" t="str">
        <f ca="1">IFERROR(__xludf.DUMMYFUNCTION("GOOGLETRANSLATE(English!G4047, ""en"", ""bg"")"),"direct_qa")</f>
        <v>direct_qa</v>
      </c>
      <c r="H4047" s="1" t="str">
        <f ca="1">IFERROR(__xludf.DUMMYFUNCTION("GOOGLETRANSLATE(English!H4047, ""en"", ""bg"")"),"заявка_за_знание")</f>
        <v>заявка_за_знание</v>
      </c>
    </row>
    <row r="4048" spans="1:8" ht="13.2" x14ac:dyDescent="0.25">
      <c r="A4048" s="1" t="str">
        <f ca="1">IFERROR(__xludf.DUMMYFUNCTION("GOOGLETRANSLATE(English!A4048, ""en"", ""bg"")"),"conv_16682")</f>
        <v>conv_16682</v>
      </c>
      <c r="B4048" s="1" t="str">
        <f ca="1">IFERROR(__xludf.DUMMYFUNCTION("GOOGLETRANSLATE(English!B4048, ""en"", ""bg"")"),"химия")</f>
        <v>химия</v>
      </c>
      <c r="C4048" s="1" t="str">
        <f ca="1">IFERROR(__xludf.DUMMYFUNCTION("GOOGLETRANSLATE(English!C4048, ""en"", ""bg"")"),"високо")</f>
        <v>високо</v>
      </c>
      <c r="D4048" s="1" t="str">
        <f ca="1">IFERROR(__xludf.DUMMYFUNCTION("GOOGLETRANSLATE(English!D4048, ""en"", ""bg"")"),"химическо свързване")</f>
        <v>химическо свързване</v>
      </c>
      <c r="E4048" s="1" t="str">
        <f ca="1">IFERROR(__xludf.DUMMYFUNCTION("GOOGLETRANSLATE(English!E4048, ""en"", ""bg"")"),"Можете ли да ми помогнете? Как работи химическата връзка в химията?")</f>
        <v>Можете ли да ми помогнете? Как работи химическата връзка в химията?</v>
      </c>
      <c r="F4048" s="1" t="str">
        <f ca="1">IFERROR(__xludf.DUMMYFUNCTION("GOOGLETRANSLATE(English!F4048,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4048" s="1" t="str">
        <f ca="1">IFERROR(__xludf.DUMMYFUNCTION("GOOGLETRANSLATE(English!G4048, ""en"", ""bg"")"),"разговор")</f>
        <v>разговор</v>
      </c>
      <c r="H4048" s="1" t="str">
        <f ca="1">IFERROR(__xludf.DUMMYFUNCTION("GOOGLETRANSLATE(English!H4048, ""en"", ""bg"")"),"образователна_помощ")</f>
        <v>образователна_помощ</v>
      </c>
    </row>
    <row r="4049" spans="1:8" ht="13.2" x14ac:dyDescent="0.25">
      <c r="A4049" s="1" t="str">
        <f ca="1">IFERROR(__xludf.DUMMYFUNCTION("GOOGLETRANSLATE(English!A4049, ""en"", ""bg"")"),"qa_08426")</f>
        <v>qa_08426</v>
      </c>
      <c r="B4049" s="1" t="str">
        <f ca="1">IFERROR(__xludf.DUMMYFUNCTION("GOOGLETRANSLATE(English!B4049, ""en"", ""bg"")"),"химия")</f>
        <v>химия</v>
      </c>
      <c r="C4049" s="1" t="str">
        <f ca="1">IFERROR(__xludf.DUMMYFUNCTION("GOOGLETRANSLATE(English!C4049, ""en"", ""bg"")"),"елементарен")</f>
        <v>елементарен</v>
      </c>
      <c r="D4049" s="1" t="str">
        <f ca="1">IFERROR(__xludf.DUMMYFUNCTION("GOOGLETRANSLATE(English!D4049, ""en"", ""bg"")"),"промени в материалите")</f>
        <v>промени в материалите</v>
      </c>
      <c r="E4049" s="1" t="str">
        <f ca="1">IFERROR(__xludf.DUMMYFUNCTION("GOOGLETRANSLATE(English!E4049, ""en"", ""bg"")"),"Как протичат промените в материалите в химията?")</f>
        <v>Как протичат промените в материалите в химията?</v>
      </c>
      <c r="F4049" s="1" t="str">
        <f ca="1">IFERROR(__xludf.DUMMYFUNCTION("GOOGLETRANSLATE(English!F4049,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4049" s="1" t="str">
        <f ca="1">IFERROR(__xludf.DUMMYFUNCTION("GOOGLETRANSLATE(English!G4049, ""en"", ""bg"")"),"direct_qa")</f>
        <v>direct_qa</v>
      </c>
      <c r="H4049" s="1" t="str">
        <f ca="1">IFERROR(__xludf.DUMMYFUNCTION("GOOGLETRANSLATE(English!H4049, ""en"", ""bg"")"),"заявка_за_знание")</f>
        <v>заявка_за_знание</v>
      </c>
    </row>
    <row r="4050" spans="1:8" ht="13.2" x14ac:dyDescent="0.25">
      <c r="A4050" s="1" t="str">
        <f ca="1">IFERROR(__xludf.DUMMYFUNCTION("GOOGLETRANSLATE(English!A4050, ""en"", ""bg"")"),"hw_07676")</f>
        <v>hw_07676</v>
      </c>
      <c r="B4050" s="1" t="str">
        <f ca="1">IFERROR(__xludf.DUMMYFUNCTION("GOOGLETRANSLATE(English!B4050, ""en"", ""bg"")"),"химия")</f>
        <v>химия</v>
      </c>
      <c r="C4050" s="1" t="str">
        <f ca="1">IFERROR(__xludf.DUMMYFUNCTION("GOOGLETRANSLATE(English!C4050, ""en"", ""bg"")"),"средата")</f>
        <v>средата</v>
      </c>
      <c r="D4050" s="1" t="str">
        <f ca="1">IFERROR(__xludf.DUMMYFUNCTION("GOOGLETRANSLATE(English!D4050, ""en"", ""bg"")"),"атоми и молекули")</f>
        <v>атоми и молекули</v>
      </c>
      <c r="E4050" s="1" t="str">
        <f ca="1">IFERROR(__xludf.DUMMYFUNCTION("GOOGLETRANSLATE(English!E4050,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4050" s="1" t="str">
        <f ca="1">IFERROR(__xludf.DUMMYFUNCTION("GOOGLETRANSLATE(English!F4050,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050" s="1" t="str">
        <f ca="1">IFERROR(__xludf.DUMMYFUNCTION("GOOGLETRANSLATE(English!G4050, ""en"", ""bg"")"),"помощ_за_домашно_изпълнение")</f>
        <v>помощ_за_домашно_изпълнение</v>
      </c>
      <c r="H4050" s="1" t="str">
        <f ca="1">IFERROR(__xludf.DUMMYFUNCTION("GOOGLETRANSLATE(English!H4050, ""en"", ""bg"")"),"помощ_за_домашно_задаване")</f>
        <v>помощ_за_домашно_задаване</v>
      </c>
    </row>
    <row r="4051" spans="1:8" ht="13.2" x14ac:dyDescent="0.25">
      <c r="A4051" s="1" t="str">
        <f ca="1">IFERROR(__xludf.DUMMYFUNCTION("GOOGLETRANSLATE(English!A4051, ""en"", ""bg"")"),"conv_04142")</f>
        <v>conv_04142</v>
      </c>
      <c r="B4051" s="1" t="str">
        <f ca="1">IFERROR(__xludf.DUMMYFUNCTION("GOOGLETRANSLATE(English!B4051, ""en"", ""bg"")"),"биология")</f>
        <v>биология</v>
      </c>
      <c r="C4051" s="1" t="str">
        <f ca="1">IFERROR(__xludf.DUMMYFUNCTION("GOOGLETRANSLATE(English!C4051, ""en"", ""bg"")"),"високо")</f>
        <v>високо</v>
      </c>
      <c r="D4051" s="1" t="str">
        <f ca="1">IFERROR(__xludf.DUMMYFUNCTION("GOOGLETRANSLATE(English!D4051, ""en"", ""bg"")"),"синтез на протеини")</f>
        <v>синтез на протеини</v>
      </c>
      <c r="E4051" s="1" t="str">
        <f ca="1">IFERROR(__xludf.DUMMYFUNCTION("GOOGLETRANSLATE(English!E4051, ""en"", ""bg"")"),"Имам научен въпрос. Можете ли да ми разкажете за синтеза на протеини?")</f>
        <v>Имам научен въпрос. Можете ли да ми разкажете за синтеза на протеини?</v>
      </c>
      <c r="F4051" s="1" t="str">
        <f ca="1">IFERROR(__xludf.DUMMYFUNCTION("GOOGLETRANSLATE(English!F4051, ""en"", ""bg"")"),"Синтезът на протеини е завладяваща част от биологията! Той ни помага да разберем как функционират живите организми.")</f>
        <v>Синтезът на протеини е завладяваща част от биологията! Той ни помага да разберем как функционират живите организми.</v>
      </c>
      <c r="G4051" s="1" t="str">
        <f ca="1">IFERROR(__xludf.DUMMYFUNCTION("GOOGLETRANSLATE(English!G4051, ""en"", ""bg"")"),"разговор")</f>
        <v>разговор</v>
      </c>
      <c r="H4051" s="1" t="str">
        <f ca="1">IFERROR(__xludf.DUMMYFUNCTION("GOOGLETRANSLATE(English!H4051, ""en"", ""bg"")"),"образователна_помощ")</f>
        <v>образователна_помощ</v>
      </c>
    </row>
    <row r="4052" spans="1:8" ht="13.2" x14ac:dyDescent="0.25">
      <c r="A4052" s="1" t="str">
        <f ca="1">IFERROR(__xludf.DUMMYFUNCTION("GOOGLETRANSLATE(English!A4052, ""en"", ""bg"")"),"hw_11370")</f>
        <v>hw_11370</v>
      </c>
      <c r="B4052" s="1" t="str">
        <f ca="1">IFERROR(__xludf.DUMMYFUNCTION("GOOGLETRANSLATE(English!B4052, ""en"", ""bg"")"),"физика")</f>
        <v>физика</v>
      </c>
      <c r="C4052" s="1" t="str">
        <f ca="1">IFERROR(__xludf.DUMMYFUNCTION("GOOGLETRANSLATE(English!C4052, ""en"", ""bg"")"),"средата")</f>
        <v>средата</v>
      </c>
      <c r="D4052" s="1" t="str">
        <f ca="1">IFERROR(__xludf.DUMMYFUNCTION("GOOGLETRANSLATE(English!D4052, ""en"", ""bg"")"),"прости схеми")</f>
        <v>прости схеми</v>
      </c>
      <c r="E4052" s="1" t="str">
        <f ca="1">IFERROR(__xludf.DUMMYFUNCTION("GOOGLETRANSLATE(English!E4052, ""en"", ""bg"")"),"Домашното ми по физика е за прости електрически вериги. Объркващо е!")</f>
        <v>Домашното ми по физика е за прости електрически вериги. Объркващо е!</v>
      </c>
      <c r="F4052" s="1" t="str">
        <f ca="1">IFERROR(__xludf.DUMMYFUNCTION("GOOGLETRANSLATE(English!F4052,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4052" s="1" t="str">
        <f ca="1">IFERROR(__xludf.DUMMYFUNCTION("GOOGLETRANSLATE(English!G4052, ""en"", ""bg"")"),"помощ_за_домашно_изпълнение")</f>
        <v>помощ_за_домашно_изпълнение</v>
      </c>
      <c r="H4052" s="1" t="str">
        <f ca="1">IFERROR(__xludf.DUMMYFUNCTION("GOOGLETRANSLATE(English!H4052, ""en"", ""bg"")"),"помощ_за_домашно_задаване")</f>
        <v>помощ_за_домашно_задаване</v>
      </c>
    </row>
    <row r="4053" spans="1:8" ht="13.2" x14ac:dyDescent="0.25">
      <c r="A4053" s="1" t="str">
        <f ca="1">IFERROR(__xludf.DUMMYFUNCTION("GOOGLETRANSLATE(English!A4053, ""en"", ""bg"")"),"hw_01580")</f>
        <v>hw_01580</v>
      </c>
      <c r="B4053" s="1" t="str">
        <f ca="1">IFERROR(__xludf.DUMMYFUNCTION("GOOGLETRANSLATE(English!B4053, ""en"", ""bg"")"),"физика")</f>
        <v>физика</v>
      </c>
      <c r="C4053" s="1" t="str">
        <f ca="1">IFERROR(__xludf.DUMMYFUNCTION("GOOGLETRANSLATE(English!C4053, ""en"", ""bg"")"),"средата")</f>
        <v>средата</v>
      </c>
      <c r="D4053" s="1" t="str">
        <f ca="1">IFERROR(__xludf.DUMMYFUNCTION("GOOGLETRANSLATE(English!D4053, ""en"", ""bg"")"),"прости схеми")</f>
        <v>прости схеми</v>
      </c>
      <c r="E4053" s="1" t="str">
        <f ca="1">IFERROR(__xludf.DUMMYFUNCTION("GOOGLETRANSLATE(English!E4053, ""en"", ""bg"")"),"Заседнал съм с този прост проблем с електрическите схеми. Можете ли да помогнете?")</f>
        <v>Заседнал съм с този прост проблем с електрическите схеми. Можете ли да помогнете?</v>
      </c>
      <c r="F4053" s="1" t="str">
        <f ca="1">IFERROR(__xludf.DUMMYFUNCTION("GOOGLETRANSLATE(English!F4053,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4053" s="1" t="str">
        <f ca="1">IFERROR(__xludf.DUMMYFUNCTION("GOOGLETRANSLATE(English!G4053, ""en"", ""bg"")"),"помощ_за_домашно_изпълнение")</f>
        <v>помощ_за_домашно_изпълнение</v>
      </c>
      <c r="H4053" s="1" t="str">
        <f ca="1">IFERROR(__xludf.DUMMYFUNCTION("GOOGLETRANSLATE(English!H4053, ""en"", ""bg"")"),"помощ_за_домашно_задаване")</f>
        <v>помощ_за_домашно_задаване</v>
      </c>
    </row>
    <row r="4054" spans="1:8" ht="13.2" x14ac:dyDescent="0.25">
      <c r="A4054" s="1" t="str">
        <f ca="1">IFERROR(__xludf.DUMMYFUNCTION("GOOGLETRANSLATE(English!A4054, ""en"", ""bg"")"),"hw_04992")</f>
        <v>hw_04992</v>
      </c>
      <c r="B4054" s="1" t="str">
        <f ca="1">IFERROR(__xludf.DUMMYFUNCTION("GOOGLETRANSLATE(English!B4054, ""en"", ""bg"")"),"биология")</f>
        <v>биология</v>
      </c>
      <c r="C4054" s="1" t="str">
        <f ca="1">IFERROR(__xludf.DUMMYFUNCTION("GOOGLETRANSLATE(English!C4054, ""en"", ""bg"")"),"елементарен")</f>
        <v>елементарен</v>
      </c>
      <c r="D4054" s="1" t="str">
        <f ca="1">IFERROR(__xludf.DUMMYFUNCTION("GOOGLETRANSLATE(English!D4054, ""en"", ""bg"")"),"домашни любимци срещу диви животни")</f>
        <v>домашни любимци срещу диви животни</v>
      </c>
      <c r="E4054" s="1" t="str">
        <f ca="1">IFERROR(__xludf.DUMMYFUNCTION("GOOGLETRANSLATE(English!E4054, ""en"", ""bg"")"),"Утре имам тест за домашни любимци срещу диви животни. Помогни ми да уча!")</f>
        <v>Утре имам тест за домашни любимци срещу диви животни. Помогни ми да уча!</v>
      </c>
      <c r="F4054" s="1" t="str">
        <f ca="1">IFERROR(__xludf.DUMMYFUNCTION("GOOGLETRANSLATE(English!F4054,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4054" s="1" t="str">
        <f ca="1">IFERROR(__xludf.DUMMYFUNCTION("GOOGLETRANSLATE(English!G4054, ""en"", ""bg"")"),"помощ_за_домашно_изпълнение")</f>
        <v>помощ_за_домашно_изпълнение</v>
      </c>
      <c r="H4054" s="1" t="str">
        <f ca="1">IFERROR(__xludf.DUMMYFUNCTION("GOOGLETRANSLATE(English!H4054, ""en"", ""bg"")"),"помощ_за_домашно_задаване")</f>
        <v>помощ_за_домашно_задаване</v>
      </c>
    </row>
    <row r="4055" spans="1:8" ht="13.2" x14ac:dyDescent="0.25">
      <c r="A4055" s="1" t="str">
        <f ca="1">IFERROR(__xludf.DUMMYFUNCTION("GOOGLETRANSLATE(English!A4055, ""en"", ""bg"")"),"conv_15135")</f>
        <v>conv_15135</v>
      </c>
      <c r="B4055" s="1" t="str">
        <f ca="1">IFERROR(__xludf.DUMMYFUNCTION("GOOGLETRANSLATE(English!B4055, ""en"", ""bg"")"),"химия")</f>
        <v>химия</v>
      </c>
      <c r="C4055" s="1" t="str">
        <f ca="1">IFERROR(__xludf.DUMMYFUNCTION("GOOGLETRANSLATE(English!C4055, ""en"", ""bg"")"),"средата")</f>
        <v>средата</v>
      </c>
      <c r="D4055" s="1" t="str">
        <f ca="1">IFERROR(__xludf.DUMMYFUNCTION("GOOGLETRANSLATE(English!D4055, ""en"", ""bg"")"),"химични промени")</f>
        <v>химични промени</v>
      </c>
      <c r="E4055" s="1" t="str">
        <f ca="1">IFERROR(__xludf.DUMMYFUNCTION("GOOGLETRANSLATE(English!E4055, ""en"", ""bg"")"),"Можете ли да ми помогнете? Как протичат химичните промени в химията?")</f>
        <v>Можете ли да ми помогнете? Как протичат химичните промени в химията?</v>
      </c>
      <c r="F4055" s="1" t="str">
        <f ca="1">IFERROR(__xludf.DUMMYFUNCTION("GOOGLETRANSLATE(English!F4055,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4055" s="1" t="str">
        <f ca="1">IFERROR(__xludf.DUMMYFUNCTION("GOOGLETRANSLATE(English!G4055, ""en"", ""bg"")"),"разговор")</f>
        <v>разговор</v>
      </c>
      <c r="H4055" s="1" t="str">
        <f ca="1">IFERROR(__xludf.DUMMYFUNCTION("GOOGLETRANSLATE(English!H4055, ""en"", ""bg"")"),"образователна_помощ")</f>
        <v>образователна_помощ</v>
      </c>
    </row>
    <row r="4056" spans="1:8" ht="13.2" x14ac:dyDescent="0.25">
      <c r="A4056" s="1" t="str">
        <f ca="1">IFERROR(__xludf.DUMMYFUNCTION("GOOGLETRANSLATE(English!A4056, ""en"", ""bg"")"),"conv_13955")</f>
        <v>conv_13955</v>
      </c>
      <c r="B4056" s="1" t="str">
        <f ca="1">IFERROR(__xludf.DUMMYFUNCTION("GOOGLETRANSLATE(English!B4056, ""en"", ""bg"")"),"химия")</f>
        <v>химия</v>
      </c>
      <c r="C4056" s="1" t="str">
        <f ca="1">IFERROR(__xludf.DUMMYFUNCTION("GOOGLETRANSLATE(English!C4056, ""en"", ""bg"")"),"високо")</f>
        <v>високо</v>
      </c>
      <c r="D4056" s="1" t="str">
        <f ca="1">IFERROR(__xludf.DUMMYFUNCTION("GOOGLETRANSLATE(English!D4056, ""en"", ""bg"")"),"електрохимия")</f>
        <v>електрохимия</v>
      </c>
      <c r="E4056" s="1" t="str">
        <f ca="1">IFERROR(__xludf.DUMMYFUNCTION("GOOGLETRANSLATE(English!E4056, ""en"", ""bg"")"),"Можете ли да ми обясните това? Какво представлява електрохимията?")</f>
        <v>Можете ли да ми обясните това? Какво представлява електрохимията?</v>
      </c>
      <c r="F4056" s="1" t="str">
        <f ca="1">IFERROR(__xludf.DUMMYFUNCTION("GOOGLETRANSLATE(English!F4056,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4056" s="1" t="str">
        <f ca="1">IFERROR(__xludf.DUMMYFUNCTION("GOOGLETRANSLATE(English!G4056, ""en"", ""bg"")"),"разговор")</f>
        <v>разговор</v>
      </c>
      <c r="H4056" s="1" t="str">
        <f ca="1">IFERROR(__xludf.DUMMYFUNCTION("GOOGLETRANSLATE(English!H4056, ""en"", ""bg"")"),"образователна_помощ")</f>
        <v>образователна_помощ</v>
      </c>
    </row>
    <row r="4057" spans="1:8" ht="13.2" x14ac:dyDescent="0.25">
      <c r="A4057" s="1" t="str">
        <f ca="1">IFERROR(__xludf.DUMMYFUNCTION("GOOGLETRANSLATE(English!A4057, ""en"", ""bg"")"),"conv_18090")</f>
        <v>conv_18090</v>
      </c>
      <c r="B4057" s="1" t="str">
        <f ca="1">IFERROR(__xludf.DUMMYFUNCTION("GOOGLETRANSLATE(English!B4057, ""en"", ""bg"")"),"химия")</f>
        <v>химия</v>
      </c>
      <c r="C4057" s="1" t="str">
        <f ca="1">IFERROR(__xludf.DUMMYFUNCTION("GOOGLETRANSLATE(English!C4057, ""en"", ""bg"")"),"средата")</f>
        <v>средата</v>
      </c>
      <c r="D4057" s="1" t="str">
        <f ca="1">IFERROR(__xludf.DUMMYFUNCTION("GOOGLETRANSLATE(English!D4057, ""en"", ""bg"")"),"атоми и молекули")</f>
        <v>атоми и молекули</v>
      </c>
      <c r="E4057" s="1" t="str">
        <f ca="1">IFERROR(__xludf.DUMMYFUNCTION("GOOGLETRANSLATE(English!E4057, ""en"", ""bg"")"),"Имам научен въпрос. Защо атомите се свързват?")</f>
        <v>Имам научен въпрос. Защо атомите се свързват?</v>
      </c>
      <c r="F4057" s="1" t="str">
        <f ca="1">IFERROR(__xludf.DUMMYFUNCTION("GOOGLETRANSLATE(English!F4057,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057" s="1" t="str">
        <f ca="1">IFERROR(__xludf.DUMMYFUNCTION("GOOGLETRANSLATE(English!G4057, ""en"", ""bg"")"),"разговор")</f>
        <v>разговор</v>
      </c>
      <c r="H4057" s="1" t="str">
        <f ca="1">IFERROR(__xludf.DUMMYFUNCTION("GOOGLETRANSLATE(English!H4057, ""en"", ""bg"")"),"образователна_помощ")</f>
        <v>образователна_помощ</v>
      </c>
    </row>
    <row r="4058" spans="1:8" ht="13.2" x14ac:dyDescent="0.25">
      <c r="A4058" s="1" t="str">
        <f ca="1">IFERROR(__xludf.DUMMYFUNCTION("GOOGLETRANSLATE(English!A4058, ""en"", ""bg"")"),"conv_06049")</f>
        <v>conv_06049</v>
      </c>
      <c r="B4058" s="1" t="str">
        <f ca="1">IFERROR(__xludf.DUMMYFUNCTION("GOOGLETRANSLATE(English!B4058, ""en"", ""bg"")"),"физика")</f>
        <v>физика</v>
      </c>
      <c r="C4058" s="1" t="str">
        <f ca="1">IFERROR(__xludf.DUMMYFUNCTION("GOOGLETRANSLATE(English!C4058, ""en"", ""bg"")"),"елементарен")</f>
        <v>елементарен</v>
      </c>
      <c r="D4058" s="1" t="str">
        <f ca="1">IFERROR(__xludf.DUMMYFUNCTION("GOOGLETRANSLATE(English!D4058, ""en"", ""bg"")"),"светлина и сянка")</f>
        <v>светлина и сянка</v>
      </c>
      <c r="E4058" s="1" t="str">
        <f ca="1">IFERROR(__xludf.DUMMYFUNCTION("GOOGLETRANSLATE(English!E4058, ""en"", ""bg"")"),"Имам нужда от помощ с домашното. Какво е светлина?")</f>
        <v>Имам нужда от помощ с домашното. Какво е светлина?</v>
      </c>
      <c r="F4058" s="1" t="str">
        <f ca="1">IFERROR(__xludf.DUMMYFUNCTION("GOOGLETRANSLATE(English!F4058,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4058" s="1" t="str">
        <f ca="1">IFERROR(__xludf.DUMMYFUNCTION("GOOGLETRANSLATE(English!G4058, ""en"", ""bg"")"),"разговор")</f>
        <v>разговор</v>
      </c>
      <c r="H4058" s="1" t="str">
        <f ca="1">IFERROR(__xludf.DUMMYFUNCTION("GOOGLETRANSLATE(English!H4058, ""en"", ""bg"")"),"образователна_помощ")</f>
        <v>образователна_помощ</v>
      </c>
    </row>
    <row r="4059" spans="1:8" ht="13.2" x14ac:dyDescent="0.25">
      <c r="A4059" s="1" t="str">
        <f ca="1">IFERROR(__xludf.DUMMYFUNCTION("GOOGLETRANSLATE(English!A4059, ""en"", ""bg"")"),"conv_06452")</f>
        <v>conv_06452</v>
      </c>
      <c r="B4059" s="1" t="str">
        <f ca="1">IFERROR(__xludf.DUMMYFUNCTION("GOOGLETRANSLATE(English!B4059, ""en"", ""bg"")"),"физика")</f>
        <v>физика</v>
      </c>
      <c r="C4059" s="1" t="str">
        <f ca="1">IFERROR(__xludf.DUMMYFUNCTION("GOOGLETRANSLATE(English!C4059, ""en"", ""bg"")"),"високо")</f>
        <v>високо</v>
      </c>
      <c r="D4059" s="1" t="str">
        <f ca="1">IFERROR(__xludf.DUMMYFUNCTION("GOOGLETRANSLATE(English!D4059, ""en"", ""bg"")"),"атомна структура")</f>
        <v>атомна структура</v>
      </c>
      <c r="E4059" s="1" t="str">
        <f ca="1">IFERROR(__xludf.DUMMYFUNCTION("GOOGLETRANSLATE(English!E4059, ""en"", ""bg"")"),"Не разбирам тази тема. Можете ли да ми обясните атомната структура?")</f>
        <v>Не разбирам тази тема. Можете ли да ми обясните атомната структура?</v>
      </c>
      <c r="F4059" s="1" t="str">
        <f ca="1">IFERROR(__xludf.DUMMYFUNCTION("GOOGLETRANSLATE(English!F4059,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059" s="1" t="str">
        <f ca="1">IFERROR(__xludf.DUMMYFUNCTION("GOOGLETRANSLATE(English!G4059, ""en"", ""bg"")"),"разговор")</f>
        <v>разговор</v>
      </c>
      <c r="H4059" s="1" t="str">
        <f ca="1">IFERROR(__xludf.DUMMYFUNCTION("GOOGLETRANSLATE(English!H4059, ""en"", ""bg"")"),"образователна_помощ")</f>
        <v>образователна_помощ</v>
      </c>
    </row>
    <row r="4060" spans="1:8" ht="13.2" x14ac:dyDescent="0.25">
      <c r="A4060" s="1" t="str">
        <f ca="1">IFERROR(__xludf.DUMMYFUNCTION("GOOGLETRANSLATE(English!A4060, ""en"", ""bg"")"),"qa_04311")</f>
        <v>qa_04311</v>
      </c>
      <c r="B4060" s="1" t="str">
        <f ca="1">IFERROR(__xludf.DUMMYFUNCTION("GOOGLETRANSLATE(English!B4060, ""en"", ""bg"")"),"физика")</f>
        <v>физика</v>
      </c>
      <c r="C4060" s="1" t="str">
        <f ca="1">IFERROR(__xludf.DUMMYFUNCTION("GOOGLETRANSLATE(English!C4060, ""en"", ""bg"")"),"елементарен")</f>
        <v>елементарен</v>
      </c>
      <c r="D4060" s="1" t="str">
        <f ca="1">IFERROR(__xludf.DUMMYFUNCTION("GOOGLETRANSLATE(English!D4060, ""en"", ""bg"")"),"бутане и дърпане")</f>
        <v>бутане и дърпане</v>
      </c>
      <c r="E4060" s="1" t="str">
        <f ca="1">IFERROR(__xludf.DUMMYFUNCTION("GOOGLETRANSLATE(English!E4060, ""en"", ""bg"")"),"Защо е важно бутането и дърпането?")</f>
        <v>Защо е важно бутането и дърпането?</v>
      </c>
      <c r="F4060" s="1" t="str">
        <f ca="1">IFERROR(__xludf.DUMMYFUNCTION("GOOGLETRANSLATE(English!F4060,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4060" s="1" t="str">
        <f ca="1">IFERROR(__xludf.DUMMYFUNCTION("GOOGLETRANSLATE(English!G4060, ""en"", ""bg"")"),"direct_qa")</f>
        <v>direct_qa</v>
      </c>
      <c r="H4060" s="1" t="str">
        <f ca="1">IFERROR(__xludf.DUMMYFUNCTION("GOOGLETRANSLATE(English!H4060, ""en"", ""bg"")"),"заявка_за_знание")</f>
        <v>заявка_за_знание</v>
      </c>
    </row>
    <row r="4061" spans="1:8" ht="13.2" x14ac:dyDescent="0.25">
      <c r="A4061" s="1" t="str">
        <f ca="1">IFERROR(__xludf.DUMMYFUNCTION("GOOGLETRANSLATE(English!A4061, ""en"", ""bg"")"),"qa_14700")</f>
        <v>qa_14700</v>
      </c>
      <c r="B4061" s="1" t="str">
        <f ca="1">IFERROR(__xludf.DUMMYFUNCTION("GOOGLETRANSLATE(English!B4061, ""en"", ""bg"")"),"биология")</f>
        <v>биология</v>
      </c>
      <c r="C4061" s="1" t="str">
        <f ca="1">IFERROR(__xludf.DUMMYFUNCTION("GOOGLETRANSLATE(English!C4061, ""en"", ""bg"")"),"високо")</f>
        <v>високо</v>
      </c>
      <c r="D4061" s="1" t="str">
        <f ca="1">IFERROR(__xludf.DUMMYFUNCTION("GOOGLETRANSLATE(English!D4061, ""en"", ""bg"")"),"клетъчно дишане")</f>
        <v>клетъчно дишане</v>
      </c>
      <c r="E4061" s="1" t="str">
        <f ca="1">IFERROR(__xludf.DUMMYFUNCTION("GOOGLETRANSLATE(English!E4061, ""en"", ""bg"")"),"Как работи клетъчното дишане?")</f>
        <v>Как работи клетъчното дишане?</v>
      </c>
      <c r="F4061" s="1" t="str">
        <f ca="1">IFERROR(__xludf.DUMMYFUNCTION("GOOGLETRANSLATE(English!F4061,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4061" s="1" t="str">
        <f ca="1">IFERROR(__xludf.DUMMYFUNCTION("GOOGLETRANSLATE(English!G4061, ""en"", ""bg"")"),"direct_qa")</f>
        <v>direct_qa</v>
      </c>
      <c r="H4061" s="1" t="str">
        <f ca="1">IFERROR(__xludf.DUMMYFUNCTION("GOOGLETRANSLATE(English!H4061, ""en"", ""bg"")"),"заявка_за_знание")</f>
        <v>заявка_за_знание</v>
      </c>
    </row>
    <row r="4062" spans="1:8" ht="13.2" x14ac:dyDescent="0.25">
      <c r="A4062" s="1" t="str">
        <f ca="1">IFERROR(__xludf.DUMMYFUNCTION("GOOGLETRANSLATE(English!A4062, ""en"", ""bg"")"),"hw_06136")</f>
        <v>hw_06136</v>
      </c>
      <c r="B4062" s="1" t="str">
        <f ca="1">IFERROR(__xludf.DUMMYFUNCTION("GOOGLETRANSLATE(English!B4062, ""en"", ""bg"")"),"биология")</f>
        <v>биология</v>
      </c>
      <c r="C4062" s="1" t="str">
        <f ca="1">IFERROR(__xludf.DUMMYFUNCTION("GOOGLETRANSLATE(English!C4062, ""en"", ""bg"")"),"средата")</f>
        <v>средата</v>
      </c>
      <c r="D4062" s="1" t="str">
        <f ca="1">IFERROR(__xludf.DUMMYFUNCTION("GOOGLETRANSLATE(English!D4062, ""en"", ""bg"")"),"размножаване")</f>
        <v>размножаване</v>
      </c>
      <c r="E4062" s="1" t="str">
        <f ca="1">IFERROR(__xludf.DUMMYFUNCTION("GOOGLETRANSLATE(English!E4062, ""en"", ""bg"")"),"Домашното ми пита за размножаването. Не го разбирам.")</f>
        <v>Домашното ми пита за размножаването. Не го разбирам.</v>
      </c>
      <c r="F4062" s="1" t="str">
        <f ca="1">IFERROR(__xludf.DUMMYFUNCTION("GOOGLETRANSLATE(English!F4062,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062" s="1" t="str">
        <f ca="1">IFERROR(__xludf.DUMMYFUNCTION("GOOGLETRANSLATE(English!G4062, ""en"", ""bg"")"),"помощ_за_домашно_изпълнение")</f>
        <v>помощ_за_домашно_изпълнение</v>
      </c>
      <c r="H4062" s="1" t="str">
        <f ca="1">IFERROR(__xludf.DUMMYFUNCTION("GOOGLETRANSLATE(English!H4062, ""en"", ""bg"")"),"помощ_за_домашно_задаване")</f>
        <v>помощ_за_домашно_задаване</v>
      </c>
    </row>
    <row r="4063" spans="1:8" ht="13.2" x14ac:dyDescent="0.25">
      <c r="A4063" s="1" t="str">
        <f ca="1">IFERROR(__xludf.DUMMYFUNCTION("GOOGLETRANSLATE(English!A4063, ""en"", ""bg"")"),"conv_05860")</f>
        <v>conv_05860</v>
      </c>
      <c r="B4063" s="1" t="str">
        <f ca="1">IFERROR(__xludf.DUMMYFUNCTION("GOOGLETRANSLATE(English!B4063, ""en"", ""bg"")"),"биология")</f>
        <v>биология</v>
      </c>
      <c r="C4063" s="1" t="str">
        <f ca="1">IFERROR(__xludf.DUMMYFUNCTION("GOOGLETRANSLATE(English!C4063, ""en"", ""bg"")"),"средата")</f>
        <v>средата</v>
      </c>
      <c r="D4063" s="1" t="str">
        <f ca="1">IFERROR(__xludf.DUMMYFUNCTION("GOOGLETRANSLATE(English!D4063, ""en"", ""bg"")"),"основи на генетиката")</f>
        <v>основи на генетиката</v>
      </c>
      <c r="E4063" s="1" t="str">
        <f ca="1">IFERROR(__xludf.DUMMYFUNCTION("GOOGLETRANSLATE(English!E4063, ""en"", ""bg"")"),"Не разбирам тази тема. Какво е важно да се знае за основите на генетиката?")</f>
        <v>Не разбирам тази тема. Какво е важно да се знае за основите на генетиката?</v>
      </c>
      <c r="F4063" s="1" t="str">
        <f ca="1">IFERROR(__xludf.DUMMYFUNCTION("GOOGLETRANSLATE(English!F4063,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4063" s="1" t="str">
        <f ca="1">IFERROR(__xludf.DUMMYFUNCTION("GOOGLETRANSLATE(English!G4063, ""en"", ""bg"")"),"разговор")</f>
        <v>разговор</v>
      </c>
      <c r="H4063" s="1" t="str">
        <f ca="1">IFERROR(__xludf.DUMMYFUNCTION("GOOGLETRANSLATE(English!H4063, ""en"", ""bg"")"),"образователна_помощ")</f>
        <v>образователна_помощ</v>
      </c>
    </row>
    <row r="4064" spans="1:8" ht="13.2" x14ac:dyDescent="0.25">
      <c r="A4064" s="1" t="str">
        <f ca="1">IFERROR(__xludf.DUMMYFUNCTION("GOOGLETRANSLATE(English!A4064, ""en"", ""bg"")"),"conv_05138")</f>
        <v>conv_05138</v>
      </c>
      <c r="B4064" s="1" t="str">
        <f ca="1">IFERROR(__xludf.DUMMYFUNCTION("GOOGLETRANSLATE(English!B4064, ""en"", ""bg"")"),"физика")</f>
        <v>физика</v>
      </c>
      <c r="C4064" s="1" t="str">
        <f ca="1">IFERROR(__xludf.DUMMYFUNCTION("GOOGLETRANSLATE(English!C4064, ""en"", ""bg"")"),"високо")</f>
        <v>високо</v>
      </c>
      <c r="D4064" s="1" t="str">
        <f ca="1">IFERROR(__xludf.DUMMYFUNCTION("GOOGLETRANSLATE(English!D4064, ""en"", ""bg"")"),"атомна структура")</f>
        <v>атомна структура</v>
      </c>
      <c r="E4064" s="1" t="str">
        <f ca="1">IFERROR(__xludf.DUMMYFUNCTION("GOOGLETRANSLATE(English!E4064, ""en"", ""bg"")"),"Можете ли да ми помогнете? Можете ли да ми обясните атомната структура?")</f>
        <v>Можете ли да ми помогнете? Можете ли да ми обясните атомната структура?</v>
      </c>
      <c r="F4064" s="1" t="str">
        <f ca="1">IFERROR(__xludf.DUMMYFUNCTION("GOOGLETRANSLATE(English!F4064,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064" s="1" t="str">
        <f ca="1">IFERROR(__xludf.DUMMYFUNCTION("GOOGLETRANSLATE(English!G4064, ""en"", ""bg"")"),"разговор")</f>
        <v>разговор</v>
      </c>
      <c r="H4064" s="1" t="str">
        <f ca="1">IFERROR(__xludf.DUMMYFUNCTION("GOOGLETRANSLATE(English!H4064, ""en"", ""bg"")"),"образователна_помощ")</f>
        <v>образователна_помощ</v>
      </c>
    </row>
    <row r="4065" spans="1:8" ht="13.2" x14ac:dyDescent="0.25">
      <c r="A4065" s="1" t="str">
        <f ca="1">IFERROR(__xludf.DUMMYFUNCTION("GOOGLETRANSLATE(English!A4065, ""en"", ""bg"")"),"hw_10765")</f>
        <v>hw_10765</v>
      </c>
      <c r="B4065" s="1" t="str">
        <f ca="1">IFERROR(__xludf.DUMMYFUNCTION("GOOGLETRANSLATE(English!B4065, ""en"", ""bg"")"),"химия")</f>
        <v>химия</v>
      </c>
      <c r="C4065" s="1" t="str">
        <f ca="1">IFERROR(__xludf.DUMMYFUNCTION("GOOGLETRANSLATE(English!C4065, ""en"", ""bg"")"),"средата")</f>
        <v>средата</v>
      </c>
      <c r="D4065" s="1" t="str">
        <f ca="1">IFERROR(__xludf.DUMMYFUNCTION("GOOGLETRANSLATE(English!D4065, ""en"", ""bg"")"),"химични реакции")</f>
        <v>химични реакции</v>
      </c>
      <c r="E4065" s="1" t="str">
        <f ca="1">IFERROR(__xludf.DUMMYFUNCTION("GOOGLETRANSLATE(English!E4065, ""en"", ""bg"")"),"Имам проблеми с химичните реакции в домашното си.")</f>
        <v>Имам проблеми с химичните реакции в домашното си.</v>
      </c>
      <c r="F4065" s="1" t="str">
        <f ca="1">IFERROR(__xludf.DUMMYFUNCTION("GOOGLETRANSLATE(English!F4065,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4065" s="1" t="str">
        <f ca="1">IFERROR(__xludf.DUMMYFUNCTION("GOOGLETRANSLATE(English!G4065, ""en"", ""bg"")"),"помощ_за_домашно_изпълнение")</f>
        <v>помощ_за_домашно_изпълнение</v>
      </c>
      <c r="H4065" s="1" t="str">
        <f ca="1">IFERROR(__xludf.DUMMYFUNCTION("GOOGLETRANSLATE(English!H4065, ""en"", ""bg"")"),"помощ_за_домашно_задаване")</f>
        <v>помощ_за_домашно_задаване</v>
      </c>
    </row>
    <row r="4066" spans="1:8" ht="13.2" x14ac:dyDescent="0.25">
      <c r="A4066" s="1" t="str">
        <f ca="1">IFERROR(__xludf.DUMMYFUNCTION("GOOGLETRANSLATE(English!A4066, ""en"", ""bg"")"),"hw_10284")</f>
        <v>hw_10284</v>
      </c>
      <c r="B4066" s="1" t="str">
        <f ca="1">IFERROR(__xludf.DUMMYFUNCTION("GOOGLETRANSLATE(English!B4066, ""en"", ""bg"")"),"физика")</f>
        <v>физика</v>
      </c>
      <c r="C4066" s="1" t="str">
        <f ca="1">IFERROR(__xludf.DUMMYFUNCTION("GOOGLETRANSLATE(English!C4066, ""en"", ""bg"")"),"високо")</f>
        <v>високо</v>
      </c>
      <c r="D4066" s="1" t="str">
        <f ca="1">IFERROR(__xludf.DUMMYFUNCTION("GOOGLETRANSLATE(English!D4066, ""en"", ""bg"")"),"оптика")</f>
        <v>оптика</v>
      </c>
      <c r="E4066" s="1" t="str">
        <f ca="1">IFERROR(__xludf.DUMMYFUNCTION("GOOGLETRANSLATE(English!E4066, ""en"", ""bg"")"),"Домашното ми по физика е за оптика. Объркващо е!")</f>
        <v>Домашното ми по физика е за оптика. Объркващо е!</v>
      </c>
      <c r="F4066" s="1" t="str">
        <f ca="1">IFERROR(__xludf.DUMMYFUNCTION("GOOGLETRANSLATE(English!F4066,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4066" s="1" t="str">
        <f ca="1">IFERROR(__xludf.DUMMYFUNCTION("GOOGLETRANSLATE(English!G4066, ""en"", ""bg"")"),"помощ_за_домашно_изпълнение")</f>
        <v>помощ_за_домашно_изпълнение</v>
      </c>
      <c r="H4066" s="1" t="str">
        <f ca="1">IFERROR(__xludf.DUMMYFUNCTION("GOOGLETRANSLATE(English!H4066, ""en"", ""bg"")"),"помощ_за_домашно_задаване")</f>
        <v>помощ_за_домашно_задаване</v>
      </c>
    </row>
    <row r="4067" spans="1:8" ht="13.2" x14ac:dyDescent="0.25">
      <c r="A4067" s="1" t="str">
        <f ca="1">IFERROR(__xludf.DUMMYFUNCTION("GOOGLETRANSLATE(English!A4067, ""en"", ""bg"")"),"hw_01021")</f>
        <v>hw_01021</v>
      </c>
      <c r="B4067" s="1" t="str">
        <f ca="1">IFERROR(__xludf.DUMMYFUNCTION("GOOGLETRANSLATE(English!B4067, ""en"", ""bg"")"),"биология")</f>
        <v>биология</v>
      </c>
      <c r="C4067" s="1" t="str">
        <f ca="1">IFERROR(__xludf.DUMMYFUNCTION("GOOGLETRANSLATE(English!C4067, ""en"", ""bg"")"),"средата")</f>
        <v>средата</v>
      </c>
      <c r="D4067" s="1" t="str">
        <f ca="1">IFERROR(__xludf.DUMMYFUNCTION("GOOGLETRANSLATE(English!D4067, ""en"", ""bg"")"),"дишане")</f>
        <v>дишане</v>
      </c>
      <c r="E4067" s="1" t="str">
        <f ca="1">IFERROR(__xludf.DUMMYFUNCTION("GOOGLETRANSLATE(English!E4067, ""en"", ""bg"")"),"Домашното ми пита за дишането. Не го разбирам.")</f>
        <v>Домашното ми пита за дишането. Не го разбирам.</v>
      </c>
      <c r="F4067" s="1" t="str">
        <f ca="1">IFERROR(__xludf.DUMMYFUNCTION("GOOGLETRANSLATE(English!F4067,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067" s="1" t="str">
        <f ca="1">IFERROR(__xludf.DUMMYFUNCTION("GOOGLETRANSLATE(English!G4067, ""en"", ""bg"")"),"помощ_за_домашно_изпълнение")</f>
        <v>помощ_за_домашно_изпълнение</v>
      </c>
      <c r="H4067" s="1" t="str">
        <f ca="1">IFERROR(__xludf.DUMMYFUNCTION("GOOGLETRANSLATE(English!H4067, ""en"", ""bg"")"),"помощ_за_домашно_задаване")</f>
        <v>помощ_за_домашно_задаване</v>
      </c>
    </row>
    <row r="4068" spans="1:8" ht="13.2" x14ac:dyDescent="0.25">
      <c r="A4068" s="1" t="str">
        <f ca="1">IFERROR(__xludf.DUMMYFUNCTION("GOOGLETRANSLATE(English!A4068, ""en"", ""bg"")"),"hw_02478")</f>
        <v>hw_02478</v>
      </c>
      <c r="B4068" s="1" t="str">
        <f ca="1">IFERROR(__xludf.DUMMYFUNCTION("GOOGLETRANSLATE(English!B4068, ""en"", ""bg"")"),"химия")</f>
        <v>химия</v>
      </c>
      <c r="C4068" s="1" t="str">
        <f ca="1">IFERROR(__xludf.DUMMYFUNCTION("GOOGLETRANSLATE(English!C4068, ""en"", ""bg"")"),"високо")</f>
        <v>високо</v>
      </c>
      <c r="D4068" s="1" t="str">
        <f ca="1">IFERROR(__xludf.DUMMYFUNCTION("GOOGLETRANSLATE(English!D4068, ""en"", ""bg"")"),"стехиометрия")</f>
        <v>стехиометрия</v>
      </c>
      <c r="E4068" s="1" t="str">
        <f ca="1">IFERROR(__xludf.DUMMYFUNCTION("GOOGLETRANSLATE(English!E4068, ""en"", ""bg"")"),"Можете ли да ми помогнете със стехиометричните изчисления?")</f>
        <v>Можете ли да ми помогнете със стехиометричните изчисления?</v>
      </c>
      <c r="F4068" s="1" t="str">
        <f ca="1">IFERROR(__xludf.DUMMYFUNCTION("GOOGLETRANSLATE(English!F4068,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4068" s="1" t="str">
        <f ca="1">IFERROR(__xludf.DUMMYFUNCTION("GOOGLETRANSLATE(English!G4068, ""en"", ""bg"")"),"помощ_за_домашно_изпълнение")</f>
        <v>помощ_за_домашно_изпълнение</v>
      </c>
      <c r="H4068" s="1" t="str">
        <f ca="1">IFERROR(__xludf.DUMMYFUNCTION("GOOGLETRANSLATE(English!H4068, ""en"", ""bg"")"),"помощ_за_домашно_задаване")</f>
        <v>помощ_за_домашно_задаване</v>
      </c>
    </row>
    <row r="4069" spans="1:8" ht="13.2" x14ac:dyDescent="0.25">
      <c r="A4069" s="1" t="str">
        <f ca="1">IFERROR(__xludf.DUMMYFUNCTION("GOOGLETRANSLATE(English!A4069, ""en"", ""bg"")"),"hw_02618")</f>
        <v>hw_02618</v>
      </c>
      <c r="B4069" s="1" t="str">
        <f ca="1">IFERROR(__xludf.DUMMYFUNCTION("GOOGLETRANSLATE(English!B4069, ""en"", ""bg"")"),"физика")</f>
        <v>физика</v>
      </c>
      <c r="C4069" s="1" t="str">
        <f ca="1">IFERROR(__xludf.DUMMYFUNCTION("GOOGLETRANSLATE(English!C4069, ""en"", ""bg"")"),"високо")</f>
        <v>високо</v>
      </c>
      <c r="D4069" s="1" t="str">
        <f ca="1">IFERROR(__xludf.DUMMYFUNCTION("GOOGLETRANSLATE(English!D4069, ""en"", ""bg"")"),"атомна структура")</f>
        <v>атомна структура</v>
      </c>
      <c r="E4069" s="1" t="str">
        <f ca="1">IFERROR(__xludf.DUMMYFUNCTION("GOOGLETRANSLATE(English!E4069,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4069" s="1" t="str">
        <f ca="1">IFERROR(__xludf.DUMMYFUNCTION("GOOGLETRANSLATE(English!F4069,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4069" s="1" t="str">
        <f ca="1">IFERROR(__xludf.DUMMYFUNCTION("GOOGLETRANSLATE(English!G4069, ""en"", ""bg"")"),"помощ_за_домашно_изпълнение")</f>
        <v>помощ_за_домашно_изпълнение</v>
      </c>
      <c r="H4069" s="1" t="str">
        <f ca="1">IFERROR(__xludf.DUMMYFUNCTION("GOOGLETRANSLATE(English!H4069, ""en"", ""bg"")"),"помощ_за_домашно_задаване")</f>
        <v>помощ_за_домашно_задаване</v>
      </c>
    </row>
    <row r="4070" spans="1:8" ht="13.2" x14ac:dyDescent="0.25">
      <c r="A4070" s="1" t="str">
        <f ca="1">IFERROR(__xludf.DUMMYFUNCTION("GOOGLETRANSLATE(English!A4070, ""en"", ""bg"")"),"conv_14976")</f>
        <v>conv_14976</v>
      </c>
      <c r="B4070" s="1" t="str">
        <f ca="1">IFERROR(__xludf.DUMMYFUNCTION("GOOGLETRANSLATE(English!B4070, ""en"", ""bg"")"),"физика")</f>
        <v>физика</v>
      </c>
      <c r="C4070" s="1" t="str">
        <f ca="1">IFERROR(__xludf.DUMMYFUNCTION("GOOGLETRANSLATE(English!C4070, ""en"", ""bg"")"),"високо")</f>
        <v>високо</v>
      </c>
      <c r="D4070" s="1" t="str">
        <f ca="1">IFERROR(__xludf.DUMMYFUNCTION("GOOGLETRANSLATE(English!D4070, ""en"", ""bg"")"),"атомна структура")</f>
        <v>атомна структура</v>
      </c>
      <c r="E4070" s="1" t="str">
        <f ca="1">IFERROR(__xludf.DUMMYFUNCTION("GOOGLETRANSLATE(English!E4070, ""en"", ""bg"")"),"Имам нужда от помощ с домашното си. Можете ли да ми обясните структурата на атома?")</f>
        <v>Имам нужда от помощ с домашното си. Можете ли да ми обясните структурата на атома?</v>
      </c>
      <c r="F4070" s="1" t="str">
        <f ca="1">IFERROR(__xludf.DUMMYFUNCTION("GOOGLETRANSLATE(English!F4070,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070" s="1" t="str">
        <f ca="1">IFERROR(__xludf.DUMMYFUNCTION("GOOGLETRANSLATE(English!G4070, ""en"", ""bg"")"),"разговор")</f>
        <v>разговор</v>
      </c>
      <c r="H4070" s="1" t="str">
        <f ca="1">IFERROR(__xludf.DUMMYFUNCTION("GOOGLETRANSLATE(English!H4070, ""en"", ""bg"")"),"образователна_помощ")</f>
        <v>образователна_помощ</v>
      </c>
    </row>
    <row r="4071" spans="1:8" ht="13.2" x14ac:dyDescent="0.25">
      <c r="A4071" s="1" t="str">
        <f ca="1">IFERROR(__xludf.DUMMYFUNCTION("GOOGLETRANSLATE(English!A4071, ""en"", ""bg"")"),"hw_00715")</f>
        <v>hw_00715</v>
      </c>
      <c r="B4071" s="1" t="str">
        <f ca="1">IFERROR(__xludf.DUMMYFUNCTION("GOOGLETRANSLATE(English!B4071, ""en"", ""bg"")"),"биология")</f>
        <v>биология</v>
      </c>
      <c r="C4071" s="1" t="str">
        <f ca="1">IFERROR(__xludf.DUMMYFUNCTION("GOOGLETRANSLATE(English!C4071, ""en"", ""bg"")"),"високо")</f>
        <v>високо</v>
      </c>
      <c r="D4071" s="1" t="str">
        <f ca="1">IFERROR(__xludf.DUMMYFUNCTION("GOOGLETRANSLATE(English!D4071, ""en"", ""bg"")"),"молекулярна биология")</f>
        <v>молекулярна биология</v>
      </c>
      <c r="E4071" s="1" t="str">
        <f ca="1">IFERROR(__xludf.DUMMYFUNCTION("GOOGLETRANSLATE(English!E4071,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4071" s="1" t="str">
        <f ca="1">IFERROR(__xludf.DUMMYFUNCTION("GOOGLETRANSLATE(English!F4071,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071" s="1" t="str">
        <f ca="1">IFERROR(__xludf.DUMMYFUNCTION("GOOGLETRANSLATE(English!G4071, ""en"", ""bg"")"),"помощ_за_домашно_изпълнение")</f>
        <v>помощ_за_домашно_изпълнение</v>
      </c>
      <c r="H4071" s="1" t="str">
        <f ca="1">IFERROR(__xludf.DUMMYFUNCTION("GOOGLETRANSLATE(English!H4071, ""en"", ""bg"")"),"помощ_за_домашно_задаване")</f>
        <v>помощ_за_домашно_задаване</v>
      </c>
    </row>
    <row r="4072" spans="1:8" ht="13.2" x14ac:dyDescent="0.25">
      <c r="A4072" s="1" t="str">
        <f ca="1">IFERROR(__xludf.DUMMYFUNCTION("GOOGLETRANSLATE(English!A4072, ""en"", ""bg"")"),"conv_04218")</f>
        <v>conv_04218</v>
      </c>
      <c r="B4072" s="1" t="str">
        <f ca="1">IFERROR(__xludf.DUMMYFUNCTION("GOOGLETRANSLATE(English!B4072, ""en"", ""bg"")"),"биология")</f>
        <v>биология</v>
      </c>
      <c r="C4072" s="1" t="str">
        <f ca="1">IFERROR(__xludf.DUMMYFUNCTION("GOOGLETRANSLATE(English!C4072, ""en"", ""bg"")"),"средата")</f>
        <v>средата</v>
      </c>
      <c r="D4072" s="1" t="str">
        <f ca="1">IFERROR(__xludf.DUMMYFUNCTION("GOOGLETRANSLATE(English!D4072, ""en"", ""bg"")"),"основи на генетиката")</f>
        <v>основи на генетиката</v>
      </c>
      <c r="E4072" s="1" t="str">
        <f ca="1">IFERROR(__xludf.DUMMYFUNCTION("GOOGLETRANSLATE(English!E4072, ""en"", ""bg"")"),"Не разбирам тази тема. Какво е важно да се знае за основите на генетиката?")</f>
        <v>Не разбирам тази тема. Какво е важно да се знае за основите на генетиката?</v>
      </c>
      <c r="F4072" s="1" t="str">
        <f ca="1">IFERROR(__xludf.DUMMYFUNCTION("GOOGLETRANSLATE(English!F4072,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4072" s="1" t="str">
        <f ca="1">IFERROR(__xludf.DUMMYFUNCTION("GOOGLETRANSLATE(English!G4072, ""en"", ""bg"")"),"разговор")</f>
        <v>разговор</v>
      </c>
      <c r="H4072" s="1" t="str">
        <f ca="1">IFERROR(__xludf.DUMMYFUNCTION("GOOGLETRANSLATE(English!H4072, ""en"", ""bg"")"),"образователна_помощ")</f>
        <v>образователна_помощ</v>
      </c>
    </row>
    <row r="4073" spans="1:8" ht="13.2" x14ac:dyDescent="0.25">
      <c r="A4073" s="1" t="str">
        <f ca="1">IFERROR(__xludf.DUMMYFUNCTION("GOOGLETRANSLATE(English!A4073, ""en"", ""bg"")"),"qa_01416")</f>
        <v>qa_01416</v>
      </c>
      <c r="B4073" s="1" t="str">
        <f ca="1">IFERROR(__xludf.DUMMYFUNCTION("GOOGLETRANSLATE(English!B4073, ""en"", ""bg"")"),"химия")</f>
        <v>химия</v>
      </c>
      <c r="C4073" s="1" t="str">
        <f ca="1">IFERROR(__xludf.DUMMYFUNCTION("GOOGLETRANSLATE(English!C4073, ""en"", ""bg"")"),"елементарен")</f>
        <v>елементарен</v>
      </c>
      <c r="D4073" s="1" t="str">
        <f ca="1">IFERROR(__xludf.DUMMYFUNCTION("GOOGLETRANSLATE(English!D4073, ""en"", ""bg"")"),"промени в материалите")</f>
        <v>промени в материалите</v>
      </c>
      <c r="E4073" s="1" t="str">
        <f ca="1">IFERROR(__xludf.DUMMYFUNCTION("GOOGLETRANSLATE(English!E4073, ""en"", ""bg"")"),"Какво представляват промените в материалите?")</f>
        <v>Какво представляват промените в материалите?</v>
      </c>
      <c r="F4073" s="1" t="str">
        <f ca="1">IFERROR(__xludf.DUMMYFUNCTION("GOOGLETRANSLATE(English!F4073,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4073" s="1" t="str">
        <f ca="1">IFERROR(__xludf.DUMMYFUNCTION("GOOGLETRANSLATE(English!G4073, ""en"", ""bg"")"),"direct_qa")</f>
        <v>direct_qa</v>
      </c>
      <c r="H4073" s="1" t="str">
        <f ca="1">IFERROR(__xludf.DUMMYFUNCTION("GOOGLETRANSLATE(English!H4073, ""en"", ""bg"")"),"заявка_за_знание")</f>
        <v>заявка_за_знание</v>
      </c>
    </row>
    <row r="4074" spans="1:8" ht="13.2" x14ac:dyDescent="0.25">
      <c r="A4074" s="1" t="str">
        <f ca="1">IFERROR(__xludf.DUMMYFUNCTION("GOOGLETRANSLATE(English!A4074, ""en"", ""bg"")"),"qa_01478")</f>
        <v>qa_01478</v>
      </c>
      <c r="B4074" s="1" t="str">
        <f ca="1">IFERROR(__xludf.DUMMYFUNCTION("GOOGLETRANSLATE(English!B4074, ""en"", ""bg"")"),"химия")</f>
        <v>химия</v>
      </c>
      <c r="C4074" s="1" t="str">
        <f ca="1">IFERROR(__xludf.DUMMYFUNCTION("GOOGLETRANSLATE(English!C4074, ""en"", ""bg"")"),"средата")</f>
        <v>средата</v>
      </c>
      <c r="D4074" s="1" t="str">
        <f ca="1">IFERROR(__xludf.DUMMYFUNCTION("GOOGLETRANSLATE(English!D4074, ""en"", ""bg"")"),"киселини и основи")</f>
        <v>киселини и основи</v>
      </c>
      <c r="E4074" s="1" t="str">
        <f ca="1">IFERROR(__xludf.DUMMYFUNCTION("GOOGLETRANSLATE(English!E4074, ""en"", ""bg"")"),"Как действат киселините и основите в химията?")</f>
        <v>Как действат киселините и основите в химията?</v>
      </c>
      <c r="F4074" s="1" t="str">
        <f ca="1">IFERROR(__xludf.DUMMYFUNCTION("GOOGLETRANSLATE(English!F4074,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074" s="1" t="str">
        <f ca="1">IFERROR(__xludf.DUMMYFUNCTION("GOOGLETRANSLATE(English!G4074, ""en"", ""bg"")"),"direct_qa")</f>
        <v>direct_qa</v>
      </c>
      <c r="H4074" s="1" t="str">
        <f ca="1">IFERROR(__xludf.DUMMYFUNCTION("GOOGLETRANSLATE(English!H4074, ""en"", ""bg"")"),"заявка_за_знание")</f>
        <v>заявка_за_знание</v>
      </c>
    </row>
    <row r="4075" spans="1:8" ht="13.2" x14ac:dyDescent="0.25">
      <c r="A4075" s="1" t="str">
        <f ca="1">IFERROR(__xludf.DUMMYFUNCTION("GOOGLETRANSLATE(English!A4075, ""en"", ""bg"")"),"qa_13648")</f>
        <v>qa_13648</v>
      </c>
      <c r="B4075" s="1" t="str">
        <f ca="1">IFERROR(__xludf.DUMMYFUNCTION("GOOGLETRANSLATE(English!B4075, ""en"", ""bg"")"),"физика")</f>
        <v>физика</v>
      </c>
      <c r="C4075" s="1" t="str">
        <f ca="1">IFERROR(__xludf.DUMMYFUNCTION("GOOGLETRANSLATE(English!C4075, ""en"", ""bg"")"),"високо")</f>
        <v>високо</v>
      </c>
      <c r="D4075" s="1" t="str">
        <f ca="1">IFERROR(__xludf.DUMMYFUNCTION("GOOGLETRANSLATE(English!D4075, ""en"", ""bg"")"),"атомна структура")</f>
        <v>атомна структура</v>
      </c>
      <c r="E4075" s="1" t="str">
        <f ca="1">IFERROR(__xludf.DUMMYFUNCTION("GOOGLETRANSLATE(English!E4075, ""en"", ""bg"")"),"Как работи атомната структура във физиката?")</f>
        <v>Как работи атомната структура във физиката?</v>
      </c>
      <c r="F4075" s="1" t="str">
        <f ca="1">IFERROR(__xludf.DUMMYFUNCTION("GOOGLETRANSLATE(English!F4075,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4075" s="1" t="str">
        <f ca="1">IFERROR(__xludf.DUMMYFUNCTION("GOOGLETRANSLATE(English!G4075, ""en"", ""bg"")"),"direct_qa")</f>
        <v>direct_qa</v>
      </c>
      <c r="H4075" s="1" t="str">
        <f ca="1">IFERROR(__xludf.DUMMYFUNCTION("GOOGLETRANSLATE(English!H4075, ""en"", ""bg"")"),"заявка_за_знание")</f>
        <v>заявка_за_знание</v>
      </c>
    </row>
    <row r="4076" spans="1:8" ht="13.2" x14ac:dyDescent="0.25">
      <c r="A4076" s="1" t="str">
        <f ca="1">IFERROR(__xludf.DUMMYFUNCTION("GOOGLETRANSLATE(English!A4076, ""en"", ""bg"")"),"qa_05704")</f>
        <v>qa_05704</v>
      </c>
      <c r="B4076" s="1" t="str">
        <f ca="1">IFERROR(__xludf.DUMMYFUNCTION("GOOGLETRANSLATE(English!B4076, ""en"", ""bg"")"),"биология")</f>
        <v>биология</v>
      </c>
      <c r="C4076" s="1" t="str">
        <f ca="1">IFERROR(__xludf.DUMMYFUNCTION("GOOGLETRANSLATE(English!C4076, ""en"", ""bg"")"),"елементарен")</f>
        <v>елементарен</v>
      </c>
      <c r="D4076" s="1" t="str">
        <f ca="1">IFERROR(__xludf.DUMMYFUNCTION("GOOGLETRANSLATE(English!D4076, ""en"", ""bg"")"),"жизнени цикли")</f>
        <v>жизнени цикли</v>
      </c>
      <c r="E4076" s="1" t="str">
        <f ca="1">IFERROR(__xludf.DUMMYFUNCTION("GOOGLETRANSLATE(English!E4076, ""en"", ""bg"")"),"Можете ли да ми разкажете за жизнените цикли?")</f>
        <v>Можете ли да ми разкажете за жизнените цикли?</v>
      </c>
      <c r="F4076" s="1" t="str">
        <f ca="1">IFERROR(__xludf.DUMMYFUNCTION("GOOGLETRANSLATE(English!F4076,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4076" s="1" t="str">
        <f ca="1">IFERROR(__xludf.DUMMYFUNCTION("GOOGLETRANSLATE(English!G4076, ""en"", ""bg"")"),"direct_qa")</f>
        <v>direct_qa</v>
      </c>
      <c r="H4076" s="1" t="str">
        <f ca="1">IFERROR(__xludf.DUMMYFUNCTION("GOOGLETRANSLATE(English!H4076, ""en"", ""bg"")"),"заявка_за_знание")</f>
        <v>заявка_за_знание</v>
      </c>
    </row>
    <row r="4077" spans="1:8" ht="13.2" x14ac:dyDescent="0.25">
      <c r="A4077" s="1" t="str">
        <f ca="1">IFERROR(__xludf.DUMMYFUNCTION("GOOGLETRANSLATE(English!A4077, ""en"", ""bg"")"),"qa_13010")</f>
        <v>qa_13010</v>
      </c>
      <c r="B4077" s="1" t="str">
        <f ca="1">IFERROR(__xludf.DUMMYFUNCTION("GOOGLETRANSLATE(English!B4077, ""en"", ""bg"")"),"химия")</f>
        <v>химия</v>
      </c>
      <c r="C4077" s="1" t="str">
        <f ca="1">IFERROR(__xludf.DUMMYFUNCTION("GOOGLETRANSLATE(English!C4077, ""en"", ""bg"")"),"средата")</f>
        <v>средата</v>
      </c>
      <c r="D4077" s="1" t="str">
        <f ca="1">IFERROR(__xludf.DUMMYFUNCTION("GOOGLETRANSLATE(English!D4077, ""en"", ""bg"")"),"атоми и молекули")</f>
        <v>атоми и молекули</v>
      </c>
      <c r="E4077" s="1" t="str">
        <f ca="1">IFERROR(__xludf.DUMMYFUNCTION("GOOGLETRANSLATE(English!E4077, ""en"", ""bg"")"),"Защо атомите се свързват помежду си?")</f>
        <v>Защо атомите се свързват помежду си?</v>
      </c>
      <c r="F4077" s="1" t="str">
        <f ca="1">IFERROR(__xludf.DUMMYFUNCTION("GOOGLETRANSLATE(English!F4077,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077" s="1" t="str">
        <f ca="1">IFERROR(__xludf.DUMMYFUNCTION("GOOGLETRANSLATE(English!G4077, ""en"", ""bg"")"),"direct_qa")</f>
        <v>direct_qa</v>
      </c>
      <c r="H4077" s="1" t="str">
        <f ca="1">IFERROR(__xludf.DUMMYFUNCTION("GOOGLETRANSLATE(English!H4077, ""en"", ""bg"")"),"заявка_за_знание")</f>
        <v>заявка_за_знание</v>
      </c>
    </row>
    <row r="4078" spans="1:8" ht="13.2" x14ac:dyDescent="0.25">
      <c r="A4078" s="1" t="str">
        <f ca="1">IFERROR(__xludf.DUMMYFUNCTION("GOOGLETRANSLATE(English!A4078, ""en"", ""bg"")"),"hw_12056")</f>
        <v>hw_12056</v>
      </c>
      <c r="B4078" s="1" t="str">
        <f ca="1">IFERROR(__xludf.DUMMYFUNCTION("GOOGLETRANSLATE(English!B4078, ""en"", ""bg"")"),"химия")</f>
        <v>химия</v>
      </c>
      <c r="C4078" s="1" t="str">
        <f ca="1">IFERROR(__xludf.DUMMYFUNCTION("GOOGLETRANSLATE(English!C4078, ""en"", ""bg"")"),"високо")</f>
        <v>високо</v>
      </c>
      <c r="D4078" s="1" t="str">
        <f ca="1">IFERROR(__xludf.DUMMYFUNCTION("GOOGLETRANSLATE(English!D4078, ""en"", ""bg"")"),"електрохимия")</f>
        <v>електрохимия</v>
      </c>
      <c r="E4078" s="1" t="str">
        <f ca="1">IFERROR(__xludf.DUMMYFUNCTION("GOOGLETRANSLATE(English!E4078,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4078" s="1" t="str">
        <f ca="1">IFERROR(__xludf.DUMMYFUNCTION("GOOGLETRANSLATE(English!F4078,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078" s="1" t="str">
        <f ca="1">IFERROR(__xludf.DUMMYFUNCTION("GOOGLETRANSLATE(English!G4078, ""en"", ""bg"")"),"помощ_за_домашно_изпълнение")</f>
        <v>помощ_за_домашно_изпълнение</v>
      </c>
      <c r="H4078" s="1" t="str">
        <f ca="1">IFERROR(__xludf.DUMMYFUNCTION("GOOGLETRANSLATE(English!H4078, ""en"", ""bg"")"),"помощ_за_домашно_задаване")</f>
        <v>помощ_за_домашно_задаване</v>
      </c>
    </row>
    <row r="4079" spans="1:8" ht="13.2" x14ac:dyDescent="0.25">
      <c r="A4079" s="1" t="str">
        <f ca="1">IFERROR(__xludf.DUMMYFUNCTION("GOOGLETRANSLATE(English!A4079, ""en"", ""bg"")"),"hw_04861")</f>
        <v>hw_04861</v>
      </c>
      <c r="B4079" s="1" t="str">
        <f ca="1">IFERROR(__xludf.DUMMYFUNCTION("GOOGLETRANSLATE(English!B4079, ""en"", ""bg"")"),"биология")</f>
        <v>биология</v>
      </c>
      <c r="C4079" s="1" t="str">
        <f ca="1">IFERROR(__xludf.DUMMYFUNCTION("GOOGLETRANSLATE(English!C4079, ""en"", ""bg"")"),"елементарен")</f>
        <v>елементарен</v>
      </c>
      <c r="D4079" s="1" t="str">
        <f ca="1">IFERROR(__xludf.DUMMYFUNCTION("GOOGLETRANSLATE(English!D4079, ""en"", ""bg"")"),"човешкото тяло")</f>
        <v>човешкото тяло</v>
      </c>
      <c r="E4079" s="1" t="str">
        <f ca="1">IFERROR(__xludf.DUMMYFUNCTION("GOOGLETRANSLATE(English!E4079, ""en"", ""bg"")"),"Домашното ми пита за човешкото тяло. Не го разбирам.")</f>
        <v>Домашното ми пита за човешкото тяло. Не го разбирам.</v>
      </c>
      <c r="F4079" s="1" t="str">
        <f ca="1">IFERROR(__xludf.DUMMYFUNCTION("GOOGLETRANSLATE(English!F4079,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4079" s="1" t="str">
        <f ca="1">IFERROR(__xludf.DUMMYFUNCTION("GOOGLETRANSLATE(English!G4079, ""en"", ""bg"")"),"помощ_за_домашно_изпълнение")</f>
        <v>помощ_за_домашно_изпълнение</v>
      </c>
      <c r="H4079" s="1" t="str">
        <f ca="1">IFERROR(__xludf.DUMMYFUNCTION("GOOGLETRANSLATE(English!H4079, ""en"", ""bg"")"),"помощ_за_домашно_задаване")</f>
        <v>помощ_за_домашно_задаване</v>
      </c>
    </row>
    <row r="4080" spans="1:8" ht="13.2" x14ac:dyDescent="0.25">
      <c r="A4080" s="1" t="str">
        <f ca="1">IFERROR(__xludf.DUMMYFUNCTION("GOOGLETRANSLATE(English!A4080, ""en"", ""bg"")"),"hw_06589")</f>
        <v>hw_06589</v>
      </c>
      <c r="B4080" s="1" t="str">
        <f ca="1">IFERROR(__xludf.DUMMYFUNCTION("GOOGLETRANSLATE(English!B4080, ""en"", ""bg"")"),"физика")</f>
        <v>физика</v>
      </c>
      <c r="C4080" s="1" t="str">
        <f ca="1">IFERROR(__xludf.DUMMYFUNCTION("GOOGLETRANSLATE(English!C4080, ""en"", ""bg"")"),"средата")</f>
        <v>средата</v>
      </c>
      <c r="D4080" s="1" t="str">
        <f ca="1">IFERROR(__xludf.DUMMYFUNCTION("GOOGLETRANSLATE(English!D4080, ""en"", ""bg"")"),"прости схеми")</f>
        <v>прости схеми</v>
      </c>
      <c r="E4080" s="1" t="str">
        <f ca="1">IFERROR(__xludf.DUMMYFUNCTION("GOOGLETRANSLATE(English!E4080, ""en"", ""bg"")"),"Домашното ми по физика е за прости електрически вериги. Объркващо е!")</f>
        <v>Домашното ми по физика е за прости електрически вериги. Объркващо е!</v>
      </c>
      <c r="F4080" s="1" t="str">
        <f ca="1">IFERROR(__xludf.DUMMYFUNCTION("GOOGLETRANSLATE(English!F4080,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4080" s="1" t="str">
        <f ca="1">IFERROR(__xludf.DUMMYFUNCTION("GOOGLETRANSLATE(English!G4080, ""en"", ""bg"")"),"помощ_за_домашно_изпълнение")</f>
        <v>помощ_за_домашно_изпълнение</v>
      </c>
      <c r="H4080" s="1" t="str">
        <f ca="1">IFERROR(__xludf.DUMMYFUNCTION("GOOGLETRANSLATE(English!H4080, ""en"", ""bg"")"),"помощ_за_домашно_задаване")</f>
        <v>помощ_за_домашно_задаване</v>
      </c>
    </row>
    <row r="4081" spans="1:8" ht="13.2" x14ac:dyDescent="0.25">
      <c r="A4081" s="1" t="str">
        <f ca="1">IFERROR(__xludf.DUMMYFUNCTION("GOOGLETRANSLATE(English!A4081, ""en"", ""bg"")"),"hw_02869")</f>
        <v>hw_02869</v>
      </c>
      <c r="B4081" s="1" t="str">
        <f ca="1">IFERROR(__xludf.DUMMYFUNCTION("GOOGLETRANSLATE(English!B4081, ""en"", ""bg"")"),"биология")</f>
        <v>биология</v>
      </c>
      <c r="C4081" s="1" t="str">
        <f ca="1">IFERROR(__xludf.DUMMYFUNCTION("GOOGLETRANSLATE(English!C4081, ""en"", ""bg"")"),"високо")</f>
        <v>високо</v>
      </c>
      <c r="D4081" s="1" t="str">
        <f ca="1">IFERROR(__xludf.DUMMYFUNCTION("GOOGLETRANSLATE(English!D4081, ""en"", ""bg"")"),"Структура на ДНК")</f>
        <v>Структура на ДНК</v>
      </c>
      <c r="E4081" s="1" t="str">
        <f ca="1">IFERROR(__xludf.DUMMYFUNCTION("GOOGLETRANSLATE(English!E4081, ""en"", ""bg"")"),"Трябва да напиша доклад за структурата на ДНК. Можете ли да ми помогнете да започна?")</f>
        <v>Трябва да напиша доклад за структурата на ДНК. Можете ли да ми помогнете да започна?</v>
      </c>
      <c r="F4081" s="1" t="str">
        <f ca="1">IFERROR(__xludf.DUMMYFUNCTION("GOOGLETRANSLATE(English!F4081,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4081" s="1" t="str">
        <f ca="1">IFERROR(__xludf.DUMMYFUNCTION("GOOGLETRANSLATE(English!G4081, ""en"", ""bg"")"),"помощ_за_домашно_изпълнение")</f>
        <v>помощ_за_домашно_изпълнение</v>
      </c>
      <c r="H4081" s="1" t="str">
        <f ca="1">IFERROR(__xludf.DUMMYFUNCTION("GOOGLETRANSLATE(English!H4081, ""en"", ""bg"")"),"помощ_за_домашно_задаване")</f>
        <v>помощ_за_домашно_задаване</v>
      </c>
    </row>
    <row r="4082" spans="1:8" ht="13.2" x14ac:dyDescent="0.25">
      <c r="A4082" s="1" t="str">
        <f ca="1">IFERROR(__xludf.DUMMYFUNCTION("GOOGLETRANSLATE(English!A4082, ""en"", ""bg"")"),"conv_11889")</f>
        <v>conv_11889</v>
      </c>
      <c r="B4082" s="1" t="str">
        <f ca="1">IFERROR(__xludf.DUMMYFUNCTION("GOOGLETRANSLATE(English!B4082, ""en"", ""bg"")"),"биология")</f>
        <v>биология</v>
      </c>
      <c r="C4082" s="1" t="str">
        <f ca="1">IFERROR(__xludf.DUMMYFUNCTION("GOOGLETRANSLATE(English!C4082, ""en"", ""bg"")"),"елементарен")</f>
        <v>елементарен</v>
      </c>
      <c r="D4082" s="1" t="str">
        <f ca="1">IFERROR(__xludf.DUMMYFUNCTION("GOOGLETRANSLATE(English!D4082, ""en"", ""bg"")"),"жизнени цикли")</f>
        <v>жизнени цикли</v>
      </c>
      <c r="E4082" s="1" t="str">
        <f ca="1">IFERROR(__xludf.DUMMYFUNCTION("GOOGLETRANSLATE(English!E4082, ""en"", ""bg"")"),"Можете ли да ми обясните това? Какво е важно да знаем за жизнените цикли?")</f>
        <v>Можете ли да ми обясните това? Какво е важно да знаем за жизнените цикли?</v>
      </c>
      <c r="F4082" s="1" t="str">
        <f ca="1">IFERROR(__xludf.DUMMYFUNCTION("GOOGLETRANSLATE(English!F4082,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4082" s="1" t="str">
        <f ca="1">IFERROR(__xludf.DUMMYFUNCTION("GOOGLETRANSLATE(English!G4082, ""en"", ""bg"")"),"разговор")</f>
        <v>разговор</v>
      </c>
      <c r="H4082" s="1" t="str">
        <f ca="1">IFERROR(__xludf.DUMMYFUNCTION("GOOGLETRANSLATE(English!H4082, ""en"", ""bg"")"),"образователна_помощ")</f>
        <v>образователна_помощ</v>
      </c>
    </row>
    <row r="4083" spans="1:8" ht="13.2" x14ac:dyDescent="0.25">
      <c r="A4083" s="1" t="str">
        <f ca="1">IFERROR(__xludf.DUMMYFUNCTION("GOOGLETRANSLATE(English!A4083, ""en"", ""bg"")"),"qa_14229")</f>
        <v>qa_14229</v>
      </c>
      <c r="B4083" s="1" t="str">
        <f ca="1">IFERROR(__xludf.DUMMYFUNCTION("GOOGLETRANSLATE(English!B4083, ""en"", ""bg"")"),"биология")</f>
        <v>биология</v>
      </c>
      <c r="C4083" s="1" t="str">
        <f ca="1">IFERROR(__xludf.DUMMYFUNCTION("GOOGLETRANSLATE(English!C4083, ""en"", ""bg"")"),"средата")</f>
        <v>средата</v>
      </c>
      <c r="D4083" s="1" t="str">
        <f ca="1">IFERROR(__xludf.DUMMYFUNCTION("GOOGLETRANSLATE(English!D4083, ""en"", ""bg"")"),"класификация")</f>
        <v>класификация</v>
      </c>
      <c r="E4083" s="1" t="str">
        <f ca="1">IFERROR(__xludf.DUMMYFUNCTION("GOOGLETRANSLATE(English!E4083, ""en"", ""bg"")"),"Защо класификацията е важна в биологията?")</f>
        <v>Защо класификацията е важна в биологията?</v>
      </c>
      <c r="F4083" s="1" t="str">
        <f ca="1">IFERROR(__xludf.DUMMYFUNCTION("GOOGLETRANSLATE(English!F4083,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4083" s="1" t="str">
        <f ca="1">IFERROR(__xludf.DUMMYFUNCTION("GOOGLETRANSLATE(English!G4083, ""en"", ""bg"")"),"direct_qa")</f>
        <v>direct_qa</v>
      </c>
      <c r="H4083" s="1" t="str">
        <f ca="1">IFERROR(__xludf.DUMMYFUNCTION("GOOGLETRANSLATE(English!H4083, ""en"", ""bg"")"),"заявка_за_знание")</f>
        <v>заявка_за_знание</v>
      </c>
    </row>
    <row r="4084" spans="1:8" ht="13.2" x14ac:dyDescent="0.25">
      <c r="A4084" s="1" t="str">
        <f ca="1">IFERROR(__xludf.DUMMYFUNCTION("GOOGLETRANSLATE(English!A4084, ""en"", ""bg"")"),"qa_06495")</f>
        <v>qa_06495</v>
      </c>
      <c r="B4084" s="1" t="str">
        <f ca="1">IFERROR(__xludf.DUMMYFUNCTION("GOOGLETRANSLATE(English!B4084, ""en"", ""bg"")"),"физика")</f>
        <v>физика</v>
      </c>
      <c r="C4084" s="1" t="str">
        <f ca="1">IFERROR(__xludf.DUMMYFUNCTION("GOOGLETRANSLATE(English!C4084, ""en"", ""bg"")"),"елементарен")</f>
        <v>елементарен</v>
      </c>
      <c r="D4084" s="1" t="str">
        <f ca="1">IFERROR(__xludf.DUMMYFUNCTION("GOOGLETRANSLATE(English!D4084, ""en"", ""bg"")"),"звук")</f>
        <v>звук</v>
      </c>
      <c r="E4084" s="1" t="str">
        <f ca="1">IFERROR(__xludf.DUMMYFUNCTION("GOOGLETRANSLATE(English!E4084, ""en"", ""bg"")"),"Как работи звукът във физиката?")</f>
        <v>Как работи звукът във физиката?</v>
      </c>
      <c r="F4084" s="1" t="str">
        <f ca="1">IFERROR(__xludf.DUMMYFUNCTION("GOOGLETRANSLATE(English!F4084,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4084" s="1" t="str">
        <f ca="1">IFERROR(__xludf.DUMMYFUNCTION("GOOGLETRANSLATE(English!G4084, ""en"", ""bg"")"),"direct_qa")</f>
        <v>direct_qa</v>
      </c>
      <c r="H4084" s="1" t="str">
        <f ca="1">IFERROR(__xludf.DUMMYFUNCTION("GOOGLETRANSLATE(English!H4084, ""en"", ""bg"")"),"заявка_за_знание")</f>
        <v>заявка_за_знание</v>
      </c>
    </row>
    <row r="4085" spans="1:8" ht="13.2" x14ac:dyDescent="0.25">
      <c r="A4085" s="1" t="str">
        <f ca="1">IFERROR(__xludf.DUMMYFUNCTION("GOOGLETRANSLATE(English!A4085, ""en"", ""bg"")"),"hw_07667")</f>
        <v>hw_07667</v>
      </c>
      <c r="B4085" s="1" t="str">
        <f ca="1">IFERROR(__xludf.DUMMYFUNCTION("GOOGLETRANSLATE(English!B4085, ""en"", ""bg"")"),"биология")</f>
        <v>биология</v>
      </c>
      <c r="C4085" s="1" t="str">
        <f ca="1">IFERROR(__xludf.DUMMYFUNCTION("GOOGLETRANSLATE(English!C4085, ""en"", ""bg"")"),"елементарен")</f>
        <v>елементарен</v>
      </c>
      <c r="D4085" s="1" t="str">
        <f ca="1">IFERROR(__xludf.DUMMYFUNCTION("GOOGLETRANSLATE(English!D4085, ""en"", ""bg"")"),"хранителни вериги")</f>
        <v>хранителни вериги</v>
      </c>
      <c r="E4085" s="1" t="str">
        <f ca="1">IFERROR(__xludf.DUMMYFUNCTION("GOOGLETRANSLATE(English!E4085, ""en"", ""bg"")"),"Утре имам тест по хранителни вериги. Помогни ми да уча!")</f>
        <v>Утре имам тест по хранителни вериги. Помогни ми да уча!</v>
      </c>
      <c r="F4085" s="1" t="str">
        <f ca="1">IFERROR(__xludf.DUMMYFUNCTION("GOOGLETRANSLATE(English!F4085,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4085" s="1" t="str">
        <f ca="1">IFERROR(__xludf.DUMMYFUNCTION("GOOGLETRANSLATE(English!G4085, ""en"", ""bg"")"),"помощ_за_домашно_изпълнение")</f>
        <v>помощ_за_домашно_изпълнение</v>
      </c>
      <c r="H4085" s="1" t="str">
        <f ca="1">IFERROR(__xludf.DUMMYFUNCTION("GOOGLETRANSLATE(English!H4085, ""en"", ""bg"")"),"помощ_за_домашно_задаване")</f>
        <v>помощ_за_домашно_задаване</v>
      </c>
    </row>
    <row r="4086" spans="1:8" ht="13.2" x14ac:dyDescent="0.25">
      <c r="A4086" s="1" t="str">
        <f ca="1">IFERROR(__xludf.DUMMYFUNCTION("GOOGLETRANSLATE(English!A4086, ""en"", ""bg"")"),"conv_05019")</f>
        <v>conv_05019</v>
      </c>
      <c r="B4086" s="1" t="str">
        <f ca="1">IFERROR(__xludf.DUMMYFUNCTION("GOOGLETRANSLATE(English!B4086, ""en"", ""bg"")"),"химия")</f>
        <v>химия</v>
      </c>
      <c r="C4086" s="1" t="str">
        <f ca="1">IFERROR(__xludf.DUMMYFUNCTION("GOOGLETRANSLATE(English!C4086, ""en"", ""bg"")"),"високо")</f>
        <v>високо</v>
      </c>
      <c r="D4086" s="1" t="str">
        <f ca="1">IFERROR(__xludf.DUMMYFUNCTION("GOOGLETRANSLATE(English!D4086, ""en"", ""bg"")"),"равновесие")</f>
        <v>равновесие</v>
      </c>
      <c r="E4086" s="1" t="str">
        <f ca="1">IFERROR(__xludf.DUMMYFUNCTION("GOOGLETRANSLATE(English!E4086, ""en"", ""bg"")"),"Можете ли да ми обясните това? Можете ли да ми помогнете да разбера какво е равновесие?")</f>
        <v>Можете ли да ми обясните това? Можете ли да ми помогнете да разбера какво е равновесие?</v>
      </c>
      <c r="F4086" s="1" t="str">
        <f ca="1">IFERROR(__xludf.DUMMYFUNCTION("GOOGLETRANSLATE(English!F4086,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4086" s="1" t="str">
        <f ca="1">IFERROR(__xludf.DUMMYFUNCTION("GOOGLETRANSLATE(English!G4086, ""en"", ""bg"")"),"разговор")</f>
        <v>разговор</v>
      </c>
      <c r="H4086" s="1" t="str">
        <f ca="1">IFERROR(__xludf.DUMMYFUNCTION("GOOGLETRANSLATE(English!H4086, ""en"", ""bg"")"),"образователна_помощ")</f>
        <v>образователна_помощ</v>
      </c>
    </row>
    <row r="4087" spans="1:8" ht="13.2" x14ac:dyDescent="0.25">
      <c r="A4087" s="1" t="str">
        <f ca="1">IFERROR(__xludf.DUMMYFUNCTION("GOOGLETRANSLATE(English!A4087, ""en"", ""bg"")"),"hw_01273")</f>
        <v>hw_01273</v>
      </c>
      <c r="B4087" s="1" t="str">
        <f ca="1">IFERROR(__xludf.DUMMYFUNCTION("GOOGLETRANSLATE(English!B4087, ""en"", ""bg"")"),"физика")</f>
        <v>физика</v>
      </c>
      <c r="C4087" s="1" t="str">
        <f ca="1">IFERROR(__xludf.DUMMYFUNCTION("GOOGLETRANSLATE(English!C4087, ""en"", ""bg"")"),"елементарен")</f>
        <v>елементарен</v>
      </c>
      <c r="D4087" s="1" t="str">
        <f ca="1">IFERROR(__xludf.DUMMYFUNCTION("GOOGLETRANSLATE(English!D4087, ""en"", ""bg"")"),"бутане и дърпане")</f>
        <v>бутане и дърпане</v>
      </c>
      <c r="E4087" s="1" t="str">
        <f ca="1">IFERROR(__xludf.DUMMYFUNCTION("GOOGLETRANSLATE(English!E4087,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4087" s="1" t="str">
        <f ca="1">IFERROR(__xludf.DUMMYFUNCTION("GOOGLETRANSLATE(English!F4087,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4087" s="1" t="str">
        <f ca="1">IFERROR(__xludf.DUMMYFUNCTION("GOOGLETRANSLATE(English!G4087, ""en"", ""bg"")"),"помощ_за_домашно_изпълнение")</f>
        <v>помощ_за_домашно_изпълнение</v>
      </c>
      <c r="H4087" s="1" t="str">
        <f ca="1">IFERROR(__xludf.DUMMYFUNCTION("GOOGLETRANSLATE(English!H4087, ""en"", ""bg"")"),"помощ_за_домашно_задаване")</f>
        <v>помощ_за_домашно_задаване</v>
      </c>
    </row>
    <row r="4088" spans="1:8" ht="13.2" x14ac:dyDescent="0.25">
      <c r="A4088" s="1" t="str">
        <f ca="1">IFERROR(__xludf.DUMMYFUNCTION("GOOGLETRANSLATE(English!A4088, ""en"", ""bg"")"),"hw_00714")</f>
        <v>hw_00714</v>
      </c>
      <c r="B4088" s="1" t="str">
        <f ca="1">IFERROR(__xludf.DUMMYFUNCTION("GOOGLETRANSLATE(English!B4088, ""en"", ""bg"")"),"химия")</f>
        <v>химия</v>
      </c>
      <c r="C4088" s="1" t="str">
        <f ca="1">IFERROR(__xludf.DUMMYFUNCTION("GOOGLETRANSLATE(English!C4088, ""en"", ""bg"")"),"високо")</f>
        <v>високо</v>
      </c>
      <c r="D4088" s="1" t="str">
        <f ca="1">IFERROR(__xludf.DUMMYFUNCTION("GOOGLETRANSLATE(English!D4088, ""en"", ""bg"")"),"електрохимия")</f>
        <v>електрохимия</v>
      </c>
      <c r="E4088" s="1" t="str">
        <f ca="1">IFERROR(__xludf.DUMMYFUNCTION("GOOGLETRANSLATE(English!E4088, ""en"", ""bg"")"),"Не разбирам тази концепция за електрохимия. Моля, обяснете!")</f>
        <v>Не разбирам тази концепция за електрохимия. Моля, обяснете!</v>
      </c>
      <c r="F4088" s="1" t="str">
        <f ca="1">IFERROR(__xludf.DUMMYFUNCTION("GOOGLETRANSLATE(English!F4088,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088" s="1" t="str">
        <f ca="1">IFERROR(__xludf.DUMMYFUNCTION("GOOGLETRANSLATE(English!G4088, ""en"", ""bg"")"),"помощ_за_домашно_изпълнение")</f>
        <v>помощ_за_домашно_изпълнение</v>
      </c>
      <c r="H4088" s="1" t="str">
        <f ca="1">IFERROR(__xludf.DUMMYFUNCTION("GOOGLETRANSLATE(English!H4088, ""en"", ""bg"")"),"помощ_за_домашно_задаване")</f>
        <v>помощ_за_домашно_задаване</v>
      </c>
    </row>
    <row r="4089" spans="1:8" ht="13.2" x14ac:dyDescent="0.25">
      <c r="A4089" s="1" t="str">
        <f ca="1">IFERROR(__xludf.DUMMYFUNCTION("GOOGLETRANSLATE(English!A4089, ""en"", ""bg"")"),"conv_06059")</f>
        <v>conv_06059</v>
      </c>
      <c r="B4089" s="1" t="str">
        <f ca="1">IFERROR(__xludf.DUMMYFUNCTION("GOOGLETRANSLATE(English!B4089, ""en"", ""bg"")"),"химия")</f>
        <v>химия</v>
      </c>
      <c r="C4089" s="1" t="str">
        <f ca="1">IFERROR(__xludf.DUMMYFUNCTION("GOOGLETRANSLATE(English!C4089, ""en"", ""bg"")"),"елементарен")</f>
        <v>елементарен</v>
      </c>
      <c r="D4089" s="1" t="str">
        <f ca="1">IFERROR(__xludf.DUMMYFUNCTION("GOOGLETRANSLATE(English!D4089, ""en"", ""bg"")"),"разтваряне")</f>
        <v>разтваряне</v>
      </c>
      <c r="E4089" s="1" t="str">
        <f ca="1">IFERROR(__xludf.DUMMYFUNCTION("GOOGLETRANSLATE(English!E4089, ""en"", ""bg"")"),"Имам научен въпрос. Какво представлява разтварянето?")</f>
        <v>Имам научен въпрос. Какво представлява разтварянето?</v>
      </c>
      <c r="F4089" s="1" t="str">
        <f ca="1">IFERROR(__xludf.DUMMYFUNCTION("GOOGLETRANSLATE(English!F4089,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4089" s="1" t="str">
        <f ca="1">IFERROR(__xludf.DUMMYFUNCTION("GOOGLETRANSLATE(English!G4089, ""en"", ""bg"")"),"разговор")</f>
        <v>разговор</v>
      </c>
      <c r="H4089" s="1" t="str">
        <f ca="1">IFERROR(__xludf.DUMMYFUNCTION("GOOGLETRANSLATE(English!H4089, ""en"", ""bg"")"),"образователна_помощ")</f>
        <v>образователна_помощ</v>
      </c>
    </row>
    <row r="4090" spans="1:8" ht="13.2" x14ac:dyDescent="0.25">
      <c r="A4090" s="1" t="str">
        <f ca="1">IFERROR(__xludf.DUMMYFUNCTION("GOOGLETRANSLATE(English!A4090, ""en"", ""bg"")"),"hw_08412")</f>
        <v>hw_08412</v>
      </c>
      <c r="B4090" s="1" t="str">
        <f ca="1">IFERROR(__xludf.DUMMYFUNCTION("GOOGLETRANSLATE(English!B4090, ""en"", ""bg"")"),"химия")</f>
        <v>химия</v>
      </c>
      <c r="C4090" s="1" t="str">
        <f ca="1">IFERROR(__xludf.DUMMYFUNCTION("GOOGLETRANSLATE(English!C4090, ""en"", ""bg"")"),"високо")</f>
        <v>високо</v>
      </c>
      <c r="D4090" s="1" t="str">
        <f ca="1">IFERROR(__xludf.DUMMYFUNCTION("GOOGLETRANSLATE(English!D4090, ""en"", ""bg"")"),"химическо свързване")</f>
        <v>химическо свързване</v>
      </c>
      <c r="E4090" s="1" t="str">
        <f ca="1">IFERROR(__xludf.DUMMYFUNCTION("GOOGLETRANSLATE(English!E4090, ""en"", ""bg"")"),"Можете ли да ми помогнете с изчисленията за химични връзки?")</f>
        <v>Можете ли да ми помогнете с изчисленията за химични връзки?</v>
      </c>
      <c r="F4090" s="1" t="str">
        <f ca="1">IFERROR(__xludf.DUMMYFUNCTION("GOOGLETRANSLATE(English!F4090,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4090" s="1" t="str">
        <f ca="1">IFERROR(__xludf.DUMMYFUNCTION("GOOGLETRANSLATE(English!G4090, ""en"", ""bg"")"),"помощ_за_домашно_изпълнение")</f>
        <v>помощ_за_домашно_изпълнение</v>
      </c>
      <c r="H4090" s="1" t="str">
        <f ca="1">IFERROR(__xludf.DUMMYFUNCTION("GOOGLETRANSLATE(English!H4090, ""en"", ""bg"")"),"помощ_за_домашно_задаване")</f>
        <v>помощ_за_домашно_задаване</v>
      </c>
    </row>
    <row r="4091" spans="1:8" ht="13.2" x14ac:dyDescent="0.25">
      <c r="A4091" s="1" t="str">
        <f ca="1">IFERROR(__xludf.DUMMYFUNCTION("GOOGLETRANSLATE(English!A4091, ""en"", ""bg"")"),"hw_10939")</f>
        <v>hw_10939</v>
      </c>
      <c r="B4091" s="1" t="str">
        <f ca="1">IFERROR(__xludf.DUMMYFUNCTION("GOOGLETRANSLATE(English!B4091, ""en"", ""bg"")"),"химия")</f>
        <v>химия</v>
      </c>
      <c r="C4091" s="1" t="str">
        <f ca="1">IFERROR(__xludf.DUMMYFUNCTION("GOOGLETRANSLATE(English!C4091, ""en"", ""bg"")"),"елементарен")</f>
        <v>елементарен</v>
      </c>
      <c r="D4091" s="1" t="str">
        <f ca="1">IFERROR(__xludf.DUMMYFUNCTION("GOOGLETRANSLATE(English!D4091, ""en"", ""bg"")"),"смесване на материали")</f>
        <v>смесване на материали</v>
      </c>
      <c r="E4091" s="1" t="str">
        <f ca="1">IFERROR(__xludf.DUMMYFUNCTION("GOOGLETRANSLATE(English!E4091, ""en"", ""bg"")"),"Не разбирам тази концепция за смесване на материали. Моля, обяснете!")</f>
        <v>Не разбирам тази концепция за смесване на материали. Моля, обяснете!</v>
      </c>
      <c r="F4091" s="1" t="str">
        <f ca="1">IFERROR(__xludf.DUMMYFUNCTION("GOOGLETRANSLATE(English!F4091,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4091" s="1" t="str">
        <f ca="1">IFERROR(__xludf.DUMMYFUNCTION("GOOGLETRANSLATE(English!G4091, ""en"", ""bg"")"),"помощ_за_домашно_изпълнение")</f>
        <v>помощ_за_домашно_изпълнение</v>
      </c>
      <c r="H4091" s="1" t="str">
        <f ca="1">IFERROR(__xludf.DUMMYFUNCTION("GOOGLETRANSLATE(English!H4091, ""en"", ""bg"")"),"помощ_за_домашно_задаване")</f>
        <v>помощ_за_домашно_задаване</v>
      </c>
    </row>
    <row r="4092" spans="1:8" ht="13.2" x14ac:dyDescent="0.25">
      <c r="A4092" s="1" t="str">
        <f ca="1">IFERROR(__xludf.DUMMYFUNCTION("GOOGLETRANSLATE(English!A4092, ""en"", ""bg"")"),"conv_08838")</f>
        <v>conv_08838</v>
      </c>
      <c r="B4092" s="1" t="str">
        <f ca="1">IFERROR(__xludf.DUMMYFUNCTION("GOOGLETRANSLATE(English!B4092, ""en"", ""bg"")"),"химия")</f>
        <v>химия</v>
      </c>
      <c r="C4092" s="1" t="str">
        <f ca="1">IFERROR(__xludf.DUMMYFUNCTION("GOOGLETRANSLATE(English!C4092, ""en"", ""bg"")"),"високо")</f>
        <v>високо</v>
      </c>
      <c r="D4092" s="1" t="str">
        <f ca="1">IFERROR(__xludf.DUMMYFUNCTION("GOOGLETRANSLATE(English!D4092, ""en"", ""bg"")"),"органична химия")</f>
        <v>органична химия</v>
      </c>
      <c r="E4092" s="1" t="str">
        <f ca="1">IFERROR(__xludf.DUMMYFUNCTION("GOOGLETRANSLATE(English!E4092, ""en"", ""bg"")"),"Можете ли да ми обясните това? Как работи органичната химия в химията?")</f>
        <v>Можете ли да ми обясните това? Как работи органичната химия в химията?</v>
      </c>
      <c r="F4092" s="1" t="str">
        <f ca="1">IFERROR(__xludf.DUMMYFUNCTION("GOOGLETRANSLATE(English!F4092,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4092" s="1" t="str">
        <f ca="1">IFERROR(__xludf.DUMMYFUNCTION("GOOGLETRANSLATE(English!G4092, ""en"", ""bg"")"),"разговор")</f>
        <v>разговор</v>
      </c>
      <c r="H4092" s="1" t="str">
        <f ca="1">IFERROR(__xludf.DUMMYFUNCTION("GOOGLETRANSLATE(English!H4092, ""en"", ""bg"")"),"образователна_помощ")</f>
        <v>образователна_помощ</v>
      </c>
    </row>
    <row r="4093" spans="1:8" ht="13.2" x14ac:dyDescent="0.25">
      <c r="A4093" s="1" t="str">
        <f ca="1">IFERROR(__xludf.DUMMYFUNCTION("GOOGLETRANSLATE(English!A4093, ""en"", ""bg"")"),"qa_11626")</f>
        <v>qa_11626</v>
      </c>
      <c r="B4093" s="1" t="str">
        <f ca="1">IFERROR(__xludf.DUMMYFUNCTION("GOOGLETRANSLATE(English!B4093, ""en"", ""bg"")"),"химия")</f>
        <v>химия</v>
      </c>
      <c r="C4093" s="1" t="str">
        <f ca="1">IFERROR(__xludf.DUMMYFUNCTION("GOOGLETRANSLATE(English!C4093, ""en"", ""bg"")"),"средата")</f>
        <v>средата</v>
      </c>
      <c r="D4093" s="1" t="str">
        <f ca="1">IFERROR(__xludf.DUMMYFUNCTION("GOOGLETRANSLATE(English!D4093, ""en"", ""bg"")"),"химични реакции")</f>
        <v>химични реакции</v>
      </c>
      <c r="E4093" s="1" t="str">
        <f ca="1">IFERROR(__xludf.DUMMYFUNCTION("GOOGLETRANSLATE(English!E4093, ""en"", ""bg"")"),"Какво представляват реагентите и продуктите?")</f>
        <v>Какво представляват реагентите и продуктите?</v>
      </c>
      <c r="F4093" s="1" t="str">
        <f ca="1">IFERROR(__xludf.DUMMYFUNCTION("GOOGLETRANSLATE(English!F4093,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4093" s="1" t="str">
        <f ca="1">IFERROR(__xludf.DUMMYFUNCTION("GOOGLETRANSLATE(English!G4093, ""en"", ""bg"")"),"direct_qa")</f>
        <v>direct_qa</v>
      </c>
      <c r="H4093" s="1" t="str">
        <f ca="1">IFERROR(__xludf.DUMMYFUNCTION("GOOGLETRANSLATE(English!H4093, ""en"", ""bg"")"),"заявка_за_знание")</f>
        <v>заявка_за_знание</v>
      </c>
    </row>
    <row r="4094" spans="1:8" ht="13.2" x14ac:dyDescent="0.25">
      <c r="A4094" s="1" t="str">
        <f ca="1">IFERROR(__xludf.DUMMYFUNCTION("GOOGLETRANSLATE(English!A4094, ""en"", ""bg"")"),"qa_14505")</f>
        <v>qa_14505</v>
      </c>
      <c r="B4094" s="1" t="str">
        <f ca="1">IFERROR(__xludf.DUMMYFUNCTION("GOOGLETRANSLATE(English!B4094, ""en"", ""bg"")"),"биология")</f>
        <v>биология</v>
      </c>
      <c r="C4094" s="1" t="str">
        <f ca="1">IFERROR(__xludf.DUMMYFUNCTION("GOOGLETRANSLATE(English!C4094, ""en"", ""bg"")"),"елементарен")</f>
        <v>елементарен</v>
      </c>
      <c r="D4094" s="1" t="str">
        <f ca="1">IFERROR(__xludf.DUMMYFUNCTION("GOOGLETRANSLATE(English!D4094, ""en"", ""bg"")"),"хранителни вериги")</f>
        <v>хранителни вериги</v>
      </c>
      <c r="E4094" s="1" t="str">
        <f ca="1">IFERROR(__xludf.DUMMYFUNCTION("GOOGLETRANSLATE(English!E4094, ""en"", ""bg"")"),"Как работят хранителните вериги?")</f>
        <v>Как работят хранителните вериги?</v>
      </c>
      <c r="F4094" s="1" t="str">
        <f ca="1">IFERROR(__xludf.DUMMYFUNCTION("GOOGLETRANSLATE(English!F4094,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4094" s="1" t="str">
        <f ca="1">IFERROR(__xludf.DUMMYFUNCTION("GOOGLETRANSLATE(English!G4094, ""en"", ""bg"")"),"direct_qa")</f>
        <v>direct_qa</v>
      </c>
      <c r="H4094" s="1" t="str">
        <f ca="1">IFERROR(__xludf.DUMMYFUNCTION("GOOGLETRANSLATE(English!H4094, ""en"", ""bg"")"),"заявка_за_знание")</f>
        <v>заявка_за_знание</v>
      </c>
    </row>
    <row r="4095" spans="1:8" ht="13.2" x14ac:dyDescent="0.25">
      <c r="A4095" s="1" t="str">
        <f ca="1">IFERROR(__xludf.DUMMYFUNCTION("GOOGLETRANSLATE(English!A4095, ""en"", ""bg"")"),"qa_10919")</f>
        <v>qa_10919</v>
      </c>
      <c r="B4095" s="1" t="str">
        <f ca="1">IFERROR(__xludf.DUMMYFUNCTION("GOOGLETRANSLATE(English!B4095, ""en"", ""bg"")"),"физика")</f>
        <v>физика</v>
      </c>
      <c r="C4095" s="1" t="str">
        <f ca="1">IFERROR(__xludf.DUMMYFUNCTION("GOOGLETRANSLATE(English!C4095, ""en"", ""bg"")"),"високо")</f>
        <v>високо</v>
      </c>
      <c r="D4095" s="1" t="str">
        <f ca="1">IFERROR(__xludf.DUMMYFUNCTION("GOOGLETRANSLATE(English!D4095, ""en"", ""bg"")"),"механика")</f>
        <v>механика</v>
      </c>
      <c r="E4095" s="1" t="str">
        <f ca="1">IFERROR(__xludf.DUMMYFUNCTION("GOOGLETRANSLATE(English!E4095, ""en"", ""bg"")"),"Можете ли да ми обясните механиката?")</f>
        <v>Можете ли да ми обясните механиката?</v>
      </c>
      <c r="F4095" s="1" t="str">
        <f ca="1">IFERROR(__xludf.DUMMYFUNCTION("GOOGLETRANSLATE(English!F4095,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4095" s="1" t="str">
        <f ca="1">IFERROR(__xludf.DUMMYFUNCTION("GOOGLETRANSLATE(English!G4095, ""en"", ""bg"")"),"direct_qa")</f>
        <v>direct_qa</v>
      </c>
      <c r="H4095" s="1" t="str">
        <f ca="1">IFERROR(__xludf.DUMMYFUNCTION("GOOGLETRANSLATE(English!H4095, ""en"", ""bg"")"),"заявка_за_знание")</f>
        <v>заявка_за_знание</v>
      </c>
    </row>
    <row r="4096" spans="1:8" ht="13.2" x14ac:dyDescent="0.25">
      <c r="A4096" s="1" t="str">
        <f ca="1">IFERROR(__xludf.DUMMYFUNCTION("GOOGLETRANSLATE(English!A4096, ""en"", ""bg"")"),"qa_01281")</f>
        <v>qa_01281</v>
      </c>
      <c r="B4096" s="1" t="str">
        <f ca="1">IFERROR(__xludf.DUMMYFUNCTION("GOOGLETRANSLATE(English!B4096, ""en"", ""bg"")"),"химия")</f>
        <v>химия</v>
      </c>
      <c r="C4096" s="1" t="str">
        <f ca="1">IFERROR(__xludf.DUMMYFUNCTION("GOOGLETRANSLATE(English!C4096, ""en"", ""bg"")"),"високо")</f>
        <v>високо</v>
      </c>
      <c r="D4096" s="1" t="str">
        <f ca="1">IFERROR(__xludf.DUMMYFUNCTION("GOOGLETRANSLATE(English!D4096, ""en"", ""bg"")"),"химическо свързване")</f>
        <v>химическо свързване</v>
      </c>
      <c r="E4096" s="1" t="str">
        <f ca="1">IFERROR(__xludf.DUMMYFUNCTION("GOOGLETRANSLATE(English!E4096, ""en"", ""bg"")"),"Какво представлява химическото свързване?")</f>
        <v>Какво представлява химическото свързване?</v>
      </c>
      <c r="F4096" s="1" t="str">
        <f ca="1">IFERROR(__xludf.DUMMYFUNCTION("GOOGLETRANSLATE(English!F4096,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4096" s="1" t="str">
        <f ca="1">IFERROR(__xludf.DUMMYFUNCTION("GOOGLETRANSLATE(English!G4096, ""en"", ""bg"")"),"direct_qa")</f>
        <v>direct_qa</v>
      </c>
      <c r="H4096" s="1" t="str">
        <f ca="1">IFERROR(__xludf.DUMMYFUNCTION("GOOGLETRANSLATE(English!H4096, ""en"", ""bg"")"),"заявка_за_знание")</f>
        <v>заявка_за_знание</v>
      </c>
    </row>
    <row r="4097" spans="1:8" ht="13.2" x14ac:dyDescent="0.25">
      <c r="A4097" s="1" t="str">
        <f ca="1">IFERROR(__xludf.DUMMYFUNCTION("GOOGLETRANSLATE(English!A4097, ""en"", ""bg"")"),"qa_11705")</f>
        <v>qa_11705</v>
      </c>
      <c r="B4097" s="1" t="str">
        <f ca="1">IFERROR(__xludf.DUMMYFUNCTION("GOOGLETRANSLATE(English!B4097, ""en"", ""bg"")"),"химия")</f>
        <v>химия</v>
      </c>
      <c r="C4097" s="1" t="str">
        <f ca="1">IFERROR(__xludf.DUMMYFUNCTION("GOOGLETRANSLATE(English!C4097, ""en"", ""bg"")"),"високо")</f>
        <v>високо</v>
      </c>
      <c r="D4097" s="1" t="str">
        <f ca="1">IFERROR(__xludf.DUMMYFUNCTION("GOOGLETRANSLATE(English!D4097, ""en"", ""bg"")"),"химическо свързване")</f>
        <v>химическо свързване</v>
      </c>
      <c r="E4097" s="1" t="str">
        <f ca="1">IFERROR(__xludf.DUMMYFUNCTION("GOOGLETRANSLATE(English!E4097, ""en"", ""bg"")"),"Защо е важно да се учи химичното свързване?")</f>
        <v>Защо е важно да се учи химичното свързване?</v>
      </c>
      <c r="F4097" s="1" t="str">
        <f ca="1">IFERROR(__xludf.DUMMYFUNCTION("GOOGLETRANSLATE(English!F4097,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4097" s="1" t="str">
        <f ca="1">IFERROR(__xludf.DUMMYFUNCTION("GOOGLETRANSLATE(English!G4097, ""en"", ""bg"")"),"direct_qa")</f>
        <v>direct_qa</v>
      </c>
      <c r="H4097" s="1" t="str">
        <f ca="1">IFERROR(__xludf.DUMMYFUNCTION("GOOGLETRANSLATE(English!H4097, ""en"", ""bg"")"),"заявка_за_знание")</f>
        <v>заявка_за_знание</v>
      </c>
    </row>
    <row r="4098" spans="1:8" ht="13.2" x14ac:dyDescent="0.25">
      <c r="A4098" s="1" t="str">
        <f ca="1">IFERROR(__xludf.DUMMYFUNCTION("GOOGLETRANSLATE(English!A4098, ""en"", ""bg"")"),"hw_02244")</f>
        <v>hw_02244</v>
      </c>
      <c r="B4098" s="1" t="str">
        <f ca="1">IFERROR(__xludf.DUMMYFUNCTION("GOOGLETRANSLATE(English!B4098, ""en"", ""bg"")"),"биология")</f>
        <v>биология</v>
      </c>
      <c r="C4098" s="1" t="str">
        <f ca="1">IFERROR(__xludf.DUMMYFUNCTION("GOOGLETRANSLATE(English!C4098, ""en"", ""bg"")"),"високо")</f>
        <v>високо</v>
      </c>
      <c r="D4098" s="1" t="str">
        <f ca="1">IFERROR(__xludf.DUMMYFUNCTION("GOOGLETRANSLATE(English!D4098, ""en"", ""bg"")"),"митоза и мейоза")</f>
        <v>митоза и мейоза</v>
      </c>
      <c r="E4098" s="1" t="str">
        <f ca="1">IFERROR(__xludf.DUMMYFUNCTION("GOOGLETRANSLATE(English!E4098, ""en"", ""bg"")"),"Трябва да напиша доклад за митозата и мейозата. Можете ли да ми помогнете да започна?")</f>
        <v>Трябва да напиша доклад за митозата и мейозата. Можете ли да ми помогнете да започна?</v>
      </c>
      <c r="F4098" s="1" t="str">
        <f ca="1">IFERROR(__xludf.DUMMYFUNCTION("GOOGLETRANSLATE(English!F4098,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4098" s="1" t="str">
        <f ca="1">IFERROR(__xludf.DUMMYFUNCTION("GOOGLETRANSLATE(English!G4098, ""en"", ""bg"")"),"помощ_за_домашно_изпълнение")</f>
        <v>помощ_за_домашно_изпълнение</v>
      </c>
      <c r="H4098" s="1" t="str">
        <f ca="1">IFERROR(__xludf.DUMMYFUNCTION("GOOGLETRANSLATE(English!H4098, ""en"", ""bg"")"),"помощ_за_домашно_задаване")</f>
        <v>помощ_за_домашно_задаване</v>
      </c>
    </row>
    <row r="4099" spans="1:8" ht="13.2" x14ac:dyDescent="0.25">
      <c r="A4099" s="1" t="str">
        <f ca="1">IFERROR(__xludf.DUMMYFUNCTION("GOOGLETRANSLATE(English!A4099, ""en"", ""bg"")"),"qa_03825")</f>
        <v>qa_03825</v>
      </c>
      <c r="B4099" s="1" t="str">
        <f ca="1">IFERROR(__xludf.DUMMYFUNCTION("GOOGLETRANSLATE(English!B4099, ""en"", ""bg"")"),"химия")</f>
        <v>химия</v>
      </c>
      <c r="C4099" s="1" t="str">
        <f ca="1">IFERROR(__xludf.DUMMYFUNCTION("GOOGLETRANSLATE(English!C4099, ""en"", ""bg"")"),"елементарен")</f>
        <v>елементарен</v>
      </c>
      <c r="D4099" s="1" t="str">
        <f ca="1">IFERROR(__xludf.DUMMYFUNCTION("GOOGLETRANSLATE(English!D4099, ""en"", ""bg"")"),"ежедневни химикали")</f>
        <v>ежедневни химикали</v>
      </c>
      <c r="E4099" s="1" t="str">
        <f ca="1">IFERROR(__xludf.DUMMYFUNCTION("GOOGLETRANSLATE(English!E4099, ""en"", ""bg"")"),"Какво представляват ежедневните химикали?")</f>
        <v>Какво представляват ежедневните химикали?</v>
      </c>
      <c r="F4099" s="1" t="str">
        <f ca="1">IFERROR(__xludf.DUMMYFUNCTION("GOOGLETRANSLATE(English!F4099,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4099" s="1" t="str">
        <f ca="1">IFERROR(__xludf.DUMMYFUNCTION("GOOGLETRANSLATE(English!G4099, ""en"", ""bg"")"),"direct_qa")</f>
        <v>direct_qa</v>
      </c>
      <c r="H4099" s="1" t="str">
        <f ca="1">IFERROR(__xludf.DUMMYFUNCTION("GOOGLETRANSLATE(English!H4099, ""en"", ""bg"")"),"заявка_за_знание")</f>
        <v>заявка_за_знание</v>
      </c>
    </row>
    <row r="4100" spans="1:8" ht="13.2" x14ac:dyDescent="0.25">
      <c r="A4100" s="1" t="str">
        <f ca="1">IFERROR(__xludf.DUMMYFUNCTION("GOOGLETRANSLATE(English!A4100, ""en"", ""bg"")"),"qa_04124")</f>
        <v>qa_04124</v>
      </c>
      <c r="B4100" s="1" t="str">
        <f ca="1">IFERROR(__xludf.DUMMYFUNCTION("GOOGLETRANSLATE(English!B4100, ""en"", ""bg"")"),"физика")</f>
        <v>физика</v>
      </c>
      <c r="C4100" s="1" t="str">
        <f ca="1">IFERROR(__xludf.DUMMYFUNCTION("GOOGLETRANSLATE(English!C4100, ""en"", ""bg"")"),"елементарен")</f>
        <v>елементарен</v>
      </c>
      <c r="D4100" s="1" t="str">
        <f ca="1">IFERROR(__xludf.DUMMYFUNCTION("GOOGLETRANSLATE(English!D4100, ""en"", ""bg"")"),"прости машини")</f>
        <v>прости машини</v>
      </c>
      <c r="E4100" s="1" t="str">
        <f ca="1">IFERROR(__xludf.DUMMYFUNCTION("GOOGLETRANSLATE(English!E4100, ""en"", ""bg"")"),"Как работят прости машини във физиката?")</f>
        <v>Как работят прости машини във физиката?</v>
      </c>
      <c r="F4100" s="1" t="str">
        <f ca="1">IFERROR(__xludf.DUMMYFUNCTION("GOOGLETRANSLATE(English!F4100,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4100" s="1" t="str">
        <f ca="1">IFERROR(__xludf.DUMMYFUNCTION("GOOGLETRANSLATE(English!G4100, ""en"", ""bg"")"),"direct_qa")</f>
        <v>direct_qa</v>
      </c>
      <c r="H4100" s="1" t="str">
        <f ca="1">IFERROR(__xludf.DUMMYFUNCTION("GOOGLETRANSLATE(English!H4100, ""en"", ""bg"")"),"заявка_за_знание")</f>
        <v>заявка_за_знание</v>
      </c>
    </row>
    <row r="4101" spans="1:8" ht="13.2" x14ac:dyDescent="0.25">
      <c r="A4101" s="1" t="str">
        <f ca="1">IFERROR(__xludf.DUMMYFUNCTION("GOOGLETRANSLATE(English!A4101, ""en"", ""bg"")"),"hw_13857")</f>
        <v>hw_13857</v>
      </c>
      <c r="B4101" s="1" t="str">
        <f ca="1">IFERROR(__xludf.DUMMYFUNCTION("GOOGLETRANSLATE(English!B4101, ""en"", ""bg"")"),"биология")</f>
        <v>биология</v>
      </c>
      <c r="C4101" s="1" t="str">
        <f ca="1">IFERROR(__xludf.DUMMYFUNCTION("GOOGLETRANSLATE(English!C4101, ""en"", ""bg"")"),"елементарен")</f>
        <v>елементарен</v>
      </c>
      <c r="D4101" s="1" t="str">
        <f ca="1">IFERROR(__xludf.DUMMYFUNCTION("GOOGLETRANSLATE(English!D4101, ""en"", ""bg"")"),"жизнени цикли")</f>
        <v>жизнени цикли</v>
      </c>
      <c r="E4101" s="1" t="str">
        <f ca="1">IFERROR(__xludf.DUMMYFUNCTION("GOOGLETRANSLATE(English!E4101, ""en"", ""bg"")"),"Можете ли да обясните жизнените цикли за моя научен проект?")</f>
        <v>Можете ли да обясните жизнените цикли за моя научен проект?</v>
      </c>
      <c r="F4101" s="1" t="str">
        <f ca="1">IFERROR(__xludf.DUMMYFUNCTION("GOOGLETRANSLATE(English!F4101,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4101" s="1" t="str">
        <f ca="1">IFERROR(__xludf.DUMMYFUNCTION("GOOGLETRANSLATE(English!G4101, ""en"", ""bg"")"),"помощ_за_домашно_изпълнение")</f>
        <v>помощ_за_домашно_изпълнение</v>
      </c>
      <c r="H4101" s="1" t="str">
        <f ca="1">IFERROR(__xludf.DUMMYFUNCTION("GOOGLETRANSLATE(English!H4101, ""en"", ""bg"")"),"помощ_за_домашно_задаване")</f>
        <v>помощ_за_домашно_задаване</v>
      </c>
    </row>
    <row r="4102" spans="1:8" ht="13.2" x14ac:dyDescent="0.25">
      <c r="A4102" s="1" t="str">
        <f ca="1">IFERROR(__xludf.DUMMYFUNCTION("GOOGLETRANSLATE(English!A4102, ""en"", ""bg"")"),"conv_09902")</f>
        <v>conv_09902</v>
      </c>
      <c r="B4102" s="1" t="str">
        <f ca="1">IFERROR(__xludf.DUMMYFUNCTION("GOOGLETRANSLATE(English!B4102, ""en"", ""bg"")"),"биология")</f>
        <v>биология</v>
      </c>
      <c r="C4102" s="1" t="str">
        <f ca="1">IFERROR(__xludf.DUMMYFUNCTION("GOOGLETRANSLATE(English!C4102, ""en"", ""bg"")"),"елементарен")</f>
        <v>елементарен</v>
      </c>
      <c r="D4102" s="1" t="str">
        <f ca="1">IFERROR(__xludf.DUMMYFUNCTION("GOOGLETRANSLATE(English!D4102, ""en"", ""bg"")"),"жизнени цикли")</f>
        <v>жизнени цикли</v>
      </c>
      <c r="E4102" s="1" t="str">
        <f ca="1">IFERROR(__xludf.DUMMYFUNCTION("GOOGLETRANSLATE(English!E4102, ""en"", ""bg"")"),"Можете ли да ми обясните това? Какво е важно да знаем за жизнените цикли?")</f>
        <v>Можете ли да ми обясните това? Какво е важно да знаем за жизнените цикли?</v>
      </c>
      <c r="F4102" s="1" t="str">
        <f ca="1">IFERROR(__xludf.DUMMYFUNCTION("GOOGLETRANSLATE(English!F4102, ""en"", ""bg"")"),"Най-важното нещо за жизнените цикли е как те са свързани с други части на живота и природата.")</f>
        <v>Най-важното нещо за жизнените цикли е как те са свързани с други части на живота и природата.</v>
      </c>
      <c r="G4102" s="1" t="str">
        <f ca="1">IFERROR(__xludf.DUMMYFUNCTION("GOOGLETRANSLATE(English!G4102, ""en"", ""bg"")"),"разговор")</f>
        <v>разговор</v>
      </c>
      <c r="H4102" s="1" t="str">
        <f ca="1">IFERROR(__xludf.DUMMYFUNCTION("GOOGLETRANSLATE(English!H4102, ""en"", ""bg"")"),"образователна_помощ")</f>
        <v>образователна_помощ</v>
      </c>
    </row>
    <row r="4103" spans="1:8" ht="13.2" x14ac:dyDescent="0.25">
      <c r="A4103" s="1" t="str">
        <f ca="1">IFERROR(__xludf.DUMMYFUNCTION("GOOGLETRANSLATE(English!A4103, ""en"", ""bg"")"),"hw_06697")</f>
        <v>hw_06697</v>
      </c>
      <c r="B4103" s="1" t="str">
        <f ca="1">IFERROR(__xludf.DUMMYFUNCTION("GOOGLETRANSLATE(English!B4103, ""en"", ""bg"")"),"физика")</f>
        <v>физика</v>
      </c>
      <c r="C4103" s="1" t="str">
        <f ca="1">IFERROR(__xludf.DUMMYFUNCTION("GOOGLETRANSLATE(English!C4103, ""en"", ""bg"")"),"елементарен")</f>
        <v>елементарен</v>
      </c>
      <c r="D4103" s="1" t="str">
        <f ca="1">IFERROR(__xludf.DUMMYFUNCTION("GOOGLETRANSLATE(English!D4103, ""en"", ""bg"")"),"прости машини")</f>
        <v>прости машини</v>
      </c>
      <c r="E4103" s="1" t="str">
        <f ca="1">IFERROR(__xludf.DUMMYFUNCTION("GOOGLETRANSLATE(English!E4103, ""en"", ""bg"")"),"Можете ли да решите този прост проблем с машините заедно с мен?")</f>
        <v>Можете ли да решите този прост проблем с машините заедно с мен?</v>
      </c>
      <c r="F4103" s="1" t="str">
        <f ca="1">IFERROR(__xludf.DUMMYFUNCTION("GOOGLETRANSLATE(English!F4103,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4103" s="1" t="str">
        <f ca="1">IFERROR(__xludf.DUMMYFUNCTION("GOOGLETRANSLATE(English!G4103, ""en"", ""bg"")"),"помощ_за_домашно_изпълнение")</f>
        <v>помощ_за_домашно_изпълнение</v>
      </c>
      <c r="H4103" s="1" t="str">
        <f ca="1">IFERROR(__xludf.DUMMYFUNCTION("GOOGLETRANSLATE(English!H4103, ""en"", ""bg"")"),"помощ_за_домашно_задаване")</f>
        <v>помощ_за_домашно_задаване</v>
      </c>
    </row>
    <row r="4104" spans="1:8" ht="13.2" x14ac:dyDescent="0.25">
      <c r="A4104" s="1" t="str">
        <f ca="1">IFERROR(__xludf.DUMMYFUNCTION("GOOGLETRANSLATE(English!A4104, ""en"", ""bg"")"),"conv_09959")</f>
        <v>conv_09959</v>
      </c>
      <c r="B4104" s="1" t="str">
        <f ca="1">IFERROR(__xludf.DUMMYFUNCTION("GOOGLETRANSLATE(English!B4104, ""en"", ""bg"")"),"химия")</f>
        <v>химия</v>
      </c>
      <c r="C4104" s="1" t="str">
        <f ca="1">IFERROR(__xludf.DUMMYFUNCTION("GOOGLETRANSLATE(English!C4104, ""en"", ""bg"")"),"средата")</f>
        <v>средата</v>
      </c>
      <c r="D4104" s="1" t="str">
        <f ca="1">IFERROR(__xludf.DUMMYFUNCTION("GOOGLETRANSLATE(English!D4104, ""en"", ""bg"")"),"киселини и основи")</f>
        <v>киселини и основи</v>
      </c>
      <c r="E4104" s="1" t="str">
        <f ca="1">IFERROR(__xludf.DUMMYFUNCTION("GOOGLETRANSLATE(English!E4104, ""en"", ""bg"")"),"Можете ли да ми помогнете? Защо е важно да се изучават киселини и основи?")</f>
        <v>Можете ли да ми помогнете? Защо е важно да се изучават киселини и основи?</v>
      </c>
      <c r="F4104" s="1" t="str">
        <f ca="1">IFERROR(__xludf.DUMMYFUNCTION("GOOGLETRANSLATE(English!F4104,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4104" s="1" t="str">
        <f ca="1">IFERROR(__xludf.DUMMYFUNCTION("GOOGLETRANSLATE(English!G4104, ""en"", ""bg"")"),"разговор")</f>
        <v>разговор</v>
      </c>
      <c r="H4104" s="1" t="str">
        <f ca="1">IFERROR(__xludf.DUMMYFUNCTION("GOOGLETRANSLATE(English!H4104, ""en"", ""bg"")"),"образователна_помощ")</f>
        <v>образователна_помощ</v>
      </c>
    </row>
    <row r="4105" spans="1:8" ht="13.2" x14ac:dyDescent="0.25">
      <c r="A4105" s="1" t="str">
        <f ca="1">IFERROR(__xludf.DUMMYFUNCTION("GOOGLETRANSLATE(English!A4105, ""en"", ""bg"")"),"qa_01601")</f>
        <v>qa_01601</v>
      </c>
      <c r="B4105" s="1" t="str">
        <f ca="1">IFERROR(__xludf.DUMMYFUNCTION("GOOGLETRANSLATE(English!B4105, ""en"", ""bg"")"),"химия")</f>
        <v>химия</v>
      </c>
      <c r="C4105" s="1" t="str">
        <f ca="1">IFERROR(__xludf.DUMMYFUNCTION("GOOGLETRANSLATE(English!C4105, ""en"", ""bg"")"),"високо")</f>
        <v>високо</v>
      </c>
      <c r="D4105" s="1" t="str">
        <f ca="1">IFERROR(__xludf.DUMMYFUNCTION("GOOGLETRANSLATE(English!D4105, ""en"", ""bg"")"),"органична химия")</f>
        <v>органична химия</v>
      </c>
      <c r="E4105" s="1" t="str">
        <f ca="1">IFERROR(__xludf.DUMMYFUNCTION("GOOGLETRANSLATE(English!E4105, ""en"", ""bg"")"),"Защо е важно да се учи органична химия?")</f>
        <v>Защо е важно да се учи органична химия?</v>
      </c>
      <c r="F4105" s="1" t="str">
        <f ca="1">IFERROR(__xludf.DUMMYFUNCTION("GOOGLETRANSLATE(English!F4105,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4105" s="1" t="str">
        <f ca="1">IFERROR(__xludf.DUMMYFUNCTION("GOOGLETRANSLATE(English!G4105, ""en"", ""bg"")"),"direct_qa")</f>
        <v>direct_qa</v>
      </c>
      <c r="H4105" s="1" t="str">
        <f ca="1">IFERROR(__xludf.DUMMYFUNCTION("GOOGLETRANSLATE(English!H4105, ""en"", ""bg"")"),"заявка_за_знание")</f>
        <v>заявка_за_знание</v>
      </c>
    </row>
    <row r="4106" spans="1:8" ht="13.2" x14ac:dyDescent="0.25">
      <c r="A4106" s="1" t="str">
        <f ca="1">IFERROR(__xludf.DUMMYFUNCTION("GOOGLETRANSLATE(English!A4106, ""en"", ""bg"")"),"hw_02495")</f>
        <v>hw_02495</v>
      </c>
      <c r="B4106" s="1" t="str">
        <f ca="1">IFERROR(__xludf.DUMMYFUNCTION("GOOGLETRANSLATE(English!B4106, ""en"", ""bg"")"),"физика")</f>
        <v>физика</v>
      </c>
      <c r="C4106" s="1" t="str">
        <f ca="1">IFERROR(__xludf.DUMMYFUNCTION("GOOGLETRANSLATE(English!C4106, ""en"", ""bg"")"),"високо")</f>
        <v>високо</v>
      </c>
      <c r="D4106" s="1" t="str">
        <f ca="1">IFERROR(__xludf.DUMMYFUNCTION("GOOGLETRANSLATE(English!D4106, ""en"", ""bg"")"),"механика")</f>
        <v>механика</v>
      </c>
      <c r="E4106" s="1" t="str">
        <f ca="1">IFERROR(__xludf.DUMMYFUNCTION("GOOGLETRANSLATE(English!E4106, ""en"", ""bg"")"),"Домашното ми по физика е за механика. Объркващо е!")</f>
        <v>Домашното ми по физика е за механика. Объркващо е!</v>
      </c>
      <c r="F4106" s="1" t="str">
        <f ca="1">IFERROR(__xludf.DUMMYFUNCTION("GOOGLETRANSLATE(English!F4106,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4106" s="1" t="str">
        <f ca="1">IFERROR(__xludf.DUMMYFUNCTION("GOOGLETRANSLATE(English!G4106, ""en"", ""bg"")"),"помощ_за_домашно_изпълнение")</f>
        <v>помощ_за_домашно_изпълнение</v>
      </c>
      <c r="H4106" s="1" t="str">
        <f ca="1">IFERROR(__xludf.DUMMYFUNCTION("GOOGLETRANSLATE(English!H4106, ""en"", ""bg"")"),"помощ_за_домашно_задаване")</f>
        <v>помощ_за_домашно_задаване</v>
      </c>
    </row>
    <row r="4107" spans="1:8" ht="13.2" x14ac:dyDescent="0.25">
      <c r="A4107" s="1" t="str">
        <f ca="1">IFERROR(__xludf.DUMMYFUNCTION("GOOGLETRANSLATE(English!A4107, ""en"", ""bg"")"),"hw_10752")</f>
        <v>hw_10752</v>
      </c>
      <c r="B4107" s="1" t="str">
        <f ca="1">IFERROR(__xludf.DUMMYFUNCTION("GOOGLETRANSLATE(English!B4107, ""en"", ""bg"")"),"физика")</f>
        <v>физика</v>
      </c>
      <c r="C4107" s="1" t="str">
        <f ca="1">IFERROR(__xludf.DUMMYFUNCTION("GOOGLETRANSLATE(English!C4107, ""en"", ""bg"")"),"средата")</f>
        <v>средата</v>
      </c>
      <c r="D4107" s="1" t="str">
        <f ca="1">IFERROR(__xludf.DUMMYFUNCTION("GOOGLETRANSLATE(English!D4107, ""en"", ""bg"")"),"състояния на материята")</f>
        <v>състояния на материята</v>
      </c>
      <c r="E4107" s="1" t="str">
        <f ca="1">IFERROR(__xludf.DUMMYFUNCTION("GOOGLETRANSLATE(English!E4107, ""en"", ""bg"")"),"Заседнал съм с този проблем със състоянията на материята. Можете ли да помогнете?")</f>
        <v>Заседнал съм с този проблем със състоянията на материята. Можете ли да помогнете?</v>
      </c>
      <c r="F4107" s="1" t="str">
        <f ca="1">IFERROR(__xludf.DUMMYFUNCTION("GOOGLETRANSLATE(English!F4107,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4107" s="1" t="str">
        <f ca="1">IFERROR(__xludf.DUMMYFUNCTION("GOOGLETRANSLATE(English!G4107, ""en"", ""bg"")"),"помощ_за_домашно_изпълнение")</f>
        <v>помощ_за_домашно_изпълнение</v>
      </c>
      <c r="H4107" s="1" t="str">
        <f ca="1">IFERROR(__xludf.DUMMYFUNCTION("GOOGLETRANSLATE(English!H4107, ""en"", ""bg"")"),"помощ_за_домашно_задаване")</f>
        <v>помощ_за_домашно_задаване</v>
      </c>
    </row>
    <row r="4108" spans="1:8" ht="13.2" x14ac:dyDescent="0.25">
      <c r="A4108" s="1" t="str">
        <f ca="1">IFERROR(__xludf.DUMMYFUNCTION("GOOGLETRANSLATE(English!A4108, ""en"", ""bg"")"),"qa_03191")</f>
        <v>qa_03191</v>
      </c>
      <c r="B4108" s="1" t="str">
        <f ca="1">IFERROR(__xludf.DUMMYFUNCTION("GOOGLETRANSLATE(English!B4108, ""en"", ""bg"")"),"физика")</f>
        <v>физика</v>
      </c>
      <c r="C4108" s="1" t="str">
        <f ca="1">IFERROR(__xludf.DUMMYFUNCTION("GOOGLETRANSLATE(English!C4108, ""en"", ""bg"")"),"високо")</f>
        <v>високо</v>
      </c>
      <c r="D4108" s="1" t="str">
        <f ca="1">IFERROR(__xludf.DUMMYFUNCTION("GOOGLETRANSLATE(English!D4108, ""en"", ""bg"")"),"механика")</f>
        <v>механика</v>
      </c>
      <c r="E4108" s="1" t="str">
        <f ca="1">IFERROR(__xludf.DUMMYFUNCTION("GOOGLETRANSLATE(English!E4108, ""en"", ""bg"")"),"Как работи механиката във физиката?")</f>
        <v>Как работи механиката във физиката?</v>
      </c>
      <c r="F4108" s="1" t="str">
        <f ca="1">IFERROR(__xludf.DUMMYFUNCTION("GOOGLETRANSLATE(English!F4108, ""en"", ""bg"")"),"Механиката работи според научни принципи, които можем да наблюдаваме и измерваме.")</f>
        <v>Механиката работи според научни принципи, които можем да наблюдаваме и измерваме.</v>
      </c>
      <c r="G4108" s="1" t="str">
        <f ca="1">IFERROR(__xludf.DUMMYFUNCTION("GOOGLETRANSLATE(English!G4108, ""en"", ""bg"")"),"direct_qa")</f>
        <v>direct_qa</v>
      </c>
      <c r="H4108" s="1" t="str">
        <f ca="1">IFERROR(__xludf.DUMMYFUNCTION("GOOGLETRANSLATE(English!H4108, ""en"", ""bg"")"),"заявка_за_знание")</f>
        <v>заявка_за_знание</v>
      </c>
    </row>
    <row r="4109" spans="1:8" ht="13.2" x14ac:dyDescent="0.25">
      <c r="A4109" s="1" t="str">
        <f ca="1">IFERROR(__xludf.DUMMYFUNCTION("GOOGLETRANSLATE(English!A4109, ""en"", ""bg"")"),"hw_13124")</f>
        <v>hw_13124</v>
      </c>
      <c r="B4109" s="1" t="str">
        <f ca="1">IFERROR(__xludf.DUMMYFUNCTION("GOOGLETRANSLATE(English!B4109, ""en"", ""bg"")"),"физика")</f>
        <v>физика</v>
      </c>
      <c r="C4109" s="1" t="str">
        <f ca="1">IFERROR(__xludf.DUMMYFUNCTION("GOOGLETRANSLATE(English!C4109, ""en"", ""bg"")"),"елементарен")</f>
        <v>елементарен</v>
      </c>
      <c r="D4109" s="1" t="str">
        <f ca="1">IFERROR(__xludf.DUMMYFUNCTION("GOOGLETRANSLATE(English!D4109, ""en"", ""bg"")"),"светлина и сянка")</f>
        <v>светлина и сянка</v>
      </c>
      <c r="E4109" s="1" t="str">
        <f ca="1">IFERROR(__xludf.DUMMYFUNCTION("GOOGLETRANSLATE(English!E4109, ""en"", ""bg"")"),"Заседнал съм с този проблем със светлината и сянката. Можете ли да помогнете?")</f>
        <v>Заседнал съм с този проблем със светлината и сянката. Можете ли да помогнете?</v>
      </c>
      <c r="F4109" s="1" t="str">
        <f ca="1">IFERROR(__xludf.DUMMYFUNCTION("GOOGLETRANSLATE(English!F4109,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4109" s="1" t="str">
        <f ca="1">IFERROR(__xludf.DUMMYFUNCTION("GOOGLETRANSLATE(English!G4109, ""en"", ""bg"")"),"помощ_за_домашно_изпълнение")</f>
        <v>помощ_за_домашно_изпълнение</v>
      </c>
      <c r="H4109" s="1" t="str">
        <f ca="1">IFERROR(__xludf.DUMMYFUNCTION("GOOGLETRANSLATE(English!H4109, ""en"", ""bg"")"),"помощ_за_домашно_задаване")</f>
        <v>помощ_за_домашно_задаване</v>
      </c>
    </row>
    <row r="4110" spans="1:8" ht="13.2" x14ac:dyDescent="0.25">
      <c r="A4110" s="1" t="str">
        <f ca="1">IFERROR(__xludf.DUMMYFUNCTION("GOOGLETRANSLATE(English!A4110, ""en"", ""bg"")"),"hw_13792")</f>
        <v>hw_13792</v>
      </c>
      <c r="B4110" s="1" t="str">
        <f ca="1">IFERROR(__xludf.DUMMYFUNCTION("GOOGLETRANSLATE(English!B4110, ""en"", ""bg"")"),"физика")</f>
        <v>физика</v>
      </c>
      <c r="C4110" s="1" t="str">
        <f ca="1">IFERROR(__xludf.DUMMYFUNCTION("GOOGLETRANSLATE(English!C4110, ""en"", ""bg"")"),"елементарен")</f>
        <v>елементарен</v>
      </c>
      <c r="D4110" s="1" t="str">
        <f ca="1">IFERROR(__xludf.DUMMYFUNCTION("GOOGLETRANSLATE(English!D4110, ""en"", ""bg"")"),"магнити")</f>
        <v>магнити</v>
      </c>
      <c r="E4110" s="1" t="str">
        <f ca="1">IFERROR(__xludf.DUMMYFUNCTION("GOOGLETRANSLATE(English!E4110, ""en"", ""bg"")"),"Заседнал съм с този проблем с магнитите. Можете ли да помогнете?")</f>
        <v>Заседнал съм с този проблем с магнитите. Можете ли да помогнете?</v>
      </c>
      <c r="F4110" s="1" t="str">
        <f ca="1">IFERROR(__xludf.DUMMYFUNCTION("GOOGLETRANSLATE(English!F4110, ""en"", ""bg"")"),"Ще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v>
      </c>
      <c r="G4110" s="1" t="str">
        <f ca="1">IFERROR(__xludf.DUMMYFUNCTION("GOOGLETRANSLATE(English!G4110, ""en"", ""bg"")"),"помощ_за_домашно_изпълнение")</f>
        <v>помощ_за_домашно_изпълнение</v>
      </c>
      <c r="H4110" s="1" t="str">
        <f ca="1">IFERROR(__xludf.DUMMYFUNCTION("GOOGLETRANSLATE(English!H4110, ""en"", ""bg"")"),"помощ_за_домашно_задаване")</f>
        <v>помощ_за_домашно_задаване</v>
      </c>
    </row>
    <row r="4111" spans="1:8" ht="13.2" x14ac:dyDescent="0.25">
      <c r="A4111" s="1" t="str">
        <f ca="1">IFERROR(__xludf.DUMMYFUNCTION("GOOGLETRANSLATE(English!A4111, ""en"", ""bg"")"),"conv_12520")</f>
        <v>conv_12520</v>
      </c>
      <c r="B4111" s="1" t="str">
        <f ca="1">IFERROR(__xludf.DUMMYFUNCTION("GOOGLETRANSLATE(English!B4111, ""en"", ""bg"")"),"химия")</f>
        <v>химия</v>
      </c>
      <c r="C4111" s="1" t="str">
        <f ca="1">IFERROR(__xludf.DUMMYFUNCTION("GOOGLETRANSLATE(English!C4111, ""en"", ""bg"")"),"средата")</f>
        <v>средата</v>
      </c>
      <c r="D4111" s="1" t="str">
        <f ca="1">IFERROR(__xludf.DUMMYFUNCTION("GOOGLETRANSLATE(English!D4111, ""en"", ""bg"")"),"съединения срещу елементи")</f>
        <v>съединения срещу елементи</v>
      </c>
      <c r="E4111" s="1" t="str">
        <f ca="1">IFERROR(__xludf.DUMMYFUNCTION("GOOGLETRANSLATE(English!E4111, ""en"", ""bg"")"),"Помогнете ми да уча за теста си. Как взаимодействат съединенията и елементите в химията?")</f>
        <v>Помогнете ми да уча за теста си. Как взаимодействат съединенията и елементите в химията?</v>
      </c>
      <c r="F4111" s="1" t="str">
        <f ca="1">IFERROR(__xludf.DUMMYFUNCTION("GOOGLETRANSLATE(English!F4111,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4111" s="1" t="str">
        <f ca="1">IFERROR(__xludf.DUMMYFUNCTION("GOOGLETRANSLATE(English!G4111, ""en"", ""bg"")"),"разговор")</f>
        <v>разговор</v>
      </c>
      <c r="H4111" s="1" t="str">
        <f ca="1">IFERROR(__xludf.DUMMYFUNCTION("GOOGLETRANSLATE(English!H4111, ""en"", ""bg"")"),"образователна_помощ")</f>
        <v>образователна_помощ</v>
      </c>
    </row>
    <row r="4112" spans="1:8" ht="13.2" x14ac:dyDescent="0.25">
      <c r="A4112" s="1" t="str">
        <f ca="1">IFERROR(__xludf.DUMMYFUNCTION("GOOGLETRANSLATE(English!A4112, ""en"", ""bg"")"),"conv_16519")</f>
        <v>conv_16519</v>
      </c>
      <c r="B4112" s="1" t="str">
        <f ca="1">IFERROR(__xludf.DUMMYFUNCTION("GOOGLETRANSLATE(English!B4112, ""en"", ""bg"")"),"химия")</f>
        <v>химия</v>
      </c>
      <c r="C4112" s="1" t="str">
        <f ca="1">IFERROR(__xludf.DUMMYFUNCTION("GOOGLETRANSLATE(English!C4112, ""en"", ""bg"")"),"високо")</f>
        <v>високо</v>
      </c>
      <c r="D4112" s="1" t="str">
        <f ca="1">IFERROR(__xludf.DUMMYFUNCTION("GOOGLETRANSLATE(English!D4112, ""en"", ""bg"")"),"стехиометрия")</f>
        <v>стехиометрия</v>
      </c>
      <c r="E4112" s="1" t="str">
        <f ca="1">IFERROR(__xludf.DUMMYFUNCTION("GOOGLETRANSLATE(English!E4112, ""en"", ""bg"")"),"Имам научен въпрос. Защо е важно да се учи стехиометрията?")</f>
        <v>Имам научен въпрос. Защо е важно да се учи стехиометрията?</v>
      </c>
      <c r="F4112" s="1" t="str">
        <f ca="1">IFERROR(__xludf.DUMMYFUNCTION("GOOGLETRANSLATE(English!F4112,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4112" s="1" t="str">
        <f ca="1">IFERROR(__xludf.DUMMYFUNCTION("GOOGLETRANSLATE(English!G4112, ""en"", ""bg"")"),"разговор")</f>
        <v>разговор</v>
      </c>
      <c r="H4112" s="1" t="str">
        <f ca="1">IFERROR(__xludf.DUMMYFUNCTION("GOOGLETRANSLATE(English!H4112, ""en"", ""bg"")"),"образователна_помощ")</f>
        <v>образователна_помощ</v>
      </c>
    </row>
    <row r="4113" spans="1:8" ht="13.2" x14ac:dyDescent="0.25">
      <c r="A4113" s="1" t="str">
        <f ca="1">IFERROR(__xludf.DUMMYFUNCTION("GOOGLETRANSLATE(English!A4113, ""en"", ""bg"")"),"hw_13820")</f>
        <v>hw_13820</v>
      </c>
      <c r="B4113" s="1" t="str">
        <f ca="1">IFERROR(__xludf.DUMMYFUNCTION("GOOGLETRANSLATE(English!B4113, ""en"", ""bg"")"),"химия")</f>
        <v>химия</v>
      </c>
      <c r="C4113" s="1" t="str">
        <f ca="1">IFERROR(__xludf.DUMMYFUNCTION("GOOGLETRANSLATE(English!C4113, ""en"", ""bg"")"),"елементарен")</f>
        <v>елементарен</v>
      </c>
      <c r="D4113" s="1" t="str">
        <f ca="1">IFERROR(__xludf.DUMMYFUNCTION("GOOGLETRANSLATE(English!D4113, ""en"", ""bg"")"),"промени в материалите")</f>
        <v>промени в материалите</v>
      </c>
      <c r="E4113" s="1" t="str">
        <f ca="1">IFERROR(__xludf.DUMMYFUNCTION("GOOGLETRANSLATE(English!E4113, ""en"", ""bg"")"),"Не разбирам тази концепция за промени в материалите. Моля, обяснете!")</f>
        <v>Не разбирам тази концепция за промени в материалите. Моля, обяснете!</v>
      </c>
      <c r="F4113" s="1" t="str">
        <f ca="1">IFERROR(__xludf.DUMMYFUNCTION("GOOGLETRANSLATE(English!F4113,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4113" s="1" t="str">
        <f ca="1">IFERROR(__xludf.DUMMYFUNCTION("GOOGLETRANSLATE(English!G4113, ""en"", ""bg"")"),"помощ_за_домашно_изпълнение")</f>
        <v>помощ_за_домашно_изпълнение</v>
      </c>
      <c r="H4113" s="1" t="str">
        <f ca="1">IFERROR(__xludf.DUMMYFUNCTION("GOOGLETRANSLATE(English!H4113, ""en"", ""bg"")"),"помощ_за_домашно_задаване")</f>
        <v>помощ_за_домашно_задаване</v>
      </c>
    </row>
    <row r="4114" spans="1:8" ht="13.2" x14ac:dyDescent="0.25">
      <c r="A4114" s="1" t="str">
        <f ca="1">IFERROR(__xludf.DUMMYFUNCTION("GOOGLETRANSLATE(English!A4114, ""en"", ""bg"")"),"qa_12935")</f>
        <v>qa_12935</v>
      </c>
      <c r="B4114" s="1" t="str">
        <f ca="1">IFERROR(__xludf.DUMMYFUNCTION("GOOGLETRANSLATE(English!B4114, ""en"", ""bg"")"),"химия")</f>
        <v>химия</v>
      </c>
      <c r="C4114" s="1" t="str">
        <f ca="1">IFERROR(__xludf.DUMMYFUNCTION("GOOGLETRANSLATE(English!C4114, ""en"", ""bg"")"),"елементарен")</f>
        <v>елементарен</v>
      </c>
      <c r="D4114" s="1" t="str">
        <f ca="1">IFERROR(__xludf.DUMMYFUNCTION("GOOGLETRANSLATE(English!D4114, ""en"", ""bg"")"),"промени в материалите")</f>
        <v>промени в материалите</v>
      </c>
      <c r="E4114" s="1" t="str">
        <f ca="1">IFERROR(__xludf.DUMMYFUNCTION("GOOGLETRANSLATE(English!E4114, ""en"", ""bg"")"),"Какво представляват промените в материалите?")</f>
        <v>Какво представляват промените в материалите?</v>
      </c>
      <c r="F4114" s="1" t="str">
        <f ca="1">IFERROR(__xludf.DUMMYFUNCTION("GOOGLETRANSLATE(English!F4114,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4114" s="1" t="str">
        <f ca="1">IFERROR(__xludf.DUMMYFUNCTION("GOOGLETRANSLATE(English!G4114, ""en"", ""bg"")"),"direct_qa")</f>
        <v>direct_qa</v>
      </c>
      <c r="H4114" s="1" t="str">
        <f ca="1">IFERROR(__xludf.DUMMYFUNCTION("GOOGLETRANSLATE(English!H4114, ""en"", ""bg"")"),"заявка_за_знание")</f>
        <v>заявка_за_знание</v>
      </c>
    </row>
    <row r="4115" spans="1:8" ht="13.2" x14ac:dyDescent="0.25">
      <c r="A4115" s="1" t="str">
        <f ca="1">IFERROR(__xludf.DUMMYFUNCTION("GOOGLETRANSLATE(English!A4115, ""en"", ""bg"")"),"hw_12048")</f>
        <v>hw_12048</v>
      </c>
      <c r="B4115" s="1" t="str">
        <f ca="1">IFERROR(__xludf.DUMMYFUNCTION("GOOGLETRANSLATE(English!B4115, ""en"", ""bg"")"),"биология")</f>
        <v>биология</v>
      </c>
      <c r="C4115" s="1" t="str">
        <f ca="1">IFERROR(__xludf.DUMMYFUNCTION("GOOGLETRANSLATE(English!C4115, ""en"", ""bg"")"),"високо")</f>
        <v>високо</v>
      </c>
      <c r="D4115" s="1" t="str">
        <f ca="1">IFERROR(__xludf.DUMMYFUNCTION("GOOGLETRANSLATE(English!D4115, ""en"", ""bg"")"),"модели на наследяване")</f>
        <v>модели на наследяване</v>
      </c>
      <c r="E4115" s="1" t="str">
        <f ca="1">IFERROR(__xludf.DUMMYFUNCTION("GOOGLETRANSLATE(English!E4115, ""en"", ""bg"")"),"Можете ли да обясните моделите на наследяване за моя научен проект?")</f>
        <v>Можете ли да обясните моделите на наследяване за моя научен проект?</v>
      </c>
      <c r="F4115" s="1" t="str">
        <f ca="1">IFERROR(__xludf.DUMMYFUNCTION("GOOGLETRANSLATE(English!F4115,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4115" s="1" t="str">
        <f ca="1">IFERROR(__xludf.DUMMYFUNCTION("GOOGLETRANSLATE(English!G4115, ""en"", ""bg"")"),"помощ_за_домашно_изпълнение")</f>
        <v>помощ_за_домашно_изпълнение</v>
      </c>
      <c r="H4115" s="1" t="str">
        <f ca="1">IFERROR(__xludf.DUMMYFUNCTION("GOOGLETRANSLATE(English!H4115, ""en"", ""bg"")"),"помощ_за_домашно_задаване")</f>
        <v>помощ_за_домашно_задаване</v>
      </c>
    </row>
    <row r="4116" spans="1:8" ht="13.2" x14ac:dyDescent="0.25">
      <c r="A4116" s="1" t="str">
        <f ca="1">IFERROR(__xludf.DUMMYFUNCTION("GOOGLETRANSLATE(English!A4116, ""en"", ""bg"")"),"conv_00820")</f>
        <v>conv_00820</v>
      </c>
      <c r="B4116" s="1" t="str">
        <f ca="1">IFERROR(__xludf.DUMMYFUNCTION("GOOGLETRANSLATE(English!B4116, ""en"", ""bg"")"),"химия")</f>
        <v>химия</v>
      </c>
      <c r="C4116" s="1" t="str">
        <f ca="1">IFERROR(__xludf.DUMMYFUNCTION("GOOGLETRANSLATE(English!C4116, ""en"", ""bg"")"),"високо")</f>
        <v>високо</v>
      </c>
      <c r="D4116" s="1" t="str">
        <f ca="1">IFERROR(__xludf.DUMMYFUNCTION("GOOGLETRANSLATE(English!D4116, ""en"", ""bg"")"),"химическо свързване")</f>
        <v>химическо свързване</v>
      </c>
      <c r="E4116" s="1" t="str">
        <f ca="1">IFERROR(__xludf.DUMMYFUNCTION("GOOGLETRANSLATE(English!E4116, ""en"", ""bg"")"),"Помогнете ми да уча за теста. Можете ли да ми помогнете да разбера химичните връзки?")</f>
        <v>Помогнете ми да уча за теста. Можете ли да ми помогнете да разбера химичните връзки?</v>
      </c>
      <c r="F4116" s="1" t="str">
        <f ca="1">IFERROR(__xludf.DUMMYFUNCTION("GOOGLETRANSLATE(English!F4116,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4116" s="1" t="str">
        <f ca="1">IFERROR(__xludf.DUMMYFUNCTION("GOOGLETRANSLATE(English!G4116, ""en"", ""bg"")"),"разговор")</f>
        <v>разговор</v>
      </c>
      <c r="H4116" s="1" t="str">
        <f ca="1">IFERROR(__xludf.DUMMYFUNCTION("GOOGLETRANSLATE(English!H4116, ""en"", ""bg"")"),"образователна_помощ")</f>
        <v>образователна_помощ</v>
      </c>
    </row>
    <row r="4117" spans="1:8" ht="13.2" x14ac:dyDescent="0.25">
      <c r="A4117" s="1" t="str">
        <f ca="1">IFERROR(__xludf.DUMMYFUNCTION("GOOGLETRANSLATE(English!A4117, ""en"", ""bg"")"),"qa_13055")</f>
        <v>qa_13055</v>
      </c>
      <c r="B4117" s="1" t="str">
        <f ca="1">IFERROR(__xludf.DUMMYFUNCTION("GOOGLETRANSLATE(English!B4117, ""en"", ""bg"")"),"химия")</f>
        <v>химия</v>
      </c>
      <c r="C4117" s="1" t="str">
        <f ca="1">IFERROR(__xludf.DUMMYFUNCTION("GOOGLETRANSLATE(English!C4117, ""en"", ""bg"")"),"средата")</f>
        <v>средата</v>
      </c>
      <c r="D4117" s="1" t="str">
        <f ca="1">IFERROR(__xludf.DUMMYFUNCTION("GOOGLETRANSLATE(English!D4117, ""en"", ""bg"")"),"киселини и основи")</f>
        <v>киселини и основи</v>
      </c>
      <c r="E4117" s="1" t="str">
        <f ca="1">IFERROR(__xludf.DUMMYFUNCTION("GOOGLETRANSLATE(English!E4117, ""en"", ""bg"")"),"Как действат киселините и основите в химията?")</f>
        <v>Как действат киселините и основите в химията?</v>
      </c>
      <c r="F4117" s="1" t="str">
        <f ca="1">IFERROR(__xludf.DUMMYFUNCTION("GOOGLETRANSLATE(English!F4117,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117" s="1" t="str">
        <f ca="1">IFERROR(__xludf.DUMMYFUNCTION("GOOGLETRANSLATE(English!G4117, ""en"", ""bg"")"),"direct_qa")</f>
        <v>direct_qa</v>
      </c>
      <c r="H4117" s="1" t="str">
        <f ca="1">IFERROR(__xludf.DUMMYFUNCTION("GOOGLETRANSLATE(English!H4117, ""en"", ""bg"")"),"заявка_за_знание")</f>
        <v>заявка_за_знание</v>
      </c>
    </row>
    <row r="4118" spans="1:8" ht="13.2" x14ac:dyDescent="0.25">
      <c r="A4118" s="1" t="str">
        <f ca="1">IFERROR(__xludf.DUMMYFUNCTION("GOOGLETRANSLATE(English!A4118, ""en"", ""bg"")"),"conv_04191")</f>
        <v>conv_04191</v>
      </c>
      <c r="B4118" s="1" t="str">
        <f ca="1">IFERROR(__xludf.DUMMYFUNCTION("GOOGLETRANSLATE(English!B4118, ""en"", ""bg"")"),"физика")</f>
        <v>физика</v>
      </c>
      <c r="C4118" s="1" t="str">
        <f ca="1">IFERROR(__xludf.DUMMYFUNCTION("GOOGLETRANSLATE(English!C4118, ""en"", ""bg"")"),"средата")</f>
        <v>средата</v>
      </c>
      <c r="D4118" s="1" t="str">
        <f ca="1">IFERROR(__xludf.DUMMYFUNCTION("GOOGLETRANSLATE(English!D4118, ""en"", ""bg"")"),"плътност")</f>
        <v>плътност</v>
      </c>
      <c r="E4118" s="1" t="str">
        <f ca="1">IFERROR(__xludf.DUMMYFUNCTION("GOOGLETRANSLATE(English!E4118, ""en"", ""bg"")"),"Имам научен въпрос. Защо плътността е важна?")</f>
        <v>Имам научен въпрос. Защо плътността е важна?</v>
      </c>
      <c r="F4118" s="1" t="str">
        <f ca="1">IFERROR(__xludf.DUMMYFUNCTION("GOOGLETRANSLATE(English!F4118,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4118" s="1" t="str">
        <f ca="1">IFERROR(__xludf.DUMMYFUNCTION("GOOGLETRANSLATE(English!G4118, ""en"", ""bg"")"),"разговор")</f>
        <v>разговор</v>
      </c>
      <c r="H4118" s="1" t="str">
        <f ca="1">IFERROR(__xludf.DUMMYFUNCTION("GOOGLETRANSLATE(English!H4118, ""en"", ""bg"")"),"образователна_помощ")</f>
        <v>образователна_помощ</v>
      </c>
    </row>
    <row r="4119" spans="1:8" ht="13.2" x14ac:dyDescent="0.25">
      <c r="A4119" s="1" t="str">
        <f ca="1">IFERROR(__xludf.DUMMYFUNCTION("GOOGLETRANSLATE(English!A4119, ""en"", ""bg"")"),"conv_06693")</f>
        <v>conv_06693</v>
      </c>
      <c r="B4119" s="1" t="str">
        <f ca="1">IFERROR(__xludf.DUMMYFUNCTION("GOOGLETRANSLATE(English!B4119, ""en"", ""bg"")"),"биология")</f>
        <v>биология</v>
      </c>
      <c r="C4119" s="1" t="str">
        <f ca="1">IFERROR(__xludf.DUMMYFUNCTION("GOOGLETRANSLATE(English!C4119, ""en"", ""bg"")"),"средата")</f>
        <v>средата</v>
      </c>
      <c r="D4119" s="1" t="str">
        <f ca="1">IFERROR(__xludf.DUMMYFUNCTION("GOOGLETRANSLATE(English!D4119, ""en"", ""bg"")"),"екосистеми")</f>
        <v>екосистеми</v>
      </c>
      <c r="E4119" s="1" t="str">
        <f ca="1">IFERROR(__xludf.DUMMYFUNCTION("GOOGLETRANSLATE(English!E4119, ""en"", ""bg"")"),"Помогнете ми да уча за теста си. Какво е важно да знаем за екосистемите?")</f>
        <v>Помогнете ми да уча за теста си. Какво е важно да знаем за екосистемите?</v>
      </c>
      <c r="F4119" s="1" t="str">
        <f ca="1">IFERROR(__xludf.DUMMYFUNCTION("GOOGLETRANSLATE(English!F4119, ""en"", ""bg"")"),"Най-важното нещо за екосистемите е как те са свързани с други части на живота и природата.")</f>
        <v>Най-важното нещо за екосистемите е как те са свързани с други части на живота и природата.</v>
      </c>
      <c r="G4119" s="1" t="str">
        <f ca="1">IFERROR(__xludf.DUMMYFUNCTION("GOOGLETRANSLATE(English!G4119, ""en"", ""bg"")"),"разговор")</f>
        <v>разговор</v>
      </c>
      <c r="H4119" s="1" t="str">
        <f ca="1">IFERROR(__xludf.DUMMYFUNCTION("GOOGLETRANSLATE(English!H4119, ""en"", ""bg"")"),"образователна_помощ")</f>
        <v>образователна_помощ</v>
      </c>
    </row>
    <row r="4120" spans="1:8" ht="13.2" x14ac:dyDescent="0.25">
      <c r="A4120" s="1" t="str">
        <f ca="1">IFERROR(__xludf.DUMMYFUNCTION("GOOGLETRANSLATE(English!A4120, ""en"", ""bg"")"),"qa_02189")</f>
        <v>qa_02189</v>
      </c>
      <c r="B4120" s="1" t="str">
        <f ca="1">IFERROR(__xludf.DUMMYFUNCTION("GOOGLETRANSLATE(English!B4120, ""en"", ""bg"")"),"химия")</f>
        <v>химия</v>
      </c>
      <c r="C4120" s="1" t="str">
        <f ca="1">IFERROR(__xludf.DUMMYFUNCTION("GOOGLETRANSLATE(English!C4120, ""en"", ""bg"")"),"елементарен")</f>
        <v>елементарен</v>
      </c>
      <c r="D4120" s="1" t="str">
        <f ca="1">IFERROR(__xludf.DUMMYFUNCTION("GOOGLETRANSLATE(English!D4120, ""en"", ""bg"")"),"ежедневни химикали")</f>
        <v>ежедневни химикали</v>
      </c>
      <c r="E4120" s="1" t="str">
        <f ca="1">IFERROR(__xludf.DUMMYFUNCTION("GOOGLETRANSLATE(English!E4120, ""en"", ""bg"")"),"Какво представляват ежедневните химикали?")</f>
        <v>Какво представляват ежедневните химикали?</v>
      </c>
      <c r="F4120" s="1" t="str">
        <f ca="1">IFERROR(__xludf.DUMMYFUNCTION("GOOGLETRANSLATE(English!F4120,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4120" s="1" t="str">
        <f ca="1">IFERROR(__xludf.DUMMYFUNCTION("GOOGLETRANSLATE(English!G4120, ""en"", ""bg"")"),"direct_qa")</f>
        <v>direct_qa</v>
      </c>
      <c r="H4120" s="1" t="str">
        <f ca="1">IFERROR(__xludf.DUMMYFUNCTION("GOOGLETRANSLATE(English!H4120, ""en"", ""bg"")"),"заявка_за_знание")</f>
        <v>заявка_за_знание</v>
      </c>
    </row>
    <row r="4121" spans="1:8" ht="13.2" x14ac:dyDescent="0.25">
      <c r="A4121" s="1" t="str">
        <f ca="1">IFERROR(__xludf.DUMMYFUNCTION("GOOGLETRANSLATE(English!A4121, ""en"", ""bg"")"),"conv_09366")</f>
        <v>conv_09366</v>
      </c>
      <c r="B4121" s="1" t="str">
        <f ca="1">IFERROR(__xludf.DUMMYFUNCTION("GOOGLETRANSLATE(English!B4121, ""en"", ""bg"")"),"физика")</f>
        <v>физика</v>
      </c>
      <c r="C4121" s="1" t="str">
        <f ca="1">IFERROR(__xludf.DUMMYFUNCTION("GOOGLETRANSLATE(English!C4121, ""en"", ""bg"")"),"високо")</f>
        <v>високо</v>
      </c>
      <c r="D4121" s="1" t="str">
        <f ca="1">IFERROR(__xludf.DUMMYFUNCTION("GOOGLETRANSLATE(English!D4121, ""en"", ""bg"")"),"атомна структура")</f>
        <v>атомна структура</v>
      </c>
      <c r="E4121" s="1" t="str">
        <f ca="1">IFERROR(__xludf.DUMMYFUNCTION("GOOGLETRANSLATE(English!E4121, ""en"", ""bg"")"),"Не разбирам тази тема. Можете ли да ми обясните атомната структура?")</f>
        <v>Не разбирам тази тема. Можете ли да ми обясните атомната структура?</v>
      </c>
      <c r="F4121" s="1" t="str">
        <f ca="1">IFERROR(__xludf.DUMMYFUNCTION("GOOGLETRANSLATE(English!F4121,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121" s="1" t="str">
        <f ca="1">IFERROR(__xludf.DUMMYFUNCTION("GOOGLETRANSLATE(English!G4121, ""en"", ""bg"")"),"разговор")</f>
        <v>разговор</v>
      </c>
      <c r="H4121" s="1" t="str">
        <f ca="1">IFERROR(__xludf.DUMMYFUNCTION("GOOGLETRANSLATE(English!H4121, ""en"", ""bg"")"),"образователна_помощ")</f>
        <v>образователна_помощ</v>
      </c>
    </row>
    <row r="4122" spans="1:8" ht="13.2" x14ac:dyDescent="0.25">
      <c r="A4122" s="1" t="str">
        <f ca="1">IFERROR(__xludf.DUMMYFUNCTION("GOOGLETRANSLATE(English!A4122, ""en"", ""bg"")"),"conv_06223")</f>
        <v>conv_06223</v>
      </c>
      <c r="B4122" s="1" t="str">
        <f ca="1">IFERROR(__xludf.DUMMYFUNCTION("GOOGLETRANSLATE(English!B4122, ""en"", ""bg"")"),"физика")</f>
        <v>физика</v>
      </c>
      <c r="C4122" s="1" t="str">
        <f ca="1">IFERROR(__xludf.DUMMYFUNCTION("GOOGLETRANSLATE(English!C4122, ""en"", ""bg"")"),"елементарен")</f>
        <v>елементарен</v>
      </c>
      <c r="D4122" s="1" t="str">
        <f ca="1">IFERROR(__xludf.DUMMYFUNCTION("GOOGLETRANSLATE(English!D4122, ""en"", ""bg"")"),"звук")</f>
        <v>звук</v>
      </c>
      <c r="E4122" s="1" t="str">
        <f ca="1">IFERROR(__xludf.DUMMYFUNCTION("GOOGLETRANSLATE(English!E4122, ""en"", ""bg"")"),"Можете ли да ми обясните това? Защо звукът е важен?")</f>
        <v>Можете ли да ми обясните това? Защо звукът е важен?</v>
      </c>
      <c r="F4122" s="1" t="str">
        <f ca="1">IFERROR(__xludf.DUMMYFUNCTION("GOOGLETRANSLATE(English!F4122,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4122" s="1" t="str">
        <f ca="1">IFERROR(__xludf.DUMMYFUNCTION("GOOGLETRANSLATE(English!G4122, ""en"", ""bg"")"),"разговор")</f>
        <v>разговор</v>
      </c>
      <c r="H4122" s="1" t="str">
        <f ca="1">IFERROR(__xludf.DUMMYFUNCTION("GOOGLETRANSLATE(English!H4122, ""en"", ""bg"")"),"образователна_помощ")</f>
        <v>образователна_помощ</v>
      </c>
    </row>
    <row r="4123" spans="1:8" ht="13.2" x14ac:dyDescent="0.25">
      <c r="A4123" s="1" t="str">
        <f ca="1">IFERROR(__xludf.DUMMYFUNCTION("GOOGLETRANSLATE(English!A4123, ""en"", ""bg"")"),"qa_05348")</f>
        <v>qa_05348</v>
      </c>
      <c r="B4123" s="1" t="str">
        <f ca="1">IFERROR(__xludf.DUMMYFUNCTION("GOOGLETRANSLATE(English!B4123, ""en"", ""bg"")"),"биология")</f>
        <v>биология</v>
      </c>
      <c r="C4123" s="1" t="str">
        <f ca="1">IFERROR(__xludf.DUMMYFUNCTION("GOOGLETRANSLATE(English!C4123, ""en"", ""bg"")"),"средата")</f>
        <v>средата</v>
      </c>
      <c r="D4123" s="1" t="str">
        <f ca="1">IFERROR(__xludf.DUMMYFUNCTION("GOOGLETRANSLATE(English!D4123, ""en"", ""bg"")"),"фотосинтеза")</f>
        <v>фотосинтеза</v>
      </c>
      <c r="E4123" s="1" t="str">
        <f ca="1">IFERROR(__xludf.DUMMYFUNCTION("GOOGLETRANSLATE(English!E4123, ""en"", ""bg"")"),"Как работи фотосинтезата?")</f>
        <v>Как работи фотосинтезата?</v>
      </c>
      <c r="F4123" s="1" t="str">
        <f ca="1">IFERROR(__xludf.DUMMYFUNCTION("GOOGLETRANSLATE(English!F4123,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4123" s="1" t="str">
        <f ca="1">IFERROR(__xludf.DUMMYFUNCTION("GOOGLETRANSLATE(English!G4123, ""en"", ""bg"")"),"direct_qa")</f>
        <v>direct_qa</v>
      </c>
      <c r="H4123" s="1" t="str">
        <f ca="1">IFERROR(__xludf.DUMMYFUNCTION("GOOGLETRANSLATE(English!H4123, ""en"", ""bg"")"),"заявка_за_знание")</f>
        <v>заявка_за_знание</v>
      </c>
    </row>
    <row r="4124" spans="1:8" ht="13.2" x14ac:dyDescent="0.25">
      <c r="A4124" s="1" t="str">
        <f ca="1">IFERROR(__xludf.DUMMYFUNCTION("GOOGLETRANSLATE(English!A4124, ""en"", ""bg"")"),"conv_06139")</f>
        <v>conv_06139</v>
      </c>
      <c r="B4124" s="1" t="str">
        <f ca="1">IFERROR(__xludf.DUMMYFUNCTION("GOOGLETRANSLATE(English!B4124, ""en"", ""bg"")"),"биология")</f>
        <v>биология</v>
      </c>
      <c r="C4124" s="1" t="str">
        <f ca="1">IFERROR(__xludf.DUMMYFUNCTION("GOOGLETRANSLATE(English!C4124, ""en"", ""bg"")"),"високо")</f>
        <v>високо</v>
      </c>
      <c r="D4124" s="1" t="str">
        <f ca="1">IFERROR(__xludf.DUMMYFUNCTION("GOOGLETRANSLATE(English!D4124, ""en"", ""bg"")"),"митоза и мейоза")</f>
        <v>митоза и мейоза</v>
      </c>
      <c r="E4124" s="1" t="str">
        <f ca="1">IFERROR(__xludf.DUMMYFUNCTION("GOOGLETRANSLATE(English!E4124, ""en"", ""bg"")"),"Здравей, преподавателю! Можеш ли да ми разкажеш за митозата и мейозата?")</f>
        <v>Здравей, преподавателю! Можеш ли да ми разкажеш за митозата и мейозата?</v>
      </c>
      <c r="F4124" s="1" t="str">
        <f ca="1">IFERROR(__xludf.DUMMYFUNCTION("GOOGLETRANSLATE(English!F4124,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4124" s="1" t="str">
        <f ca="1">IFERROR(__xludf.DUMMYFUNCTION("GOOGLETRANSLATE(English!G4124, ""en"", ""bg"")"),"разговор")</f>
        <v>разговор</v>
      </c>
      <c r="H4124" s="1" t="str">
        <f ca="1">IFERROR(__xludf.DUMMYFUNCTION("GOOGLETRANSLATE(English!H4124, ""en"", ""bg"")"),"образователна_помощ")</f>
        <v>образователна_помощ</v>
      </c>
    </row>
    <row r="4125" spans="1:8" ht="13.2" x14ac:dyDescent="0.25">
      <c r="A4125" s="1" t="str">
        <f ca="1">IFERROR(__xludf.DUMMYFUNCTION("GOOGLETRANSLATE(English!A4125, ""en"", ""bg"")"),"conv_16950")</f>
        <v>conv_16950</v>
      </c>
      <c r="B4125" s="1" t="str">
        <f ca="1">IFERROR(__xludf.DUMMYFUNCTION("GOOGLETRANSLATE(English!B4125, ""en"", ""bg"")"),"биология")</f>
        <v>биология</v>
      </c>
      <c r="C4125" s="1" t="str">
        <f ca="1">IFERROR(__xludf.DUMMYFUNCTION("GOOGLETRANSLATE(English!C4125, ""en"", ""bg"")"),"елементарен")</f>
        <v>елементарен</v>
      </c>
      <c r="D4125" s="1" t="str">
        <f ca="1">IFERROR(__xludf.DUMMYFUNCTION("GOOGLETRANSLATE(English!D4125, ""en"", ""bg"")"),"домашни любимци срещу диви животни")</f>
        <v>домашни любимци срещу диви животни</v>
      </c>
      <c r="E4125" s="1" t="str">
        <f ca="1">IFERROR(__xludf.DUMMYFUNCTION("GOOGLETRANSLATE(English!E4125, ""en"", ""bg"")"),"Имам научен въпрос. Защо домашните любимци срещу дивите животни са важни в биологията?")</f>
        <v>Имам научен въпрос. Защо домашните любимци срещу дивите животни са важни в биологията?</v>
      </c>
      <c r="F4125" s="1" t="str">
        <f ca="1">IFERROR(__xludf.DUMMYFUNCTION("GOOGLETRANSLATE(English!F4125,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4125" s="1" t="str">
        <f ca="1">IFERROR(__xludf.DUMMYFUNCTION("GOOGLETRANSLATE(English!G4125, ""en"", ""bg"")"),"разговор")</f>
        <v>разговор</v>
      </c>
      <c r="H4125" s="1" t="str">
        <f ca="1">IFERROR(__xludf.DUMMYFUNCTION("GOOGLETRANSLATE(English!H4125, ""en"", ""bg"")"),"образователна_помощ")</f>
        <v>образователна_помощ</v>
      </c>
    </row>
    <row r="4126" spans="1:8" ht="13.2" x14ac:dyDescent="0.25">
      <c r="A4126" s="1" t="str">
        <f ca="1">IFERROR(__xludf.DUMMYFUNCTION("GOOGLETRANSLATE(English!A4126, ""en"", ""bg"")"),"conv_16589")</f>
        <v>conv_16589</v>
      </c>
      <c r="B4126" s="1" t="str">
        <f ca="1">IFERROR(__xludf.DUMMYFUNCTION("GOOGLETRANSLATE(English!B4126, ""en"", ""bg"")"),"химия")</f>
        <v>химия</v>
      </c>
      <c r="C4126" s="1" t="str">
        <f ca="1">IFERROR(__xludf.DUMMYFUNCTION("GOOGLETRANSLATE(English!C4126, ""en"", ""bg"")"),"високо")</f>
        <v>високо</v>
      </c>
      <c r="D4126" s="1" t="str">
        <f ca="1">IFERROR(__xludf.DUMMYFUNCTION("GOOGLETRANSLATE(English!D4126, ""en"", ""bg"")"),"равновесие")</f>
        <v>равновесие</v>
      </c>
      <c r="E4126" s="1" t="str">
        <f ca="1">IFERROR(__xludf.DUMMYFUNCTION("GOOGLETRANSLATE(English!E4126, ""en"", ""bg"")"),"Не разбирам тази тема. Можете ли да ми помогнете да разбера какво е равновесие?")</f>
        <v>Не разбирам тази тема. Можете ли да ми помогнете да разбера какво е равновесие?</v>
      </c>
      <c r="F4126" s="1" t="str">
        <f ca="1">IFERROR(__xludf.DUMMYFUNCTION("GOOGLETRANSLATE(English!F4126,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4126" s="1" t="str">
        <f ca="1">IFERROR(__xludf.DUMMYFUNCTION("GOOGLETRANSLATE(English!G4126, ""en"", ""bg"")"),"разговор")</f>
        <v>разговор</v>
      </c>
      <c r="H4126" s="1" t="str">
        <f ca="1">IFERROR(__xludf.DUMMYFUNCTION("GOOGLETRANSLATE(English!H4126, ""en"", ""bg"")"),"образователна_помощ")</f>
        <v>образователна_помощ</v>
      </c>
    </row>
    <row r="4127" spans="1:8" ht="13.2" x14ac:dyDescent="0.25">
      <c r="A4127" s="1" t="str">
        <f ca="1">IFERROR(__xludf.DUMMYFUNCTION("GOOGLETRANSLATE(English!A4127, ""en"", ""bg"")"),"qa_13226")</f>
        <v>qa_13226</v>
      </c>
      <c r="B4127" s="1" t="str">
        <f ca="1">IFERROR(__xludf.DUMMYFUNCTION("GOOGLETRANSLATE(English!B4127, ""en"", ""bg"")"),"химия")</f>
        <v>химия</v>
      </c>
      <c r="C4127" s="1" t="str">
        <f ca="1">IFERROR(__xludf.DUMMYFUNCTION("GOOGLETRANSLATE(English!C4127, ""en"", ""bg"")"),"средата")</f>
        <v>средата</v>
      </c>
      <c r="D4127" s="1" t="str">
        <f ca="1">IFERROR(__xludf.DUMMYFUNCTION("GOOGLETRANSLATE(English!D4127, ""en"", ""bg"")"),"атоми и молекули")</f>
        <v>атоми и молекули</v>
      </c>
      <c r="E4127" s="1" t="str">
        <f ca="1">IFERROR(__xludf.DUMMYFUNCTION("GOOGLETRANSLATE(English!E4127, ""en"", ""bg"")"),"Коя е най-малката част от един елемент?")</f>
        <v>Коя е най-малката част от един елемент?</v>
      </c>
      <c r="F4127" s="1" t="str">
        <f ca="1">IFERROR(__xludf.DUMMYFUNCTION("GOOGLETRANSLATE(English!F4127,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4127" s="1" t="str">
        <f ca="1">IFERROR(__xludf.DUMMYFUNCTION("GOOGLETRANSLATE(English!G4127, ""en"", ""bg"")"),"direct_qa")</f>
        <v>direct_qa</v>
      </c>
      <c r="H4127" s="1" t="str">
        <f ca="1">IFERROR(__xludf.DUMMYFUNCTION("GOOGLETRANSLATE(English!H4127, ""en"", ""bg"")"),"заявка_за_знание")</f>
        <v>заявка_за_знание</v>
      </c>
    </row>
    <row r="4128" spans="1:8" ht="13.2" x14ac:dyDescent="0.25">
      <c r="A4128" s="1" t="str">
        <f ca="1">IFERROR(__xludf.DUMMYFUNCTION("GOOGLETRANSLATE(English!A4128, ""en"", ""bg"")"),"conv_17958")</f>
        <v>conv_17958</v>
      </c>
      <c r="B4128" s="1" t="str">
        <f ca="1">IFERROR(__xludf.DUMMYFUNCTION("GOOGLETRANSLATE(English!B4128, ""en"", ""bg"")"),"физика")</f>
        <v>физика</v>
      </c>
      <c r="C4128" s="1" t="str">
        <f ca="1">IFERROR(__xludf.DUMMYFUNCTION("GOOGLETRANSLATE(English!C4128, ""en"", ""bg"")"),"високо")</f>
        <v>високо</v>
      </c>
      <c r="D4128" s="1" t="str">
        <f ca="1">IFERROR(__xludf.DUMMYFUNCTION("GOOGLETRANSLATE(English!D4128, ""en"", ""bg"")"),"атомна структура")</f>
        <v>атомна структура</v>
      </c>
      <c r="E4128" s="1" t="str">
        <f ca="1">IFERROR(__xludf.DUMMYFUNCTION("GOOGLETRANSLATE(English!E4128, ""en"", ""bg"")"),"Можете ли да ми обясните това? Как работи атомната структура във физиката?")</f>
        <v>Можете ли да ми обясните това? Как работи атомната структура във физиката?</v>
      </c>
      <c r="F4128" s="1" t="str">
        <f ca="1">IFERROR(__xludf.DUMMYFUNCTION("GOOGLETRANSLATE(English!F4128,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4128" s="1" t="str">
        <f ca="1">IFERROR(__xludf.DUMMYFUNCTION("GOOGLETRANSLATE(English!G4128, ""en"", ""bg"")"),"разговор")</f>
        <v>разговор</v>
      </c>
      <c r="H4128" s="1" t="str">
        <f ca="1">IFERROR(__xludf.DUMMYFUNCTION("GOOGLETRANSLATE(English!H4128, ""en"", ""bg"")"),"образователна_помощ")</f>
        <v>образователна_помощ</v>
      </c>
    </row>
    <row r="4129" spans="1:8" ht="13.2" x14ac:dyDescent="0.25">
      <c r="A4129" s="1" t="str">
        <f ca="1">IFERROR(__xludf.DUMMYFUNCTION("GOOGLETRANSLATE(English!A4129, ""en"", ""bg"")"),"hw_09372")</f>
        <v>hw_09372</v>
      </c>
      <c r="B4129" s="1" t="str">
        <f ca="1">IFERROR(__xludf.DUMMYFUNCTION("GOOGLETRANSLATE(English!B4129, ""en"", ""bg"")"),"биология")</f>
        <v>биология</v>
      </c>
      <c r="C4129" s="1" t="str">
        <f ca="1">IFERROR(__xludf.DUMMYFUNCTION("GOOGLETRANSLATE(English!C4129, ""en"", ""bg"")"),"средата")</f>
        <v>средата</v>
      </c>
      <c r="D4129" s="1" t="str">
        <f ca="1">IFERROR(__xludf.DUMMYFUNCTION("GOOGLETRANSLATE(English!D4129, ""en"", ""bg"")"),"екосистеми")</f>
        <v>екосистеми</v>
      </c>
      <c r="E4129" s="1" t="str">
        <f ca="1">IFERROR(__xludf.DUMMYFUNCTION("GOOGLETRANSLATE(English!E4129, ""en"", ""bg"")"),"Утре имам тест по екосистеми. Помогни ми да уча!")</f>
        <v>Утре имам тест по екосистеми. Помогни ми да уча!</v>
      </c>
      <c r="F4129" s="1" t="str">
        <f ca="1">IFERROR(__xludf.DUMMYFUNCTION("GOOGLETRANSLATE(English!F4129,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4129" s="1" t="str">
        <f ca="1">IFERROR(__xludf.DUMMYFUNCTION("GOOGLETRANSLATE(English!G4129, ""en"", ""bg"")"),"помощ_за_домашно_изпълнение")</f>
        <v>помощ_за_домашно_изпълнение</v>
      </c>
      <c r="H4129" s="1" t="str">
        <f ca="1">IFERROR(__xludf.DUMMYFUNCTION("GOOGLETRANSLATE(English!H4129, ""en"", ""bg"")"),"помощ_за_домашно_задаване")</f>
        <v>помощ_за_домашно_задаване</v>
      </c>
    </row>
    <row r="4130" spans="1:8" ht="13.2" x14ac:dyDescent="0.25">
      <c r="A4130" s="1" t="str">
        <f ca="1">IFERROR(__xludf.DUMMYFUNCTION("GOOGLETRANSLATE(English!A4130, ""en"", ""bg"")"),"hw_03089")</f>
        <v>hw_03089</v>
      </c>
      <c r="B4130" s="1" t="str">
        <f ca="1">IFERROR(__xludf.DUMMYFUNCTION("GOOGLETRANSLATE(English!B4130, ""en"", ""bg"")"),"физика")</f>
        <v>физика</v>
      </c>
      <c r="C4130" s="1" t="str">
        <f ca="1">IFERROR(__xludf.DUMMYFUNCTION("GOOGLETRANSLATE(English!C4130, ""en"", ""bg"")"),"елементарен")</f>
        <v>елементарен</v>
      </c>
      <c r="D4130" s="1" t="str">
        <f ca="1">IFERROR(__xludf.DUMMYFUNCTION("GOOGLETRANSLATE(English!D4130, ""en"", ""bg"")"),"светлина и сянка")</f>
        <v>светлина и сянка</v>
      </c>
      <c r="E4130" s="1" t="str">
        <f ca="1">IFERROR(__xludf.DUMMYFUNCTION("GOOGLETRANSLATE(English!E4130, ""en"", ""bg"")"),"Домашното ми по физика е за светлина и сянка. Объркващо е!")</f>
        <v>Домашното ми по физика е за светлина и сянка. Объркващо е!</v>
      </c>
      <c r="F4130" s="1" t="str">
        <f ca="1">IFERROR(__xludf.DUMMYFUNCTION("GOOGLETRANSLATE(English!F4130,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4130" s="1" t="str">
        <f ca="1">IFERROR(__xludf.DUMMYFUNCTION("GOOGLETRANSLATE(English!G4130, ""en"", ""bg"")"),"помощ_за_домашно_изпълнение")</f>
        <v>помощ_за_домашно_изпълнение</v>
      </c>
      <c r="H4130" s="1" t="str">
        <f ca="1">IFERROR(__xludf.DUMMYFUNCTION("GOOGLETRANSLATE(English!H4130, ""en"", ""bg"")"),"помощ_за_домашно_задаване")</f>
        <v>помощ_за_домашно_задаване</v>
      </c>
    </row>
    <row r="4131" spans="1:8" ht="13.2" x14ac:dyDescent="0.25">
      <c r="A4131" s="1" t="str">
        <f ca="1">IFERROR(__xludf.DUMMYFUNCTION("GOOGLETRANSLATE(English!A4131, ""en"", ""bg"")"),"qa_02532")</f>
        <v>qa_02532</v>
      </c>
      <c r="B4131" s="1" t="str">
        <f ca="1">IFERROR(__xludf.DUMMYFUNCTION("GOOGLETRANSLATE(English!B4131, ""en"", ""bg"")"),"физика")</f>
        <v>физика</v>
      </c>
      <c r="C4131" s="1" t="str">
        <f ca="1">IFERROR(__xludf.DUMMYFUNCTION("GOOGLETRANSLATE(English!C4131, ""en"", ""bg"")"),"средата")</f>
        <v>средата</v>
      </c>
      <c r="D4131" s="1" t="str">
        <f ca="1">IFERROR(__xludf.DUMMYFUNCTION("GOOGLETRANSLATE(English!D4131, ""en"", ""bg"")"),"вълни")</f>
        <v>вълни</v>
      </c>
      <c r="E4131" s="1" t="str">
        <f ca="1">IFERROR(__xludf.DUMMYFUNCTION("GOOGLETRANSLATE(English!E4131, ""en"", ""bg"")"),"Можете ли да ми обясните какво представляват вълните?")</f>
        <v>Можете ли да ми обясните какво представляват вълните?</v>
      </c>
      <c r="F4131" s="1" t="str">
        <f ca="1">IFERROR(__xludf.DUMMYFUNCTION("GOOGLETRANSLATE(English!F4131,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4131" s="1" t="str">
        <f ca="1">IFERROR(__xludf.DUMMYFUNCTION("GOOGLETRANSLATE(English!G4131, ""en"", ""bg"")"),"direct_qa")</f>
        <v>direct_qa</v>
      </c>
      <c r="H4131" s="1" t="str">
        <f ca="1">IFERROR(__xludf.DUMMYFUNCTION("GOOGLETRANSLATE(English!H4131, ""en"", ""bg"")"),"заявка_за_знание")</f>
        <v>заявка_за_знание</v>
      </c>
    </row>
    <row r="4132" spans="1:8" ht="13.2" x14ac:dyDescent="0.25">
      <c r="A4132" s="1" t="str">
        <f ca="1">IFERROR(__xludf.DUMMYFUNCTION("GOOGLETRANSLATE(English!A4132, ""en"", ""bg"")"),"conv_00579")</f>
        <v>conv_00579</v>
      </c>
      <c r="B4132" s="1" t="str">
        <f ca="1">IFERROR(__xludf.DUMMYFUNCTION("GOOGLETRANSLATE(English!B4132, ""en"", ""bg"")"),"физика")</f>
        <v>физика</v>
      </c>
      <c r="C4132" s="1" t="str">
        <f ca="1">IFERROR(__xludf.DUMMYFUNCTION("GOOGLETRANSLATE(English!C4132, ""en"", ""bg"")"),"средата")</f>
        <v>средата</v>
      </c>
      <c r="D4132" s="1" t="str">
        <f ca="1">IFERROR(__xludf.DUMMYFUNCTION("GOOGLETRANSLATE(English!D4132, ""en"", ""bg"")"),"видове енергия")</f>
        <v>видове енергия</v>
      </c>
      <c r="E4132" s="1" t="str">
        <f ca="1">IFERROR(__xludf.DUMMYFUNCTION("GOOGLETRANSLATE(English!E4132, ""en"", ""bg"")"),"Можете ли да ми обясните това? Как се променя видът енергия?")</f>
        <v>Можете ли да ми обясните това? Как се променя видът енергия?</v>
      </c>
      <c r="F4132" s="1" t="str">
        <f ca="1">IFERROR(__xludf.DUMMYFUNCTION("GOOGLETRANSLATE(English!F4132, ""en"", ""bg"")"),"Енергията може да се трансформира от един вид в друг, например когато ядете храна (химическа енергия) и я използвате за бягане (кинетична енергия).")</f>
        <v>Енергията може да се трансформира от един вид в друг, например когато ядете храна (химическа енергия) и я използвате за бягане (кинетична енергия).</v>
      </c>
      <c r="G4132" s="1" t="str">
        <f ca="1">IFERROR(__xludf.DUMMYFUNCTION("GOOGLETRANSLATE(English!G4132, ""en"", ""bg"")"),"разговор")</f>
        <v>разговор</v>
      </c>
      <c r="H4132" s="1" t="str">
        <f ca="1">IFERROR(__xludf.DUMMYFUNCTION("GOOGLETRANSLATE(English!H4132, ""en"", ""bg"")"),"образователна_помощ")</f>
        <v>образователна_помощ</v>
      </c>
    </row>
    <row r="4133" spans="1:8" ht="13.2" x14ac:dyDescent="0.25">
      <c r="A4133" s="1" t="str">
        <f ca="1">IFERROR(__xludf.DUMMYFUNCTION("GOOGLETRANSLATE(English!A4133, ""en"", ""bg"")"),"hw_03136")</f>
        <v>hw_03136</v>
      </c>
      <c r="B4133" s="1" t="str">
        <f ca="1">IFERROR(__xludf.DUMMYFUNCTION("GOOGLETRANSLATE(English!B4133, ""en"", ""bg"")"),"биология")</f>
        <v>биология</v>
      </c>
      <c r="C4133" s="1" t="str">
        <f ca="1">IFERROR(__xludf.DUMMYFUNCTION("GOOGLETRANSLATE(English!C4133, ""en"", ""bg"")"),"средата")</f>
        <v>средата</v>
      </c>
      <c r="D4133" s="1" t="str">
        <f ca="1">IFERROR(__xludf.DUMMYFUNCTION("GOOGLETRANSLATE(English!D4133, ""en"", ""bg"")"),"размножаване")</f>
        <v>размножаване</v>
      </c>
      <c r="E4133" s="1" t="str">
        <f ca="1">IFERROR(__xludf.DUMMYFUNCTION("GOOGLETRANSLATE(English!E4133, ""en"", ""bg"")"),"Утре имам тест по репродукция. Помогни ми да уча!")</f>
        <v>Утре имам тест по репродукция. Помогни ми да уча!</v>
      </c>
      <c r="F4133" s="1" t="str">
        <f ca="1">IFERROR(__xludf.DUMMYFUNCTION("GOOGLETRANSLATE(English!F4133,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133" s="1" t="str">
        <f ca="1">IFERROR(__xludf.DUMMYFUNCTION("GOOGLETRANSLATE(English!G4133, ""en"", ""bg"")"),"помощ_за_домашно_изпълнение")</f>
        <v>помощ_за_домашно_изпълнение</v>
      </c>
      <c r="H4133" s="1" t="str">
        <f ca="1">IFERROR(__xludf.DUMMYFUNCTION("GOOGLETRANSLATE(English!H4133, ""en"", ""bg"")"),"помощ_за_домашно_задаване")</f>
        <v>помощ_за_домашно_задаване</v>
      </c>
    </row>
    <row r="4134" spans="1:8" ht="13.2" x14ac:dyDescent="0.25">
      <c r="A4134" s="1" t="str">
        <f ca="1">IFERROR(__xludf.DUMMYFUNCTION("GOOGLETRANSLATE(English!A4134, ""en"", ""bg"")"),"conv_13797")</f>
        <v>conv_13797</v>
      </c>
      <c r="B4134" s="1" t="str">
        <f ca="1">IFERROR(__xludf.DUMMYFUNCTION("GOOGLETRANSLATE(English!B4134, ""en"", ""bg"")"),"химия")</f>
        <v>химия</v>
      </c>
      <c r="C4134" s="1" t="str">
        <f ca="1">IFERROR(__xludf.DUMMYFUNCTION("GOOGLETRANSLATE(English!C4134, ""en"", ""bg"")"),"високо")</f>
        <v>високо</v>
      </c>
      <c r="D4134" s="1" t="str">
        <f ca="1">IFERROR(__xludf.DUMMYFUNCTION("GOOGLETRANSLATE(English!D4134, ""en"", ""bg"")"),"електрохимия")</f>
        <v>електрохимия</v>
      </c>
      <c r="E4134" s="1" t="str">
        <f ca="1">IFERROR(__xludf.DUMMYFUNCTION("GOOGLETRANSLATE(English!E4134, ""en"", ""bg"")"),"Можете ли да ми помогнете? Как работи електрохимията в химията?")</f>
        <v>Можете ли да ми помогнете? Как работи електрохимията в химията?</v>
      </c>
      <c r="F4134" s="1" t="str">
        <f ca="1">IFERROR(__xludf.DUMMYFUNCTION("GOOGLETRANSLATE(English!F4134,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4134" s="1" t="str">
        <f ca="1">IFERROR(__xludf.DUMMYFUNCTION("GOOGLETRANSLATE(English!G4134, ""en"", ""bg"")"),"разговор")</f>
        <v>разговор</v>
      </c>
      <c r="H4134" s="1" t="str">
        <f ca="1">IFERROR(__xludf.DUMMYFUNCTION("GOOGLETRANSLATE(English!H4134, ""en"", ""bg"")"),"образователна_помощ")</f>
        <v>образователна_помощ</v>
      </c>
    </row>
    <row r="4135" spans="1:8" ht="13.2" x14ac:dyDescent="0.25">
      <c r="A4135" s="1" t="str">
        <f ca="1">IFERROR(__xludf.DUMMYFUNCTION("GOOGLETRANSLATE(English!A4135, ""en"", ""bg"")"),"conv_03371")</f>
        <v>conv_03371</v>
      </c>
      <c r="B4135" s="1" t="str">
        <f ca="1">IFERROR(__xludf.DUMMYFUNCTION("GOOGLETRANSLATE(English!B4135, ""en"", ""bg"")"),"химия")</f>
        <v>химия</v>
      </c>
      <c r="C4135" s="1" t="str">
        <f ca="1">IFERROR(__xludf.DUMMYFUNCTION("GOOGLETRANSLATE(English!C4135, ""en"", ""bg"")"),"високо")</f>
        <v>високо</v>
      </c>
      <c r="D4135" s="1" t="str">
        <f ca="1">IFERROR(__xludf.DUMMYFUNCTION("GOOGLETRANSLATE(English!D4135, ""en"", ""bg"")"),"химическо свързване")</f>
        <v>химическо свързване</v>
      </c>
      <c r="E4135" s="1" t="str">
        <f ca="1">IFERROR(__xludf.DUMMYFUNCTION("GOOGLETRANSLATE(English!E4135, ""en"", ""bg"")"),"Можете ли да ми помогнете? Защо е важно да се учи химичното свързване?")</f>
        <v>Можете ли да ми помогнете? Защо е важно да се учи химичното свързване?</v>
      </c>
      <c r="F4135" s="1" t="str">
        <f ca="1">IFERROR(__xludf.DUMMYFUNCTION("GOOGLETRANSLATE(English!F4135,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4135" s="1" t="str">
        <f ca="1">IFERROR(__xludf.DUMMYFUNCTION("GOOGLETRANSLATE(English!G4135, ""en"", ""bg"")"),"разговор")</f>
        <v>разговор</v>
      </c>
      <c r="H4135" s="1" t="str">
        <f ca="1">IFERROR(__xludf.DUMMYFUNCTION("GOOGLETRANSLATE(English!H4135, ""en"", ""bg"")"),"образователна_помощ")</f>
        <v>образователна_помощ</v>
      </c>
    </row>
    <row r="4136" spans="1:8" ht="13.2" x14ac:dyDescent="0.25">
      <c r="A4136" s="1" t="str">
        <f ca="1">IFERROR(__xludf.DUMMYFUNCTION("GOOGLETRANSLATE(English!A4136, ""en"", ""bg"")"),"conv_03967")</f>
        <v>conv_03967</v>
      </c>
      <c r="B4136" s="1" t="str">
        <f ca="1">IFERROR(__xludf.DUMMYFUNCTION("GOOGLETRANSLATE(English!B4136, ""en"", ""bg"")"),"химия")</f>
        <v>химия</v>
      </c>
      <c r="C4136" s="1" t="str">
        <f ca="1">IFERROR(__xludf.DUMMYFUNCTION("GOOGLETRANSLATE(English!C4136, ""en"", ""bg"")"),"елементарен")</f>
        <v>елементарен</v>
      </c>
      <c r="D4136" s="1" t="str">
        <f ca="1">IFERROR(__xludf.DUMMYFUNCTION("GOOGLETRANSLATE(English!D4136, ""en"", ""bg"")"),"ежедневни химикали")</f>
        <v>ежедневни химикали</v>
      </c>
      <c r="E4136" s="1" t="str">
        <f ca="1">IFERROR(__xludf.DUMMYFUNCTION("GOOGLETRANSLATE(English!E4136, ""en"", ""bg"")"),"Имам нужда от помощ с домашното. Какво представляват ежедневните химикали?")</f>
        <v>Имам нужда от помощ с домашното. Какво представляват ежедневните химикали?</v>
      </c>
      <c r="F4136" s="1" t="str">
        <f ca="1">IFERROR(__xludf.DUMMYFUNCTION("GOOGLETRANSLATE(English!F4136,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4136" s="1" t="str">
        <f ca="1">IFERROR(__xludf.DUMMYFUNCTION("GOOGLETRANSLATE(English!G4136, ""en"", ""bg"")"),"разговор")</f>
        <v>разговор</v>
      </c>
      <c r="H4136" s="1" t="str">
        <f ca="1">IFERROR(__xludf.DUMMYFUNCTION("GOOGLETRANSLATE(English!H4136, ""en"", ""bg"")"),"образователна_помощ")</f>
        <v>образователна_помощ</v>
      </c>
    </row>
    <row r="4137" spans="1:8" ht="13.2" x14ac:dyDescent="0.25">
      <c r="A4137" s="1" t="str">
        <f ca="1">IFERROR(__xludf.DUMMYFUNCTION("GOOGLETRANSLATE(English!A4137, ""en"", ""bg"")"),"conv_11384")</f>
        <v>conv_11384</v>
      </c>
      <c r="B4137" s="1" t="str">
        <f ca="1">IFERROR(__xludf.DUMMYFUNCTION("GOOGLETRANSLATE(English!B4137, ""en"", ""bg"")"),"физика")</f>
        <v>физика</v>
      </c>
      <c r="C4137" s="1" t="str">
        <f ca="1">IFERROR(__xludf.DUMMYFUNCTION("GOOGLETRANSLATE(English!C4137, ""en"", ""bg"")"),"средата")</f>
        <v>средата</v>
      </c>
      <c r="D4137" s="1" t="str">
        <f ca="1">IFERROR(__xludf.DUMMYFUNCTION("GOOGLETRANSLATE(English!D4137, ""en"", ""bg"")"),"прости схеми")</f>
        <v>прости схеми</v>
      </c>
      <c r="E4137" s="1" t="str">
        <f ca="1">IFERROR(__xludf.DUMMYFUNCTION("GOOGLETRANSLATE(English!E4137, ""en"", ""bg"")"),"Можете ли да ми обясните това? Какво трябва да знам за простите електрически вериги?")</f>
        <v>Можете ли да ми обясните това? Какво трябва да знам за простите електрически вериги?</v>
      </c>
      <c r="F4137" s="1" t="str">
        <f ca="1">IFERROR(__xludf.DUMMYFUNCTION("GOOGLETRANSLATE(English!F4137,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4137" s="1" t="str">
        <f ca="1">IFERROR(__xludf.DUMMYFUNCTION("GOOGLETRANSLATE(English!G4137, ""en"", ""bg"")"),"разговор")</f>
        <v>разговор</v>
      </c>
      <c r="H4137" s="1" t="str">
        <f ca="1">IFERROR(__xludf.DUMMYFUNCTION("GOOGLETRANSLATE(English!H4137, ""en"", ""bg"")"),"образователна_помощ")</f>
        <v>образователна_помощ</v>
      </c>
    </row>
    <row r="4138" spans="1:8" ht="13.2" x14ac:dyDescent="0.25">
      <c r="A4138" s="1" t="str">
        <f ca="1">IFERROR(__xludf.DUMMYFUNCTION("GOOGLETRANSLATE(English!A4138, ""en"", ""bg"")"),"hw_10440")</f>
        <v>hw_10440</v>
      </c>
      <c r="B4138" s="1" t="str">
        <f ca="1">IFERROR(__xludf.DUMMYFUNCTION("GOOGLETRANSLATE(English!B4138, ""en"", ""bg"")"),"физика")</f>
        <v>физика</v>
      </c>
      <c r="C4138" s="1" t="str">
        <f ca="1">IFERROR(__xludf.DUMMYFUNCTION("GOOGLETRANSLATE(English!C4138, ""en"", ""bg"")"),"средата")</f>
        <v>средата</v>
      </c>
      <c r="D4138" s="1" t="str">
        <f ca="1">IFERROR(__xludf.DUMMYFUNCTION("GOOGLETRANSLATE(English!D4138, ""en"", ""bg"")"),"състояния на материята")</f>
        <v>състояния на материята</v>
      </c>
      <c r="E4138" s="1" t="str">
        <f ca="1">IFERROR(__xludf.DUMMYFUNCTION("GOOGLETRANSLATE(English!E4138, ""en"", ""bg"")"),"Можете ли да решите този въпрос с мен?")</f>
        <v>Можете ли да решите този въпрос с мен?</v>
      </c>
      <c r="F4138" s="1" t="str">
        <f ca="1">IFERROR(__xludf.DUMMYFUNCTION("GOOGLETRANSLATE(English!F4138,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4138" s="1" t="str">
        <f ca="1">IFERROR(__xludf.DUMMYFUNCTION("GOOGLETRANSLATE(English!G4138, ""en"", ""bg"")"),"помощ_за_домашно_изпълнение")</f>
        <v>помощ_за_домашно_изпълнение</v>
      </c>
      <c r="H4138" s="1" t="str">
        <f ca="1">IFERROR(__xludf.DUMMYFUNCTION("GOOGLETRANSLATE(English!H4138, ""en"", ""bg"")"),"помощ_за_домашно_задаване")</f>
        <v>помощ_за_домашно_задаване</v>
      </c>
    </row>
    <row r="4139" spans="1:8" ht="13.2" x14ac:dyDescent="0.25">
      <c r="A4139" s="1" t="str">
        <f ca="1">IFERROR(__xludf.DUMMYFUNCTION("GOOGLETRANSLATE(English!A4139, ""en"", ""bg"")"),"conv_06966")</f>
        <v>conv_06966</v>
      </c>
      <c r="B4139" s="1" t="str">
        <f ca="1">IFERROR(__xludf.DUMMYFUNCTION("GOOGLETRANSLATE(English!B4139, ""en"", ""bg"")"),"физика")</f>
        <v>физика</v>
      </c>
      <c r="C4139" s="1" t="str">
        <f ca="1">IFERROR(__xludf.DUMMYFUNCTION("GOOGLETRANSLATE(English!C4139, ""en"", ""bg"")"),"средата")</f>
        <v>средата</v>
      </c>
      <c r="D4139" s="1" t="str">
        <f ca="1">IFERROR(__xludf.DUMMYFUNCTION("GOOGLETRANSLATE(English!D4139, ""en"", ""bg"")"),"плътност")</f>
        <v>плътност</v>
      </c>
      <c r="E4139" s="1" t="str">
        <f ca="1">IFERROR(__xludf.DUMMYFUNCTION("GOOGLETRANSLATE(English!E4139, ""en"", ""bg"")"),"Помогни ми да уча за теста. Можеш ли да ми обясниш плътността?")</f>
        <v>Помогни ми да уча за теста. Можеш ли да ми обясниш плътността?</v>
      </c>
      <c r="F4139" s="1" t="str">
        <f ca="1">IFERROR(__xludf.DUMMYFUNCTION("GOOGLETRANSLATE(English!F4139, ""en"", ""bg"")"),"Плътността е интересна физическа концепция, която ни помага да разберем как работят нещата в нашия свят!")</f>
        <v>Плътността е интересна физическа концепция, която ни помага да разберем как работят нещата в нашия свят!</v>
      </c>
      <c r="G4139" s="1" t="str">
        <f ca="1">IFERROR(__xludf.DUMMYFUNCTION("GOOGLETRANSLATE(English!G4139, ""en"", ""bg"")"),"разговор")</f>
        <v>разговор</v>
      </c>
      <c r="H4139" s="1" t="str">
        <f ca="1">IFERROR(__xludf.DUMMYFUNCTION("GOOGLETRANSLATE(English!H4139, ""en"", ""bg"")"),"образователна_помощ")</f>
        <v>образователна_помощ</v>
      </c>
    </row>
    <row r="4140" spans="1:8" ht="13.2" x14ac:dyDescent="0.25">
      <c r="A4140" s="1" t="str">
        <f ca="1">IFERROR(__xludf.DUMMYFUNCTION("GOOGLETRANSLATE(English!A4140, ""en"", ""bg"")"),"hw_08023")</f>
        <v>hw_08023</v>
      </c>
      <c r="B4140" s="1" t="str">
        <f ca="1">IFERROR(__xludf.DUMMYFUNCTION("GOOGLETRANSLATE(English!B4140, ""en"", ""bg"")"),"биология")</f>
        <v>биология</v>
      </c>
      <c r="C4140" s="1" t="str">
        <f ca="1">IFERROR(__xludf.DUMMYFUNCTION("GOOGLETRANSLATE(English!C4140, ""en"", ""bg"")"),"елементарен")</f>
        <v>елементарен</v>
      </c>
      <c r="D4140" s="1" t="str">
        <f ca="1">IFERROR(__xludf.DUMMYFUNCTION("GOOGLETRANSLATE(English!D4140, ""en"", ""bg"")"),"хранителни вериги")</f>
        <v>хранителни вериги</v>
      </c>
      <c r="E4140" s="1" t="str">
        <f ca="1">IFERROR(__xludf.DUMMYFUNCTION("GOOGLETRANSLATE(English!E4140,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4140" s="1" t="str">
        <f ca="1">IFERROR(__xludf.DUMMYFUNCTION("GOOGLETRANSLATE(English!F4140,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4140" s="1" t="str">
        <f ca="1">IFERROR(__xludf.DUMMYFUNCTION("GOOGLETRANSLATE(English!G4140, ""en"", ""bg"")"),"помощ_за_домашно_изпълнение")</f>
        <v>помощ_за_домашно_изпълнение</v>
      </c>
      <c r="H4140" s="1" t="str">
        <f ca="1">IFERROR(__xludf.DUMMYFUNCTION("GOOGLETRANSLATE(English!H4140, ""en"", ""bg"")"),"помощ_за_домашно_задаване")</f>
        <v>помощ_за_домашно_задаване</v>
      </c>
    </row>
    <row r="4141" spans="1:8" ht="13.2" x14ac:dyDescent="0.25">
      <c r="A4141" s="1" t="str">
        <f ca="1">IFERROR(__xludf.DUMMYFUNCTION("GOOGLETRANSLATE(English!A4141, ""en"", ""bg"")"),"conv_19452")</f>
        <v>conv_19452</v>
      </c>
      <c r="B4141" s="1" t="str">
        <f ca="1">IFERROR(__xludf.DUMMYFUNCTION("GOOGLETRANSLATE(English!B4141, ""en"", ""bg"")"),"химия")</f>
        <v>химия</v>
      </c>
      <c r="C4141" s="1" t="str">
        <f ca="1">IFERROR(__xludf.DUMMYFUNCTION("GOOGLETRANSLATE(English!C4141, ""en"", ""bg"")"),"елементарен")</f>
        <v>елементарен</v>
      </c>
      <c r="D4141" s="1" t="str">
        <f ca="1">IFERROR(__xludf.DUMMYFUNCTION("GOOGLETRANSLATE(English!D4141, ""en"", ""bg"")"),"ежедневни химикали")</f>
        <v>ежедневни химикали</v>
      </c>
      <c r="E4141" s="1" t="str">
        <f ca="1">IFERROR(__xludf.DUMMYFUNCTION("GOOGLETRANSLATE(English!E4141, ""en"", ""bg"")"),"Можете ли да ми помогнете? Защо е важно да се изучават ежедневните химикали?")</f>
        <v>Можете ли да ми помогнете? Защо е важно да се изучават ежедневните химикали?</v>
      </c>
      <c r="F4141" s="1" t="str">
        <f ca="1">IFERROR(__xludf.DUMMYFUNCTION("GOOGLETRANSLATE(English!F4141,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4141" s="1" t="str">
        <f ca="1">IFERROR(__xludf.DUMMYFUNCTION("GOOGLETRANSLATE(English!G4141, ""en"", ""bg"")"),"разговор")</f>
        <v>разговор</v>
      </c>
      <c r="H4141" s="1" t="str">
        <f ca="1">IFERROR(__xludf.DUMMYFUNCTION("GOOGLETRANSLATE(English!H4141, ""en"", ""bg"")"),"образователна_помощ")</f>
        <v>образователна_помощ</v>
      </c>
    </row>
    <row r="4142" spans="1:8" ht="13.2" x14ac:dyDescent="0.25">
      <c r="A4142" s="1" t="str">
        <f ca="1">IFERROR(__xludf.DUMMYFUNCTION("GOOGLETRANSLATE(English!A4142, ""en"", ""bg"")"),"conv_08185")</f>
        <v>conv_08185</v>
      </c>
      <c r="B4142" s="1" t="str">
        <f ca="1">IFERROR(__xludf.DUMMYFUNCTION("GOOGLETRANSLATE(English!B4142, ""en"", ""bg"")"),"химия")</f>
        <v>химия</v>
      </c>
      <c r="C4142" s="1" t="str">
        <f ca="1">IFERROR(__xludf.DUMMYFUNCTION("GOOGLETRANSLATE(English!C4142, ""en"", ""bg"")"),"средата")</f>
        <v>средата</v>
      </c>
      <c r="D4142" s="1" t="str">
        <f ca="1">IFERROR(__xludf.DUMMYFUNCTION("GOOGLETRANSLATE(English!D4142, ""en"", ""bg"")"),"химични реакции")</f>
        <v>химични реакции</v>
      </c>
      <c r="E4142" s="1" t="str">
        <f ca="1">IFERROR(__xludf.DUMMYFUNCTION("GOOGLETRANSLATE(English!E4142, ""en"", ""bg"")"),"Здравей, преподавателю! Могат ли химичните реакции да бъдат обратими?")</f>
        <v>Здравей, преподавателю! Могат ли химичните реакции да бъдат обратими?</v>
      </c>
      <c r="F4142" s="1" t="str">
        <f ca="1">IFERROR(__xludf.DUMMYFUNCTION("GOOGLETRANSLATE(English!F4142,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4142" s="1" t="str">
        <f ca="1">IFERROR(__xludf.DUMMYFUNCTION("GOOGLETRANSLATE(English!G4142, ""en"", ""bg"")"),"разговор")</f>
        <v>разговор</v>
      </c>
      <c r="H4142" s="1" t="str">
        <f ca="1">IFERROR(__xludf.DUMMYFUNCTION("GOOGLETRANSLATE(English!H4142, ""en"", ""bg"")"),"образователна_помощ")</f>
        <v>образователна_помощ</v>
      </c>
    </row>
    <row r="4143" spans="1:8" ht="13.2" x14ac:dyDescent="0.25">
      <c r="A4143" s="1" t="str">
        <f ca="1">IFERROR(__xludf.DUMMYFUNCTION("GOOGLETRANSLATE(English!A4143, ""en"", ""bg"")"),"hw_03035")</f>
        <v>hw_03035</v>
      </c>
      <c r="B4143" s="1" t="str">
        <f ca="1">IFERROR(__xludf.DUMMYFUNCTION("GOOGLETRANSLATE(English!B4143, ""en"", ""bg"")"),"физика")</f>
        <v>физика</v>
      </c>
      <c r="C4143" s="1" t="str">
        <f ca="1">IFERROR(__xludf.DUMMYFUNCTION("GOOGLETRANSLATE(English!C4143, ""en"", ""bg"")"),"средата")</f>
        <v>средата</v>
      </c>
      <c r="D4143" s="1" t="str">
        <f ca="1">IFERROR(__xludf.DUMMYFUNCTION("GOOGLETRANSLATE(English!D4143, ""en"", ""bg"")"),"сили и движение")</f>
        <v>сили и движение</v>
      </c>
      <c r="E4143" s="1" t="str">
        <f ca="1">IFERROR(__xludf.DUMMYFUNCTION("GOOGLETRANSLATE(English!E4143, ""en"", ""bg"")"),"Домашното ми по физика е за сили и движение. Объркващо е!")</f>
        <v>Домашното ми по физика е за сили и движение. Объркващо е!</v>
      </c>
      <c r="F4143" s="1" t="str">
        <f ca="1">IFERROR(__xludf.DUMMYFUNCTION("GOOGLETRANSLATE(English!F4143,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4143" s="1" t="str">
        <f ca="1">IFERROR(__xludf.DUMMYFUNCTION("GOOGLETRANSLATE(English!G4143, ""en"", ""bg"")"),"помощ_за_домашно_изпълнение")</f>
        <v>помощ_за_домашно_изпълнение</v>
      </c>
      <c r="H4143" s="1" t="str">
        <f ca="1">IFERROR(__xludf.DUMMYFUNCTION("GOOGLETRANSLATE(English!H4143, ""en"", ""bg"")"),"помощ_за_домашно_задаване")</f>
        <v>помощ_за_домашно_задаване</v>
      </c>
    </row>
    <row r="4144" spans="1:8" ht="13.2" x14ac:dyDescent="0.25">
      <c r="A4144" s="1" t="str">
        <f ca="1">IFERROR(__xludf.DUMMYFUNCTION("GOOGLETRANSLATE(English!A4144, ""en"", ""bg"")"),"conv_02513")</f>
        <v>conv_02513</v>
      </c>
      <c r="B4144" s="1" t="str">
        <f ca="1">IFERROR(__xludf.DUMMYFUNCTION("GOOGLETRANSLATE(English!B4144, ""en"", ""bg"")"),"химия")</f>
        <v>химия</v>
      </c>
      <c r="C4144" s="1" t="str">
        <f ca="1">IFERROR(__xludf.DUMMYFUNCTION("GOOGLETRANSLATE(English!C4144, ""en"", ""bg"")"),"високо")</f>
        <v>високо</v>
      </c>
      <c r="D4144" s="1" t="str">
        <f ca="1">IFERROR(__xludf.DUMMYFUNCTION("GOOGLETRANSLATE(English!D4144, ""en"", ""bg"")"),"скорости на реакция")</f>
        <v>скорости на реакция</v>
      </c>
      <c r="E4144" s="1" t="str">
        <f ca="1">IFERROR(__xludf.DUMMYFUNCTION("GOOGLETRANSLATE(English!E4144, ""en"", ""bg"")"),"Можете ли да ми помогнете? Защо е важно да се учи скоростта на реакция?")</f>
        <v>Можете ли да ми помогнете? Защо е важно да се учи скоростта на реакция?</v>
      </c>
      <c r="F4144" s="1" t="str">
        <f ca="1">IFERROR(__xludf.DUMMYFUNCTION("GOOGLETRANSLATE(English!F4144,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4144" s="1" t="str">
        <f ca="1">IFERROR(__xludf.DUMMYFUNCTION("GOOGLETRANSLATE(English!G4144, ""en"", ""bg"")"),"разговор")</f>
        <v>разговор</v>
      </c>
      <c r="H4144" s="1" t="str">
        <f ca="1">IFERROR(__xludf.DUMMYFUNCTION("GOOGLETRANSLATE(English!H4144, ""en"", ""bg"")"),"образователна_помощ")</f>
        <v>образователна_помощ</v>
      </c>
    </row>
    <row r="4145" spans="1:8" ht="13.2" x14ac:dyDescent="0.25">
      <c r="A4145" s="1" t="str">
        <f ca="1">IFERROR(__xludf.DUMMYFUNCTION("GOOGLETRANSLATE(English!A4145, ""en"", ""bg"")"),"qa_10134")</f>
        <v>qa_10134</v>
      </c>
      <c r="B4145" s="1" t="str">
        <f ca="1">IFERROR(__xludf.DUMMYFUNCTION("GOOGLETRANSLATE(English!B4145, ""en"", ""bg"")"),"химия")</f>
        <v>химия</v>
      </c>
      <c r="C4145" s="1" t="str">
        <f ca="1">IFERROR(__xludf.DUMMYFUNCTION("GOOGLETRANSLATE(English!C4145, ""en"", ""bg"")"),"елементарен")</f>
        <v>елементарен</v>
      </c>
      <c r="D4145" s="1" t="str">
        <f ca="1">IFERROR(__xludf.DUMMYFUNCTION("GOOGLETRANSLATE(English!D4145, ""en"", ""bg"")"),"безопасност")</f>
        <v>безопасност</v>
      </c>
      <c r="E4145" s="1" t="str">
        <f ca="1">IFERROR(__xludf.DUMMYFUNCTION("GOOGLETRANSLATE(English!E4145, ""en"", ""bg"")"),"Как работи безопасността в химията?")</f>
        <v>Как работи безопасността в химията?</v>
      </c>
      <c r="F4145" s="1" t="str">
        <f ca="1">IFERROR(__xludf.DUMMYFUNCTION("GOOGLETRANSLATE(English!F4145,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4145" s="1" t="str">
        <f ca="1">IFERROR(__xludf.DUMMYFUNCTION("GOOGLETRANSLATE(English!G4145, ""en"", ""bg"")"),"direct_qa")</f>
        <v>direct_qa</v>
      </c>
      <c r="H4145" s="1" t="str">
        <f ca="1">IFERROR(__xludf.DUMMYFUNCTION("GOOGLETRANSLATE(English!H4145, ""en"", ""bg"")"),"заявка_за_знание")</f>
        <v>заявка_за_знание</v>
      </c>
    </row>
    <row r="4146" spans="1:8" ht="13.2" x14ac:dyDescent="0.25">
      <c r="A4146" s="1" t="str">
        <f ca="1">IFERROR(__xludf.DUMMYFUNCTION("GOOGLETRANSLATE(English!A4146, ""en"", ""bg"")"),"hw_03877")</f>
        <v>hw_03877</v>
      </c>
      <c r="B4146" s="1" t="str">
        <f ca="1">IFERROR(__xludf.DUMMYFUNCTION("GOOGLETRANSLATE(English!B4146, ""en"", ""bg"")"),"физика")</f>
        <v>физика</v>
      </c>
      <c r="C4146" s="1" t="str">
        <f ca="1">IFERROR(__xludf.DUMMYFUNCTION("GOOGLETRANSLATE(English!C4146, ""en"", ""bg"")"),"високо")</f>
        <v>високо</v>
      </c>
      <c r="D4146" s="1" t="str">
        <f ca="1">IFERROR(__xludf.DUMMYFUNCTION("GOOGLETRANSLATE(English!D4146, ""en"", ""bg"")"),"атомна структура")</f>
        <v>атомна структура</v>
      </c>
      <c r="E4146" s="1" t="str">
        <f ca="1">IFERROR(__xludf.DUMMYFUNCTION("GOOGLETRANSLATE(English!E4146,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4146" s="1" t="str">
        <f ca="1">IFERROR(__xludf.DUMMYFUNCTION("GOOGLETRANSLATE(English!F4146,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4146" s="1" t="str">
        <f ca="1">IFERROR(__xludf.DUMMYFUNCTION("GOOGLETRANSLATE(English!G4146, ""en"", ""bg"")"),"помощ_за_домашно_изпълнение")</f>
        <v>помощ_за_домашно_изпълнение</v>
      </c>
      <c r="H4146" s="1" t="str">
        <f ca="1">IFERROR(__xludf.DUMMYFUNCTION("GOOGLETRANSLATE(English!H4146, ""en"", ""bg"")"),"помощ_за_домашно_задаване")</f>
        <v>помощ_за_домашно_задаване</v>
      </c>
    </row>
    <row r="4147" spans="1:8" ht="13.2" x14ac:dyDescent="0.25">
      <c r="A4147" s="1" t="str">
        <f ca="1">IFERROR(__xludf.DUMMYFUNCTION("GOOGLETRANSLATE(English!A4147, ""en"", ""bg"")"),"hw_10624")</f>
        <v>hw_10624</v>
      </c>
      <c r="B4147" s="1" t="str">
        <f ca="1">IFERROR(__xludf.DUMMYFUNCTION("GOOGLETRANSLATE(English!B4147, ""en"", ""bg"")"),"физика")</f>
        <v>физика</v>
      </c>
      <c r="C4147" s="1" t="str">
        <f ca="1">IFERROR(__xludf.DUMMYFUNCTION("GOOGLETRANSLATE(English!C4147, ""en"", ""bg"")"),"средата")</f>
        <v>средата</v>
      </c>
      <c r="D4147" s="1" t="str">
        <f ca="1">IFERROR(__xludf.DUMMYFUNCTION("GOOGLETRANSLATE(English!D4147, ""en"", ""bg"")"),"вълни")</f>
        <v>вълни</v>
      </c>
      <c r="E4147" s="1" t="str">
        <f ca="1">IFERROR(__xludf.DUMMYFUNCTION("GOOGLETRANSLATE(English!E4147, ""en"", ""bg"")"),"Заседнал съм с този проблем с вълните. Можете ли да помогнете?")</f>
        <v>Заседнал съм с този проблем с вълните. Можете ли да помогнете?</v>
      </c>
      <c r="F4147" s="1" t="str">
        <f ca="1">IFERROR(__xludf.DUMMYFUNCTION("GOOGLETRANSLATE(English!F4147,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4147" s="1" t="str">
        <f ca="1">IFERROR(__xludf.DUMMYFUNCTION("GOOGLETRANSLATE(English!G4147, ""en"", ""bg"")"),"помощ_за_домашно_изпълнение")</f>
        <v>помощ_за_домашно_изпълнение</v>
      </c>
      <c r="H4147" s="1" t="str">
        <f ca="1">IFERROR(__xludf.DUMMYFUNCTION("GOOGLETRANSLATE(English!H4147, ""en"", ""bg"")"),"помощ_за_домашно_задаване")</f>
        <v>помощ_за_домашно_задаване</v>
      </c>
    </row>
    <row r="4148" spans="1:8" ht="13.2" x14ac:dyDescent="0.25">
      <c r="A4148" s="1" t="str">
        <f ca="1">IFERROR(__xludf.DUMMYFUNCTION("GOOGLETRANSLATE(English!A4148, ""en"", ""bg"")"),"qa_01859")</f>
        <v>qa_01859</v>
      </c>
      <c r="B4148" s="1" t="str">
        <f ca="1">IFERROR(__xludf.DUMMYFUNCTION("GOOGLETRANSLATE(English!B4148, ""en"", ""bg"")"),"физика")</f>
        <v>физика</v>
      </c>
      <c r="C4148" s="1" t="str">
        <f ca="1">IFERROR(__xludf.DUMMYFUNCTION("GOOGLETRANSLATE(English!C4148, ""en"", ""bg"")"),"елементарен")</f>
        <v>елементарен</v>
      </c>
      <c r="D4148" s="1" t="str">
        <f ca="1">IFERROR(__xludf.DUMMYFUNCTION("GOOGLETRANSLATE(English!D4148, ""en"", ""bg"")"),"прости машини")</f>
        <v>прости машини</v>
      </c>
      <c r="E4148" s="1" t="str">
        <f ca="1">IFERROR(__xludf.DUMMYFUNCTION("GOOGLETRANSLATE(English!E4148, ""en"", ""bg"")"),"Защо простите машини са важни?")</f>
        <v>Защо простите машини са важни?</v>
      </c>
      <c r="F4148" s="1" t="str">
        <f ca="1">IFERROR(__xludf.DUMMYFUNCTION("GOOGLETRANSLATE(English!F4148,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4148" s="1" t="str">
        <f ca="1">IFERROR(__xludf.DUMMYFUNCTION("GOOGLETRANSLATE(English!G4148, ""en"", ""bg"")"),"direct_qa")</f>
        <v>direct_qa</v>
      </c>
      <c r="H4148" s="1" t="str">
        <f ca="1">IFERROR(__xludf.DUMMYFUNCTION("GOOGLETRANSLATE(English!H4148, ""en"", ""bg"")"),"заявка_за_знание")</f>
        <v>заявка_за_знание</v>
      </c>
    </row>
    <row r="4149" spans="1:8" ht="13.2" x14ac:dyDescent="0.25">
      <c r="A4149" s="1" t="str">
        <f ca="1">IFERROR(__xludf.DUMMYFUNCTION("GOOGLETRANSLATE(English!A4149, ""en"", ""bg"")"),"hw_02756")</f>
        <v>hw_02756</v>
      </c>
      <c r="B4149" s="1" t="str">
        <f ca="1">IFERROR(__xludf.DUMMYFUNCTION("GOOGLETRANSLATE(English!B4149, ""en"", ""bg"")"),"физика")</f>
        <v>физика</v>
      </c>
      <c r="C4149" s="1" t="str">
        <f ca="1">IFERROR(__xludf.DUMMYFUNCTION("GOOGLETRANSLATE(English!C4149, ""en"", ""bg"")"),"високо")</f>
        <v>високо</v>
      </c>
      <c r="D4149" s="1" t="str">
        <f ca="1">IFERROR(__xludf.DUMMYFUNCTION("GOOGLETRANSLATE(English!D4149, ""en"", ""bg"")"),"атомна структура")</f>
        <v>атомна структура</v>
      </c>
      <c r="E4149" s="1" t="str">
        <f ca="1">IFERROR(__xludf.DUMMYFUNCTION("GOOGLETRANSLATE(English!E4149, ""en"", ""bg"")"),"Можете ли да решите този въпрос за атомната структура с мен?")</f>
        <v>Можете ли да решите този въпрос за атомната структура с мен?</v>
      </c>
      <c r="F4149" s="1" t="str">
        <f ca="1">IFERROR(__xludf.DUMMYFUNCTION("GOOGLETRANSLATE(English!F4149,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4149" s="1" t="str">
        <f ca="1">IFERROR(__xludf.DUMMYFUNCTION("GOOGLETRANSLATE(English!G4149, ""en"", ""bg"")"),"помощ_за_домашно_изпълнение")</f>
        <v>помощ_за_домашно_изпълнение</v>
      </c>
      <c r="H4149" s="1" t="str">
        <f ca="1">IFERROR(__xludf.DUMMYFUNCTION("GOOGLETRANSLATE(English!H4149, ""en"", ""bg"")"),"помощ_за_домашно_задаване")</f>
        <v>помощ_за_домашно_задаване</v>
      </c>
    </row>
    <row r="4150" spans="1:8" ht="13.2" x14ac:dyDescent="0.25">
      <c r="A4150" s="1" t="str">
        <f ca="1">IFERROR(__xludf.DUMMYFUNCTION("GOOGLETRANSLATE(English!A4150, ""en"", ""bg"")"),"conv_19040")</f>
        <v>conv_19040</v>
      </c>
      <c r="B4150" s="1" t="str">
        <f ca="1">IFERROR(__xludf.DUMMYFUNCTION("GOOGLETRANSLATE(English!B4150, ""en"", ""bg"")"),"химия")</f>
        <v>химия</v>
      </c>
      <c r="C4150" s="1" t="str">
        <f ca="1">IFERROR(__xludf.DUMMYFUNCTION("GOOGLETRANSLATE(English!C4150, ""en"", ""bg"")"),"елементарен")</f>
        <v>елементарен</v>
      </c>
      <c r="D4150" s="1" t="str">
        <f ca="1">IFERROR(__xludf.DUMMYFUNCTION("GOOGLETRANSLATE(English!D4150, ""en"", ""bg"")"),"твърди вещества, течности, газове")</f>
        <v>твърди вещества, течности, газове</v>
      </c>
      <c r="E4150" s="1" t="str">
        <f ca="1">IFERROR(__xludf.DUMMYFUNCTION("GOOGLETRANSLATE(English!E4150, ""en"", ""bg"")"),"Имам научен въпрос: Защо ледът плава по водата?")</f>
        <v>Имам научен въпрос: Защо ледът плава по водата?</v>
      </c>
      <c r="F4150" s="1" t="str">
        <f ca="1">IFERROR(__xludf.DUMMYFUNCTION("GOOGLETRANSLATE(English!F4150,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4150" s="1" t="str">
        <f ca="1">IFERROR(__xludf.DUMMYFUNCTION("GOOGLETRANSLATE(English!G4150, ""en"", ""bg"")"),"разговор")</f>
        <v>разговор</v>
      </c>
      <c r="H4150" s="1" t="str">
        <f ca="1">IFERROR(__xludf.DUMMYFUNCTION("GOOGLETRANSLATE(English!H4150, ""en"", ""bg"")"),"образователна_помощ")</f>
        <v>образователна_помощ</v>
      </c>
    </row>
    <row r="4151" spans="1:8" ht="13.2" x14ac:dyDescent="0.25">
      <c r="A4151" s="1" t="str">
        <f ca="1">IFERROR(__xludf.DUMMYFUNCTION("GOOGLETRANSLATE(English!A4151, ""en"", ""bg"")"),"qa_10112")</f>
        <v>qa_10112</v>
      </c>
      <c r="B4151" s="1" t="str">
        <f ca="1">IFERROR(__xludf.DUMMYFUNCTION("GOOGLETRANSLATE(English!B4151, ""en"", ""bg"")"),"биология")</f>
        <v>биология</v>
      </c>
      <c r="C4151" s="1" t="str">
        <f ca="1">IFERROR(__xludf.DUMMYFUNCTION("GOOGLETRANSLATE(English!C4151, ""en"", ""bg"")"),"високо")</f>
        <v>високо</v>
      </c>
      <c r="D4151" s="1" t="str">
        <f ca="1">IFERROR(__xludf.DUMMYFUNCTION("GOOGLETRANSLATE(English!D4151, ""en"", ""bg"")"),"модели на наследяване")</f>
        <v>модели на наследяване</v>
      </c>
      <c r="E4151" s="1" t="str">
        <f ca="1">IFERROR(__xludf.DUMMYFUNCTION("GOOGLETRANSLATE(English!E4151, ""en"", ""bg"")"),"Какво е важно да знаем за моделите на наследяване?")</f>
        <v>Какво е важно да знаем за моделите на наследяване?</v>
      </c>
      <c r="F4151" s="1" t="str">
        <f ca="1">IFERROR(__xludf.DUMMYFUNCTION("GOOGLETRANSLATE(English!F4151, ""en"", ""bg"")"),"Най-важното нещо за моделите на наследяване е как те се свързват с други части на живота и природата.")</f>
        <v>Най-важното нещо за моделите на наследяване е как те се свързват с други части на живота и природата.</v>
      </c>
      <c r="G4151" s="1" t="str">
        <f ca="1">IFERROR(__xludf.DUMMYFUNCTION("GOOGLETRANSLATE(English!G4151, ""en"", ""bg"")"),"direct_qa")</f>
        <v>direct_qa</v>
      </c>
      <c r="H4151" s="1" t="str">
        <f ca="1">IFERROR(__xludf.DUMMYFUNCTION("GOOGLETRANSLATE(English!H4151, ""en"", ""bg"")"),"заявка_за_знание")</f>
        <v>заявка_за_знание</v>
      </c>
    </row>
    <row r="4152" spans="1:8" ht="13.2" x14ac:dyDescent="0.25">
      <c r="A4152" s="1" t="str">
        <f ca="1">IFERROR(__xludf.DUMMYFUNCTION("GOOGLETRANSLATE(English!A4152, ""en"", ""bg"")"),"hw_14248")</f>
        <v>hw_14248</v>
      </c>
      <c r="B4152" s="1" t="str">
        <f ca="1">IFERROR(__xludf.DUMMYFUNCTION("GOOGLETRANSLATE(English!B4152, ""en"", ""bg"")"),"химия")</f>
        <v>химия</v>
      </c>
      <c r="C4152" s="1" t="str">
        <f ca="1">IFERROR(__xludf.DUMMYFUNCTION("GOOGLETRANSLATE(English!C4152, ""en"", ""bg"")"),"високо")</f>
        <v>високо</v>
      </c>
      <c r="D4152" s="1" t="str">
        <f ca="1">IFERROR(__xludf.DUMMYFUNCTION("GOOGLETRANSLATE(English!D4152, ""en"", ""bg"")"),"химическо свързване")</f>
        <v>химическо свързване</v>
      </c>
      <c r="E4152" s="1" t="str">
        <f ca="1">IFERROR(__xludf.DUMMYFUNCTION("GOOGLETRANSLATE(English!E4152, ""en"", ""bg"")"),"Не разбирам тази концепция за химическа връзка. Моля, обяснете!")</f>
        <v>Не разбирам тази концепция за химическа връзка. Моля, обяснете!</v>
      </c>
      <c r="F4152" s="1" t="str">
        <f ca="1">IFERROR(__xludf.DUMMYFUNCTION("GOOGLETRANSLATE(English!F4152,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4152" s="1" t="str">
        <f ca="1">IFERROR(__xludf.DUMMYFUNCTION("GOOGLETRANSLATE(English!G4152, ""en"", ""bg"")"),"помощ_за_домашно_изпълнение")</f>
        <v>помощ_за_домашно_изпълнение</v>
      </c>
      <c r="H4152" s="1" t="str">
        <f ca="1">IFERROR(__xludf.DUMMYFUNCTION("GOOGLETRANSLATE(English!H4152, ""en"", ""bg"")"),"помощ_за_домашно_задаване")</f>
        <v>помощ_за_домашно_задаване</v>
      </c>
    </row>
    <row r="4153" spans="1:8" ht="13.2" x14ac:dyDescent="0.25">
      <c r="A4153" s="1" t="str">
        <f ca="1">IFERROR(__xludf.DUMMYFUNCTION("GOOGLETRANSLATE(English!A4153, ""en"", ""bg"")"),"conv_09444")</f>
        <v>conv_09444</v>
      </c>
      <c r="B4153" s="1" t="str">
        <f ca="1">IFERROR(__xludf.DUMMYFUNCTION("GOOGLETRANSLATE(English!B4153, ""en"", ""bg"")"),"физика")</f>
        <v>физика</v>
      </c>
      <c r="C4153" s="1" t="str">
        <f ca="1">IFERROR(__xludf.DUMMYFUNCTION("GOOGLETRANSLATE(English!C4153, ""en"", ""bg"")"),"високо")</f>
        <v>високо</v>
      </c>
      <c r="D4153" s="1" t="str">
        <f ca="1">IFERROR(__xludf.DUMMYFUNCTION("GOOGLETRANSLATE(English!D4153, ""en"", ""bg"")"),"термодинамика")</f>
        <v>термодинамика</v>
      </c>
      <c r="E4153" s="1" t="str">
        <f ca="1">IFERROR(__xludf.DUMMYFUNCTION("GOOGLETRANSLATE(English!E4153, ""en"", ""bg"")"),"Помогни ми да уча за теста. Можеш ли да ми обясниш термодинамиката?")</f>
        <v>Помогни ми да уча за теста. Можеш ли да ми обясниш термодинамиката?</v>
      </c>
      <c r="F4153" s="1" t="str">
        <f ca="1">IFERROR(__xludf.DUMMYFUNCTION("GOOGLETRANSLATE(English!F4153,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4153" s="1" t="str">
        <f ca="1">IFERROR(__xludf.DUMMYFUNCTION("GOOGLETRANSLATE(English!G4153, ""en"", ""bg"")"),"разговор")</f>
        <v>разговор</v>
      </c>
      <c r="H4153" s="1" t="str">
        <f ca="1">IFERROR(__xludf.DUMMYFUNCTION("GOOGLETRANSLATE(English!H4153, ""en"", ""bg"")"),"образователна_помощ")</f>
        <v>образователна_помощ</v>
      </c>
    </row>
    <row r="4154" spans="1:8" ht="13.2" x14ac:dyDescent="0.25">
      <c r="A4154" s="1" t="str">
        <f ca="1">IFERROR(__xludf.DUMMYFUNCTION("GOOGLETRANSLATE(English!A4154, ""en"", ""bg"")"),"conv_17222")</f>
        <v>conv_17222</v>
      </c>
      <c r="B4154" s="1" t="str">
        <f ca="1">IFERROR(__xludf.DUMMYFUNCTION("GOOGLETRANSLATE(English!B4154, ""en"", ""bg"")"),"химия")</f>
        <v>химия</v>
      </c>
      <c r="C4154" s="1" t="str">
        <f ca="1">IFERROR(__xludf.DUMMYFUNCTION("GOOGLETRANSLATE(English!C4154, ""en"", ""bg"")"),"високо")</f>
        <v>високо</v>
      </c>
      <c r="D4154" s="1" t="str">
        <f ca="1">IFERROR(__xludf.DUMMYFUNCTION("GOOGLETRANSLATE(English!D4154, ""en"", ""bg"")"),"равновесие")</f>
        <v>равновесие</v>
      </c>
      <c r="E4154" s="1" t="str">
        <f ca="1">IFERROR(__xludf.DUMMYFUNCTION("GOOGLETRANSLATE(English!E4154, ""en"", ""bg"")"),"Не разбирам тази тема. Можете ли да ми помогнете да разбера какво е равновесие?")</f>
        <v>Не разбирам тази тема. Можете ли да ми помогнете да разбера какво е равновесие?</v>
      </c>
      <c r="F4154" s="1" t="str">
        <f ca="1">IFERROR(__xludf.DUMMYFUNCTION("GOOGLETRANSLATE(English!F4154,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4154" s="1" t="str">
        <f ca="1">IFERROR(__xludf.DUMMYFUNCTION("GOOGLETRANSLATE(English!G4154, ""en"", ""bg"")"),"разговор")</f>
        <v>разговор</v>
      </c>
      <c r="H4154" s="1" t="str">
        <f ca="1">IFERROR(__xludf.DUMMYFUNCTION("GOOGLETRANSLATE(English!H4154, ""en"", ""bg"")"),"образователна_помощ")</f>
        <v>образователна_помощ</v>
      </c>
    </row>
    <row r="4155" spans="1:8" ht="13.2" x14ac:dyDescent="0.25">
      <c r="A4155" s="1" t="str">
        <f ca="1">IFERROR(__xludf.DUMMYFUNCTION("GOOGLETRANSLATE(English!A4155, ""en"", ""bg"")"),"conv_09513")</f>
        <v>conv_09513</v>
      </c>
      <c r="B4155" s="1" t="str">
        <f ca="1">IFERROR(__xludf.DUMMYFUNCTION("GOOGLETRANSLATE(English!B4155, ""en"", ""bg"")"),"химия")</f>
        <v>химия</v>
      </c>
      <c r="C4155" s="1" t="str">
        <f ca="1">IFERROR(__xludf.DUMMYFUNCTION("GOOGLETRANSLATE(English!C4155, ""en"", ""bg"")"),"високо")</f>
        <v>високо</v>
      </c>
      <c r="D4155" s="1" t="str">
        <f ca="1">IFERROR(__xludf.DUMMYFUNCTION("GOOGLETRANSLATE(English!D4155, ""en"", ""bg"")"),"химическо свързване")</f>
        <v>химическо свързване</v>
      </c>
      <c r="E4155" s="1" t="str">
        <f ca="1">IFERROR(__xludf.DUMMYFUNCTION("GOOGLETRANSLATE(English!E4155, ""en"", ""bg"")"),"Не разбирам тази тема. Какво представлява химическото свързване?")</f>
        <v>Не разбирам тази тема. Какво представлява химическото свързване?</v>
      </c>
      <c r="F4155" s="1" t="str">
        <f ca="1">IFERROR(__xludf.DUMMYFUNCTION("GOOGLETRANSLATE(English!F4155,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4155" s="1" t="str">
        <f ca="1">IFERROR(__xludf.DUMMYFUNCTION("GOOGLETRANSLATE(English!G4155, ""en"", ""bg"")"),"разговор")</f>
        <v>разговор</v>
      </c>
      <c r="H4155" s="1" t="str">
        <f ca="1">IFERROR(__xludf.DUMMYFUNCTION("GOOGLETRANSLATE(English!H4155, ""en"", ""bg"")"),"образователна_помощ")</f>
        <v>образователна_помощ</v>
      </c>
    </row>
    <row r="4156" spans="1:8" ht="13.2" x14ac:dyDescent="0.25">
      <c r="A4156" s="1" t="str">
        <f ca="1">IFERROR(__xludf.DUMMYFUNCTION("GOOGLETRANSLATE(English!A4156, ""en"", ""bg"")"),"conv_16675")</f>
        <v>conv_16675</v>
      </c>
      <c r="B4156" s="1" t="str">
        <f ca="1">IFERROR(__xludf.DUMMYFUNCTION("GOOGLETRANSLATE(English!B4156, ""en"", ""bg"")"),"химия")</f>
        <v>химия</v>
      </c>
      <c r="C4156" s="1" t="str">
        <f ca="1">IFERROR(__xludf.DUMMYFUNCTION("GOOGLETRANSLATE(English!C4156, ""en"", ""bg"")"),"високо")</f>
        <v>високо</v>
      </c>
      <c r="D4156" s="1" t="str">
        <f ca="1">IFERROR(__xludf.DUMMYFUNCTION("GOOGLETRANSLATE(English!D4156, ""en"", ""bg"")"),"стехиометрия")</f>
        <v>стехиометрия</v>
      </c>
      <c r="E4156" s="1" t="str">
        <f ca="1">IFERROR(__xludf.DUMMYFUNCTION("GOOGLETRANSLATE(English!E4156, ""en"", ""bg"")"),"Можете ли да ми обясните това? Как работи стехиометрията в химията?")</f>
        <v>Можете ли да ми обясните това? Как работи стехиометрията в химията?</v>
      </c>
      <c r="F4156" s="1" t="str">
        <f ca="1">IFERROR(__xludf.DUMMYFUNCTION("GOOGLETRANSLATE(English!F4156,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4156" s="1" t="str">
        <f ca="1">IFERROR(__xludf.DUMMYFUNCTION("GOOGLETRANSLATE(English!G4156, ""en"", ""bg"")"),"разговор")</f>
        <v>разговор</v>
      </c>
      <c r="H4156" s="1" t="str">
        <f ca="1">IFERROR(__xludf.DUMMYFUNCTION("GOOGLETRANSLATE(English!H4156, ""en"", ""bg"")"),"образователна_помощ")</f>
        <v>образователна_помощ</v>
      </c>
    </row>
    <row r="4157" spans="1:8" ht="13.2" x14ac:dyDescent="0.25">
      <c r="A4157" s="1" t="str">
        <f ca="1">IFERROR(__xludf.DUMMYFUNCTION("GOOGLETRANSLATE(English!A4157, ""en"", ""bg"")"),"qa_13056")</f>
        <v>qa_13056</v>
      </c>
      <c r="B4157" s="1" t="str">
        <f ca="1">IFERROR(__xludf.DUMMYFUNCTION("GOOGLETRANSLATE(English!B4157, ""en"", ""bg"")"),"физика")</f>
        <v>физика</v>
      </c>
      <c r="C4157" s="1" t="str">
        <f ca="1">IFERROR(__xludf.DUMMYFUNCTION("GOOGLETRANSLATE(English!C4157, ""en"", ""bg"")"),"елементарен")</f>
        <v>елементарен</v>
      </c>
      <c r="D4157" s="1" t="str">
        <f ca="1">IFERROR(__xludf.DUMMYFUNCTION("GOOGLETRANSLATE(English!D4157, ""en"", ""bg"")"),"магнити")</f>
        <v>магнити</v>
      </c>
      <c r="E4157" s="1" t="str">
        <f ca="1">IFERROR(__xludf.DUMMYFUNCTION("GOOGLETRANSLATE(English!E4157, ""en"", ""bg"")"),"Какви са полюсите на магнита?")</f>
        <v>Какви са полюсите на магнита?</v>
      </c>
      <c r="F4157" s="1" t="str">
        <f ca="1">IFERROR(__xludf.DUMMYFUNCTION("GOOGLETRANSLATE(English!F4157,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4157" s="1" t="str">
        <f ca="1">IFERROR(__xludf.DUMMYFUNCTION("GOOGLETRANSLATE(English!G4157, ""en"", ""bg"")"),"direct_qa")</f>
        <v>direct_qa</v>
      </c>
      <c r="H4157" s="1" t="str">
        <f ca="1">IFERROR(__xludf.DUMMYFUNCTION("GOOGLETRANSLATE(English!H4157, ""en"", ""bg"")"),"заявка_за_знание")</f>
        <v>заявка_за_знание</v>
      </c>
    </row>
    <row r="4158" spans="1:8" ht="13.2" x14ac:dyDescent="0.25">
      <c r="A4158" s="1" t="str">
        <f ca="1">IFERROR(__xludf.DUMMYFUNCTION("GOOGLETRANSLATE(English!A4158, ""en"", ""bg"")"),"hw_11547")</f>
        <v>hw_11547</v>
      </c>
      <c r="B4158" s="1" t="str">
        <f ca="1">IFERROR(__xludf.DUMMYFUNCTION("GOOGLETRANSLATE(English!B4158, ""en"", ""bg"")"),"химия")</f>
        <v>химия</v>
      </c>
      <c r="C4158" s="1" t="str">
        <f ca="1">IFERROR(__xludf.DUMMYFUNCTION("GOOGLETRANSLATE(English!C4158, ""en"", ""bg"")"),"елементарен")</f>
        <v>елементарен</v>
      </c>
      <c r="D4158" s="1" t="str">
        <f ca="1">IFERROR(__xludf.DUMMYFUNCTION("GOOGLETRANSLATE(English!D4158, ""en"", ""bg"")"),"ежедневни химикали")</f>
        <v>ежедневни химикали</v>
      </c>
      <c r="E4158" s="1" t="str">
        <f ca="1">IFERROR(__xludf.DUMMYFUNCTION("GOOGLETRANSLATE(English!E4158, ""en"", ""bg"")"),"Можете ли да ми помогнете с ежедневните изчисления на химикали?")</f>
        <v>Можете ли да ми помогнете с ежедневните изчисления на химикали?</v>
      </c>
      <c r="F4158" s="1" t="str">
        <f ca="1">IFERROR(__xludf.DUMMYFUNCTION("GOOGLETRANSLATE(English!F4158,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4158" s="1" t="str">
        <f ca="1">IFERROR(__xludf.DUMMYFUNCTION("GOOGLETRANSLATE(English!G4158, ""en"", ""bg"")"),"помощ_за_домашно_изпълнение")</f>
        <v>помощ_за_домашно_изпълнение</v>
      </c>
      <c r="H4158" s="1" t="str">
        <f ca="1">IFERROR(__xludf.DUMMYFUNCTION("GOOGLETRANSLATE(English!H4158, ""en"", ""bg"")"),"помощ_за_домашно_задаване")</f>
        <v>помощ_за_домашно_задаване</v>
      </c>
    </row>
    <row r="4159" spans="1:8" ht="13.2" x14ac:dyDescent="0.25">
      <c r="A4159" s="1" t="str">
        <f ca="1">IFERROR(__xludf.DUMMYFUNCTION("GOOGLETRANSLATE(English!A4159, ""en"", ""bg"")"),"conv_19607")</f>
        <v>conv_19607</v>
      </c>
      <c r="B4159" s="1" t="str">
        <f ca="1">IFERROR(__xludf.DUMMYFUNCTION("GOOGLETRANSLATE(English!B4159, ""en"", ""bg"")"),"биология")</f>
        <v>биология</v>
      </c>
      <c r="C4159" s="1" t="str">
        <f ca="1">IFERROR(__xludf.DUMMYFUNCTION("GOOGLETRANSLATE(English!C4159, ""en"", ""bg"")"),"високо")</f>
        <v>високо</v>
      </c>
      <c r="D4159" s="1" t="str">
        <f ca="1">IFERROR(__xludf.DUMMYFUNCTION("GOOGLETRANSLATE(English!D4159, ""en"", ""bg"")"),"молекулярна биология")</f>
        <v>молекулярна биология</v>
      </c>
      <c r="E4159" s="1" t="str">
        <f ca="1">IFERROR(__xludf.DUMMYFUNCTION("GOOGLETRANSLATE(English!E4159, ""en"", ""bg"")"),"Имам научен въпрос. Какво е важно да знаем за молекулярната биология?")</f>
        <v>Имам научен въпрос. Какво е важно да знаем за молекулярната биология?</v>
      </c>
      <c r="F4159" s="1" t="str">
        <f ca="1">IFERROR(__xludf.DUMMYFUNCTION("GOOGLETRANSLATE(English!F4159,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4159" s="1" t="str">
        <f ca="1">IFERROR(__xludf.DUMMYFUNCTION("GOOGLETRANSLATE(English!G4159, ""en"", ""bg"")"),"разговор")</f>
        <v>разговор</v>
      </c>
      <c r="H4159" s="1" t="str">
        <f ca="1">IFERROR(__xludf.DUMMYFUNCTION("GOOGLETRANSLATE(English!H4159, ""en"", ""bg"")"),"образователна_помощ")</f>
        <v>образователна_помощ</v>
      </c>
    </row>
    <row r="4160" spans="1:8" ht="13.2" x14ac:dyDescent="0.25">
      <c r="A4160" s="1" t="str">
        <f ca="1">IFERROR(__xludf.DUMMYFUNCTION("GOOGLETRANSLATE(English!A4160, ""en"", ""bg"")"),"conv_05078")</f>
        <v>conv_05078</v>
      </c>
      <c r="B4160" s="1" t="str">
        <f ca="1">IFERROR(__xludf.DUMMYFUNCTION("GOOGLETRANSLATE(English!B4160, ""en"", ""bg"")"),"биология")</f>
        <v>биология</v>
      </c>
      <c r="C4160" s="1" t="str">
        <f ca="1">IFERROR(__xludf.DUMMYFUNCTION("GOOGLETRANSLATE(English!C4160, ""en"", ""bg"")"),"средата")</f>
        <v>средата</v>
      </c>
      <c r="D4160" s="1" t="str">
        <f ca="1">IFERROR(__xludf.DUMMYFUNCTION("GOOGLETRANSLATE(English!D4160, ""en"", ""bg"")"),"класификация")</f>
        <v>класификация</v>
      </c>
      <c r="E4160" s="1" t="str">
        <f ca="1">IFERROR(__xludf.DUMMYFUNCTION("GOOGLETRANSLATE(English!E4160, ""en"", ""bg"")"),"Здравей, преподавателю! Защо класификацията е важна в биологията?")</f>
        <v>Здравей, преподавателю! Защо класификацията е важна в биологията?</v>
      </c>
      <c r="F4160" s="1" t="str">
        <f ca="1">IFERROR(__xludf.DUMMYFUNCTION("GOOGLETRANSLATE(English!F4160,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4160" s="1" t="str">
        <f ca="1">IFERROR(__xludf.DUMMYFUNCTION("GOOGLETRANSLATE(English!G4160, ""en"", ""bg"")"),"разговор")</f>
        <v>разговор</v>
      </c>
      <c r="H4160" s="1" t="str">
        <f ca="1">IFERROR(__xludf.DUMMYFUNCTION("GOOGLETRANSLATE(English!H4160, ""en"", ""bg"")"),"образователна_помощ")</f>
        <v>образователна_помощ</v>
      </c>
    </row>
    <row r="4161" spans="1:8" ht="13.2" x14ac:dyDescent="0.25">
      <c r="A4161" s="1" t="str">
        <f ca="1">IFERROR(__xludf.DUMMYFUNCTION("GOOGLETRANSLATE(English!A4161, ""en"", ""bg"")"),"qa_05150")</f>
        <v>qa_05150</v>
      </c>
      <c r="B4161" s="1" t="str">
        <f ca="1">IFERROR(__xludf.DUMMYFUNCTION("GOOGLETRANSLATE(English!B4161, ""en"", ""bg"")"),"химия")</f>
        <v>химия</v>
      </c>
      <c r="C4161" s="1" t="str">
        <f ca="1">IFERROR(__xludf.DUMMYFUNCTION("GOOGLETRANSLATE(English!C4161, ""en"", ""bg"")"),"високо")</f>
        <v>високо</v>
      </c>
      <c r="D4161" s="1" t="str">
        <f ca="1">IFERROR(__xludf.DUMMYFUNCTION("GOOGLETRANSLATE(English!D4161, ""en"", ""bg"")"),"равновесие")</f>
        <v>равновесие</v>
      </c>
      <c r="E4161" s="1" t="str">
        <f ca="1">IFERROR(__xludf.DUMMYFUNCTION("GOOGLETRANSLATE(English!E4161, ""en"", ""bg"")"),"Защо е важно да се учи равновесие?")</f>
        <v>Защо е важно да се учи равновесие?</v>
      </c>
      <c r="F4161" s="1" t="str">
        <f ca="1">IFERROR(__xludf.DUMMYFUNCTION("GOOGLETRANSLATE(English!F4161,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161" s="1" t="str">
        <f ca="1">IFERROR(__xludf.DUMMYFUNCTION("GOOGLETRANSLATE(English!G4161, ""en"", ""bg"")"),"direct_qa")</f>
        <v>direct_qa</v>
      </c>
      <c r="H4161" s="1" t="str">
        <f ca="1">IFERROR(__xludf.DUMMYFUNCTION("GOOGLETRANSLATE(English!H4161, ""en"", ""bg"")"),"заявка_за_знание")</f>
        <v>заявка_за_знание</v>
      </c>
    </row>
    <row r="4162" spans="1:8" ht="13.2" x14ac:dyDescent="0.25">
      <c r="A4162" s="1" t="str">
        <f ca="1">IFERROR(__xludf.DUMMYFUNCTION("GOOGLETRANSLATE(English!A4162, ""en"", ""bg"")"),"qa_07425")</f>
        <v>qa_07425</v>
      </c>
      <c r="B4162" s="1" t="str">
        <f ca="1">IFERROR(__xludf.DUMMYFUNCTION("GOOGLETRANSLATE(English!B4162, ""en"", ""bg"")"),"биология")</f>
        <v>биология</v>
      </c>
      <c r="C4162" s="1" t="str">
        <f ca="1">IFERROR(__xludf.DUMMYFUNCTION("GOOGLETRANSLATE(English!C4162, ""en"", ""bg"")"),"високо")</f>
        <v>високо</v>
      </c>
      <c r="D4162" s="1" t="str">
        <f ca="1">IFERROR(__xludf.DUMMYFUNCTION("GOOGLETRANSLATE(English!D4162, ""en"", ""bg"")"),"митоза и мейоза")</f>
        <v>митоза и мейоза</v>
      </c>
      <c r="E4162" s="1" t="str">
        <f ca="1">IFERROR(__xludf.DUMMYFUNCTION("GOOGLETRANSLATE(English!E4162, ""en"", ""bg"")"),"Можете ли да ми разкажете за митозата и мейозата?")</f>
        <v>Можете ли да ми разкажете за митозата и мейозата?</v>
      </c>
      <c r="F4162" s="1" t="str">
        <f ca="1">IFERROR(__xludf.DUMMYFUNCTION("GOOGLETRANSLATE(English!F4162,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4162" s="1" t="str">
        <f ca="1">IFERROR(__xludf.DUMMYFUNCTION("GOOGLETRANSLATE(English!G4162, ""en"", ""bg"")"),"direct_qa")</f>
        <v>direct_qa</v>
      </c>
      <c r="H4162" s="1" t="str">
        <f ca="1">IFERROR(__xludf.DUMMYFUNCTION("GOOGLETRANSLATE(English!H4162, ""en"", ""bg"")"),"заявка_за_знание")</f>
        <v>заявка_за_знание</v>
      </c>
    </row>
    <row r="4163" spans="1:8" ht="13.2" x14ac:dyDescent="0.25">
      <c r="A4163" s="1" t="str">
        <f ca="1">IFERROR(__xludf.DUMMYFUNCTION("GOOGLETRANSLATE(English!A4163, ""en"", ""bg"")"),"hw_02858")</f>
        <v>hw_02858</v>
      </c>
      <c r="B4163" s="1" t="str">
        <f ca="1">IFERROR(__xludf.DUMMYFUNCTION("GOOGLETRANSLATE(English!B4163, ""en"", ""bg"")"),"биология")</f>
        <v>биология</v>
      </c>
      <c r="C4163" s="1" t="str">
        <f ca="1">IFERROR(__xludf.DUMMYFUNCTION("GOOGLETRANSLATE(English!C4163, ""en"", ""bg"")"),"елементарен")</f>
        <v>елементарен</v>
      </c>
      <c r="D4163" s="1" t="str">
        <f ca="1">IFERROR(__xludf.DUMMYFUNCTION("GOOGLETRANSLATE(English!D4163, ""en"", ""bg"")"),"човешкото тяло")</f>
        <v>човешкото тяло</v>
      </c>
      <c r="E4163" s="1" t="str">
        <f ca="1">IFERROR(__xludf.DUMMYFUNCTION("GOOGLETRANSLATE(English!E4163, ""en"", ""bg"")"),"Утре имам тест по човешко тяло. Помогни ми да уча!")</f>
        <v>Утре имам тест по човешко тяло. Помогни ми да уча!</v>
      </c>
      <c r="F4163" s="1" t="str">
        <f ca="1">IFERROR(__xludf.DUMMYFUNCTION("GOOGLETRANSLATE(English!F4163,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4163" s="1" t="str">
        <f ca="1">IFERROR(__xludf.DUMMYFUNCTION("GOOGLETRANSLATE(English!G4163, ""en"", ""bg"")"),"помощ_за_домашно_изпълнение")</f>
        <v>помощ_за_домашно_изпълнение</v>
      </c>
      <c r="H4163" s="1" t="str">
        <f ca="1">IFERROR(__xludf.DUMMYFUNCTION("GOOGLETRANSLATE(English!H4163, ""en"", ""bg"")"),"помощ_за_домашно_задаване")</f>
        <v>помощ_за_домашно_задаване</v>
      </c>
    </row>
    <row r="4164" spans="1:8" ht="13.2" x14ac:dyDescent="0.25">
      <c r="A4164" s="1" t="str">
        <f ca="1">IFERROR(__xludf.DUMMYFUNCTION("GOOGLETRANSLATE(English!A4164, ""en"", ""bg"")"),"qa_03683")</f>
        <v>qa_03683</v>
      </c>
      <c r="B4164" s="1" t="str">
        <f ca="1">IFERROR(__xludf.DUMMYFUNCTION("GOOGLETRANSLATE(English!B4164, ""en"", ""bg"")"),"химия")</f>
        <v>химия</v>
      </c>
      <c r="C4164" s="1" t="str">
        <f ca="1">IFERROR(__xludf.DUMMYFUNCTION("GOOGLETRANSLATE(English!C4164, ""en"", ""bg"")"),"високо")</f>
        <v>високо</v>
      </c>
      <c r="D4164" s="1" t="str">
        <f ca="1">IFERROR(__xludf.DUMMYFUNCTION("GOOGLETRANSLATE(English!D4164, ""en"", ""bg"")"),"скорости на реакция")</f>
        <v>скорости на реакция</v>
      </c>
      <c r="E4164" s="1" t="str">
        <f ca="1">IFERROR(__xludf.DUMMYFUNCTION("GOOGLETRANSLATE(English!E4164,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4164" s="1" t="str">
        <f ca="1">IFERROR(__xludf.DUMMYFUNCTION("GOOGLETRANSLATE(English!F4164,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164" s="1" t="str">
        <f ca="1">IFERROR(__xludf.DUMMYFUNCTION("GOOGLETRANSLATE(English!G4164, ""en"", ""bg"")"),"direct_qa")</f>
        <v>direct_qa</v>
      </c>
      <c r="H4164" s="1" t="str">
        <f ca="1">IFERROR(__xludf.DUMMYFUNCTION("GOOGLETRANSLATE(English!H4164, ""en"", ""bg"")"),"заявка_за_знание")</f>
        <v>заявка_за_знание</v>
      </c>
    </row>
    <row r="4165" spans="1:8" ht="13.2" x14ac:dyDescent="0.25">
      <c r="A4165" s="1" t="str">
        <f ca="1">IFERROR(__xludf.DUMMYFUNCTION("GOOGLETRANSLATE(English!A4165, ""en"", ""bg"")"),"hw_09566")</f>
        <v>hw_09566</v>
      </c>
      <c r="B4165" s="1" t="str">
        <f ca="1">IFERROR(__xludf.DUMMYFUNCTION("GOOGLETRANSLATE(English!B4165, ""en"", ""bg"")"),"биология")</f>
        <v>биология</v>
      </c>
      <c r="C4165" s="1" t="str">
        <f ca="1">IFERROR(__xludf.DUMMYFUNCTION("GOOGLETRANSLATE(English!C4165, ""en"", ""bg"")"),"високо")</f>
        <v>високо</v>
      </c>
      <c r="D4165" s="1" t="str">
        <f ca="1">IFERROR(__xludf.DUMMYFUNCTION("GOOGLETRANSLATE(English!D4165, ""en"", ""bg"")"),"Структура на ДНК")</f>
        <v>Структура на ДНК</v>
      </c>
      <c r="E4165" s="1" t="str">
        <f ca="1">IFERROR(__xludf.DUMMYFUNCTION("GOOGLETRANSLATE(English!E4165, ""en"", ""bg"")"),"Можете ли да обясните структурата на ДНК за моя научен проект?")</f>
        <v>Можете ли да обясните структурата на ДНК за моя научен проект?</v>
      </c>
      <c r="F4165" s="1" t="str">
        <f ca="1">IFERROR(__xludf.DUMMYFUNCTION("GOOGLETRANSLATE(English!F4165,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4165" s="1" t="str">
        <f ca="1">IFERROR(__xludf.DUMMYFUNCTION("GOOGLETRANSLATE(English!G4165, ""en"", ""bg"")"),"помощ_за_домашно_изпълнение")</f>
        <v>помощ_за_домашно_изпълнение</v>
      </c>
      <c r="H4165" s="1" t="str">
        <f ca="1">IFERROR(__xludf.DUMMYFUNCTION("GOOGLETRANSLATE(English!H4165, ""en"", ""bg"")"),"помощ_за_домашно_задаване")</f>
        <v>помощ_за_домашно_задаване</v>
      </c>
    </row>
    <row r="4166" spans="1:8" ht="13.2" x14ac:dyDescent="0.25">
      <c r="A4166" s="1" t="str">
        <f ca="1">IFERROR(__xludf.DUMMYFUNCTION("GOOGLETRANSLATE(English!A4166, ""en"", ""bg"")"),"conv_02823")</f>
        <v>conv_02823</v>
      </c>
      <c r="B4166" s="1" t="str">
        <f ca="1">IFERROR(__xludf.DUMMYFUNCTION("GOOGLETRANSLATE(English!B4166, ""en"", ""bg"")"),"химия")</f>
        <v>химия</v>
      </c>
      <c r="C4166" s="1" t="str">
        <f ca="1">IFERROR(__xludf.DUMMYFUNCTION("GOOGLETRANSLATE(English!C4166, ""en"", ""bg"")"),"средата")</f>
        <v>средата</v>
      </c>
      <c r="D4166" s="1" t="str">
        <f ca="1">IFERROR(__xludf.DUMMYFUNCTION("GOOGLETRANSLATE(English!D4166, ""en"", ""bg"")"),"съединения срещу елементи")</f>
        <v>съединения срещу елементи</v>
      </c>
      <c r="E4166" s="1" t="str">
        <f ca="1">IFERROR(__xludf.DUMMYFUNCTION("GOOGLETRANSLATE(English!E4166, ""en"", ""bg"")"),"Помогнете ми да уча за теста. Какво представляват съединенията спрямо елементите?")</f>
        <v>Помогнете ми да уча за теста. Какво представляват съединенията спрямо елементите?</v>
      </c>
      <c r="F4166" s="1" t="str">
        <f ca="1">IFERROR(__xludf.DUMMYFUNCTION("GOOGLETRANSLATE(English!F4166,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4166" s="1" t="str">
        <f ca="1">IFERROR(__xludf.DUMMYFUNCTION("GOOGLETRANSLATE(English!G4166, ""en"", ""bg"")"),"разговор")</f>
        <v>разговор</v>
      </c>
      <c r="H4166" s="1" t="str">
        <f ca="1">IFERROR(__xludf.DUMMYFUNCTION("GOOGLETRANSLATE(English!H4166, ""en"", ""bg"")"),"образователна_помощ")</f>
        <v>образователна_помощ</v>
      </c>
    </row>
    <row r="4167" spans="1:8" ht="13.2" x14ac:dyDescent="0.25">
      <c r="A4167" s="1" t="str">
        <f ca="1">IFERROR(__xludf.DUMMYFUNCTION("GOOGLETRANSLATE(English!A4167, ""en"", ""bg"")"),"qa_00440")</f>
        <v>qa_00440</v>
      </c>
      <c r="B4167" s="1" t="str">
        <f ca="1">IFERROR(__xludf.DUMMYFUNCTION("GOOGLETRANSLATE(English!B4167, ""en"", ""bg"")"),"физика")</f>
        <v>физика</v>
      </c>
      <c r="C4167" s="1" t="str">
        <f ca="1">IFERROR(__xludf.DUMMYFUNCTION("GOOGLETRANSLATE(English!C4167, ""en"", ""bg"")"),"елементарен")</f>
        <v>елементарен</v>
      </c>
      <c r="D4167" s="1" t="str">
        <f ca="1">IFERROR(__xludf.DUMMYFUNCTION("GOOGLETRANSLATE(English!D4167, ""en"", ""bg"")"),"плаващ и потъващ")</f>
        <v>плаващ и потъващ</v>
      </c>
      <c r="E4167" s="1" t="str">
        <f ca="1">IFERROR(__xludf.DUMMYFUNCTION("GOOGLETRANSLATE(English!E4167, ""en"", ""bg"")"),"Как функционират плаването и потъването във физиката?")</f>
        <v>Как функционират плаването и потъването във физиката?</v>
      </c>
      <c r="F4167" s="1" t="str">
        <f ca="1">IFERROR(__xludf.DUMMYFUNCTION("GOOGLETRANSLATE(English!F4167,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4167" s="1" t="str">
        <f ca="1">IFERROR(__xludf.DUMMYFUNCTION("GOOGLETRANSLATE(English!G4167, ""en"", ""bg"")"),"direct_qa")</f>
        <v>direct_qa</v>
      </c>
      <c r="H4167" s="1" t="str">
        <f ca="1">IFERROR(__xludf.DUMMYFUNCTION("GOOGLETRANSLATE(English!H4167, ""en"", ""bg"")"),"заявка_за_знание")</f>
        <v>заявка_за_знание</v>
      </c>
    </row>
    <row r="4168" spans="1:8" ht="13.2" x14ac:dyDescent="0.25">
      <c r="A4168" s="1" t="str">
        <f ca="1">IFERROR(__xludf.DUMMYFUNCTION("GOOGLETRANSLATE(English!A4168, ""en"", ""bg"")"),"hw_12370")</f>
        <v>hw_12370</v>
      </c>
      <c r="B4168" s="1" t="str">
        <f ca="1">IFERROR(__xludf.DUMMYFUNCTION("GOOGLETRANSLATE(English!B4168, ""en"", ""bg"")"),"биология")</f>
        <v>биология</v>
      </c>
      <c r="C4168" s="1" t="str">
        <f ca="1">IFERROR(__xludf.DUMMYFUNCTION("GOOGLETRANSLATE(English!C4168, ""en"", ""bg"")"),"високо")</f>
        <v>високо</v>
      </c>
      <c r="D4168" s="1" t="str">
        <f ca="1">IFERROR(__xludf.DUMMYFUNCTION("GOOGLETRANSLATE(English!D4168, ""en"", ""bg"")"),"митоза и мейоза")</f>
        <v>митоза и мейоза</v>
      </c>
      <c r="E4168" s="1" t="str">
        <f ca="1">IFERROR(__xludf.DUMMYFUNCTION("GOOGLETRANSLATE(English!E4168, ""en"", ""bg"")"),"Утре имам тест по митоза и мейоза. Помогни ми да уча!")</f>
        <v>Утре имам тест по митоза и мейоза. Помогни ми да уча!</v>
      </c>
      <c r="F4168" s="1" t="str">
        <f ca="1">IFERROR(__xludf.DUMMYFUNCTION("GOOGLETRANSLATE(English!F4168,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4168" s="1" t="str">
        <f ca="1">IFERROR(__xludf.DUMMYFUNCTION("GOOGLETRANSLATE(English!G4168, ""en"", ""bg"")"),"помощ_за_домашно_изпълнение")</f>
        <v>помощ_за_домашно_изпълнение</v>
      </c>
      <c r="H4168" s="1" t="str">
        <f ca="1">IFERROR(__xludf.DUMMYFUNCTION("GOOGLETRANSLATE(English!H4168, ""en"", ""bg"")"),"помощ_за_домашно_задаване")</f>
        <v>помощ_за_домашно_задаване</v>
      </c>
    </row>
    <row r="4169" spans="1:8" ht="13.2" x14ac:dyDescent="0.25">
      <c r="A4169" s="1" t="str">
        <f ca="1">IFERROR(__xludf.DUMMYFUNCTION("GOOGLETRANSLATE(English!A4169, ""en"", ""bg"")"),"conv_10031")</f>
        <v>conv_10031</v>
      </c>
      <c r="B4169" s="1" t="str">
        <f ca="1">IFERROR(__xludf.DUMMYFUNCTION("GOOGLETRANSLATE(English!B4169, ""en"", ""bg"")"),"физика")</f>
        <v>физика</v>
      </c>
      <c r="C4169" s="1" t="str">
        <f ca="1">IFERROR(__xludf.DUMMYFUNCTION("GOOGLETRANSLATE(English!C4169, ""en"", ""bg"")"),"високо")</f>
        <v>високо</v>
      </c>
      <c r="D4169" s="1" t="str">
        <f ca="1">IFERROR(__xludf.DUMMYFUNCTION("GOOGLETRANSLATE(English!D4169, ""en"", ""bg"")"),"оптика")</f>
        <v>оптика</v>
      </c>
      <c r="E4169" s="1" t="str">
        <f ca="1">IFERROR(__xludf.DUMMYFUNCTION("GOOGLETRANSLATE(English!E4169, ""en"", ""bg"")"),"Помогни ми да уча за теста. Можеш ли да ми обясниш оптиката?")</f>
        <v>Помогни ми да уча за теста. Можеш ли да ми обясниш оптиката?</v>
      </c>
      <c r="F4169" s="1" t="str">
        <f ca="1">IFERROR(__xludf.DUMMYFUNCTION("GOOGLETRANSLATE(English!F4169,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4169" s="1" t="str">
        <f ca="1">IFERROR(__xludf.DUMMYFUNCTION("GOOGLETRANSLATE(English!G4169, ""en"", ""bg"")"),"разговор")</f>
        <v>разговор</v>
      </c>
      <c r="H4169" s="1" t="str">
        <f ca="1">IFERROR(__xludf.DUMMYFUNCTION("GOOGLETRANSLATE(English!H4169, ""en"", ""bg"")"),"образователна_помощ")</f>
        <v>образователна_помощ</v>
      </c>
    </row>
    <row r="4170" spans="1:8" ht="13.2" x14ac:dyDescent="0.25">
      <c r="A4170" s="1" t="str">
        <f ca="1">IFERROR(__xludf.DUMMYFUNCTION("GOOGLETRANSLATE(English!A4170, ""en"", ""bg"")"),"qa_05453")</f>
        <v>qa_05453</v>
      </c>
      <c r="B4170" s="1" t="str">
        <f ca="1">IFERROR(__xludf.DUMMYFUNCTION("GOOGLETRANSLATE(English!B4170, ""en"", ""bg"")"),"химия")</f>
        <v>химия</v>
      </c>
      <c r="C4170" s="1" t="str">
        <f ca="1">IFERROR(__xludf.DUMMYFUNCTION("GOOGLETRANSLATE(English!C4170, ""en"", ""bg"")"),"високо")</f>
        <v>високо</v>
      </c>
      <c r="D4170" s="1" t="str">
        <f ca="1">IFERROR(__xludf.DUMMYFUNCTION("GOOGLETRANSLATE(English!D4170, ""en"", ""bg"")"),"електрохимия")</f>
        <v>електрохимия</v>
      </c>
      <c r="E4170" s="1" t="str">
        <f ca="1">IFERROR(__xludf.DUMMYFUNCTION("GOOGLETRANSLATE(English!E4170, ""en"", ""bg"")"),"Как работи електрохимията в химията?")</f>
        <v>Как работи електрохимията в химията?</v>
      </c>
      <c r="F4170" s="1" t="str">
        <f ca="1">IFERROR(__xludf.DUMMYFUNCTION("GOOGLETRANSLATE(English!F4170,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4170" s="1" t="str">
        <f ca="1">IFERROR(__xludf.DUMMYFUNCTION("GOOGLETRANSLATE(English!G4170, ""en"", ""bg"")"),"direct_qa")</f>
        <v>direct_qa</v>
      </c>
      <c r="H4170" s="1" t="str">
        <f ca="1">IFERROR(__xludf.DUMMYFUNCTION("GOOGLETRANSLATE(English!H4170, ""en"", ""bg"")"),"заявка_за_знание")</f>
        <v>заявка_за_знание</v>
      </c>
    </row>
    <row r="4171" spans="1:8" ht="13.2" x14ac:dyDescent="0.25">
      <c r="A4171" s="1" t="str">
        <f ca="1">IFERROR(__xludf.DUMMYFUNCTION("GOOGLETRANSLATE(English!A4171, ""en"", ""bg"")"),"qa_13248")</f>
        <v>qa_13248</v>
      </c>
      <c r="B4171" s="1" t="str">
        <f ca="1">IFERROR(__xludf.DUMMYFUNCTION("GOOGLETRANSLATE(English!B4171, ""en"", ""bg"")"),"биология")</f>
        <v>биология</v>
      </c>
      <c r="C4171" s="1" t="str">
        <f ca="1">IFERROR(__xludf.DUMMYFUNCTION("GOOGLETRANSLATE(English!C4171, ""en"", ""bg"")"),"средата")</f>
        <v>средата</v>
      </c>
      <c r="D4171" s="1" t="str">
        <f ca="1">IFERROR(__xludf.DUMMYFUNCTION("GOOGLETRANSLATE(English!D4171, ""en"", ""bg"")"),"основи на генетиката")</f>
        <v>основи на генетиката</v>
      </c>
      <c r="E4171" s="1" t="str">
        <f ca="1">IFERROR(__xludf.DUMMYFUNCTION("GOOGLETRANSLATE(English!E4171, ""en"", ""bg"")"),"Как работят основите на генетиката?")</f>
        <v>Как работят основите на генетиката?</v>
      </c>
      <c r="F4171" s="1" t="str">
        <f ca="1">IFERROR(__xludf.DUMMYFUNCTION("GOOGLETRANSLATE(English!F4171,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4171" s="1" t="str">
        <f ca="1">IFERROR(__xludf.DUMMYFUNCTION("GOOGLETRANSLATE(English!G4171, ""en"", ""bg"")"),"direct_qa")</f>
        <v>direct_qa</v>
      </c>
      <c r="H4171" s="1" t="str">
        <f ca="1">IFERROR(__xludf.DUMMYFUNCTION("GOOGLETRANSLATE(English!H4171, ""en"", ""bg"")"),"заявка_за_знание")</f>
        <v>заявка_за_знание</v>
      </c>
    </row>
    <row r="4172" spans="1:8" ht="13.2" x14ac:dyDescent="0.25">
      <c r="A4172" s="1" t="str">
        <f ca="1">IFERROR(__xludf.DUMMYFUNCTION("GOOGLETRANSLATE(English!A4172, ""en"", ""bg"")"),"conv_17792")</f>
        <v>conv_17792</v>
      </c>
      <c r="B4172" s="1" t="str">
        <f ca="1">IFERROR(__xludf.DUMMYFUNCTION("GOOGLETRANSLATE(English!B4172, ""en"", ""bg"")"),"физика")</f>
        <v>физика</v>
      </c>
      <c r="C4172" s="1" t="str">
        <f ca="1">IFERROR(__xludf.DUMMYFUNCTION("GOOGLETRANSLATE(English!C4172, ""en"", ""bg"")"),"елементарен")</f>
        <v>елементарен</v>
      </c>
      <c r="D4172" s="1" t="str">
        <f ca="1">IFERROR(__xludf.DUMMYFUNCTION("GOOGLETRANSLATE(English!D4172, ""en"", ""bg"")"),"горещо и студено")</f>
        <v>горещо и студено</v>
      </c>
      <c r="E4172" s="1" t="str">
        <f ca="1">IFERROR(__xludf.DUMMYFUNCTION("GOOGLETRANSLATE(English!E4172, ""en"", ""bg"")"),"Имам научен въпрос. Можете ли да ми обясните какво е топло и студено?")</f>
        <v>Имам научен въпрос. Можете ли да ми обясните какво е топло и студено?</v>
      </c>
      <c r="F4172" s="1" t="str">
        <f ca="1">IFERROR(__xludf.DUMMYFUNCTION("GOOGLETRANSLATE(English!F4172,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4172" s="1" t="str">
        <f ca="1">IFERROR(__xludf.DUMMYFUNCTION("GOOGLETRANSLATE(English!G4172, ""en"", ""bg"")"),"разговор")</f>
        <v>разговор</v>
      </c>
      <c r="H4172" s="1" t="str">
        <f ca="1">IFERROR(__xludf.DUMMYFUNCTION("GOOGLETRANSLATE(English!H4172, ""en"", ""bg"")"),"образователна_помощ")</f>
        <v>образователна_помощ</v>
      </c>
    </row>
    <row r="4173" spans="1:8" ht="13.2" x14ac:dyDescent="0.25">
      <c r="A4173" s="1" t="str">
        <f ca="1">IFERROR(__xludf.DUMMYFUNCTION("GOOGLETRANSLATE(English!A4173, ""en"", ""bg"")"),"conv_19967")</f>
        <v>conv_19967</v>
      </c>
      <c r="B4173" s="1" t="str">
        <f ca="1">IFERROR(__xludf.DUMMYFUNCTION("GOOGLETRANSLATE(English!B4173, ""en"", ""bg"")"),"биология")</f>
        <v>биология</v>
      </c>
      <c r="C4173" s="1" t="str">
        <f ca="1">IFERROR(__xludf.DUMMYFUNCTION("GOOGLETRANSLATE(English!C4173, ""en"", ""bg"")"),"средата")</f>
        <v>средата</v>
      </c>
      <c r="D4173" s="1" t="str">
        <f ca="1">IFERROR(__xludf.DUMMYFUNCTION("GOOGLETRANSLATE(English!D4173, ""en"", ""bg"")"),"размножаване")</f>
        <v>размножаване</v>
      </c>
      <c r="E4173" s="1" t="str">
        <f ca="1">IFERROR(__xludf.DUMMYFUNCTION("GOOGLETRANSLATE(English!E4173, ""en"", ""bg"")"),"Здравей, преподавателю! Защо размножаването е важно в биологията?")</f>
        <v>Здравей, преподавателю! Защо размножаването е важно в биологията?</v>
      </c>
      <c r="F4173" s="1" t="str">
        <f ca="1">IFERROR(__xludf.DUMMYFUNCTION("GOOGLETRANSLATE(English!F4173,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4173" s="1" t="str">
        <f ca="1">IFERROR(__xludf.DUMMYFUNCTION("GOOGLETRANSLATE(English!G4173, ""en"", ""bg"")"),"разговор")</f>
        <v>разговор</v>
      </c>
      <c r="H4173" s="1" t="str">
        <f ca="1">IFERROR(__xludf.DUMMYFUNCTION("GOOGLETRANSLATE(English!H4173, ""en"", ""bg"")"),"образователна_помощ")</f>
        <v>образователна_помощ</v>
      </c>
    </row>
    <row r="4174" spans="1:8" ht="13.2" x14ac:dyDescent="0.25">
      <c r="A4174" s="1" t="str">
        <f ca="1">IFERROR(__xludf.DUMMYFUNCTION("GOOGLETRANSLATE(English!A4174, ""en"", ""bg"")"),"hw_06301")</f>
        <v>hw_06301</v>
      </c>
      <c r="B4174" s="1" t="str">
        <f ca="1">IFERROR(__xludf.DUMMYFUNCTION("GOOGLETRANSLATE(English!B4174, ""en"", ""bg"")"),"физика")</f>
        <v>физика</v>
      </c>
      <c r="C4174" s="1" t="str">
        <f ca="1">IFERROR(__xludf.DUMMYFUNCTION("GOOGLETRANSLATE(English!C4174, ""en"", ""bg"")"),"средата")</f>
        <v>средата</v>
      </c>
      <c r="D4174" s="1" t="str">
        <f ca="1">IFERROR(__xludf.DUMMYFUNCTION("GOOGLETRANSLATE(English!D4174, ""en"", ""bg"")"),"състояния на материята")</f>
        <v>състояния на материята</v>
      </c>
      <c r="E4174" s="1" t="str">
        <f ca="1">IFERROR(__xludf.DUMMYFUNCTION("GOOGLETRANSLATE(English!E4174, ""en"", ""bg"")"),"Трябва да разбера състоянията на материята за изпита си.")</f>
        <v>Трябва да разбера състоянията на материята за изпита си.</v>
      </c>
      <c r="F4174" s="1" t="str">
        <f ca="1">IFERROR(__xludf.DUMMYFUNCTION("GOOGLETRANSLATE(English!F4174,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4174" s="1" t="str">
        <f ca="1">IFERROR(__xludf.DUMMYFUNCTION("GOOGLETRANSLATE(English!G4174, ""en"", ""bg"")"),"помощ_за_домашно_изпълнение")</f>
        <v>помощ_за_домашно_изпълнение</v>
      </c>
      <c r="H4174" s="1" t="str">
        <f ca="1">IFERROR(__xludf.DUMMYFUNCTION("GOOGLETRANSLATE(English!H4174, ""en"", ""bg"")"),"помощ_за_домашно_задаване")</f>
        <v>помощ_за_домашно_задаване</v>
      </c>
    </row>
    <row r="4175" spans="1:8" ht="13.2" x14ac:dyDescent="0.25">
      <c r="A4175" s="1" t="str">
        <f ca="1">IFERROR(__xludf.DUMMYFUNCTION("GOOGLETRANSLATE(English!A4175, ""en"", ""bg"")"),"qa_05766")</f>
        <v>qa_05766</v>
      </c>
      <c r="B4175" s="1" t="str">
        <f ca="1">IFERROR(__xludf.DUMMYFUNCTION("GOOGLETRANSLATE(English!B4175, ""en"", ""bg"")"),"физика")</f>
        <v>физика</v>
      </c>
      <c r="C4175" s="1" t="str">
        <f ca="1">IFERROR(__xludf.DUMMYFUNCTION("GOOGLETRANSLATE(English!C4175, ""en"", ""bg"")"),"елементарен")</f>
        <v>елементарен</v>
      </c>
      <c r="D4175" s="1" t="str">
        <f ca="1">IFERROR(__xludf.DUMMYFUNCTION("GOOGLETRANSLATE(English!D4175, ""en"", ""bg"")"),"звук")</f>
        <v>звук</v>
      </c>
      <c r="E4175" s="1" t="str">
        <f ca="1">IFERROR(__xludf.DUMMYFUNCTION("GOOGLETRANSLATE(English!E4175, ""en"", ""bg"")"),"Защо звукът е важен?")</f>
        <v>Защо звукът е важен?</v>
      </c>
      <c r="F4175" s="1" t="str">
        <f ca="1">IFERROR(__xludf.DUMMYFUNCTION("GOOGLETRANSLATE(English!F4175,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4175" s="1" t="str">
        <f ca="1">IFERROR(__xludf.DUMMYFUNCTION("GOOGLETRANSLATE(English!G4175, ""en"", ""bg"")"),"direct_qa")</f>
        <v>direct_qa</v>
      </c>
      <c r="H4175" s="1" t="str">
        <f ca="1">IFERROR(__xludf.DUMMYFUNCTION("GOOGLETRANSLATE(English!H4175, ""en"", ""bg"")"),"заявка_за_знание")</f>
        <v>заявка_за_знание</v>
      </c>
    </row>
    <row r="4176" spans="1:8" ht="13.2" x14ac:dyDescent="0.25">
      <c r="A4176" s="1" t="str">
        <f ca="1">IFERROR(__xludf.DUMMYFUNCTION("GOOGLETRANSLATE(English!A4176, ""en"", ""bg"")"),"qa_04819")</f>
        <v>qa_04819</v>
      </c>
      <c r="B4176" s="1" t="str">
        <f ca="1">IFERROR(__xludf.DUMMYFUNCTION("GOOGLETRANSLATE(English!B4176, ""en"", ""bg"")"),"биология")</f>
        <v>биология</v>
      </c>
      <c r="C4176" s="1" t="str">
        <f ca="1">IFERROR(__xludf.DUMMYFUNCTION("GOOGLETRANSLATE(English!C4176, ""en"", ""bg"")"),"средата")</f>
        <v>средата</v>
      </c>
      <c r="D4176" s="1" t="str">
        <f ca="1">IFERROR(__xludf.DUMMYFUNCTION("GOOGLETRANSLATE(English!D4176, ""en"", ""bg"")"),"дишане")</f>
        <v>дишане</v>
      </c>
      <c r="E4176" s="1" t="str">
        <f ca="1">IFERROR(__xludf.DUMMYFUNCTION("GOOGLETRANSLATE(English!E4176, ""en"", ""bg"")"),"Какво е важно да знаем за дишането?")</f>
        <v>Какво е важно да знаем за дишането?</v>
      </c>
      <c r="F4176" s="1" t="str">
        <f ca="1">IFERROR(__xludf.DUMMYFUNCTION("GOOGLETRANSLATE(English!F4176,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4176" s="1" t="str">
        <f ca="1">IFERROR(__xludf.DUMMYFUNCTION("GOOGLETRANSLATE(English!G4176, ""en"", ""bg"")"),"direct_qa")</f>
        <v>direct_qa</v>
      </c>
      <c r="H4176" s="1" t="str">
        <f ca="1">IFERROR(__xludf.DUMMYFUNCTION("GOOGLETRANSLATE(English!H4176, ""en"", ""bg"")"),"заявка_за_знание")</f>
        <v>заявка_за_знание</v>
      </c>
    </row>
    <row r="4177" spans="1:8" ht="13.2" x14ac:dyDescent="0.25">
      <c r="A4177" s="1" t="str">
        <f ca="1">IFERROR(__xludf.DUMMYFUNCTION("GOOGLETRANSLATE(English!A4177, ""en"", ""bg"")"),"conv_07930")</f>
        <v>conv_07930</v>
      </c>
      <c r="B4177" s="1" t="str">
        <f ca="1">IFERROR(__xludf.DUMMYFUNCTION("GOOGLETRANSLATE(English!B4177, ""en"", ""bg"")"),"физика")</f>
        <v>физика</v>
      </c>
      <c r="C4177" s="1" t="str">
        <f ca="1">IFERROR(__xludf.DUMMYFUNCTION("GOOGLETRANSLATE(English!C4177, ""en"", ""bg"")"),"високо")</f>
        <v>високо</v>
      </c>
      <c r="D4177" s="1" t="str">
        <f ca="1">IFERROR(__xludf.DUMMYFUNCTION("GOOGLETRANSLATE(English!D4177, ""en"", ""bg"")"),"електромагнетизъм")</f>
        <v>електромагнетизъм</v>
      </c>
      <c r="E4177" s="1" t="str">
        <f ca="1">IFERROR(__xludf.DUMMYFUNCTION("GOOGLETRANSLATE(English!E4177, ""en"", ""bg"")"),"Здравей, преподавателю! Можеш ли да ми обясниш електромагнетизма?")</f>
        <v>Здравей, преподавателю! Можеш ли да ми обясниш електромагнетизма?</v>
      </c>
      <c r="F4177" s="1" t="str">
        <f ca="1">IFERROR(__xludf.DUMMYFUNCTION("GOOGLETRANSLATE(English!F4177,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4177" s="1" t="str">
        <f ca="1">IFERROR(__xludf.DUMMYFUNCTION("GOOGLETRANSLATE(English!G4177, ""en"", ""bg"")"),"разговор")</f>
        <v>разговор</v>
      </c>
      <c r="H4177" s="1" t="str">
        <f ca="1">IFERROR(__xludf.DUMMYFUNCTION("GOOGLETRANSLATE(English!H4177, ""en"", ""bg"")"),"образователна_помощ")</f>
        <v>образователна_помощ</v>
      </c>
    </row>
    <row r="4178" spans="1:8" ht="13.2" x14ac:dyDescent="0.25">
      <c r="A4178" s="1" t="str">
        <f ca="1">IFERROR(__xludf.DUMMYFUNCTION("GOOGLETRANSLATE(English!A4178, ""en"", ""bg"")"),"hw_10866")</f>
        <v>hw_10866</v>
      </c>
      <c r="B4178" s="1" t="str">
        <f ca="1">IFERROR(__xludf.DUMMYFUNCTION("GOOGLETRANSLATE(English!B4178, ""en"", ""bg"")"),"физика")</f>
        <v>физика</v>
      </c>
      <c r="C4178" s="1" t="str">
        <f ca="1">IFERROR(__xludf.DUMMYFUNCTION("GOOGLETRANSLATE(English!C4178, ""en"", ""bg"")"),"високо")</f>
        <v>високо</v>
      </c>
      <c r="D4178" s="1" t="str">
        <f ca="1">IFERROR(__xludf.DUMMYFUNCTION("GOOGLETRANSLATE(English!D4178, ""en"", ""bg"")"),"атомна структура")</f>
        <v>атомна структура</v>
      </c>
      <c r="E4178" s="1" t="str">
        <f ca="1">IFERROR(__xludf.DUMMYFUNCTION("GOOGLETRANSLATE(English!E4178, ""en"", ""bg"")"),"Можете ли да решите този въпрос за атомната структура с мен?")</f>
        <v>Можете ли да решите този въпрос за атомната структура с мен?</v>
      </c>
      <c r="F4178" s="1" t="str">
        <f ca="1">IFERROR(__xludf.DUMMYFUNCTION("GOOGLETRANSLATE(English!F4178,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4178" s="1" t="str">
        <f ca="1">IFERROR(__xludf.DUMMYFUNCTION("GOOGLETRANSLATE(English!G4178, ""en"", ""bg"")"),"помощ_за_домашно_изпълнение")</f>
        <v>помощ_за_домашно_изпълнение</v>
      </c>
      <c r="H4178" s="1" t="str">
        <f ca="1">IFERROR(__xludf.DUMMYFUNCTION("GOOGLETRANSLATE(English!H4178, ""en"", ""bg"")"),"помощ_за_домашно_задаване")</f>
        <v>помощ_за_домашно_задаване</v>
      </c>
    </row>
    <row r="4179" spans="1:8" ht="13.2" x14ac:dyDescent="0.25">
      <c r="A4179" s="1" t="str">
        <f ca="1">IFERROR(__xludf.DUMMYFUNCTION("GOOGLETRANSLATE(English!A4179, ""en"", ""bg"")"),"qa_02290")</f>
        <v>qa_02290</v>
      </c>
      <c r="B4179" s="1" t="str">
        <f ca="1">IFERROR(__xludf.DUMMYFUNCTION("GOOGLETRANSLATE(English!B4179, ""en"", ""bg"")"),"биология")</f>
        <v>биология</v>
      </c>
      <c r="C4179" s="1" t="str">
        <f ca="1">IFERROR(__xludf.DUMMYFUNCTION("GOOGLETRANSLATE(English!C4179, ""en"", ""bg"")"),"средата")</f>
        <v>средата</v>
      </c>
      <c r="D4179" s="1" t="str">
        <f ca="1">IFERROR(__xludf.DUMMYFUNCTION("GOOGLETRANSLATE(English!D4179, ""en"", ""bg"")"),"основи на еволюцията")</f>
        <v>основи на еволюцията</v>
      </c>
      <c r="E4179" s="1" t="str">
        <f ca="1">IFERROR(__xludf.DUMMYFUNCTION("GOOGLETRANSLATE(English!E4179, ""en"", ""bg"")"),"Защо основите на еволюцията са важни в биологията?")</f>
        <v>Защо основите на еволюцията са важни в биологията?</v>
      </c>
      <c r="F4179" s="1" t="str">
        <f ca="1">IFERROR(__xludf.DUMMYFUNCTION("GOOGLETRANSLATE(English!F4179,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4179" s="1" t="str">
        <f ca="1">IFERROR(__xludf.DUMMYFUNCTION("GOOGLETRANSLATE(English!G4179, ""en"", ""bg"")"),"direct_qa")</f>
        <v>direct_qa</v>
      </c>
      <c r="H4179" s="1" t="str">
        <f ca="1">IFERROR(__xludf.DUMMYFUNCTION("GOOGLETRANSLATE(English!H4179, ""en"", ""bg"")"),"заявка_за_знание")</f>
        <v>заявка_за_знание</v>
      </c>
    </row>
    <row r="4180" spans="1:8" ht="13.2" x14ac:dyDescent="0.25">
      <c r="A4180" s="1" t="str">
        <f ca="1">IFERROR(__xludf.DUMMYFUNCTION("GOOGLETRANSLATE(English!A4180, ""en"", ""bg"")"),"conv_10081")</f>
        <v>conv_10081</v>
      </c>
      <c r="B4180" s="1" t="str">
        <f ca="1">IFERROR(__xludf.DUMMYFUNCTION("GOOGLETRANSLATE(English!B4180, ""en"", ""bg"")"),"физика")</f>
        <v>физика</v>
      </c>
      <c r="C4180" s="1" t="str">
        <f ca="1">IFERROR(__xludf.DUMMYFUNCTION("GOOGLETRANSLATE(English!C4180, ""en"", ""bg"")"),"високо")</f>
        <v>високо</v>
      </c>
      <c r="D4180" s="1" t="str">
        <f ca="1">IFERROR(__xludf.DUMMYFUNCTION("GOOGLETRANSLATE(English!D4180, ""en"", ""bg"")"),"радиоактивност")</f>
        <v>радиоактивност</v>
      </c>
      <c r="E4180" s="1" t="str">
        <f ca="1">IFERROR(__xludf.DUMMYFUNCTION("GOOGLETRANSLATE(English!E4180, ""en"", ""bg"")"),"Имам научен въпрос. Защо радиоактивността е важна?")</f>
        <v>Имам научен въпрос. Защо радиоактивността е важна?</v>
      </c>
      <c r="F4180" s="1" t="str">
        <f ca="1">IFERROR(__xludf.DUMMYFUNCTION("GOOGLETRANSLATE(English!F4180,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4180" s="1" t="str">
        <f ca="1">IFERROR(__xludf.DUMMYFUNCTION("GOOGLETRANSLATE(English!G4180, ""en"", ""bg"")"),"разговор")</f>
        <v>разговор</v>
      </c>
      <c r="H4180" s="1" t="str">
        <f ca="1">IFERROR(__xludf.DUMMYFUNCTION("GOOGLETRANSLATE(English!H4180, ""en"", ""bg"")"),"образователна_помощ")</f>
        <v>образователна_помощ</v>
      </c>
    </row>
    <row r="4181" spans="1:8" ht="13.2" x14ac:dyDescent="0.25">
      <c r="A4181" s="1" t="str">
        <f ca="1">IFERROR(__xludf.DUMMYFUNCTION("GOOGLETRANSLATE(English!A4181, ""en"", ""bg"")"),"hw_13132")</f>
        <v>hw_13132</v>
      </c>
      <c r="B4181" s="1" t="str">
        <f ca="1">IFERROR(__xludf.DUMMYFUNCTION("GOOGLETRANSLATE(English!B4181, ""en"", ""bg"")"),"биология")</f>
        <v>биология</v>
      </c>
      <c r="C4181" s="1" t="str">
        <f ca="1">IFERROR(__xludf.DUMMYFUNCTION("GOOGLETRANSLATE(English!C4181, ""en"", ""bg"")"),"средата")</f>
        <v>средата</v>
      </c>
      <c r="D4181" s="1" t="str">
        <f ca="1">IFERROR(__xludf.DUMMYFUNCTION("GOOGLETRANSLATE(English!D4181, ""en"", ""bg"")"),"основи на генетиката")</f>
        <v>основи на генетиката</v>
      </c>
      <c r="E4181" s="1" t="str">
        <f ca="1">IFERROR(__xludf.DUMMYFUNCTION("GOOGLETRANSLATE(English!E4181, ""en"", ""bg"")"),"Домашното ми пита за основите на генетиката. Не го разбирам.")</f>
        <v>Домашното ми пита за основите на генетиката. Не го разбирам.</v>
      </c>
      <c r="F4181" s="1" t="str">
        <f ca="1">IFERROR(__xludf.DUMMYFUNCTION("GOOGLETRANSLATE(English!F4181,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181" s="1" t="str">
        <f ca="1">IFERROR(__xludf.DUMMYFUNCTION("GOOGLETRANSLATE(English!G4181, ""en"", ""bg"")"),"помощ_за_домашно_изпълнение")</f>
        <v>помощ_за_домашно_изпълнение</v>
      </c>
      <c r="H4181" s="1" t="str">
        <f ca="1">IFERROR(__xludf.DUMMYFUNCTION("GOOGLETRANSLATE(English!H4181, ""en"", ""bg"")"),"помощ_за_домашно_задаване")</f>
        <v>помощ_за_домашно_задаване</v>
      </c>
    </row>
    <row r="4182" spans="1:8" ht="13.2" x14ac:dyDescent="0.25">
      <c r="A4182" s="1" t="str">
        <f ca="1">IFERROR(__xludf.DUMMYFUNCTION("GOOGLETRANSLATE(English!A4182, ""en"", ""bg"")"),"hw_14951")</f>
        <v>hw_14951</v>
      </c>
      <c r="B4182" s="1" t="str">
        <f ca="1">IFERROR(__xludf.DUMMYFUNCTION("GOOGLETRANSLATE(English!B4182, ""en"", ""bg"")"),"биология")</f>
        <v>биология</v>
      </c>
      <c r="C4182" s="1" t="str">
        <f ca="1">IFERROR(__xludf.DUMMYFUNCTION("GOOGLETRANSLATE(English!C4182, ""en"", ""bg"")"),"средата")</f>
        <v>средата</v>
      </c>
      <c r="D4182" s="1" t="str">
        <f ca="1">IFERROR(__xludf.DUMMYFUNCTION("GOOGLETRANSLATE(English!D4182, ""en"", ""bg"")"),"дишане")</f>
        <v>дишане</v>
      </c>
      <c r="E4182" s="1" t="str">
        <f ca="1">IFERROR(__xludf.DUMMYFUNCTION("GOOGLETRANSLATE(English!E4182, ""en"", ""bg"")"),"Трябва да напиша доклад за дишането. Можете ли да ми помогнете да започна?")</f>
        <v>Трябва да напиша доклад за дишането. Можете ли да ми помогнете да започна?</v>
      </c>
      <c r="F4182" s="1" t="str">
        <f ca="1">IFERROR(__xludf.DUMMYFUNCTION("GOOGLETRANSLATE(English!F4182,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182" s="1" t="str">
        <f ca="1">IFERROR(__xludf.DUMMYFUNCTION("GOOGLETRANSLATE(English!G4182, ""en"", ""bg"")"),"помощ_за_домашно_изпълнение")</f>
        <v>помощ_за_домашно_изпълнение</v>
      </c>
      <c r="H4182" s="1" t="str">
        <f ca="1">IFERROR(__xludf.DUMMYFUNCTION("GOOGLETRANSLATE(English!H4182, ""en"", ""bg"")"),"помощ_за_домашно_задаване")</f>
        <v>помощ_за_домашно_задаване</v>
      </c>
    </row>
    <row r="4183" spans="1:8" ht="13.2" x14ac:dyDescent="0.25">
      <c r="A4183" s="1" t="str">
        <f ca="1">IFERROR(__xludf.DUMMYFUNCTION("GOOGLETRANSLATE(English!A4183, ""en"", ""bg"")"),"qa_00350")</f>
        <v>qa_00350</v>
      </c>
      <c r="B4183" s="1" t="str">
        <f ca="1">IFERROR(__xludf.DUMMYFUNCTION("GOOGLETRANSLATE(English!B4183, ""en"", ""bg"")"),"физика")</f>
        <v>физика</v>
      </c>
      <c r="C4183" s="1" t="str">
        <f ca="1">IFERROR(__xludf.DUMMYFUNCTION("GOOGLETRANSLATE(English!C4183, ""en"", ""bg"")"),"елементарен")</f>
        <v>елементарен</v>
      </c>
      <c r="D4183" s="1" t="str">
        <f ca="1">IFERROR(__xludf.DUMMYFUNCTION("GOOGLETRANSLATE(English!D4183, ""en"", ""bg"")"),"бутане и дърпане")</f>
        <v>бутане и дърпане</v>
      </c>
      <c r="E4183" s="1" t="str">
        <f ca="1">IFERROR(__xludf.DUMMYFUNCTION("GOOGLETRANSLATE(English!E4183, ""en"", ""bg"")"),"Защо е важно бутането и дърпането?")</f>
        <v>Защо е важно бутането и дърпането?</v>
      </c>
      <c r="F4183" s="1" t="str">
        <f ca="1">IFERROR(__xludf.DUMMYFUNCTION("GOOGLETRANSLATE(English!F4183,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4183" s="1" t="str">
        <f ca="1">IFERROR(__xludf.DUMMYFUNCTION("GOOGLETRANSLATE(English!G4183, ""en"", ""bg"")"),"direct_qa")</f>
        <v>direct_qa</v>
      </c>
      <c r="H4183" s="1" t="str">
        <f ca="1">IFERROR(__xludf.DUMMYFUNCTION("GOOGLETRANSLATE(English!H4183, ""en"", ""bg"")"),"заявка_за_знание")</f>
        <v>заявка_за_знание</v>
      </c>
    </row>
    <row r="4184" spans="1:8" ht="13.2" x14ac:dyDescent="0.25">
      <c r="A4184" s="1" t="str">
        <f ca="1">IFERROR(__xludf.DUMMYFUNCTION("GOOGLETRANSLATE(English!A4184, ""en"", ""bg"")"),"conv_11017")</f>
        <v>conv_11017</v>
      </c>
      <c r="B4184" s="1" t="str">
        <f ca="1">IFERROR(__xludf.DUMMYFUNCTION("GOOGLETRANSLATE(English!B4184, ""en"", ""bg"")"),"химия")</f>
        <v>химия</v>
      </c>
      <c r="C4184" s="1" t="str">
        <f ca="1">IFERROR(__xludf.DUMMYFUNCTION("GOOGLETRANSLATE(English!C4184, ""en"", ""bg"")"),"високо")</f>
        <v>високо</v>
      </c>
      <c r="D4184" s="1" t="str">
        <f ca="1">IFERROR(__xludf.DUMMYFUNCTION("GOOGLETRANSLATE(English!D4184, ""en"", ""bg"")"),"органична химия")</f>
        <v>органична химия</v>
      </c>
      <c r="E4184" s="1" t="str">
        <f ca="1">IFERROR(__xludf.DUMMYFUNCTION("GOOGLETRANSLATE(English!E4184, ""en"", ""bg"")"),"Здравей, преподавателю! Защо е важно да се учи органична химия?")</f>
        <v>Здравей, преподавателю! Защо е важно да се учи органична химия?</v>
      </c>
      <c r="F4184" s="1" t="str">
        <f ca="1">IFERROR(__xludf.DUMMYFUNCTION("GOOGLETRANSLATE(English!F4184,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4184" s="1" t="str">
        <f ca="1">IFERROR(__xludf.DUMMYFUNCTION("GOOGLETRANSLATE(English!G4184, ""en"", ""bg"")"),"разговор")</f>
        <v>разговор</v>
      </c>
      <c r="H4184" s="1" t="str">
        <f ca="1">IFERROR(__xludf.DUMMYFUNCTION("GOOGLETRANSLATE(English!H4184, ""en"", ""bg"")"),"образователна_помощ")</f>
        <v>образователна_помощ</v>
      </c>
    </row>
    <row r="4185" spans="1:8" ht="13.2" x14ac:dyDescent="0.25">
      <c r="A4185" s="1" t="str">
        <f ca="1">IFERROR(__xludf.DUMMYFUNCTION("GOOGLETRANSLATE(English!A4185, ""en"", ""bg"")"),"hw_06418")</f>
        <v>hw_06418</v>
      </c>
      <c r="B4185" s="1" t="str">
        <f ca="1">IFERROR(__xludf.DUMMYFUNCTION("GOOGLETRANSLATE(English!B4185, ""en"", ""bg"")"),"физика")</f>
        <v>физика</v>
      </c>
      <c r="C4185" s="1" t="str">
        <f ca="1">IFERROR(__xludf.DUMMYFUNCTION("GOOGLETRANSLATE(English!C4185, ""en"", ""bg"")"),"високо")</f>
        <v>високо</v>
      </c>
      <c r="D4185" s="1" t="str">
        <f ca="1">IFERROR(__xludf.DUMMYFUNCTION("GOOGLETRANSLATE(English!D4185, ""en"", ""bg"")"),"оптика")</f>
        <v>оптика</v>
      </c>
      <c r="E4185" s="1" t="str">
        <f ca="1">IFERROR(__xludf.DUMMYFUNCTION("GOOGLETRANSLATE(English!E4185, ""en"", ""bg"")"),"Можете ли да решите този въпрос с оптиката с мен?")</f>
        <v>Можете ли да решите този въпрос с оптиката с мен?</v>
      </c>
      <c r="F4185" s="1" t="str">
        <f ca="1">IFERROR(__xludf.DUMMYFUNCTION("GOOGLETRANSLATE(English!F4185,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4185" s="1" t="str">
        <f ca="1">IFERROR(__xludf.DUMMYFUNCTION("GOOGLETRANSLATE(English!G4185, ""en"", ""bg"")"),"помощ_за_домашно_изпълнение")</f>
        <v>помощ_за_домашно_изпълнение</v>
      </c>
      <c r="H4185" s="1" t="str">
        <f ca="1">IFERROR(__xludf.DUMMYFUNCTION("GOOGLETRANSLATE(English!H4185, ""en"", ""bg"")"),"помощ_за_домашно_задаване")</f>
        <v>помощ_за_домашно_задаване</v>
      </c>
    </row>
    <row r="4186" spans="1:8" ht="13.2" x14ac:dyDescent="0.25">
      <c r="A4186" s="1" t="str">
        <f ca="1">IFERROR(__xludf.DUMMYFUNCTION("GOOGLETRANSLATE(English!A4186, ""en"", ""bg"")"),"conv_04007")</f>
        <v>conv_04007</v>
      </c>
      <c r="B4186" s="1" t="str">
        <f ca="1">IFERROR(__xludf.DUMMYFUNCTION("GOOGLETRANSLATE(English!B4186, ""en"", ""bg"")"),"физика")</f>
        <v>физика</v>
      </c>
      <c r="C4186" s="1" t="str">
        <f ca="1">IFERROR(__xludf.DUMMYFUNCTION("GOOGLETRANSLATE(English!C4186, ""en"", ""bg"")"),"високо")</f>
        <v>високо</v>
      </c>
      <c r="D4186" s="1" t="str">
        <f ca="1">IFERROR(__xludf.DUMMYFUNCTION("GOOGLETRANSLATE(English!D4186, ""en"", ""bg"")"),"радиоактивност")</f>
        <v>радиоактивност</v>
      </c>
      <c r="E4186" s="1" t="str">
        <f ca="1">IFERROR(__xludf.DUMMYFUNCTION("GOOGLETRANSLATE(English!E4186, ""en"", ""bg"")"),"Здравей, преподавателю! Защо радиоактивността е важна?")</f>
        <v>Здравей, преподавателю! Защо радиоактивността е важна?</v>
      </c>
      <c r="F4186" s="1" t="str">
        <f ca="1">IFERROR(__xludf.DUMMYFUNCTION("GOOGLETRANSLATE(English!F4186,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4186" s="1" t="str">
        <f ca="1">IFERROR(__xludf.DUMMYFUNCTION("GOOGLETRANSLATE(English!G4186, ""en"", ""bg"")"),"разговор")</f>
        <v>разговор</v>
      </c>
      <c r="H4186" s="1" t="str">
        <f ca="1">IFERROR(__xludf.DUMMYFUNCTION("GOOGLETRANSLATE(English!H4186, ""en"", ""bg"")"),"образователна_помощ")</f>
        <v>образователна_помощ</v>
      </c>
    </row>
    <row r="4187" spans="1:8" ht="13.2" x14ac:dyDescent="0.25">
      <c r="A4187" s="1" t="str">
        <f ca="1">IFERROR(__xludf.DUMMYFUNCTION("GOOGLETRANSLATE(English!A4187, ""en"", ""bg"")"),"conv_04271")</f>
        <v>conv_04271</v>
      </c>
      <c r="B4187" s="1" t="str">
        <f ca="1">IFERROR(__xludf.DUMMYFUNCTION("GOOGLETRANSLATE(English!B4187, ""en"", ""bg"")"),"химия")</f>
        <v>химия</v>
      </c>
      <c r="C4187" s="1" t="str">
        <f ca="1">IFERROR(__xludf.DUMMYFUNCTION("GOOGLETRANSLATE(English!C4187, ""en"", ""bg"")"),"елементарен")</f>
        <v>елементарен</v>
      </c>
      <c r="D4187" s="1" t="str">
        <f ca="1">IFERROR(__xludf.DUMMYFUNCTION("GOOGLETRANSLATE(English!D4187, ""en"", ""bg"")"),"разтваряне")</f>
        <v>разтваряне</v>
      </c>
      <c r="E4187" s="1" t="str">
        <f ca="1">IFERROR(__xludf.DUMMYFUNCTION("GOOGLETRANSLATE(English!E4187, ""en"", ""bg"")"),"Можете ли да ми обясните това? Можете ли да ми помогнете да разбера разтварянето?")</f>
        <v>Можете ли да ми обясните това? Можете ли да ми помогнете да разбера разтварянето?</v>
      </c>
      <c r="F4187" s="1" t="str">
        <f ca="1">IFERROR(__xludf.DUMMYFUNCTION("GOOGLETRANSLATE(English!F4187,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4187" s="1" t="str">
        <f ca="1">IFERROR(__xludf.DUMMYFUNCTION("GOOGLETRANSLATE(English!G4187, ""en"", ""bg"")"),"разговор")</f>
        <v>разговор</v>
      </c>
      <c r="H4187" s="1" t="str">
        <f ca="1">IFERROR(__xludf.DUMMYFUNCTION("GOOGLETRANSLATE(English!H4187, ""en"", ""bg"")"),"образователна_помощ")</f>
        <v>образователна_помощ</v>
      </c>
    </row>
    <row r="4188" spans="1:8" ht="13.2" x14ac:dyDescent="0.25">
      <c r="A4188" s="1" t="str">
        <f ca="1">IFERROR(__xludf.DUMMYFUNCTION("GOOGLETRANSLATE(English!A4188, ""en"", ""bg"")"),"conv_17303")</f>
        <v>conv_17303</v>
      </c>
      <c r="B4188" s="1" t="str">
        <f ca="1">IFERROR(__xludf.DUMMYFUNCTION("GOOGLETRANSLATE(English!B4188, ""en"", ""bg"")"),"химия")</f>
        <v>химия</v>
      </c>
      <c r="C4188" s="1" t="str">
        <f ca="1">IFERROR(__xludf.DUMMYFUNCTION("GOOGLETRANSLATE(English!C4188, ""en"", ""bg"")"),"средата")</f>
        <v>средата</v>
      </c>
      <c r="D4188" s="1" t="str">
        <f ca="1">IFERROR(__xludf.DUMMYFUNCTION("GOOGLETRANSLATE(English!D4188, ""en"", ""bg"")"),"киселини и основи")</f>
        <v>киселини и основи</v>
      </c>
      <c r="E4188" s="1" t="str">
        <f ca="1">IFERROR(__xludf.DUMMYFUNCTION("GOOGLETRANSLATE(English!E4188, ""en"", ""bg"")"),"Можете ли да ми помогнете? Как действат киселините и основите в химията?")</f>
        <v>Можете ли да ми помогнете? Как действат киселините и основите в химията?</v>
      </c>
      <c r="F4188" s="1" t="str">
        <f ca="1">IFERROR(__xludf.DUMMYFUNCTION("GOOGLETRANSLATE(English!F4188,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188" s="1" t="str">
        <f ca="1">IFERROR(__xludf.DUMMYFUNCTION("GOOGLETRANSLATE(English!G4188, ""en"", ""bg"")"),"разговор")</f>
        <v>разговор</v>
      </c>
      <c r="H4188" s="1" t="str">
        <f ca="1">IFERROR(__xludf.DUMMYFUNCTION("GOOGLETRANSLATE(English!H4188, ""en"", ""bg"")"),"образователна_помощ")</f>
        <v>образователна_помощ</v>
      </c>
    </row>
    <row r="4189" spans="1:8" ht="13.2" x14ac:dyDescent="0.25">
      <c r="A4189" s="1" t="str">
        <f ca="1">IFERROR(__xludf.DUMMYFUNCTION("GOOGLETRANSLATE(English!A4189, ""en"", ""bg"")"),"conv_18757")</f>
        <v>conv_18757</v>
      </c>
      <c r="B4189" s="1" t="str">
        <f ca="1">IFERROR(__xludf.DUMMYFUNCTION("GOOGLETRANSLATE(English!B4189, ""en"", ""bg"")"),"физика")</f>
        <v>физика</v>
      </c>
      <c r="C4189" s="1" t="str">
        <f ca="1">IFERROR(__xludf.DUMMYFUNCTION("GOOGLETRANSLATE(English!C4189, ""en"", ""bg"")"),"елементарен")</f>
        <v>елементарен</v>
      </c>
      <c r="D4189" s="1" t="str">
        <f ca="1">IFERROR(__xludf.DUMMYFUNCTION("GOOGLETRANSLATE(English!D4189, ""en"", ""bg"")"),"прости машини")</f>
        <v>прости машини</v>
      </c>
      <c r="E4189" s="1" t="str">
        <f ca="1">IFERROR(__xludf.DUMMYFUNCTION("GOOGLETRANSLATE(English!E4189, ""en"", ""bg"")"),"Имам научен въпрос. Можете ли да ми обясните прости машини?")</f>
        <v>Имам научен въпрос. Можете ли да ми обясните прости машини?</v>
      </c>
      <c r="F4189" s="1" t="str">
        <f ca="1">IFERROR(__xludf.DUMMYFUNCTION("GOOGLETRANSLATE(English!F4189,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4189" s="1" t="str">
        <f ca="1">IFERROR(__xludf.DUMMYFUNCTION("GOOGLETRANSLATE(English!G4189, ""en"", ""bg"")"),"разговор")</f>
        <v>разговор</v>
      </c>
      <c r="H4189" s="1" t="str">
        <f ca="1">IFERROR(__xludf.DUMMYFUNCTION("GOOGLETRANSLATE(English!H4189, ""en"", ""bg"")"),"образователна_помощ")</f>
        <v>образователна_помощ</v>
      </c>
    </row>
    <row r="4190" spans="1:8" ht="13.2" x14ac:dyDescent="0.25">
      <c r="A4190" s="1" t="str">
        <f ca="1">IFERROR(__xludf.DUMMYFUNCTION("GOOGLETRANSLATE(English!A4190, ""en"", ""bg"")"),"qa_03503")</f>
        <v>qa_03503</v>
      </c>
      <c r="B4190" s="1" t="str">
        <f ca="1">IFERROR(__xludf.DUMMYFUNCTION("GOOGLETRANSLATE(English!B4190, ""en"", ""bg"")"),"химия")</f>
        <v>химия</v>
      </c>
      <c r="C4190" s="1" t="str">
        <f ca="1">IFERROR(__xludf.DUMMYFUNCTION("GOOGLETRANSLATE(English!C4190, ""en"", ""bg"")"),"елементарен")</f>
        <v>елементарен</v>
      </c>
      <c r="D4190" s="1" t="str">
        <f ca="1">IFERROR(__xludf.DUMMYFUNCTION("GOOGLETRANSLATE(English!D4190, ""en"", ""bg"")"),"ежедневни химикали")</f>
        <v>ежедневни химикали</v>
      </c>
      <c r="E4190" s="1" t="str">
        <f ca="1">IFERROR(__xludf.DUMMYFUNCTION("GOOGLETRANSLATE(English!E4190, ""en"", ""bg"")"),"Можете ли да ми помогнете да разбера ежедневните химикали?")</f>
        <v>Можете ли да ми помогнете да разбера ежедневните химикали?</v>
      </c>
      <c r="F4190" s="1" t="str">
        <f ca="1">IFERROR(__xludf.DUMMYFUNCTION("GOOGLETRANSLATE(English!F4190,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4190" s="1" t="str">
        <f ca="1">IFERROR(__xludf.DUMMYFUNCTION("GOOGLETRANSLATE(English!G4190, ""en"", ""bg"")"),"direct_qa")</f>
        <v>direct_qa</v>
      </c>
      <c r="H4190" s="1" t="str">
        <f ca="1">IFERROR(__xludf.DUMMYFUNCTION("GOOGLETRANSLATE(English!H4190, ""en"", ""bg"")"),"заявка_за_знание")</f>
        <v>заявка_за_знание</v>
      </c>
    </row>
    <row r="4191" spans="1:8" ht="13.2" x14ac:dyDescent="0.25">
      <c r="A4191" s="1" t="str">
        <f ca="1">IFERROR(__xludf.DUMMYFUNCTION("GOOGLETRANSLATE(English!A4191, ""en"", ""bg"")"),"conv_04040")</f>
        <v>conv_04040</v>
      </c>
      <c r="B4191" s="1" t="str">
        <f ca="1">IFERROR(__xludf.DUMMYFUNCTION("GOOGLETRANSLATE(English!B4191, ""en"", ""bg"")"),"химия")</f>
        <v>химия</v>
      </c>
      <c r="C4191" s="1" t="str">
        <f ca="1">IFERROR(__xludf.DUMMYFUNCTION("GOOGLETRANSLATE(English!C4191, ""en"", ""bg"")"),"средата")</f>
        <v>средата</v>
      </c>
      <c r="D4191" s="1" t="str">
        <f ca="1">IFERROR(__xludf.DUMMYFUNCTION("GOOGLETRANSLATE(English!D4191, ""en"", ""bg"")"),"атоми и молекули")</f>
        <v>атоми и молекули</v>
      </c>
      <c r="E4191" s="1" t="str">
        <f ca="1">IFERROR(__xludf.DUMMYFUNCTION("GOOGLETRANSLATE(English!E4191, ""en"", ""bg"")"),"Помогни ми да уча за теста си. Какво е атом?")</f>
        <v>Помогни ми да уча за теста си. Какво е атом?</v>
      </c>
      <c r="F4191" s="1" t="str">
        <f ca="1">IFERROR(__xludf.DUMMYFUNCTION("GOOGLETRANSLATE(English!F4191,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4191" s="1" t="str">
        <f ca="1">IFERROR(__xludf.DUMMYFUNCTION("GOOGLETRANSLATE(English!G4191, ""en"", ""bg"")"),"разговор")</f>
        <v>разговор</v>
      </c>
      <c r="H4191" s="1" t="str">
        <f ca="1">IFERROR(__xludf.DUMMYFUNCTION("GOOGLETRANSLATE(English!H4191, ""en"", ""bg"")"),"образователна_помощ")</f>
        <v>образователна_помощ</v>
      </c>
    </row>
    <row r="4192" spans="1:8" ht="13.2" x14ac:dyDescent="0.25">
      <c r="A4192" s="1" t="str">
        <f ca="1">IFERROR(__xludf.DUMMYFUNCTION("GOOGLETRANSLATE(English!A4192, ""en"", ""bg"")"),"qa_13439")</f>
        <v>qa_13439</v>
      </c>
      <c r="B4192" s="1" t="str">
        <f ca="1">IFERROR(__xludf.DUMMYFUNCTION("GOOGLETRANSLATE(English!B4192, ""en"", ""bg"")"),"химия")</f>
        <v>химия</v>
      </c>
      <c r="C4192" s="1" t="str">
        <f ca="1">IFERROR(__xludf.DUMMYFUNCTION("GOOGLETRANSLATE(English!C4192, ""en"", ""bg"")"),"елементарен")</f>
        <v>елементарен</v>
      </c>
      <c r="D4192" s="1" t="str">
        <f ca="1">IFERROR(__xludf.DUMMYFUNCTION("GOOGLETRANSLATE(English!D4192, ""en"", ""bg"")"),"ежедневни химикали")</f>
        <v>ежедневни химикали</v>
      </c>
      <c r="E4192" s="1" t="str">
        <f ca="1">IFERROR(__xludf.DUMMYFUNCTION("GOOGLETRANSLATE(English!E4192, ""en"", ""bg"")"),"Защо е важно да се изучават ежедневните химикали?")</f>
        <v>Защо е важно да се изучават ежедневните химикали?</v>
      </c>
      <c r="F4192" s="1" t="str">
        <f ca="1">IFERROR(__xludf.DUMMYFUNCTION("GOOGLETRANSLATE(English!F4192,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4192" s="1" t="str">
        <f ca="1">IFERROR(__xludf.DUMMYFUNCTION("GOOGLETRANSLATE(English!G4192, ""en"", ""bg"")"),"direct_qa")</f>
        <v>direct_qa</v>
      </c>
      <c r="H4192" s="1" t="str">
        <f ca="1">IFERROR(__xludf.DUMMYFUNCTION("GOOGLETRANSLATE(English!H4192, ""en"", ""bg"")"),"заявка_за_знание")</f>
        <v>заявка_за_знание</v>
      </c>
    </row>
    <row r="4193" spans="1:8" ht="13.2" x14ac:dyDescent="0.25">
      <c r="A4193" s="1" t="str">
        <f ca="1">IFERROR(__xludf.DUMMYFUNCTION("GOOGLETRANSLATE(English!A4193, ""en"", ""bg"")"),"conv_06475")</f>
        <v>conv_06475</v>
      </c>
      <c r="B4193" s="1" t="str">
        <f ca="1">IFERROR(__xludf.DUMMYFUNCTION("GOOGLETRANSLATE(English!B4193, ""en"", ""bg"")"),"физика")</f>
        <v>физика</v>
      </c>
      <c r="C4193" s="1" t="str">
        <f ca="1">IFERROR(__xludf.DUMMYFUNCTION("GOOGLETRANSLATE(English!C4193, ""en"", ""bg"")"),"средата")</f>
        <v>средата</v>
      </c>
      <c r="D4193" s="1" t="str">
        <f ca="1">IFERROR(__xludf.DUMMYFUNCTION("GOOGLETRANSLATE(English!D4193, ""en"", ""bg"")"),"прости схеми")</f>
        <v>прости схеми</v>
      </c>
      <c r="E4193" s="1" t="str">
        <f ca="1">IFERROR(__xludf.DUMMYFUNCTION("GOOGLETRANSLATE(English!E4193, ""en"", ""bg"")"),"Можете ли да ми обясните това? Какво трябва да знам за простите електрически вериги?")</f>
        <v>Можете ли да ми обясните това? Какво трябва да знам за простите електрически вериги?</v>
      </c>
      <c r="F4193" s="1" t="str">
        <f ca="1">IFERROR(__xludf.DUMMYFUNCTION("GOOGLETRANSLATE(English!F4193,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4193" s="1" t="str">
        <f ca="1">IFERROR(__xludf.DUMMYFUNCTION("GOOGLETRANSLATE(English!G4193, ""en"", ""bg"")"),"разговор")</f>
        <v>разговор</v>
      </c>
      <c r="H4193" s="1" t="str">
        <f ca="1">IFERROR(__xludf.DUMMYFUNCTION("GOOGLETRANSLATE(English!H4193, ""en"", ""bg"")"),"образователна_помощ")</f>
        <v>образователна_помощ</v>
      </c>
    </row>
    <row r="4194" spans="1:8" ht="13.2" x14ac:dyDescent="0.25">
      <c r="A4194" s="1" t="str">
        <f ca="1">IFERROR(__xludf.DUMMYFUNCTION("GOOGLETRANSLATE(English!A4194, ""en"", ""bg"")"),"hw_00631")</f>
        <v>hw_00631</v>
      </c>
      <c r="B4194" s="1" t="str">
        <f ca="1">IFERROR(__xludf.DUMMYFUNCTION("GOOGLETRANSLATE(English!B4194, ""en"", ""bg"")"),"биология")</f>
        <v>биология</v>
      </c>
      <c r="C4194" s="1" t="str">
        <f ca="1">IFERROR(__xludf.DUMMYFUNCTION("GOOGLETRANSLATE(English!C4194, ""en"", ""bg"")"),"средата")</f>
        <v>средата</v>
      </c>
      <c r="D4194" s="1" t="str">
        <f ca="1">IFERROR(__xludf.DUMMYFUNCTION("GOOGLETRANSLATE(English!D4194, ""en"", ""bg"")"),"основи на генетиката")</f>
        <v>основи на генетиката</v>
      </c>
      <c r="E4194" s="1" t="str">
        <f ca="1">IFERROR(__xludf.DUMMYFUNCTION("GOOGLETRANSLATE(English!E4194, ""en"", ""bg"")"),"Можете ли да обясните основите на генетиката за моя научен проект?")</f>
        <v>Можете ли да обясните основите на генетиката за моя научен проект?</v>
      </c>
      <c r="F4194" s="1" t="str">
        <f ca="1">IFERROR(__xludf.DUMMYFUNCTION("GOOGLETRANSLATE(English!F4194,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194" s="1" t="str">
        <f ca="1">IFERROR(__xludf.DUMMYFUNCTION("GOOGLETRANSLATE(English!G4194, ""en"", ""bg"")"),"помощ_за_домашно_изпълнение")</f>
        <v>помощ_за_домашно_изпълнение</v>
      </c>
      <c r="H4194" s="1" t="str">
        <f ca="1">IFERROR(__xludf.DUMMYFUNCTION("GOOGLETRANSLATE(English!H4194, ""en"", ""bg"")"),"помощ_за_домашно_задаване")</f>
        <v>помощ_за_домашно_задаване</v>
      </c>
    </row>
    <row r="4195" spans="1:8" ht="13.2" x14ac:dyDescent="0.25">
      <c r="A4195" s="1" t="str">
        <f ca="1">IFERROR(__xludf.DUMMYFUNCTION("GOOGLETRANSLATE(English!A4195, ""en"", ""bg"")"),"hw_05749")</f>
        <v>hw_05749</v>
      </c>
      <c r="B4195" s="1" t="str">
        <f ca="1">IFERROR(__xludf.DUMMYFUNCTION("GOOGLETRANSLATE(English!B4195, ""en"", ""bg"")"),"биология")</f>
        <v>биология</v>
      </c>
      <c r="C4195" s="1" t="str">
        <f ca="1">IFERROR(__xludf.DUMMYFUNCTION("GOOGLETRANSLATE(English!C4195, ""en"", ""bg"")"),"средата")</f>
        <v>средата</v>
      </c>
      <c r="D4195" s="1" t="str">
        <f ca="1">IFERROR(__xludf.DUMMYFUNCTION("GOOGLETRANSLATE(English!D4195, ""en"", ""bg"")"),"размножаване")</f>
        <v>размножаване</v>
      </c>
      <c r="E4195" s="1" t="str">
        <f ca="1">IFERROR(__xludf.DUMMYFUNCTION("GOOGLETRANSLATE(English!E4195,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4195" s="1" t="str">
        <f ca="1">IFERROR(__xludf.DUMMYFUNCTION("GOOGLETRANSLATE(English!F4195,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195" s="1" t="str">
        <f ca="1">IFERROR(__xludf.DUMMYFUNCTION("GOOGLETRANSLATE(English!G4195, ""en"", ""bg"")"),"помощ_за_домашно_изпълнение")</f>
        <v>помощ_за_домашно_изпълнение</v>
      </c>
      <c r="H4195" s="1" t="str">
        <f ca="1">IFERROR(__xludf.DUMMYFUNCTION("GOOGLETRANSLATE(English!H4195, ""en"", ""bg"")"),"помощ_за_домашно_задаване")</f>
        <v>помощ_за_домашно_задаване</v>
      </c>
    </row>
    <row r="4196" spans="1:8" ht="13.2" x14ac:dyDescent="0.25">
      <c r="A4196" s="1" t="str">
        <f ca="1">IFERROR(__xludf.DUMMYFUNCTION("GOOGLETRANSLATE(English!A4196, ""en"", ""bg"")"),"conv_08731")</f>
        <v>conv_08731</v>
      </c>
      <c r="B4196" s="1" t="str">
        <f ca="1">IFERROR(__xludf.DUMMYFUNCTION("GOOGLETRANSLATE(English!B4196, ""en"", ""bg"")"),"физика")</f>
        <v>физика</v>
      </c>
      <c r="C4196" s="1" t="str">
        <f ca="1">IFERROR(__xludf.DUMMYFUNCTION("GOOGLETRANSLATE(English!C4196, ""en"", ""bg"")"),"високо")</f>
        <v>високо</v>
      </c>
      <c r="D4196" s="1" t="str">
        <f ca="1">IFERROR(__xludf.DUMMYFUNCTION("GOOGLETRANSLATE(English!D4196, ""en"", ""bg"")"),"атомна структура")</f>
        <v>атомна структура</v>
      </c>
      <c r="E4196" s="1" t="str">
        <f ca="1">IFERROR(__xludf.DUMMYFUNCTION("GOOGLETRANSLATE(English!E4196, ""en"", ""bg"")"),"Имам научен въпрос. Можете ли да ми обясните структурата на атома?")</f>
        <v>Имам научен въпрос. Можете ли да ми обясните структурата на атома?</v>
      </c>
      <c r="F4196" s="1" t="str">
        <f ca="1">IFERROR(__xludf.DUMMYFUNCTION("GOOGLETRANSLATE(English!F4196,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196" s="1" t="str">
        <f ca="1">IFERROR(__xludf.DUMMYFUNCTION("GOOGLETRANSLATE(English!G4196, ""en"", ""bg"")"),"разговор")</f>
        <v>разговор</v>
      </c>
      <c r="H4196" s="1" t="str">
        <f ca="1">IFERROR(__xludf.DUMMYFUNCTION("GOOGLETRANSLATE(English!H4196, ""en"", ""bg"")"),"образователна_помощ")</f>
        <v>образователна_помощ</v>
      </c>
    </row>
    <row r="4197" spans="1:8" ht="13.2" x14ac:dyDescent="0.25">
      <c r="A4197" s="1" t="str">
        <f ca="1">IFERROR(__xludf.DUMMYFUNCTION("GOOGLETRANSLATE(English!A4197, ""en"", ""bg"")"),"hw_02628")</f>
        <v>hw_02628</v>
      </c>
      <c r="B4197" s="1" t="str">
        <f ca="1">IFERROR(__xludf.DUMMYFUNCTION("GOOGLETRANSLATE(English!B4197, ""en"", ""bg"")"),"биология")</f>
        <v>биология</v>
      </c>
      <c r="C4197" s="1" t="str">
        <f ca="1">IFERROR(__xludf.DUMMYFUNCTION("GOOGLETRANSLATE(English!C4197, ""en"", ""bg"")"),"средата")</f>
        <v>средата</v>
      </c>
      <c r="D4197" s="1" t="str">
        <f ca="1">IFERROR(__xludf.DUMMYFUNCTION("GOOGLETRANSLATE(English!D4197, ""en"", ""bg"")"),"дишане")</f>
        <v>дишане</v>
      </c>
      <c r="E4197" s="1" t="str">
        <f ca="1">IFERROR(__xludf.DUMMYFUNCTION("GOOGLETRANSLATE(English!E4197, ""en"", ""bg"")"),"Домашното ми пита за дишането. Не го разбирам.")</f>
        <v>Домашното ми пита за дишането. Не го разбирам.</v>
      </c>
      <c r="F4197" s="1" t="str">
        <f ca="1">IFERROR(__xludf.DUMMYFUNCTION("GOOGLETRANSLATE(English!F4197,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197" s="1" t="str">
        <f ca="1">IFERROR(__xludf.DUMMYFUNCTION("GOOGLETRANSLATE(English!G4197, ""en"", ""bg"")"),"помощ_за_домашно_изпълнение")</f>
        <v>помощ_за_домашно_изпълнение</v>
      </c>
      <c r="H4197" s="1" t="str">
        <f ca="1">IFERROR(__xludf.DUMMYFUNCTION("GOOGLETRANSLATE(English!H4197, ""en"", ""bg"")"),"помощ_за_домашно_задаване")</f>
        <v>помощ_за_домашно_задаване</v>
      </c>
    </row>
    <row r="4198" spans="1:8" ht="13.2" x14ac:dyDescent="0.25">
      <c r="A4198" s="1" t="str">
        <f ca="1">IFERROR(__xludf.DUMMYFUNCTION("GOOGLETRANSLATE(English!A4198, ""en"", ""bg"")"),"hw_14275")</f>
        <v>hw_14275</v>
      </c>
      <c r="B4198" s="1" t="str">
        <f ca="1">IFERROR(__xludf.DUMMYFUNCTION("GOOGLETRANSLATE(English!B4198, ""en"", ""bg"")"),"физика")</f>
        <v>физика</v>
      </c>
      <c r="C4198" s="1" t="str">
        <f ca="1">IFERROR(__xludf.DUMMYFUNCTION("GOOGLETRANSLATE(English!C4198, ""en"", ""bg"")"),"елементарен")</f>
        <v>елементарен</v>
      </c>
      <c r="D4198" s="1" t="str">
        <f ca="1">IFERROR(__xludf.DUMMYFUNCTION("GOOGLETRANSLATE(English!D4198, ""en"", ""bg"")"),"светлина и сянка")</f>
        <v>светлина и сянка</v>
      </c>
      <c r="E4198" s="1" t="str">
        <f ca="1">IFERROR(__xludf.DUMMYFUNCTION("GOOGLETRANSLATE(English!E4198,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4198" s="1" t="str">
        <f ca="1">IFERROR(__xludf.DUMMYFUNCTION("GOOGLETRANSLATE(English!F4198,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4198" s="1" t="str">
        <f ca="1">IFERROR(__xludf.DUMMYFUNCTION("GOOGLETRANSLATE(English!G4198, ""en"", ""bg"")"),"помощ_за_домашно_изпълнение")</f>
        <v>помощ_за_домашно_изпълнение</v>
      </c>
      <c r="H4198" s="1" t="str">
        <f ca="1">IFERROR(__xludf.DUMMYFUNCTION("GOOGLETRANSLATE(English!H4198, ""en"", ""bg"")"),"помощ_за_домашно_задаване")</f>
        <v>помощ_за_домашно_задаване</v>
      </c>
    </row>
    <row r="4199" spans="1:8" ht="13.2" x14ac:dyDescent="0.25">
      <c r="A4199" s="1" t="str">
        <f ca="1">IFERROR(__xludf.DUMMYFUNCTION("GOOGLETRANSLATE(English!A4199, ""en"", ""bg"")"),"conv_04280")</f>
        <v>conv_04280</v>
      </c>
      <c r="B4199" s="1" t="str">
        <f ca="1">IFERROR(__xludf.DUMMYFUNCTION("GOOGLETRANSLATE(English!B4199, ""en"", ""bg"")"),"биология")</f>
        <v>биология</v>
      </c>
      <c r="C4199" s="1" t="str">
        <f ca="1">IFERROR(__xludf.DUMMYFUNCTION("GOOGLETRANSLATE(English!C4199, ""en"", ""bg"")"),"високо")</f>
        <v>високо</v>
      </c>
      <c r="D4199" s="1" t="str">
        <f ca="1">IFERROR(__xludf.DUMMYFUNCTION("GOOGLETRANSLATE(English!D4199, ""en"", ""bg"")"),"Структура на ДНК")</f>
        <v>Структура на ДНК</v>
      </c>
      <c r="E4199" s="1" t="str">
        <f ca="1">IFERROR(__xludf.DUMMYFUNCTION("GOOGLETRANSLATE(English!E4199, ""en"", ""bg"")"),"Можете ли да ми помогнете? Как работи структурата на ДНК?")</f>
        <v>Можете ли да ми помогнете? Как работи структурата на ДНК?</v>
      </c>
      <c r="F4199" s="1" t="str">
        <f ca="1">IFERROR(__xludf.DUMMYFUNCTION("GOOGLETRANSLATE(English!F4199,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4199" s="1" t="str">
        <f ca="1">IFERROR(__xludf.DUMMYFUNCTION("GOOGLETRANSLATE(English!G4199, ""en"", ""bg"")"),"разговор")</f>
        <v>разговор</v>
      </c>
      <c r="H4199" s="1" t="str">
        <f ca="1">IFERROR(__xludf.DUMMYFUNCTION("GOOGLETRANSLATE(English!H4199, ""en"", ""bg"")"),"образователна_помощ")</f>
        <v>образователна_помощ</v>
      </c>
    </row>
    <row r="4200" spans="1:8" ht="13.2" x14ac:dyDescent="0.25">
      <c r="A4200" s="1" t="str">
        <f ca="1">IFERROR(__xludf.DUMMYFUNCTION("GOOGLETRANSLATE(English!A4200, ""en"", ""bg"")"),"qa_07421")</f>
        <v>qa_07421</v>
      </c>
      <c r="B4200" s="1" t="str">
        <f ca="1">IFERROR(__xludf.DUMMYFUNCTION("GOOGLETRANSLATE(English!B4200, ""en"", ""bg"")"),"химия")</f>
        <v>химия</v>
      </c>
      <c r="C4200" s="1" t="str">
        <f ca="1">IFERROR(__xludf.DUMMYFUNCTION("GOOGLETRANSLATE(English!C4200, ""en"", ""bg"")"),"високо")</f>
        <v>високо</v>
      </c>
      <c r="D4200" s="1" t="str">
        <f ca="1">IFERROR(__xludf.DUMMYFUNCTION("GOOGLETRANSLATE(English!D4200, ""en"", ""bg"")"),"електрохимия")</f>
        <v>електрохимия</v>
      </c>
      <c r="E4200" s="1" t="str">
        <f ca="1">IFERROR(__xludf.DUMMYFUNCTION("GOOGLETRANSLATE(English!E4200, ""en"", ""bg"")"),"Как работи електрохимията в химията?")</f>
        <v>Как работи електрохимията в химията?</v>
      </c>
      <c r="F4200" s="1" t="str">
        <f ca="1">IFERROR(__xludf.DUMMYFUNCTION("GOOGLETRANSLATE(English!F4200, ""en"", ""bg"")"),"Електрохимията работи според химични принципи, които обясняват как атомите и молекулите взаимодействат.")</f>
        <v>Електрохимията работи според химични принципи, които обясняват как атомите и молекулите взаимодействат.</v>
      </c>
      <c r="G4200" s="1" t="str">
        <f ca="1">IFERROR(__xludf.DUMMYFUNCTION("GOOGLETRANSLATE(English!G4200, ""en"", ""bg"")"),"direct_qa")</f>
        <v>direct_qa</v>
      </c>
      <c r="H4200" s="1" t="str">
        <f ca="1">IFERROR(__xludf.DUMMYFUNCTION("GOOGLETRANSLATE(English!H4200, ""en"", ""bg"")"),"заявка_за_знание")</f>
        <v>заявка_за_знание</v>
      </c>
    </row>
    <row r="4201" spans="1:8" ht="13.2" x14ac:dyDescent="0.25">
      <c r="A4201" s="1" t="str">
        <f ca="1">IFERROR(__xludf.DUMMYFUNCTION("GOOGLETRANSLATE(English!A4201, ""en"", ""bg"")"),"conv_06892")</f>
        <v>conv_06892</v>
      </c>
      <c r="B4201" s="1" t="str">
        <f ca="1">IFERROR(__xludf.DUMMYFUNCTION("GOOGLETRANSLATE(English!B4201, ""en"", ""bg"")"),"биология")</f>
        <v>биология</v>
      </c>
      <c r="C4201" s="1" t="str">
        <f ca="1">IFERROR(__xludf.DUMMYFUNCTION("GOOGLETRANSLATE(English!C4201, ""en"", ""bg"")"),"елементарен")</f>
        <v>елементарен</v>
      </c>
      <c r="D4201" s="1" t="str">
        <f ca="1">IFERROR(__xludf.DUMMYFUNCTION("GOOGLETRANSLATE(English!D4201, ""en"", ""bg"")"),"основни нужди")</f>
        <v>основни нужди</v>
      </c>
      <c r="E4201" s="1" t="str">
        <f ca="1">IFERROR(__xludf.DUMMYFUNCTION("GOOGLETRANSLATE(English!E4201, ""en"", ""bg"")"),"Имам нужда от помощ с домашното. Как работят основните потребности?")</f>
        <v>Имам нужда от помощ с домашното. Как работят основните потребности?</v>
      </c>
      <c r="F4201" s="1" t="str">
        <f ca="1">IFERROR(__xludf.DUMMYFUNCTION("GOOGLETRANSLATE(English!F4201,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4201" s="1" t="str">
        <f ca="1">IFERROR(__xludf.DUMMYFUNCTION("GOOGLETRANSLATE(English!G4201, ""en"", ""bg"")"),"разговор")</f>
        <v>разговор</v>
      </c>
      <c r="H4201" s="1" t="str">
        <f ca="1">IFERROR(__xludf.DUMMYFUNCTION("GOOGLETRANSLATE(English!H4201, ""en"", ""bg"")"),"образователна_помощ")</f>
        <v>образователна_помощ</v>
      </c>
    </row>
    <row r="4202" spans="1:8" ht="13.2" x14ac:dyDescent="0.25">
      <c r="A4202" s="1" t="str">
        <f ca="1">IFERROR(__xludf.DUMMYFUNCTION("GOOGLETRANSLATE(English!A4202, ""en"", ""bg"")"),"hw_08352")</f>
        <v>hw_08352</v>
      </c>
      <c r="B4202" s="1" t="str">
        <f ca="1">IFERROR(__xludf.DUMMYFUNCTION("GOOGLETRANSLATE(English!B4202, ""en"", ""bg"")"),"биология")</f>
        <v>биология</v>
      </c>
      <c r="C4202" s="1" t="str">
        <f ca="1">IFERROR(__xludf.DUMMYFUNCTION("GOOGLETRANSLATE(English!C4202, ""en"", ""bg"")"),"високо")</f>
        <v>високо</v>
      </c>
      <c r="D4202" s="1" t="str">
        <f ca="1">IFERROR(__xludf.DUMMYFUNCTION("GOOGLETRANSLATE(English!D4202, ""en"", ""bg"")"),"молекулярна биология")</f>
        <v>молекулярна биология</v>
      </c>
      <c r="E4202" s="1" t="str">
        <f ca="1">IFERROR(__xludf.DUMMYFUNCTION("GOOGLETRANSLATE(English!E4202, ""en"", ""bg"")"),"Утре имам тест по молекулярна биология. Помогни ми да уча!")</f>
        <v>Утре имам тест по молекулярна биология. Помогни ми да уча!</v>
      </c>
      <c r="F4202" s="1" t="str">
        <f ca="1">IFERROR(__xludf.DUMMYFUNCTION("GOOGLETRANSLATE(English!F4202,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202" s="1" t="str">
        <f ca="1">IFERROR(__xludf.DUMMYFUNCTION("GOOGLETRANSLATE(English!G4202, ""en"", ""bg"")"),"помощ_за_домашно_изпълнение")</f>
        <v>помощ_за_домашно_изпълнение</v>
      </c>
      <c r="H4202" s="1" t="str">
        <f ca="1">IFERROR(__xludf.DUMMYFUNCTION("GOOGLETRANSLATE(English!H4202, ""en"", ""bg"")"),"помощ_за_домашно_задаване")</f>
        <v>помощ_за_домашно_задаване</v>
      </c>
    </row>
    <row r="4203" spans="1:8" ht="13.2" x14ac:dyDescent="0.25">
      <c r="A4203" s="1" t="str">
        <f ca="1">IFERROR(__xludf.DUMMYFUNCTION("GOOGLETRANSLATE(English!A4203, ""en"", ""bg"")"),"conv_00702")</f>
        <v>conv_00702</v>
      </c>
      <c r="B4203" s="1" t="str">
        <f ca="1">IFERROR(__xludf.DUMMYFUNCTION("GOOGLETRANSLATE(English!B4203, ""en"", ""bg"")"),"химия")</f>
        <v>химия</v>
      </c>
      <c r="C4203" s="1" t="str">
        <f ca="1">IFERROR(__xludf.DUMMYFUNCTION("GOOGLETRANSLATE(English!C4203, ""en"", ""bg"")"),"средата")</f>
        <v>средата</v>
      </c>
      <c r="D4203" s="1" t="str">
        <f ca="1">IFERROR(__xludf.DUMMYFUNCTION("GOOGLETRANSLATE(English!D4203, ""en"", ""bg"")"),"основи на периодичната таблица")</f>
        <v>основи на периодичната таблица</v>
      </c>
      <c r="E4203" s="1" t="str">
        <f ca="1">IFERROR(__xludf.DUMMYFUNCTION("GOOGLETRANSLATE(English!E4203, ""en"", ""bg"")"),"Имам нужда от помощ с домашното. Как се прилагат основите на периодичната таблица в химията?")</f>
        <v>Имам нужда от помощ с домашното. Как се прилагат основите на периодичната таблица в химията?</v>
      </c>
      <c r="F4203" s="1" t="str">
        <f ca="1">IFERROR(__xludf.DUMMYFUNCTION("GOOGLETRANSLATE(English!F4203,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4203" s="1" t="str">
        <f ca="1">IFERROR(__xludf.DUMMYFUNCTION("GOOGLETRANSLATE(English!G4203, ""en"", ""bg"")"),"разговор")</f>
        <v>разговор</v>
      </c>
      <c r="H4203" s="1" t="str">
        <f ca="1">IFERROR(__xludf.DUMMYFUNCTION("GOOGLETRANSLATE(English!H4203, ""en"", ""bg"")"),"образователна_помощ")</f>
        <v>образователна_помощ</v>
      </c>
    </row>
    <row r="4204" spans="1:8" ht="13.2" x14ac:dyDescent="0.25">
      <c r="A4204" s="1" t="str">
        <f ca="1">IFERROR(__xludf.DUMMYFUNCTION("GOOGLETRANSLATE(English!A4204, ""en"", ""bg"")"),"conv_08531")</f>
        <v>conv_08531</v>
      </c>
      <c r="B4204" s="1" t="str">
        <f ca="1">IFERROR(__xludf.DUMMYFUNCTION("GOOGLETRANSLATE(English!B4204, ""en"", ""bg"")"),"химия")</f>
        <v>химия</v>
      </c>
      <c r="C4204" s="1" t="str">
        <f ca="1">IFERROR(__xludf.DUMMYFUNCTION("GOOGLETRANSLATE(English!C4204, ""en"", ""bg"")"),"средата")</f>
        <v>средата</v>
      </c>
      <c r="D4204" s="1" t="str">
        <f ca="1">IFERROR(__xludf.DUMMYFUNCTION("GOOGLETRANSLATE(English!D4204, ""en"", ""bg"")"),"атоми и молекули")</f>
        <v>атоми и молекули</v>
      </c>
      <c r="E4204" s="1" t="str">
        <f ca="1">IFERROR(__xludf.DUMMYFUNCTION("GOOGLETRANSLATE(English!E4204, ""en"", ""bg"")"),"Не разбирам тази тема. Коя е най-малката част от един елемент?")</f>
        <v>Не разбирам тази тема. Коя е най-малката част от един елемент?</v>
      </c>
      <c r="F4204" s="1" t="str">
        <f ca="1">IFERROR(__xludf.DUMMYFUNCTION("GOOGLETRANSLATE(English!F4204,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4204" s="1" t="str">
        <f ca="1">IFERROR(__xludf.DUMMYFUNCTION("GOOGLETRANSLATE(English!G4204, ""en"", ""bg"")"),"разговор")</f>
        <v>разговор</v>
      </c>
      <c r="H4204" s="1" t="str">
        <f ca="1">IFERROR(__xludf.DUMMYFUNCTION("GOOGLETRANSLATE(English!H4204, ""en"", ""bg"")"),"образователна_помощ")</f>
        <v>образователна_помощ</v>
      </c>
    </row>
    <row r="4205" spans="1:8" ht="13.2" x14ac:dyDescent="0.25">
      <c r="A4205" s="1" t="str">
        <f ca="1">IFERROR(__xludf.DUMMYFUNCTION("GOOGLETRANSLATE(English!A4205, ""en"", ""bg"")"),"qa_00055")</f>
        <v>qa_00055</v>
      </c>
      <c r="B4205" s="1" t="str">
        <f ca="1">IFERROR(__xludf.DUMMYFUNCTION("GOOGLETRANSLATE(English!B4205, ""en"", ""bg"")"),"биология")</f>
        <v>биология</v>
      </c>
      <c r="C4205" s="1" t="str">
        <f ca="1">IFERROR(__xludf.DUMMYFUNCTION("GOOGLETRANSLATE(English!C4205, ""en"", ""bg"")"),"елементарен")</f>
        <v>елементарен</v>
      </c>
      <c r="D4205" s="1" t="str">
        <f ca="1">IFERROR(__xludf.DUMMYFUNCTION("GOOGLETRANSLATE(English!D4205, ""en"", ""bg"")"),"човешкото тяло")</f>
        <v>човешкото тяло</v>
      </c>
      <c r="E4205" s="1" t="str">
        <f ca="1">IFERROR(__xludf.DUMMYFUNCTION("GOOGLETRANSLATE(English!E4205, ""en"", ""bg"")"),"Как работи човешкото тяло?")</f>
        <v>Как работи човешкото тяло?</v>
      </c>
      <c r="F4205" s="1" t="str">
        <f ca="1">IFERROR(__xludf.DUMMYFUNCTION("GOOGLETRANSLATE(English!F4205,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4205" s="1" t="str">
        <f ca="1">IFERROR(__xludf.DUMMYFUNCTION("GOOGLETRANSLATE(English!G4205, ""en"", ""bg"")"),"direct_qa")</f>
        <v>direct_qa</v>
      </c>
      <c r="H4205" s="1" t="str">
        <f ca="1">IFERROR(__xludf.DUMMYFUNCTION("GOOGLETRANSLATE(English!H4205, ""en"", ""bg"")"),"заявка_за_знание")</f>
        <v>заявка_за_знание</v>
      </c>
    </row>
    <row r="4206" spans="1:8" ht="13.2" x14ac:dyDescent="0.25">
      <c r="A4206" s="1" t="str">
        <f ca="1">IFERROR(__xludf.DUMMYFUNCTION("GOOGLETRANSLATE(English!A4206, ""en"", ""bg"")"),"conv_05115")</f>
        <v>conv_05115</v>
      </c>
      <c r="B4206" s="1" t="str">
        <f ca="1">IFERROR(__xludf.DUMMYFUNCTION("GOOGLETRANSLATE(English!B4206, ""en"", ""bg"")"),"биология")</f>
        <v>биология</v>
      </c>
      <c r="C4206" s="1" t="str">
        <f ca="1">IFERROR(__xludf.DUMMYFUNCTION("GOOGLETRANSLATE(English!C4206, ""en"", ""bg"")"),"високо")</f>
        <v>високо</v>
      </c>
      <c r="D4206" s="1" t="str">
        <f ca="1">IFERROR(__xludf.DUMMYFUNCTION("GOOGLETRANSLATE(English!D4206, ""en"", ""bg"")"),"клетъчно дишане")</f>
        <v>клетъчно дишане</v>
      </c>
      <c r="E4206" s="1" t="str">
        <f ca="1">IFERROR(__xludf.DUMMYFUNCTION("GOOGLETRANSLATE(English!E4206, ""en"", ""bg"")"),"Помогнете ми да уча за теста. Можете ли да ми разкажете за клетъчното дишане?")</f>
        <v>Помогнете ми да уча за теста. Можете ли да ми разкажете за клетъчното дишане?</v>
      </c>
      <c r="F4206" s="1" t="str">
        <f ca="1">IFERROR(__xludf.DUMMYFUNCTION("GOOGLETRANSLATE(English!F4206,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4206" s="1" t="str">
        <f ca="1">IFERROR(__xludf.DUMMYFUNCTION("GOOGLETRANSLATE(English!G4206, ""en"", ""bg"")"),"разговор")</f>
        <v>разговор</v>
      </c>
      <c r="H4206" s="1" t="str">
        <f ca="1">IFERROR(__xludf.DUMMYFUNCTION("GOOGLETRANSLATE(English!H4206, ""en"", ""bg"")"),"образователна_помощ")</f>
        <v>образователна_помощ</v>
      </c>
    </row>
    <row r="4207" spans="1:8" ht="13.2" x14ac:dyDescent="0.25">
      <c r="A4207" s="1" t="str">
        <f ca="1">IFERROR(__xludf.DUMMYFUNCTION("GOOGLETRANSLATE(English!A4207, ""en"", ""bg"")"),"hw_09178")</f>
        <v>hw_09178</v>
      </c>
      <c r="B4207" s="1" t="str">
        <f ca="1">IFERROR(__xludf.DUMMYFUNCTION("GOOGLETRANSLATE(English!B4207, ""en"", ""bg"")"),"химия")</f>
        <v>химия</v>
      </c>
      <c r="C4207" s="1" t="str">
        <f ca="1">IFERROR(__xludf.DUMMYFUNCTION("GOOGLETRANSLATE(English!C4207, ""en"", ""bg"")"),"елементарен")</f>
        <v>елементарен</v>
      </c>
      <c r="D4207" s="1" t="str">
        <f ca="1">IFERROR(__xludf.DUMMYFUNCTION("GOOGLETRANSLATE(English!D4207, ""en"", ""bg"")"),"промени в материалите")</f>
        <v>промени в материалите</v>
      </c>
      <c r="E4207" s="1" t="str">
        <f ca="1">IFERROR(__xludf.DUMMYFUNCTION("GOOGLETRANSLATE(English!E4207,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4207" s="1" t="str">
        <f ca="1">IFERROR(__xludf.DUMMYFUNCTION("GOOGLETRANSLATE(English!F4207,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4207" s="1" t="str">
        <f ca="1">IFERROR(__xludf.DUMMYFUNCTION("GOOGLETRANSLATE(English!G4207, ""en"", ""bg"")"),"помощ_за_домашно_изпълнение")</f>
        <v>помощ_за_домашно_изпълнение</v>
      </c>
      <c r="H4207" s="1" t="str">
        <f ca="1">IFERROR(__xludf.DUMMYFUNCTION("GOOGLETRANSLATE(English!H4207, ""en"", ""bg"")"),"помощ_за_домашно_задаване")</f>
        <v>помощ_за_домашно_задаване</v>
      </c>
    </row>
    <row r="4208" spans="1:8" ht="13.2" x14ac:dyDescent="0.25">
      <c r="A4208" s="1" t="str">
        <f ca="1">IFERROR(__xludf.DUMMYFUNCTION("GOOGLETRANSLATE(English!A4208, ""en"", ""bg"")"),"qa_10119")</f>
        <v>qa_10119</v>
      </c>
      <c r="B4208" s="1" t="str">
        <f ca="1">IFERROR(__xludf.DUMMYFUNCTION("GOOGLETRANSLATE(English!B4208, ""en"", ""bg"")"),"физика")</f>
        <v>физика</v>
      </c>
      <c r="C4208" s="1" t="str">
        <f ca="1">IFERROR(__xludf.DUMMYFUNCTION("GOOGLETRANSLATE(English!C4208, ""en"", ""bg"")"),"високо")</f>
        <v>високо</v>
      </c>
      <c r="D4208" s="1" t="str">
        <f ca="1">IFERROR(__xludf.DUMMYFUNCTION("GOOGLETRANSLATE(English!D4208, ""en"", ""bg"")"),"механика")</f>
        <v>механика</v>
      </c>
      <c r="E4208" s="1" t="str">
        <f ca="1">IFERROR(__xludf.DUMMYFUNCTION("GOOGLETRANSLATE(English!E4208, ""en"", ""bg"")"),"Можете ли да ми обясните механиката?")</f>
        <v>Можете ли да ми обясните механиката?</v>
      </c>
      <c r="F4208" s="1" t="str">
        <f ca="1">IFERROR(__xludf.DUMMYFUNCTION("GOOGLETRANSLATE(English!F4208,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4208" s="1" t="str">
        <f ca="1">IFERROR(__xludf.DUMMYFUNCTION("GOOGLETRANSLATE(English!G4208, ""en"", ""bg"")"),"direct_qa")</f>
        <v>direct_qa</v>
      </c>
      <c r="H4208" s="1" t="str">
        <f ca="1">IFERROR(__xludf.DUMMYFUNCTION("GOOGLETRANSLATE(English!H4208, ""en"", ""bg"")"),"заявка_за_знание")</f>
        <v>заявка_за_знание</v>
      </c>
    </row>
    <row r="4209" spans="1:8" ht="13.2" x14ac:dyDescent="0.25">
      <c r="A4209" s="1" t="str">
        <f ca="1">IFERROR(__xludf.DUMMYFUNCTION("GOOGLETRANSLATE(English!A4209, ""en"", ""bg"")"),"hw_14483")</f>
        <v>hw_14483</v>
      </c>
      <c r="B4209" s="1" t="str">
        <f ca="1">IFERROR(__xludf.DUMMYFUNCTION("GOOGLETRANSLATE(English!B4209, ""en"", ""bg"")"),"биология")</f>
        <v>биология</v>
      </c>
      <c r="C4209" s="1" t="str">
        <f ca="1">IFERROR(__xludf.DUMMYFUNCTION("GOOGLETRANSLATE(English!C4209, ""en"", ""bg"")"),"високо")</f>
        <v>високо</v>
      </c>
      <c r="D4209" s="1" t="str">
        <f ca="1">IFERROR(__xludf.DUMMYFUNCTION("GOOGLETRANSLATE(English!D4209, ""en"", ""bg"")"),"молекулярна биология")</f>
        <v>молекулярна биология</v>
      </c>
      <c r="E4209" s="1" t="str">
        <f ca="1">IFERROR(__xludf.DUMMYFUNCTION("GOOGLETRANSLATE(English!E4209, ""en"", ""bg"")"),"Домашното ми е за молекулярна биология. Не я разбирам.")</f>
        <v>Домашното ми е за молекулярна биология. Не я разбирам.</v>
      </c>
      <c r="F4209" s="1" t="str">
        <f ca="1">IFERROR(__xludf.DUMMYFUNCTION("GOOGLETRANSLATE(English!F4209,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209" s="1" t="str">
        <f ca="1">IFERROR(__xludf.DUMMYFUNCTION("GOOGLETRANSLATE(English!G4209, ""en"", ""bg"")"),"помощ_за_домашно_изпълнение")</f>
        <v>помощ_за_домашно_изпълнение</v>
      </c>
      <c r="H4209" s="1" t="str">
        <f ca="1">IFERROR(__xludf.DUMMYFUNCTION("GOOGLETRANSLATE(English!H4209, ""en"", ""bg"")"),"помощ_за_домашно_задаване")</f>
        <v>помощ_за_домашно_задаване</v>
      </c>
    </row>
    <row r="4210" spans="1:8" ht="13.2" x14ac:dyDescent="0.25">
      <c r="A4210" s="1" t="str">
        <f ca="1">IFERROR(__xludf.DUMMYFUNCTION("GOOGLETRANSLATE(English!A4210, ""en"", ""bg"")"),"qa_08140")</f>
        <v>qa_08140</v>
      </c>
      <c r="B4210" s="1" t="str">
        <f ca="1">IFERROR(__xludf.DUMMYFUNCTION("GOOGLETRANSLATE(English!B4210, ""en"", ""bg"")"),"биология")</f>
        <v>биология</v>
      </c>
      <c r="C4210" s="1" t="str">
        <f ca="1">IFERROR(__xludf.DUMMYFUNCTION("GOOGLETRANSLATE(English!C4210, ""en"", ""bg"")"),"средата")</f>
        <v>средата</v>
      </c>
      <c r="D4210" s="1" t="str">
        <f ca="1">IFERROR(__xludf.DUMMYFUNCTION("GOOGLETRANSLATE(English!D4210, ""en"", ""bg"")"),"фотосинтеза")</f>
        <v>фотосинтеза</v>
      </c>
      <c r="E4210" s="1" t="str">
        <f ca="1">IFERROR(__xludf.DUMMYFUNCTION("GOOGLETRANSLATE(English!E4210, ""en"", ""bg"")"),"Можете ли да ми разкажете за фотосинтезата?")</f>
        <v>Можете ли да ми разкажете за фотосинтезата?</v>
      </c>
      <c r="F4210" s="1" t="str">
        <f ca="1">IFERROR(__xludf.DUMMYFUNCTION("GOOGLETRANSLATE(English!F4210,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4210" s="1" t="str">
        <f ca="1">IFERROR(__xludf.DUMMYFUNCTION("GOOGLETRANSLATE(English!G4210, ""en"", ""bg"")"),"direct_qa")</f>
        <v>direct_qa</v>
      </c>
      <c r="H4210" s="1" t="str">
        <f ca="1">IFERROR(__xludf.DUMMYFUNCTION("GOOGLETRANSLATE(English!H4210, ""en"", ""bg"")"),"заявка_за_знание")</f>
        <v>заявка_за_знание</v>
      </c>
    </row>
    <row r="4211" spans="1:8" ht="13.2" x14ac:dyDescent="0.25">
      <c r="A4211" s="1" t="str">
        <f ca="1">IFERROR(__xludf.DUMMYFUNCTION("GOOGLETRANSLATE(English!A4211, ""en"", ""bg"")"),"qa_13736")</f>
        <v>qa_13736</v>
      </c>
      <c r="B4211" s="1" t="str">
        <f ca="1">IFERROR(__xludf.DUMMYFUNCTION("GOOGLETRANSLATE(English!B4211, ""en"", ""bg"")"),"химия")</f>
        <v>химия</v>
      </c>
      <c r="C4211" s="1" t="str">
        <f ca="1">IFERROR(__xludf.DUMMYFUNCTION("GOOGLETRANSLATE(English!C4211, ""en"", ""bg"")"),"средата")</f>
        <v>средата</v>
      </c>
      <c r="D4211" s="1" t="str">
        <f ca="1">IFERROR(__xludf.DUMMYFUNCTION("GOOGLETRANSLATE(English!D4211, ""en"", ""bg"")"),"атоми и молекули")</f>
        <v>атоми и молекули</v>
      </c>
      <c r="E4211" s="1" t="str">
        <f ca="1">IFERROR(__xludf.DUMMYFUNCTION("GOOGLETRANSLATE(English!E4211, ""en"", ""bg"")"),"Какво е атом?")</f>
        <v>Какво е атом?</v>
      </c>
      <c r="F4211" s="1" t="str">
        <f ca="1">IFERROR(__xludf.DUMMYFUNCTION("GOOGLETRANSLATE(English!F4211,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4211" s="1" t="str">
        <f ca="1">IFERROR(__xludf.DUMMYFUNCTION("GOOGLETRANSLATE(English!G4211, ""en"", ""bg"")"),"direct_qa")</f>
        <v>direct_qa</v>
      </c>
      <c r="H4211" s="1" t="str">
        <f ca="1">IFERROR(__xludf.DUMMYFUNCTION("GOOGLETRANSLATE(English!H4211, ""en"", ""bg"")"),"заявка_за_знание")</f>
        <v>заявка_за_знание</v>
      </c>
    </row>
    <row r="4212" spans="1:8" ht="13.2" x14ac:dyDescent="0.25">
      <c r="A4212" s="1" t="str">
        <f ca="1">IFERROR(__xludf.DUMMYFUNCTION("GOOGLETRANSLATE(English!A4212, ""en"", ""bg"")"),"qa_04575")</f>
        <v>qa_04575</v>
      </c>
      <c r="B4212" s="1" t="str">
        <f ca="1">IFERROR(__xludf.DUMMYFUNCTION("GOOGLETRANSLATE(English!B4212, ""en"", ""bg"")"),"химия")</f>
        <v>химия</v>
      </c>
      <c r="C4212" s="1" t="str">
        <f ca="1">IFERROR(__xludf.DUMMYFUNCTION("GOOGLETRANSLATE(English!C4212, ""en"", ""bg"")"),"елементарен")</f>
        <v>елементарен</v>
      </c>
      <c r="D4212" s="1" t="str">
        <f ca="1">IFERROR(__xludf.DUMMYFUNCTION("GOOGLETRANSLATE(English!D4212, ""en"", ""bg"")"),"разтваряне")</f>
        <v>разтваряне</v>
      </c>
      <c r="E4212" s="1" t="str">
        <f ca="1">IFERROR(__xludf.DUMMYFUNCTION("GOOGLETRANSLATE(English!E4212, ""en"", ""bg"")"),"Можете ли да ми помогнете да разбера разтварянето?")</f>
        <v>Можете ли да ми помогнете да разбера разтварянето?</v>
      </c>
      <c r="F4212" s="1" t="str">
        <f ca="1">IFERROR(__xludf.DUMMYFUNCTION("GOOGLETRANSLATE(English!F4212,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4212" s="1" t="str">
        <f ca="1">IFERROR(__xludf.DUMMYFUNCTION("GOOGLETRANSLATE(English!G4212, ""en"", ""bg"")"),"direct_qa")</f>
        <v>direct_qa</v>
      </c>
      <c r="H4212" s="1" t="str">
        <f ca="1">IFERROR(__xludf.DUMMYFUNCTION("GOOGLETRANSLATE(English!H4212, ""en"", ""bg"")"),"заявка_за_знание")</f>
        <v>заявка_за_знание</v>
      </c>
    </row>
    <row r="4213" spans="1:8" ht="13.2" x14ac:dyDescent="0.25">
      <c r="A4213" s="1" t="str">
        <f ca="1">IFERROR(__xludf.DUMMYFUNCTION("GOOGLETRANSLATE(English!A4213, ""en"", ""bg"")"),"hw_04572")</f>
        <v>hw_04572</v>
      </c>
      <c r="B4213" s="1" t="str">
        <f ca="1">IFERROR(__xludf.DUMMYFUNCTION("GOOGLETRANSLATE(English!B4213, ""en"", ""bg"")"),"биология")</f>
        <v>биология</v>
      </c>
      <c r="C4213" s="1" t="str">
        <f ca="1">IFERROR(__xludf.DUMMYFUNCTION("GOOGLETRANSLATE(English!C4213, ""en"", ""bg"")"),"високо")</f>
        <v>високо</v>
      </c>
      <c r="D4213" s="1" t="str">
        <f ca="1">IFERROR(__xludf.DUMMYFUNCTION("GOOGLETRANSLATE(English!D4213, ""en"", ""bg"")"),"молекулярна биология")</f>
        <v>молекулярна биология</v>
      </c>
      <c r="E4213" s="1" t="str">
        <f ca="1">IFERROR(__xludf.DUMMYFUNCTION("GOOGLETRANSLATE(English!E4213, ""en"", ""bg"")"),"Домашното ми е за молекулярна биология. Не я разбирам.")</f>
        <v>Домашното ми е за молекулярна биология. Не я разбирам.</v>
      </c>
      <c r="F4213" s="1" t="str">
        <f ca="1">IFERROR(__xludf.DUMMYFUNCTION("GOOGLETRANSLATE(English!F4213,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213" s="1" t="str">
        <f ca="1">IFERROR(__xludf.DUMMYFUNCTION("GOOGLETRANSLATE(English!G4213, ""en"", ""bg"")"),"помощ_за_домашно_изпълнение")</f>
        <v>помощ_за_домашно_изпълнение</v>
      </c>
      <c r="H4213" s="1" t="str">
        <f ca="1">IFERROR(__xludf.DUMMYFUNCTION("GOOGLETRANSLATE(English!H4213, ""en"", ""bg"")"),"помощ_за_домашно_задаване")</f>
        <v>помощ_за_домашно_задаване</v>
      </c>
    </row>
    <row r="4214" spans="1:8" ht="13.2" x14ac:dyDescent="0.25">
      <c r="A4214" s="1" t="str">
        <f ca="1">IFERROR(__xludf.DUMMYFUNCTION("GOOGLETRANSLATE(English!A4214, ""en"", ""bg"")"),"conv_12596")</f>
        <v>conv_12596</v>
      </c>
      <c r="B4214" s="1" t="str">
        <f ca="1">IFERROR(__xludf.DUMMYFUNCTION("GOOGLETRANSLATE(English!B4214, ""en"", ""bg"")"),"физика")</f>
        <v>физика</v>
      </c>
      <c r="C4214" s="1" t="str">
        <f ca="1">IFERROR(__xludf.DUMMYFUNCTION("GOOGLETRANSLATE(English!C4214, ""en"", ""bg"")"),"средата")</f>
        <v>средата</v>
      </c>
      <c r="D4214" s="1" t="str">
        <f ca="1">IFERROR(__xludf.DUMMYFUNCTION("GOOGLETRANSLATE(English!D4214, ""en"", ""bg"")"),"вълни")</f>
        <v>вълни</v>
      </c>
      <c r="E4214" s="1" t="str">
        <f ca="1">IFERROR(__xludf.DUMMYFUNCTION("GOOGLETRANSLATE(English!E4214, ""en"", ""bg"")"),"Не разбирам тази тема. Защо вълните са важни?")</f>
        <v>Не разбирам тази тема. Защо вълните са важни?</v>
      </c>
      <c r="F4214" s="1" t="str">
        <f ca="1">IFERROR(__xludf.DUMMYFUNCTION("GOOGLETRANSLATE(English!F4214, ""en"", ""bg"")"),"Вълните са важни, защото ни помагат да разберем физическия свят около нас.")</f>
        <v>Вълните са важни, защото ни помагат да разберем физическия свят около нас.</v>
      </c>
      <c r="G4214" s="1" t="str">
        <f ca="1">IFERROR(__xludf.DUMMYFUNCTION("GOOGLETRANSLATE(English!G4214, ""en"", ""bg"")"),"разговор")</f>
        <v>разговор</v>
      </c>
      <c r="H4214" s="1" t="str">
        <f ca="1">IFERROR(__xludf.DUMMYFUNCTION("GOOGLETRANSLATE(English!H4214, ""en"", ""bg"")"),"образователна_помощ")</f>
        <v>образователна_помощ</v>
      </c>
    </row>
    <row r="4215" spans="1:8" ht="13.2" x14ac:dyDescent="0.25">
      <c r="A4215" s="1" t="str">
        <f ca="1">IFERROR(__xludf.DUMMYFUNCTION("GOOGLETRANSLATE(English!A4215, ""en"", ""bg"")"),"qa_03386")</f>
        <v>qa_03386</v>
      </c>
      <c r="B4215" s="1" t="str">
        <f ca="1">IFERROR(__xludf.DUMMYFUNCTION("GOOGLETRANSLATE(English!B4215, ""en"", ""bg"")"),"биология")</f>
        <v>биология</v>
      </c>
      <c r="C4215" s="1" t="str">
        <f ca="1">IFERROR(__xludf.DUMMYFUNCTION("GOOGLETRANSLATE(English!C4215, ""en"", ""bg"")"),"високо")</f>
        <v>високо</v>
      </c>
      <c r="D4215" s="1" t="str">
        <f ca="1">IFERROR(__xludf.DUMMYFUNCTION("GOOGLETRANSLATE(English!D4215, ""en"", ""bg"")"),"клетъчно дишане")</f>
        <v>клетъчно дишане</v>
      </c>
      <c r="E4215" s="1" t="str">
        <f ca="1">IFERROR(__xludf.DUMMYFUNCTION("GOOGLETRANSLATE(English!E4215, ""en"", ""bg"")"),"Защо клетъчното дишане е важно в биологията?")</f>
        <v>Защо клетъчното дишане е важно в биологията?</v>
      </c>
      <c r="F4215" s="1" t="str">
        <f ca="1">IFERROR(__xludf.DUMMYFUNCTION("GOOGLETRANSLATE(English!F4215,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4215" s="1" t="str">
        <f ca="1">IFERROR(__xludf.DUMMYFUNCTION("GOOGLETRANSLATE(English!G4215, ""en"", ""bg"")"),"direct_qa")</f>
        <v>direct_qa</v>
      </c>
      <c r="H4215" s="1" t="str">
        <f ca="1">IFERROR(__xludf.DUMMYFUNCTION("GOOGLETRANSLATE(English!H4215, ""en"", ""bg"")"),"заявка_за_знание")</f>
        <v>заявка_за_знание</v>
      </c>
    </row>
    <row r="4216" spans="1:8" ht="13.2" x14ac:dyDescent="0.25">
      <c r="A4216" s="1" t="str">
        <f ca="1">IFERROR(__xludf.DUMMYFUNCTION("GOOGLETRANSLATE(English!A4216, ""en"", ""bg"")"),"hw_09033")</f>
        <v>hw_09033</v>
      </c>
      <c r="B4216" s="1" t="str">
        <f ca="1">IFERROR(__xludf.DUMMYFUNCTION("GOOGLETRANSLATE(English!B4216, ""en"", ""bg"")"),"биология")</f>
        <v>биология</v>
      </c>
      <c r="C4216" s="1" t="str">
        <f ca="1">IFERROR(__xludf.DUMMYFUNCTION("GOOGLETRANSLATE(English!C4216, ""en"", ""bg"")"),"средата")</f>
        <v>средата</v>
      </c>
      <c r="D4216" s="1" t="str">
        <f ca="1">IFERROR(__xludf.DUMMYFUNCTION("GOOGLETRANSLATE(English!D4216, ""en"", ""bg"")"),"дишане")</f>
        <v>дишане</v>
      </c>
      <c r="E4216" s="1" t="str">
        <f ca="1">IFERROR(__xludf.DUMMYFUNCTION("GOOGLETRANSLATE(English!E4216, ""en"", ""bg"")"),"Утре имам тест по дишане. Помогни ми да уча!")</f>
        <v>Утре имам тест по дишане. Помогни ми да уча!</v>
      </c>
      <c r="F4216" s="1" t="str">
        <f ca="1">IFERROR(__xludf.DUMMYFUNCTION("GOOGLETRANSLATE(English!F4216,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216" s="1" t="str">
        <f ca="1">IFERROR(__xludf.DUMMYFUNCTION("GOOGLETRANSLATE(English!G4216, ""en"", ""bg"")"),"помощ_за_домашно_изпълнение")</f>
        <v>помощ_за_домашно_изпълнение</v>
      </c>
      <c r="H4216" s="1" t="str">
        <f ca="1">IFERROR(__xludf.DUMMYFUNCTION("GOOGLETRANSLATE(English!H4216, ""en"", ""bg"")"),"помощ_за_домашно_задаване")</f>
        <v>помощ_за_домашно_задаване</v>
      </c>
    </row>
    <row r="4217" spans="1:8" ht="13.2" x14ac:dyDescent="0.25">
      <c r="A4217" s="1" t="str">
        <f ca="1">IFERROR(__xludf.DUMMYFUNCTION("GOOGLETRANSLATE(English!A4217, ""en"", ""bg"")"),"hw_04404")</f>
        <v>hw_04404</v>
      </c>
      <c r="B4217" s="1" t="str">
        <f ca="1">IFERROR(__xludf.DUMMYFUNCTION("GOOGLETRANSLATE(English!B4217, ""en"", ""bg"")"),"биология")</f>
        <v>биология</v>
      </c>
      <c r="C4217" s="1" t="str">
        <f ca="1">IFERROR(__xludf.DUMMYFUNCTION("GOOGLETRANSLATE(English!C4217, ""en"", ""bg"")"),"високо")</f>
        <v>високо</v>
      </c>
      <c r="D4217" s="1" t="str">
        <f ca="1">IFERROR(__xludf.DUMMYFUNCTION("GOOGLETRANSLATE(English!D4217, ""en"", ""bg"")"),"митоза и мейоза")</f>
        <v>митоза и мейоза</v>
      </c>
      <c r="E4217" s="1" t="str">
        <f ca="1">IFERROR(__xludf.DUMMYFUNCTION("GOOGLETRANSLATE(English!E4217, ""en"", ""bg"")"),"Домашното ми пита за митоза и мейоза. Не го разбирам.")</f>
        <v>Домашното ми пита за митоза и мейоза. Не го разбирам.</v>
      </c>
      <c r="F4217" s="1" t="str">
        <f ca="1">IFERROR(__xludf.DUMMYFUNCTION("GOOGLETRANSLATE(English!F4217,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4217" s="1" t="str">
        <f ca="1">IFERROR(__xludf.DUMMYFUNCTION("GOOGLETRANSLATE(English!G4217, ""en"", ""bg"")"),"помощ_за_домашно_изпълнение")</f>
        <v>помощ_за_домашно_изпълнение</v>
      </c>
      <c r="H4217" s="1" t="str">
        <f ca="1">IFERROR(__xludf.DUMMYFUNCTION("GOOGLETRANSLATE(English!H4217, ""en"", ""bg"")"),"помощ_за_домашно_задаване")</f>
        <v>помощ_за_домашно_задаване</v>
      </c>
    </row>
    <row r="4218" spans="1:8" ht="13.2" x14ac:dyDescent="0.25">
      <c r="A4218" s="1" t="str">
        <f ca="1">IFERROR(__xludf.DUMMYFUNCTION("GOOGLETRANSLATE(English!A4218, ""en"", ""bg"")"),"hw_03331")</f>
        <v>hw_03331</v>
      </c>
      <c r="B4218" s="1" t="str">
        <f ca="1">IFERROR(__xludf.DUMMYFUNCTION("GOOGLETRANSLATE(English!B4218, ""en"", ""bg"")"),"биология")</f>
        <v>биология</v>
      </c>
      <c r="C4218" s="1" t="str">
        <f ca="1">IFERROR(__xludf.DUMMYFUNCTION("GOOGLETRANSLATE(English!C4218, ""en"", ""bg"")"),"елементарен")</f>
        <v>елементарен</v>
      </c>
      <c r="D4218" s="1" t="str">
        <f ca="1">IFERROR(__xludf.DUMMYFUNCTION("GOOGLETRANSLATE(English!D4218, ""en"", ""bg"")"),"растения")</f>
        <v>растения</v>
      </c>
      <c r="E4218" s="1" t="str">
        <f ca="1">IFERROR(__xludf.DUMMYFUNCTION("GOOGLETRANSLATE(English!E4218, ""en"", ""bg"")"),"Можете ли да обясните растенията за моя научен проект?")</f>
        <v>Можете ли да обясните растенията за моя научен проект?</v>
      </c>
      <c r="F4218" s="1" t="str">
        <f ca="1">IFERROR(__xludf.DUMMYFUNCTION("GOOGLETRANSLATE(English!F4218,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218" s="1" t="str">
        <f ca="1">IFERROR(__xludf.DUMMYFUNCTION("GOOGLETRANSLATE(English!G4218, ""en"", ""bg"")"),"помощ_за_домашно_изпълнение")</f>
        <v>помощ_за_домашно_изпълнение</v>
      </c>
      <c r="H4218" s="1" t="str">
        <f ca="1">IFERROR(__xludf.DUMMYFUNCTION("GOOGLETRANSLATE(English!H4218, ""en"", ""bg"")"),"помощ_за_домашно_задаване")</f>
        <v>помощ_за_домашно_задаване</v>
      </c>
    </row>
    <row r="4219" spans="1:8" ht="13.2" x14ac:dyDescent="0.25">
      <c r="A4219" s="1" t="str">
        <f ca="1">IFERROR(__xludf.DUMMYFUNCTION("GOOGLETRANSLATE(English!A4219, ""en"", ""bg"")"),"qa_13531")</f>
        <v>qa_13531</v>
      </c>
      <c r="B4219" s="1" t="str">
        <f ca="1">IFERROR(__xludf.DUMMYFUNCTION("GOOGLETRANSLATE(English!B4219, ""en"", ""bg"")"),"биология")</f>
        <v>биология</v>
      </c>
      <c r="C4219" s="1" t="str">
        <f ca="1">IFERROR(__xludf.DUMMYFUNCTION("GOOGLETRANSLATE(English!C4219, ""en"", ""bg"")"),"високо")</f>
        <v>високо</v>
      </c>
      <c r="D4219" s="1" t="str">
        <f ca="1">IFERROR(__xludf.DUMMYFUNCTION("GOOGLETRANSLATE(English!D4219, ""en"", ""bg"")"),"синтез на протеини")</f>
        <v>синтез на протеини</v>
      </c>
      <c r="E4219" s="1" t="str">
        <f ca="1">IFERROR(__xludf.DUMMYFUNCTION("GOOGLETRANSLATE(English!E4219, ""en"", ""bg"")"),"Защо синтезът на протеини е важен в биологията?")</f>
        <v>Защо синтезът на протеини е важен в биологията?</v>
      </c>
      <c r="F4219" s="1" t="str">
        <f ca="1">IFERROR(__xludf.DUMMYFUNCTION("GOOGLETRANSLATE(English!F4219,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4219" s="1" t="str">
        <f ca="1">IFERROR(__xludf.DUMMYFUNCTION("GOOGLETRANSLATE(English!G4219, ""en"", ""bg"")"),"direct_qa")</f>
        <v>direct_qa</v>
      </c>
      <c r="H4219" s="1" t="str">
        <f ca="1">IFERROR(__xludf.DUMMYFUNCTION("GOOGLETRANSLATE(English!H4219, ""en"", ""bg"")"),"заявка_за_знание")</f>
        <v>заявка_за_знание</v>
      </c>
    </row>
    <row r="4220" spans="1:8" ht="13.2" x14ac:dyDescent="0.25">
      <c r="A4220" s="1" t="str">
        <f ca="1">IFERROR(__xludf.DUMMYFUNCTION("GOOGLETRANSLATE(English!A4220, ""en"", ""bg"")"),"conv_03391")</f>
        <v>conv_03391</v>
      </c>
      <c r="B4220" s="1" t="str">
        <f ca="1">IFERROR(__xludf.DUMMYFUNCTION("GOOGLETRANSLATE(English!B4220, ""en"", ""bg"")"),"физика")</f>
        <v>физика</v>
      </c>
      <c r="C4220" s="1" t="str">
        <f ca="1">IFERROR(__xludf.DUMMYFUNCTION("GOOGLETRANSLATE(English!C4220, ""en"", ""bg"")"),"средата")</f>
        <v>средата</v>
      </c>
      <c r="D4220" s="1" t="str">
        <f ca="1">IFERROR(__xludf.DUMMYFUNCTION("GOOGLETRANSLATE(English!D4220, ""en"", ""bg"")"),"вълни")</f>
        <v>вълни</v>
      </c>
      <c r="E4220" s="1" t="str">
        <f ca="1">IFERROR(__xludf.DUMMYFUNCTION("GOOGLETRANSLATE(English!E4220, ""en"", ""bg"")"),"Можете ли да ми обясните това? Какво трябва да знам за вълните?")</f>
        <v>Можете ли да ми обясните това? Какво трябва да знам за вълните?</v>
      </c>
      <c r="F4220" s="1" t="str">
        <f ca="1">IFERROR(__xludf.DUMMYFUNCTION("GOOGLETRANSLATE(English!F4220,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4220" s="1" t="str">
        <f ca="1">IFERROR(__xludf.DUMMYFUNCTION("GOOGLETRANSLATE(English!G4220, ""en"", ""bg"")"),"разговор")</f>
        <v>разговор</v>
      </c>
      <c r="H4220" s="1" t="str">
        <f ca="1">IFERROR(__xludf.DUMMYFUNCTION("GOOGLETRANSLATE(English!H4220, ""en"", ""bg"")"),"образователна_помощ")</f>
        <v>образователна_помощ</v>
      </c>
    </row>
    <row r="4221" spans="1:8" ht="13.2" x14ac:dyDescent="0.25">
      <c r="A4221" s="1" t="str">
        <f ca="1">IFERROR(__xludf.DUMMYFUNCTION("GOOGLETRANSLATE(English!A4221, ""en"", ""bg"")"),"qa_02095")</f>
        <v>qa_02095</v>
      </c>
      <c r="B4221" s="1" t="str">
        <f ca="1">IFERROR(__xludf.DUMMYFUNCTION("GOOGLETRANSLATE(English!B4221, ""en"", ""bg"")"),"химия")</f>
        <v>химия</v>
      </c>
      <c r="C4221" s="1" t="str">
        <f ca="1">IFERROR(__xludf.DUMMYFUNCTION("GOOGLETRANSLATE(English!C4221, ""en"", ""bg"")"),"елементарен")</f>
        <v>елементарен</v>
      </c>
      <c r="D4221" s="1" t="str">
        <f ca="1">IFERROR(__xludf.DUMMYFUNCTION("GOOGLETRANSLATE(English!D4221, ""en"", ""bg"")"),"смесване на материали")</f>
        <v>смесване на материали</v>
      </c>
      <c r="E4221" s="1" t="str">
        <f ca="1">IFERROR(__xludf.DUMMYFUNCTION("GOOGLETRANSLATE(English!E4221, ""en"", ""bg"")"),"Защо някои неща се разтварят, а други не?")</f>
        <v>Защо някои неща се разтварят, а други не?</v>
      </c>
      <c r="F4221" s="1" t="str">
        <f ca="1">IFERROR(__xludf.DUMMYFUNCTION("GOOGLETRANSLATE(English!F4221,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4221" s="1" t="str">
        <f ca="1">IFERROR(__xludf.DUMMYFUNCTION("GOOGLETRANSLATE(English!G4221, ""en"", ""bg"")"),"direct_qa")</f>
        <v>direct_qa</v>
      </c>
      <c r="H4221" s="1" t="str">
        <f ca="1">IFERROR(__xludf.DUMMYFUNCTION("GOOGLETRANSLATE(English!H4221, ""en"", ""bg"")"),"заявка_за_знание")</f>
        <v>заявка_за_знание</v>
      </c>
    </row>
    <row r="4222" spans="1:8" ht="13.2" x14ac:dyDescent="0.25">
      <c r="A4222" s="1" t="str">
        <f ca="1">IFERROR(__xludf.DUMMYFUNCTION("GOOGLETRANSLATE(English!A4222, ""en"", ""bg"")"),"hw_11181")</f>
        <v>hw_11181</v>
      </c>
      <c r="B4222" s="1" t="str">
        <f ca="1">IFERROR(__xludf.DUMMYFUNCTION("GOOGLETRANSLATE(English!B4222, ""en"", ""bg"")"),"биология")</f>
        <v>биология</v>
      </c>
      <c r="C4222" s="1" t="str">
        <f ca="1">IFERROR(__xludf.DUMMYFUNCTION("GOOGLETRANSLATE(English!C4222, ""en"", ""bg"")"),"средата")</f>
        <v>средата</v>
      </c>
      <c r="D4222" s="1" t="str">
        <f ca="1">IFERROR(__xludf.DUMMYFUNCTION("GOOGLETRANSLATE(English!D4222, ""en"", ""bg"")"),"основи на генетиката")</f>
        <v>основи на генетиката</v>
      </c>
      <c r="E4222" s="1" t="str">
        <f ca="1">IFERROR(__xludf.DUMMYFUNCTION("GOOGLETRANSLATE(English!E4222, ""en"", ""bg"")"),"Домашното ми пита за основите на генетиката. Не го разбирам.")</f>
        <v>Домашното ми пита за основите на генетиката. Не го разбирам.</v>
      </c>
      <c r="F4222" s="1" t="str">
        <f ca="1">IFERROR(__xludf.DUMMYFUNCTION("GOOGLETRANSLATE(English!F4222,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222" s="1" t="str">
        <f ca="1">IFERROR(__xludf.DUMMYFUNCTION("GOOGLETRANSLATE(English!G4222, ""en"", ""bg"")"),"помощ_за_домашно_изпълнение")</f>
        <v>помощ_за_домашно_изпълнение</v>
      </c>
      <c r="H4222" s="1" t="str">
        <f ca="1">IFERROR(__xludf.DUMMYFUNCTION("GOOGLETRANSLATE(English!H4222, ""en"", ""bg"")"),"помощ_за_домашно_задаване")</f>
        <v>помощ_за_домашно_задаване</v>
      </c>
    </row>
    <row r="4223" spans="1:8" ht="13.2" x14ac:dyDescent="0.25">
      <c r="A4223" s="1" t="str">
        <f ca="1">IFERROR(__xludf.DUMMYFUNCTION("GOOGLETRANSLATE(English!A4223, ""en"", ""bg"")"),"hw_12377")</f>
        <v>hw_12377</v>
      </c>
      <c r="B4223" s="1" t="str">
        <f ca="1">IFERROR(__xludf.DUMMYFUNCTION("GOOGLETRANSLATE(English!B4223, ""en"", ""bg"")"),"биология")</f>
        <v>биология</v>
      </c>
      <c r="C4223" s="1" t="str">
        <f ca="1">IFERROR(__xludf.DUMMYFUNCTION("GOOGLETRANSLATE(English!C4223, ""en"", ""bg"")"),"елементарен")</f>
        <v>елементарен</v>
      </c>
      <c r="D4223" s="1" t="str">
        <f ca="1">IFERROR(__xludf.DUMMYFUNCTION("GOOGLETRANSLATE(English!D4223, ""en"", ""bg"")"),"растения")</f>
        <v>растения</v>
      </c>
      <c r="E4223" s="1" t="str">
        <f ca="1">IFERROR(__xludf.DUMMYFUNCTION("GOOGLETRANSLATE(English!E4223, ""en"", ""bg"")"),"Можете ли да обясните растенията за моя научен проект?")</f>
        <v>Можете ли да обясните растенията за моя научен проект?</v>
      </c>
      <c r="F4223" s="1" t="str">
        <f ca="1">IFERROR(__xludf.DUMMYFUNCTION("GOOGLETRANSLATE(English!F4223,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223" s="1" t="str">
        <f ca="1">IFERROR(__xludf.DUMMYFUNCTION("GOOGLETRANSLATE(English!G4223, ""en"", ""bg"")"),"помощ_за_домашно_изпълнение")</f>
        <v>помощ_за_домашно_изпълнение</v>
      </c>
      <c r="H4223" s="1" t="str">
        <f ca="1">IFERROR(__xludf.DUMMYFUNCTION("GOOGLETRANSLATE(English!H4223, ""en"", ""bg"")"),"помощ_за_домашно_задаване")</f>
        <v>помощ_за_домашно_задаване</v>
      </c>
    </row>
    <row r="4224" spans="1:8" ht="13.2" x14ac:dyDescent="0.25">
      <c r="A4224" s="1" t="str">
        <f ca="1">IFERROR(__xludf.DUMMYFUNCTION("GOOGLETRANSLATE(English!A4224, ""en"", ""bg"")"),"conv_19554")</f>
        <v>conv_19554</v>
      </c>
      <c r="B4224" s="1" t="str">
        <f ca="1">IFERROR(__xludf.DUMMYFUNCTION("GOOGLETRANSLATE(English!B4224, ""en"", ""bg"")"),"физика")</f>
        <v>физика</v>
      </c>
      <c r="C4224" s="1" t="str">
        <f ca="1">IFERROR(__xludf.DUMMYFUNCTION("GOOGLETRANSLATE(English!C4224, ""en"", ""bg"")"),"елементарен")</f>
        <v>елементарен</v>
      </c>
      <c r="D4224" s="1" t="str">
        <f ca="1">IFERROR(__xludf.DUMMYFUNCTION("GOOGLETRANSLATE(English!D4224, ""en"", ""bg"")"),"звук")</f>
        <v>звук</v>
      </c>
      <c r="E4224" s="1" t="str">
        <f ca="1">IFERROR(__xludf.DUMMYFUNCTION("GOOGLETRANSLATE(English!E4224, ""en"", ""bg"")"),"Не разбирам тази тема. Как работи звукът във физиката?")</f>
        <v>Не разбирам тази тема. Как работи звукът във физиката?</v>
      </c>
      <c r="F4224" s="1" t="str">
        <f ca="1">IFERROR(__xludf.DUMMYFUNCTION("GOOGLETRANSLATE(English!F4224,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4224" s="1" t="str">
        <f ca="1">IFERROR(__xludf.DUMMYFUNCTION("GOOGLETRANSLATE(English!G4224, ""en"", ""bg"")"),"разговор")</f>
        <v>разговор</v>
      </c>
      <c r="H4224" s="1" t="str">
        <f ca="1">IFERROR(__xludf.DUMMYFUNCTION("GOOGLETRANSLATE(English!H4224, ""en"", ""bg"")"),"образователна_помощ")</f>
        <v>образователна_помощ</v>
      </c>
    </row>
    <row r="4225" spans="1:8" ht="13.2" x14ac:dyDescent="0.25">
      <c r="A4225" s="1" t="str">
        <f ca="1">IFERROR(__xludf.DUMMYFUNCTION("GOOGLETRANSLATE(English!A4225, ""en"", ""bg"")"),"qa_08664")</f>
        <v>qa_08664</v>
      </c>
      <c r="B4225" s="1" t="str">
        <f ca="1">IFERROR(__xludf.DUMMYFUNCTION("GOOGLETRANSLATE(English!B4225, ""en"", ""bg"")"),"физика")</f>
        <v>физика</v>
      </c>
      <c r="C4225" s="1" t="str">
        <f ca="1">IFERROR(__xludf.DUMMYFUNCTION("GOOGLETRANSLATE(English!C4225, ""en"", ""bg"")"),"високо")</f>
        <v>високо</v>
      </c>
      <c r="D4225" s="1" t="str">
        <f ca="1">IFERROR(__xludf.DUMMYFUNCTION("GOOGLETRANSLATE(English!D4225, ""en"", ""bg"")"),"радиоактивност")</f>
        <v>радиоактивност</v>
      </c>
      <c r="E4225" s="1" t="str">
        <f ca="1">IFERROR(__xludf.DUMMYFUNCTION("GOOGLETRANSLATE(English!E4225, ""en"", ""bg"")"),"Можете ли да ми обясните какво е радиоактивност?")</f>
        <v>Можете ли да ми обясните какво е радиоактивност?</v>
      </c>
      <c r="F4225" s="1" t="str">
        <f ca="1">IFERROR(__xludf.DUMMYFUNCTION("GOOGLETRANSLATE(English!F4225, ""en"", ""bg"")"),"Радиоактивността е интересна физическа концепция, която ни помага да разберем как функционират нещата в нашия свят!")</f>
        <v>Радиоактивността е интересна физическа концепция, която ни помага да разберем как функционират нещата в нашия свят!</v>
      </c>
      <c r="G4225" s="1" t="str">
        <f ca="1">IFERROR(__xludf.DUMMYFUNCTION("GOOGLETRANSLATE(English!G4225, ""en"", ""bg"")"),"direct_qa")</f>
        <v>direct_qa</v>
      </c>
      <c r="H4225" s="1" t="str">
        <f ca="1">IFERROR(__xludf.DUMMYFUNCTION("GOOGLETRANSLATE(English!H4225, ""en"", ""bg"")"),"заявка_за_знание")</f>
        <v>заявка_за_знание</v>
      </c>
    </row>
    <row r="4226" spans="1:8" ht="13.2" x14ac:dyDescent="0.25">
      <c r="A4226" s="1" t="str">
        <f ca="1">IFERROR(__xludf.DUMMYFUNCTION("GOOGLETRANSLATE(English!A4226, ""en"", ""bg"")"),"qa_13118")</f>
        <v>qa_13118</v>
      </c>
      <c r="B4226" s="1" t="str">
        <f ca="1">IFERROR(__xludf.DUMMYFUNCTION("GOOGLETRANSLATE(English!B4226, ""en"", ""bg"")"),"химия")</f>
        <v>химия</v>
      </c>
      <c r="C4226" s="1" t="str">
        <f ca="1">IFERROR(__xludf.DUMMYFUNCTION("GOOGLETRANSLATE(English!C4226, ""en"", ""bg"")"),"средата")</f>
        <v>средата</v>
      </c>
      <c r="D4226" s="1" t="str">
        <f ca="1">IFERROR(__xludf.DUMMYFUNCTION("GOOGLETRANSLATE(English!D4226, ""en"", ""bg"")"),"химични реакции")</f>
        <v>химични реакции</v>
      </c>
      <c r="E4226" s="1" t="str">
        <f ca="1">IFERROR(__xludf.DUMMYFUNCTION("GOOGLETRANSLATE(English!E4226, ""en"", ""bg"")"),"Какво е химична реакция?")</f>
        <v>Какво е химична реакция?</v>
      </c>
      <c r="F4226" s="1" t="str">
        <f ca="1">IFERROR(__xludf.DUMMYFUNCTION("GOOGLETRANSLATE(English!F4226,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4226" s="1" t="str">
        <f ca="1">IFERROR(__xludf.DUMMYFUNCTION("GOOGLETRANSLATE(English!G4226, ""en"", ""bg"")"),"direct_qa")</f>
        <v>direct_qa</v>
      </c>
      <c r="H4226" s="1" t="str">
        <f ca="1">IFERROR(__xludf.DUMMYFUNCTION("GOOGLETRANSLATE(English!H4226, ""en"", ""bg"")"),"заявка_за_знание")</f>
        <v>заявка_за_знание</v>
      </c>
    </row>
    <row r="4227" spans="1:8" ht="13.2" x14ac:dyDescent="0.25">
      <c r="A4227" s="1" t="str">
        <f ca="1">IFERROR(__xludf.DUMMYFUNCTION("GOOGLETRANSLATE(English!A4227, ""en"", ""bg"")"),"hw_02893")</f>
        <v>hw_02893</v>
      </c>
      <c r="B4227" s="1" t="str">
        <f ca="1">IFERROR(__xludf.DUMMYFUNCTION("GOOGLETRANSLATE(English!B4227, ""en"", ""bg"")"),"химия")</f>
        <v>химия</v>
      </c>
      <c r="C4227" s="1" t="str">
        <f ca="1">IFERROR(__xludf.DUMMYFUNCTION("GOOGLETRANSLATE(English!C4227, ""en"", ""bg"")"),"високо")</f>
        <v>високо</v>
      </c>
      <c r="D4227" s="1" t="str">
        <f ca="1">IFERROR(__xludf.DUMMYFUNCTION("GOOGLETRANSLATE(English!D4227, ""en"", ""bg"")"),"електрохимия")</f>
        <v>електрохимия</v>
      </c>
      <c r="E4227" s="1" t="str">
        <f ca="1">IFERROR(__xludf.DUMMYFUNCTION("GOOGLETRANSLATE(English!E4227, ""en"", ""bg"")"),"Имам затруднения с електрохимията в домашното си.")</f>
        <v>Имам затруднения с електрохимията в домашното си.</v>
      </c>
      <c r="F4227" s="1" t="str">
        <f ca="1">IFERROR(__xludf.DUMMYFUNCTION("GOOGLETRANSLATE(English!F4227,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227" s="1" t="str">
        <f ca="1">IFERROR(__xludf.DUMMYFUNCTION("GOOGLETRANSLATE(English!G4227, ""en"", ""bg"")"),"помощ_за_домашно_изпълнение")</f>
        <v>помощ_за_домашно_изпълнение</v>
      </c>
      <c r="H4227" s="1" t="str">
        <f ca="1">IFERROR(__xludf.DUMMYFUNCTION("GOOGLETRANSLATE(English!H4227, ""en"", ""bg"")"),"помощ_за_домашно_задаване")</f>
        <v>помощ_за_домашно_задаване</v>
      </c>
    </row>
    <row r="4228" spans="1:8" ht="13.2" x14ac:dyDescent="0.25">
      <c r="A4228" s="1" t="str">
        <f ca="1">IFERROR(__xludf.DUMMYFUNCTION("GOOGLETRANSLATE(English!A4228, ""en"", ""bg"")"),"conv_03695")</f>
        <v>conv_03695</v>
      </c>
      <c r="B4228" s="1" t="str">
        <f ca="1">IFERROR(__xludf.DUMMYFUNCTION("GOOGLETRANSLATE(English!B4228, ""en"", ""bg"")"),"химия")</f>
        <v>химия</v>
      </c>
      <c r="C4228" s="1" t="str">
        <f ca="1">IFERROR(__xludf.DUMMYFUNCTION("GOOGLETRANSLATE(English!C4228, ""en"", ""bg"")"),"елементарен")</f>
        <v>елементарен</v>
      </c>
      <c r="D4228" s="1" t="str">
        <f ca="1">IFERROR(__xludf.DUMMYFUNCTION("GOOGLETRANSLATE(English!D4228, ""en"", ""bg"")"),"безопасност")</f>
        <v>безопасност</v>
      </c>
      <c r="E4228" s="1" t="str">
        <f ca="1">IFERROR(__xludf.DUMMYFUNCTION("GOOGLETRANSLATE(English!E4228, ""en"", ""bg"")"),"Здравей, преподавател! Защо безопасността е важна за учене?")</f>
        <v>Здравей, преподавател! Защо безопасността е важна за учене?</v>
      </c>
      <c r="F4228" s="1" t="str">
        <f ca="1">IFERROR(__xludf.DUMMYFUNCTION("GOOGLETRANSLATE(English!F4228,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4228" s="1" t="str">
        <f ca="1">IFERROR(__xludf.DUMMYFUNCTION("GOOGLETRANSLATE(English!G4228, ""en"", ""bg"")"),"разговор")</f>
        <v>разговор</v>
      </c>
      <c r="H4228" s="1" t="str">
        <f ca="1">IFERROR(__xludf.DUMMYFUNCTION("GOOGLETRANSLATE(English!H4228, ""en"", ""bg"")"),"образователна_помощ")</f>
        <v>образователна_помощ</v>
      </c>
    </row>
    <row r="4229" spans="1:8" ht="13.2" x14ac:dyDescent="0.25">
      <c r="A4229" s="1" t="str">
        <f ca="1">IFERROR(__xludf.DUMMYFUNCTION("GOOGLETRANSLATE(English!A4229, ""en"", ""bg"")"),"qa_01319")</f>
        <v>qa_01319</v>
      </c>
      <c r="B4229" s="1" t="str">
        <f ca="1">IFERROR(__xludf.DUMMYFUNCTION("GOOGLETRANSLATE(English!B4229, ""en"", ""bg"")"),"физика")</f>
        <v>физика</v>
      </c>
      <c r="C4229" s="1" t="str">
        <f ca="1">IFERROR(__xludf.DUMMYFUNCTION("GOOGLETRANSLATE(English!C4229, ""en"", ""bg"")"),"средата")</f>
        <v>средата</v>
      </c>
      <c r="D4229" s="1" t="str">
        <f ca="1">IFERROR(__xludf.DUMMYFUNCTION("GOOGLETRANSLATE(English!D4229, ""en"", ""bg"")"),"състояния на материята")</f>
        <v>състояния на материята</v>
      </c>
      <c r="E4229" s="1" t="str">
        <f ca="1">IFERROR(__xludf.DUMMYFUNCTION("GOOGLETRANSLATE(English!E4229, ""en"", ""bg"")"),"Можете ли да ми обясните състоянията на материята?")</f>
        <v>Можете ли да ми обясните състоянията на материята?</v>
      </c>
      <c r="F4229" s="1" t="str">
        <f ca="1">IFERROR(__xludf.DUMMYFUNCTION("GOOGLETRANSLATE(English!F4229,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4229" s="1" t="str">
        <f ca="1">IFERROR(__xludf.DUMMYFUNCTION("GOOGLETRANSLATE(English!G4229, ""en"", ""bg"")"),"direct_qa")</f>
        <v>direct_qa</v>
      </c>
      <c r="H4229" s="1" t="str">
        <f ca="1">IFERROR(__xludf.DUMMYFUNCTION("GOOGLETRANSLATE(English!H4229, ""en"", ""bg"")"),"заявка_за_знание")</f>
        <v>заявка_за_знание</v>
      </c>
    </row>
    <row r="4230" spans="1:8" ht="13.2" x14ac:dyDescent="0.25">
      <c r="A4230" s="1" t="str">
        <f ca="1">IFERROR(__xludf.DUMMYFUNCTION("GOOGLETRANSLATE(English!A4230, ""en"", ""bg"")"),"hw_02187")</f>
        <v>hw_02187</v>
      </c>
      <c r="B4230" s="1" t="str">
        <f ca="1">IFERROR(__xludf.DUMMYFUNCTION("GOOGLETRANSLATE(English!B4230, ""en"", ""bg"")"),"физика")</f>
        <v>физика</v>
      </c>
      <c r="C4230" s="1" t="str">
        <f ca="1">IFERROR(__xludf.DUMMYFUNCTION("GOOGLETRANSLATE(English!C4230, ""en"", ""bg"")"),"елементарен")</f>
        <v>елементарен</v>
      </c>
      <c r="D4230" s="1" t="str">
        <f ca="1">IFERROR(__xludf.DUMMYFUNCTION("GOOGLETRANSLATE(English!D4230, ""en"", ""bg"")"),"светлина и сянка")</f>
        <v>светлина и сянка</v>
      </c>
      <c r="E4230" s="1" t="str">
        <f ca="1">IFERROR(__xludf.DUMMYFUNCTION("GOOGLETRANSLATE(English!E4230, ""en"", ""bg"")"),"Можеш ли да решиш този въпрос за светлината и сянката с мен?")</f>
        <v>Можеш ли да решиш този въпрос за светлината и сянката с мен?</v>
      </c>
      <c r="F4230" s="1" t="str">
        <f ca="1">IFERROR(__xludf.DUMMYFUNCTION("GOOGLETRANSLATE(English!F4230,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4230" s="1" t="str">
        <f ca="1">IFERROR(__xludf.DUMMYFUNCTION("GOOGLETRANSLATE(English!G4230, ""en"", ""bg"")"),"помощ_за_домашно_изпълнение")</f>
        <v>помощ_за_домашно_изпълнение</v>
      </c>
      <c r="H4230" s="1" t="str">
        <f ca="1">IFERROR(__xludf.DUMMYFUNCTION("GOOGLETRANSLATE(English!H4230, ""en"", ""bg"")"),"помощ_за_домашно_задаване")</f>
        <v>помощ_за_домашно_задаване</v>
      </c>
    </row>
    <row r="4231" spans="1:8" ht="13.2" x14ac:dyDescent="0.25">
      <c r="A4231" s="1" t="str">
        <f ca="1">IFERROR(__xludf.DUMMYFUNCTION("GOOGLETRANSLATE(English!A4231, ""en"", ""bg"")"),"hw_12957")</f>
        <v>hw_12957</v>
      </c>
      <c r="B4231" s="1" t="str">
        <f ca="1">IFERROR(__xludf.DUMMYFUNCTION("GOOGLETRANSLATE(English!B4231, ""en"", ""bg"")"),"химия")</f>
        <v>химия</v>
      </c>
      <c r="C4231" s="1" t="str">
        <f ca="1">IFERROR(__xludf.DUMMYFUNCTION("GOOGLETRANSLATE(English!C4231, ""en"", ""bg"")"),"елементарен")</f>
        <v>елементарен</v>
      </c>
      <c r="D4231" s="1" t="str">
        <f ca="1">IFERROR(__xludf.DUMMYFUNCTION("GOOGLETRANSLATE(English!D4231, ""en"", ""bg"")"),"безопасност")</f>
        <v>безопасност</v>
      </c>
      <c r="E4231" s="1" t="str">
        <f ca="1">IFERROR(__xludf.DUMMYFUNCTION("GOOGLETRANSLATE(English!E4231,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4231" s="1" t="str">
        <f ca="1">IFERROR(__xludf.DUMMYFUNCTION("GOOGLETRANSLATE(English!F4231,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4231" s="1" t="str">
        <f ca="1">IFERROR(__xludf.DUMMYFUNCTION("GOOGLETRANSLATE(English!G4231, ""en"", ""bg"")"),"помощ_за_домашно_изпълнение")</f>
        <v>помощ_за_домашно_изпълнение</v>
      </c>
      <c r="H4231" s="1" t="str">
        <f ca="1">IFERROR(__xludf.DUMMYFUNCTION("GOOGLETRANSLATE(English!H4231, ""en"", ""bg"")"),"помощ_за_домашно_задаване")</f>
        <v>помощ_за_домашно_задаване</v>
      </c>
    </row>
    <row r="4232" spans="1:8" ht="13.2" x14ac:dyDescent="0.25">
      <c r="A4232" s="1" t="str">
        <f ca="1">IFERROR(__xludf.DUMMYFUNCTION("GOOGLETRANSLATE(English!A4232, ""en"", ""bg"")"),"conv_12138")</f>
        <v>conv_12138</v>
      </c>
      <c r="B4232" s="1" t="str">
        <f ca="1">IFERROR(__xludf.DUMMYFUNCTION("GOOGLETRANSLATE(English!B4232, ""en"", ""bg"")"),"биология")</f>
        <v>биология</v>
      </c>
      <c r="C4232" s="1" t="str">
        <f ca="1">IFERROR(__xludf.DUMMYFUNCTION("GOOGLETRANSLATE(English!C4232, ""en"", ""bg"")"),"елементарен")</f>
        <v>елементарен</v>
      </c>
      <c r="D4232" s="1" t="str">
        <f ca="1">IFERROR(__xludf.DUMMYFUNCTION("GOOGLETRANSLATE(English!D4232, ""en"", ""bg"")"),"растения")</f>
        <v>растения</v>
      </c>
      <c r="E4232" s="1" t="str">
        <f ca="1">IFERROR(__xludf.DUMMYFUNCTION("GOOGLETRANSLATE(English!E4232, ""en"", ""bg"")"),"Помогнете ми да уча за теста. Как растенията си произвеждат сами храната?")</f>
        <v>Помогнете ми да уча за теста. Как растенията си произвеждат сами храната?</v>
      </c>
      <c r="F4232" s="1" t="str">
        <f ca="1">IFERROR(__xludf.DUMMYFUNCTION("GOOGLETRANSLATE(English!F4232, ""en"", ""bg"")"),"Растенията произвеждат храна чрез фотосинтеза - те използват слънчева светлина, вода и въздух, за да създадат захар за енергия.")</f>
        <v>Растенията произвеждат храна чрез фотосинтеза - те използват слънчева светлина, вода и въздух, за да създадат захар за енергия.</v>
      </c>
      <c r="G4232" s="1" t="str">
        <f ca="1">IFERROR(__xludf.DUMMYFUNCTION("GOOGLETRANSLATE(English!G4232, ""en"", ""bg"")"),"разговор")</f>
        <v>разговор</v>
      </c>
      <c r="H4232" s="1" t="str">
        <f ca="1">IFERROR(__xludf.DUMMYFUNCTION("GOOGLETRANSLATE(English!H4232, ""en"", ""bg"")"),"образователна_помощ")</f>
        <v>образователна_помощ</v>
      </c>
    </row>
    <row r="4233" spans="1:8" ht="13.2" x14ac:dyDescent="0.25">
      <c r="A4233" s="1" t="str">
        <f ca="1">IFERROR(__xludf.DUMMYFUNCTION("GOOGLETRANSLATE(English!A4233, ""en"", ""bg"")"),"hw_11668")</f>
        <v>hw_11668</v>
      </c>
      <c r="B4233" s="1" t="str">
        <f ca="1">IFERROR(__xludf.DUMMYFUNCTION("GOOGLETRANSLATE(English!B4233, ""en"", ""bg"")"),"химия")</f>
        <v>химия</v>
      </c>
      <c r="C4233" s="1" t="str">
        <f ca="1">IFERROR(__xludf.DUMMYFUNCTION("GOOGLETRANSLATE(English!C4233, ""en"", ""bg"")"),"елементарен")</f>
        <v>елементарен</v>
      </c>
      <c r="D4233" s="1" t="str">
        <f ca="1">IFERROR(__xludf.DUMMYFUNCTION("GOOGLETRANSLATE(English!D4233, ""en"", ""bg"")"),"твърди вещества, течности, газове")</f>
        <v>твърди вещества, течности, газове</v>
      </c>
      <c r="E4233" s="1" t="str">
        <f ca="1">IFERROR(__xludf.DUMMYFUNCTION("GOOGLETRANSLATE(English!E4233, ""en"", ""bg"")"),"Не разбирам тази концепция за твърди вещества, течности и газове. Моля, обяснете!")</f>
        <v>Не разбирам тази концепция за твърди вещества, течности и газове. Моля, обяснете!</v>
      </c>
      <c r="F4233" s="1" t="str">
        <f ca="1">IFERROR(__xludf.DUMMYFUNCTION("GOOGLETRANSLATE(English!F4233,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4233" s="1" t="str">
        <f ca="1">IFERROR(__xludf.DUMMYFUNCTION("GOOGLETRANSLATE(English!G4233, ""en"", ""bg"")"),"помощ_за_домашно_изпълнение")</f>
        <v>помощ_за_домашно_изпълнение</v>
      </c>
      <c r="H4233" s="1" t="str">
        <f ca="1">IFERROR(__xludf.DUMMYFUNCTION("GOOGLETRANSLATE(English!H4233, ""en"", ""bg"")"),"помощ_за_домашно_задаване")</f>
        <v>помощ_за_домашно_задаване</v>
      </c>
    </row>
    <row r="4234" spans="1:8" ht="13.2" x14ac:dyDescent="0.25">
      <c r="A4234" s="1" t="str">
        <f ca="1">IFERROR(__xludf.DUMMYFUNCTION("GOOGLETRANSLATE(English!A4234, ""en"", ""bg"")"),"hw_13769")</f>
        <v>hw_13769</v>
      </c>
      <c r="B4234" s="1" t="str">
        <f ca="1">IFERROR(__xludf.DUMMYFUNCTION("GOOGLETRANSLATE(English!B4234, ""en"", ""bg"")"),"химия")</f>
        <v>химия</v>
      </c>
      <c r="C4234" s="1" t="str">
        <f ca="1">IFERROR(__xludf.DUMMYFUNCTION("GOOGLETRANSLATE(English!C4234, ""en"", ""bg"")"),"средата")</f>
        <v>средата</v>
      </c>
      <c r="D4234" s="1" t="str">
        <f ca="1">IFERROR(__xludf.DUMMYFUNCTION("GOOGLETRANSLATE(English!D4234, ""en"", ""bg"")"),"атоми и молекули")</f>
        <v>атоми и молекули</v>
      </c>
      <c r="E4234" s="1" t="str">
        <f ca="1">IFERROR(__xludf.DUMMYFUNCTION("GOOGLETRANSLATE(English!E4234, ""en"", ""bg"")"),"Моят доклад по химия е за атоми и молекули. Помогнете ми да разбера.")</f>
        <v>Моят доклад по химия е за атоми и молекули. Помогнете ми да разбера.</v>
      </c>
      <c r="F4234" s="1" t="str">
        <f ca="1">IFERROR(__xludf.DUMMYFUNCTION("GOOGLETRANSLATE(English!F4234,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234" s="1" t="str">
        <f ca="1">IFERROR(__xludf.DUMMYFUNCTION("GOOGLETRANSLATE(English!G4234, ""en"", ""bg"")"),"помощ_за_домашно_изпълнение")</f>
        <v>помощ_за_домашно_изпълнение</v>
      </c>
      <c r="H4234" s="1" t="str">
        <f ca="1">IFERROR(__xludf.DUMMYFUNCTION("GOOGLETRANSLATE(English!H4234, ""en"", ""bg"")"),"помощ_за_домашно_задаване")</f>
        <v>помощ_за_домашно_задаване</v>
      </c>
    </row>
    <row r="4235" spans="1:8" ht="13.2" x14ac:dyDescent="0.25">
      <c r="A4235" s="1" t="str">
        <f ca="1">IFERROR(__xludf.DUMMYFUNCTION("GOOGLETRANSLATE(English!A4235, ""en"", ""bg"")"),"hw_04128")</f>
        <v>hw_04128</v>
      </c>
      <c r="B4235" s="1" t="str">
        <f ca="1">IFERROR(__xludf.DUMMYFUNCTION("GOOGLETRANSLATE(English!B4235, ""en"", ""bg"")"),"биология")</f>
        <v>биология</v>
      </c>
      <c r="C4235" s="1" t="str">
        <f ca="1">IFERROR(__xludf.DUMMYFUNCTION("GOOGLETRANSLATE(English!C4235, ""en"", ""bg"")"),"високо")</f>
        <v>високо</v>
      </c>
      <c r="D4235" s="1" t="str">
        <f ca="1">IFERROR(__xludf.DUMMYFUNCTION("GOOGLETRANSLATE(English!D4235, ""en"", ""bg"")"),"молекулярна биология")</f>
        <v>молекулярна биология</v>
      </c>
      <c r="E4235" s="1" t="str">
        <f ca="1">IFERROR(__xludf.DUMMYFUNCTION("GOOGLETRANSLATE(English!E4235, ""en"", ""bg"")"),"Утре имам тест по молекулярна биология. Помогни ми да уча!")</f>
        <v>Утре имам тест по молекулярна биология. Помогни ми да уча!</v>
      </c>
      <c r="F4235" s="1" t="str">
        <f ca="1">IFERROR(__xludf.DUMMYFUNCTION("GOOGLETRANSLATE(English!F4235,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235" s="1" t="str">
        <f ca="1">IFERROR(__xludf.DUMMYFUNCTION("GOOGLETRANSLATE(English!G4235, ""en"", ""bg"")"),"помощ_за_домашно_изпълнение")</f>
        <v>помощ_за_домашно_изпълнение</v>
      </c>
      <c r="H4235" s="1" t="str">
        <f ca="1">IFERROR(__xludf.DUMMYFUNCTION("GOOGLETRANSLATE(English!H4235, ""en"", ""bg"")"),"помощ_за_домашно_задаване")</f>
        <v>помощ_за_домашно_задаване</v>
      </c>
    </row>
    <row r="4236" spans="1:8" ht="13.2" x14ac:dyDescent="0.25">
      <c r="A4236" s="1" t="str">
        <f ca="1">IFERROR(__xludf.DUMMYFUNCTION("GOOGLETRANSLATE(English!A4236, ""en"", ""bg"")"),"hw_08411")</f>
        <v>hw_08411</v>
      </c>
      <c r="B4236" s="1" t="str">
        <f ca="1">IFERROR(__xludf.DUMMYFUNCTION("GOOGLETRANSLATE(English!B4236, ""en"", ""bg"")"),"биология")</f>
        <v>биология</v>
      </c>
      <c r="C4236" s="1" t="str">
        <f ca="1">IFERROR(__xludf.DUMMYFUNCTION("GOOGLETRANSLATE(English!C4236, ""en"", ""bg"")"),"високо")</f>
        <v>високо</v>
      </c>
      <c r="D4236" s="1" t="str">
        <f ca="1">IFERROR(__xludf.DUMMYFUNCTION("GOOGLETRANSLATE(English!D4236, ""en"", ""bg"")"),"Структура на ДНК")</f>
        <v>Структура на ДНК</v>
      </c>
      <c r="E4236" s="1" t="str">
        <f ca="1">IFERROR(__xludf.DUMMYFUNCTION("GOOGLETRANSLATE(English!E4236, ""en"", ""bg"")"),"Домашното ми пита за структурата на ДНК. Не я разбирам.")</f>
        <v>Домашното ми пита за структурата на ДНК. Не я разбирам.</v>
      </c>
      <c r="F4236" s="1" t="str">
        <f ca="1">IFERROR(__xludf.DUMMYFUNCTION("GOOGLETRANSLATE(English!F4236,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4236" s="1" t="str">
        <f ca="1">IFERROR(__xludf.DUMMYFUNCTION("GOOGLETRANSLATE(English!G4236, ""en"", ""bg"")"),"помощ_за_домашно_изпълнение")</f>
        <v>помощ_за_домашно_изпълнение</v>
      </c>
      <c r="H4236" s="1" t="str">
        <f ca="1">IFERROR(__xludf.DUMMYFUNCTION("GOOGLETRANSLATE(English!H4236, ""en"", ""bg"")"),"помощ_за_домашно_задаване")</f>
        <v>помощ_за_домашно_задаване</v>
      </c>
    </row>
    <row r="4237" spans="1:8" ht="13.2" x14ac:dyDescent="0.25">
      <c r="A4237" s="1" t="str">
        <f ca="1">IFERROR(__xludf.DUMMYFUNCTION("GOOGLETRANSLATE(English!A4237, ""en"", ""bg"")"),"qa_07057")</f>
        <v>qa_07057</v>
      </c>
      <c r="B4237" s="1" t="str">
        <f ca="1">IFERROR(__xludf.DUMMYFUNCTION("GOOGLETRANSLATE(English!B4237, ""en"", ""bg"")"),"биология")</f>
        <v>биология</v>
      </c>
      <c r="C4237" s="1" t="str">
        <f ca="1">IFERROR(__xludf.DUMMYFUNCTION("GOOGLETRANSLATE(English!C4237, ""en"", ""bg"")"),"високо")</f>
        <v>високо</v>
      </c>
      <c r="D4237" s="1" t="str">
        <f ca="1">IFERROR(__xludf.DUMMYFUNCTION("GOOGLETRANSLATE(English!D4237, ""en"", ""bg"")"),"синтез на протеини")</f>
        <v>синтез на протеини</v>
      </c>
      <c r="E4237" s="1" t="str">
        <f ca="1">IFERROR(__xludf.DUMMYFUNCTION("GOOGLETRANSLATE(English!E4237, ""en"", ""bg"")"),"Защо синтезът на протеини е важен в биологията?")</f>
        <v>Защо синтезът на протеини е важен в биологията?</v>
      </c>
      <c r="F4237" s="1" t="str">
        <f ca="1">IFERROR(__xludf.DUMMYFUNCTION("GOOGLETRANSLATE(English!F4237, ""en"", ""bg"")"),"Синтезът на протеини е важен, защото ни помага да разберем живота и как живите същества оцеляват.")</f>
        <v>Синтезът на протеини е важен, защото ни помага да разберем живота и как живите същества оцеляват.</v>
      </c>
      <c r="G4237" s="1" t="str">
        <f ca="1">IFERROR(__xludf.DUMMYFUNCTION("GOOGLETRANSLATE(English!G4237, ""en"", ""bg"")"),"direct_qa")</f>
        <v>direct_qa</v>
      </c>
      <c r="H4237" s="1" t="str">
        <f ca="1">IFERROR(__xludf.DUMMYFUNCTION("GOOGLETRANSLATE(English!H4237, ""en"", ""bg"")"),"заявка_за_знание")</f>
        <v>заявка_за_знание</v>
      </c>
    </row>
    <row r="4238" spans="1:8" ht="13.2" x14ac:dyDescent="0.25">
      <c r="A4238" s="1" t="str">
        <f ca="1">IFERROR(__xludf.DUMMYFUNCTION("GOOGLETRANSLATE(English!A4238, ""en"", ""bg"")"),"conv_08209")</f>
        <v>conv_08209</v>
      </c>
      <c r="B4238" s="1" t="str">
        <f ca="1">IFERROR(__xludf.DUMMYFUNCTION("GOOGLETRANSLATE(English!B4238, ""en"", ""bg"")"),"биология")</f>
        <v>биология</v>
      </c>
      <c r="C4238" s="1" t="str">
        <f ca="1">IFERROR(__xludf.DUMMYFUNCTION("GOOGLETRANSLATE(English!C4238, ""en"", ""bg"")"),"високо")</f>
        <v>високо</v>
      </c>
      <c r="D4238" s="1" t="str">
        <f ca="1">IFERROR(__xludf.DUMMYFUNCTION("GOOGLETRANSLATE(English!D4238, ""en"", ""bg"")"),"Структура на ДНК")</f>
        <v>Структура на ДНК</v>
      </c>
      <c r="E4238" s="1" t="str">
        <f ca="1">IFERROR(__xludf.DUMMYFUNCTION("GOOGLETRANSLATE(English!E4238, ""en"", ""bg"")"),"Здравей, преподавателю! Как работи структурата на ДНК?")</f>
        <v>Здравей, преподавателю! Как работи структурата на ДНК?</v>
      </c>
      <c r="F4238" s="1" t="str">
        <f ca="1">IFERROR(__xludf.DUMMYFUNCTION("GOOGLETRANSLATE(English!F4238,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4238" s="1" t="str">
        <f ca="1">IFERROR(__xludf.DUMMYFUNCTION("GOOGLETRANSLATE(English!G4238, ""en"", ""bg"")"),"разговор")</f>
        <v>разговор</v>
      </c>
      <c r="H4238" s="1" t="str">
        <f ca="1">IFERROR(__xludf.DUMMYFUNCTION("GOOGLETRANSLATE(English!H4238, ""en"", ""bg"")"),"образователна_помощ")</f>
        <v>образователна_помощ</v>
      </c>
    </row>
    <row r="4239" spans="1:8" ht="13.2" x14ac:dyDescent="0.25">
      <c r="A4239" s="1" t="str">
        <f ca="1">IFERROR(__xludf.DUMMYFUNCTION("GOOGLETRANSLATE(English!A4239, ""en"", ""bg"")"),"qa_08154")</f>
        <v>qa_08154</v>
      </c>
      <c r="B4239" s="1" t="str">
        <f ca="1">IFERROR(__xludf.DUMMYFUNCTION("GOOGLETRANSLATE(English!B4239, ""en"", ""bg"")"),"физика")</f>
        <v>физика</v>
      </c>
      <c r="C4239" s="1" t="str">
        <f ca="1">IFERROR(__xludf.DUMMYFUNCTION("GOOGLETRANSLATE(English!C4239, ""en"", ""bg"")"),"елементарен")</f>
        <v>елементарен</v>
      </c>
      <c r="D4239" s="1" t="str">
        <f ca="1">IFERROR(__xludf.DUMMYFUNCTION("GOOGLETRANSLATE(English!D4239, ""en"", ""bg"")"),"звук")</f>
        <v>звук</v>
      </c>
      <c r="E4239" s="1" t="str">
        <f ca="1">IFERROR(__xludf.DUMMYFUNCTION("GOOGLETRANSLATE(English!E4239, ""en"", ""bg"")"),"Как работи звукът във физиката?")</f>
        <v>Как работи звукът във физиката?</v>
      </c>
      <c r="F4239" s="1" t="str">
        <f ca="1">IFERROR(__xludf.DUMMYFUNCTION("GOOGLETRANSLATE(English!F4239, ""en"", ""bg"")"),"Звукът работи според научни принципи, които можем да наблюдаваме и измерваме.")</f>
        <v>Звукът работи според научни принципи, които можем да наблюдаваме и измерваме.</v>
      </c>
      <c r="G4239" s="1" t="str">
        <f ca="1">IFERROR(__xludf.DUMMYFUNCTION("GOOGLETRANSLATE(English!G4239, ""en"", ""bg"")"),"direct_qa")</f>
        <v>direct_qa</v>
      </c>
      <c r="H4239" s="1" t="str">
        <f ca="1">IFERROR(__xludf.DUMMYFUNCTION("GOOGLETRANSLATE(English!H4239, ""en"", ""bg"")"),"заявка_за_знание")</f>
        <v>заявка_за_знание</v>
      </c>
    </row>
    <row r="4240" spans="1:8" ht="13.2" x14ac:dyDescent="0.25">
      <c r="A4240" s="1" t="str">
        <f ca="1">IFERROR(__xludf.DUMMYFUNCTION("GOOGLETRANSLATE(English!A4240, ""en"", ""bg"")"),"qa_07604")</f>
        <v>qa_07604</v>
      </c>
      <c r="B4240" s="1" t="str">
        <f ca="1">IFERROR(__xludf.DUMMYFUNCTION("GOOGLETRANSLATE(English!B4240, ""en"", ""bg"")"),"химия")</f>
        <v>химия</v>
      </c>
      <c r="C4240" s="1" t="str">
        <f ca="1">IFERROR(__xludf.DUMMYFUNCTION("GOOGLETRANSLATE(English!C4240, ""en"", ""bg"")"),"елементарен")</f>
        <v>елементарен</v>
      </c>
      <c r="D4240" s="1" t="str">
        <f ca="1">IFERROR(__xludf.DUMMYFUNCTION("GOOGLETRANSLATE(English!D4240, ""en"", ""bg"")"),"разтваряне")</f>
        <v>разтваряне</v>
      </c>
      <c r="E4240" s="1" t="str">
        <f ca="1">IFERROR(__xludf.DUMMYFUNCTION("GOOGLETRANSLATE(English!E4240, ""en"", ""bg"")"),"Можете ли да ми помогнете да разбера разтварянето?")</f>
        <v>Можете ли да ми помогнете да разбера разтварянето?</v>
      </c>
      <c r="F4240" s="1" t="str">
        <f ca="1">IFERROR(__xludf.DUMMYFUNCTION("GOOGLETRANSLATE(English!F4240,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4240" s="1" t="str">
        <f ca="1">IFERROR(__xludf.DUMMYFUNCTION("GOOGLETRANSLATE(English!G4240, ""en"", ""bg"")"),"direct_qa")</f>
        <v>direct_qa</v>
      </c>
      <c r="H4240" s="1" t="str">
        <f ca="1">IFERROR(__xludf.DUMMYFUNCTION("GOOGLETRANSLATE(English!H4240, ""en"", ""bg"")"),"заявка_за_знание")</f>
        <v>заявка_за_знание</v>
      </c>
    </row>
    <row r="4241" spans="1:8" ht="13.2" x14ac:dyDescent="0.25">
      <c r="A4241" s="1" t="str">
        <f ca="1">IFERROR(__xludf.DUMMYFUNCTION("GOOGLETRANSLATE(English!A4241, ""en"", ""bg"")"),"conv_15461")</f>
        <v>conv_15461</v>
      </c>
      <c r="B4241" s="1" t="str">
        <f ca="1">IFERROR(__xludf.DUMMYFUNCTION("GOOGLETRANSLATE(English!B4241, ""en"", ""bg"")"),"физика")</f>
        <v>физика</v>
      </c>
      <c r="C4241" s="1" t="str">
        <f ca="1">IFERROR(__xludf.DUMMYFUNCTION("GOOGLETRANSLATE(English!C4241, ""en"", ""bg"")"),"високо")</f>
        <v>високо</v>
      </c>
      <c r="D4241" s="1" t="str">
        <f ca="1">IFERROR(__xludf.DUMMYFUNCTION("GOOGLETRANSLATE(English!D4241, ""en"", ""bg"")"),"оптика")</f>
        <v>оптика</v>
      </c>
      <c r="E4241" s="1" t="str">
        <f ca="1">IFERROR(__xludf.DUMMYFUNCTION("GOOGLETRANSLATE(English!E4241, ""en"", ""bg"")"),"Не разбирам тази тема. Защо оптиката е важна?")</f>
        <v>Не разбирам тази тема. Защо оптиката е важна?</v>
      </c>
      <c r="F4241" s="1" t="str">
        <f ca="1">IFERROR(__xludf.DUMMYFUNCTION("GOOGLETRANSLATE(English!F4241,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4241" s="1" t="str">
        <f ca="1">IFERROR(__xludf.DUMMYFUNCTION("GOOGLETRANSLATE(English!G4241, ""en"", ""bg"")"),"разговор")</f>
        <v>разговор</v>
      </c>
      <c r="H4241" s="1" t="str">
        <f ca="1">IFERROR(__xludf.DUMMYFUNCTION("GOOGLETRANSLATE(English!H4241, ""en"", ""bg"")"),"образователна_помощ")</f>
        <v>образователна_помощ</v>
      </c>
    </row>
    <row r="4242" spans="1:8" ht="13.2" x14ac:dyDescent="0.25">
      <c r="A4242" s="1" t="str">
        <f ca="1">IFERROR(__xludf.DUMMYFUNCTION("GOOGLETRANSLATE(English!A4242, ""en"", ""bg"")"),"conv_11593")</f>
        <v>conv_11593</v>
      </c>
      <c r="B4242" s="1" t="str">
        <f ca="1">IFERROR(__xludf.DUMMYFUNCTION("GOOGLETRANSLATE(English!B4242, ""en"", ""bg"")"),"биология")</f>
        <v>биология</v>
      </c>
      <c r="C4242" s="1" t="str">
        <f ca="1">IFERROR(__xludf.DUMMYFUNCTION("GOOGLETRANSLATE(English!C4242, ""en"", ""bg"")"),"високо")</f>
        <v>високо</v>
      </c>
      <c r="D4242" s="1" t="str">
        <f ca="1">IFERROR(__xludf.DUMMYFUNCTION("GOOGLETRANSLATE(English!D4242, ""en"", ""bg"")"),"молекулярна биология")</f>
        <v>молекулярна биология</v>
      </c>
      <c r="E4242" s="1" t="str">
        <f ca="1">IFERROR(__xludf.DUMMYFUNCTION("GOOGLETRANSLATE(English!E4242, ""en"", ""bg"")"),"Имам научен въпрос. Какво е важно да знаем за молекулярната биология?")</f>
        <v>Имам научен въпрос. Какво е важно да знаем за молекулярната биология?</v>
      </c>
      <c r="F4242" s="1" t="str">
        <f ca="1">IFERROR(__xludf.DUMMYFUNCTION("GOOGLETRANSLATE(English!F4242,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4242" s="1" t="str">
        <f ca="1">IFERROR(__xludf.DUMMYFUNCTION("GOOGLETRANSLATE(English!G4242, ""en"", ""bg"")"),"разговор")</f>
        <v>разговор</v>
      </c>
      <c r="H4242" s="1" t="str">
        <f ca="1">IFERROR(__xludf.DUMMYFUNCTION("GOOGLETRANSLATE(English!H4242, ""en"", ""bg"")"),"образователна_помощ")</f>
        <v>образователна_помощ</v>
      </c>
    </row>
    <row r="4243" spans="1:8" ht="13.2" x14ac:dyDescent="0.25">
      <c r="A4243" s="1" t="str">
        <f ca="1">IFERROR(__xludf.DUMMYFUNCTION("GOOGLETRANSLATE(English!A4243, ""en"", ""bg"")"),"qa_05753")</f>
        <v>qa_05753</v>
      </c>
      <c r="B4243" s="1" t="str">
        <f ca="1">IFERROR(__xludf.DUMMYFUNCTION("GOOGLETRANSLATE(English!B4243, ""en"", ""bg"")"),"биология")</f>
        <v>биология</v>
      </c>
      <c r="C4243" s="1" t="str">
        <f ca="1">IFERROR(__xludf.DUMMYFUNCTION("GOOGLETRANSLATE(English!C4243, ""en"", ""bg"")"),"високо")</f>
        <v>високо</v>
      </c>
      <c r="D4243" s="1" t="str">
        <f ca="1">IFERROR(__xludf.DUMMYFUNCTION("GOOGLETRANSLATE(English!D4243, ""en"", ""bg"")"),"Структура на ДНК")</f>
        <v>Структура на ДНК</v>
      </c>
      <c r="E4243" s="1" t="str">
        <f ca="1">IFERROR(__xludf.DUMMYFUNCTION("GOOGLETRANSLATE(English!E4243, ""en"", ""bg"")"),"Можете ли да ми разкажете за структурата на ДНК?")</f>
        <v>Можете ли да ми разкажете за структурата на ДНК?</v>
      </c>
      <c r="F4243" s="1" t="str">
        <f ca="1">IFERROR(__xludf.DUMMYFUNCTION("GOOGLETRANSLATE(English!F4243,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4243" s="1" t="str">
        <f ca="1">IFERROR(__xludf.DUMMYFUNCTION("GOOGLETRANSLATE(English!G4243, ""en"", ""bg"")"),"direct_qa")</f>
        <v>direct_qa</v>
      </c>
      <c r="H4243" s="1" t="str">
        <f ca="1">IFERROR(__xludf.DUMMYFUNCTION("GOOGLETRANSLATE(English!H4243, ""en"", ""bg"")"),"заявка_за_знание")</f>
        <v>заявка_за_знание</v>
      </c>
    </row>
    <row r="4244" spans="1:8" ht="13.2" x14ac:dyDescent="0.25">
      <c r="A4244" s="1" t="str">
        <f ca="1">IFERROR(__xludf.DUMMYFUNCTION("GOOGLETRANSLATE(English!A4244, ""en"", ""bg"")"),"qa_08340")</f>
        <v>qa_08340</v>
      </c>
      <c r="B4244" s="1" t="str">
        <f ca="1">IFERROR(__xludf.DUMMYFUNCTION("GOOGLETRANSLATE(English!B4244, ""en"", ""bg"")"),"физика")</f>
        <v>физика</v>
      </c>
      <c r="C4244" s="1" t="str">
        <f ca="1">IFERROR(__xludf.DUMMYFUNCTION("GOOGLETRANSLATE(English!C4244, ""en"", ""bg"")"),"средата")</f>
        <v>средата</v>
      </c>
      <c r="D4244" s="1" t="str">
        <f ca="1">IFERROR(__xludf.DUMMYFUNCTION("GOOGLETRANSLATE(English!D4244, ""en"", ""bg"")"),"основи на електричеството")</f>
        <v>основи на електричеството</v>
      </c>
      <c r="E4244" s="1" t="str">
        <f ca="1">IFERROR(__xludf.DUMMYFUNCTION("GOOGLETRANSLATE(English!E4244, ""en"", ""bg"")"),"Защо основите на електричеството са важни?")</f>
        <v>Защо основите на електричеството са важни?</v>
      </c>
      <c r="F4244" s="1" t="str">
        <f ca="1">IFERROR(__xludf.DUMMYFUNCTION("GOOGLETRANSLATE(English!F4244,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4244" s="1" t="str">
        <f ca="1">IFERROR(__xludf.DUMMYFUNCTION("GOOGLETRANSLATE(English!G4244, ""en"", ""bg"")"),"direct_qa")</f>
        <v>direct_qa</v>
      </c>
      <c r="H4244" s="1" t="str">
        <f ca="1">IFERROR(__xludf.DUMMYFUNCTION("GOOGLETRANSLATE(English!H4244, ""en"", ""bg"")"),"заявка_за_знание")</f>
        <v>заявка_за_знание</v>
      </c>
    </row>
    <row r="4245" spans="1:8" ht="13.2" x14ac:dyDescent="0.25">
      <c r="A4245" s="1" t="str">
        <f ca="1">IFERROR(__xludf.DUMMYFUNCTION("GOOGLETRANSLATE(English!A4245, ""en"", ""bg"")"),"conv_19788")</f>
        <v>conv_19788</v>
      </c>
      <c r="B4245" s="1" t="str">
        <f ca="1">IFERROR(__xludf.DUMMYFUNCTION("GOOGLETRANSLATE(English!B4245, ""en"", ""bg"")"),"биология")</f>
        <v>биология</v>
      </c>
      <c r="C4245" s="1" t="str">
        <f ca="1">IFERROR(__xludf.DUMMYFUNCTION("GOOGLETRANSLATE(English!C4245, ""en"", ""bg"")"),"елементарен")</f>
        <v>елементарен</v>
      </c>
      <c r="D4245" s="1" t="str">
        <f ca="1">IFERROR(__xludf.DUMMYFUNCTION("GOOGLETRANSLATE(English!D4245, ""en"", ""bg"")"),"растения")</f>
        <v>растения</v>
      </c>
      <c r="E4245" s="1" t="str">
        <f ca="1">IFERROR(__xludf.DUMMYFUNCTION("GOOGLETRANSLATE(English!E4245, ""en"", ""bg"")"),"Здравей, преподавателю! Как растенията си произвеждат сами храната?")</f>
        <v>Здравей, преподавателю! Как растенията си произвеждат сами храната?</v>
      </c>
      <c r="F4245" s="1" t="str">
        <f ca="1">IFERROR(__xludf.DUMMYFUNCTION("GOOGLETRANSLATE(English!F4245, ""en"", ""bg"")"),"Растенията произвеждат храна чрез фотосинтеза - те използват слънчева светлина, вода и въздух, за да създадат захар за енергия.")</f>
        <v>Растенията произвеждат храна чрез фотосинтеза - те използват слънчева светлина, вода и въздух, за да създадат захар за енергия.</v>
      </c>
      <c r="G4245" s="1" t="str">
        <f ca="1">IFERROR(__xludf.DUMMYFUNCTION("GOOGLETRANSLATE(English!G4245, ""en"", ""bg"")"),"разговор")</f>
        <v>разговор</v>
      </c>
      <c r="H4245" s="1" t="str">
        <f ca="1">IFERROR(__xludf.DUMMYFUNCTION("GOOGLETRANSLATE(English!H4245, ""en"", ""bg"")"),"образователна_помощ")</f>
        <v>образователна_помощ</v>
      </c>
    </row>
    <row r="4246" spans="1:8" ht="13.2" x14ac:dyDescent="0.25">
      <c r="A4246" s="1" t="str">
        <f ca="1">IFERROR(__xludf.DUMMYFUNCTION("GOOGLETRANSLATE(English!A4246, ""en"", ""bg"")"),"qa_06530")</f>
        <v>qa_06530</v>
      </c>
      <c r="B4246" s="1" t="str">
        <f ca="1">IFERROR(__xludf.DUMMYFUNCTION("GOOGLETRANSLATE(English!B4246, ""en"", ""bg"")"),"физика")</f>
        <v>физика</v>
      </c>
      <c r="C4246" s="1" t="str">
        <f ca="1">IFERROR(__xludf.DUMMYFUNCTION("GOOGLETRANSLATE(English!C4246, ""en"", ""bg"")"),"средата")</f>
        <v>средата</v>
      </c>
      <c r="D4246" s="1" t="str">
        <f ca="1">IFERROR(__xludf.DUMMYFUNCTION("GOOGLETRANSLATE(English!D4246, ""en"", ""bg"")"),"сили и движение")</f>
        <v>сили и движение</v>
      </c>
      <c r="E4246" s="1" t="str">
        <f ca="1">IFERROR(__xludf.DUMMYFUNCTION("GOOGLETRANSLATE(English!E4246, ""en"", ""bg"")"),"Какъв е първият закон на Нютон?")</f>
        <v>Какъв е първият закон на Нютон?</v>
      </c>
      <c r="F4246" s="1" t="str">
        <f ca="1">IFERROR(__xludf.DUMMYFUNCTION("GOOGLETRANSLATE(English!F4246, ""en"", ""bg"")"),"Първият закон на Нютон гласи, че обектите в покой остават в покой, а обектите в движение остават в движение, освен ако върху тях не действа сила.")</f>
        <v>Първият закон на Нютон гласи, че обектите в покой остават в покой, а обектите в движение остават в движение, освен ако върху тях не действа сила.</v>
      </c>
      <c r="G4246" s="1" t="str">
        <f ca="1">IFERROR(__xludf.DUMMYFUNCTION("GOOGLETRANSLATE(English!G4246, ""en"", ""bg"")"),"direct_qa")</f>
        <v>direct_qa</v>
      </c>
      <c r="H4246" s="1" t="str">
        <f ca="1">IFERROR(__xludf.DUMMYFUNCTION("GOOGLETRANSLATE(English!H4246, ""en"", ""bg"")"),"заявка_за_знание")</f>
        <v>заявка_за_знание</v>
      </c>
    </row>
    <row r="4247" spans="1:8" ht="13.2" x14ac:dyDescent="0.25">
      <c r="A4247" s="1" t="str">
        <f ca="1">IFERROR(__xludf.DUMMYFUNCTION("GOOGLETRANSLATE(English!A4247, ""en"", ""bg"")"),"qa_05992")</f>
        <v>qa_05992</v>
      </c>
      <c r="B4247" s="1" t="str">
        <f ca="1">IFERROR(__xludf.DUMMYFUNCTION("GOOGLETRANSLATE(English!B4247, ""en"", ""bg"")"),"химия")</f>
        <v>химия</v>
      </c>
      <c r="C4247" s="1" t="str">
        <f ca="1">IFERROR(__xludf.DUMMYFUNCTION("GOOGLETRANSLATE(English!C4247, ""en"", ""bg"")"),"средата")</f>
        <v>средата</v>
      </c>
      <c r="D4247" s="1" t="str">
        <f ca="1">IFERROR(__xludf.DUMMYFUNCTION("GOOGLETRANSLATE(English!D4247, ""en"", ""bg"")"),"атоми и молекули")</f>
        <v>атоми и молекули</v>
      </c>
      <c r="E4247" s="1" t="str">
        <f ca="1">IFERROR(__xludf.DUMMYFUNCTION("GOOGLETRANSLATE(English!E4247, ""en"", ""bg"")"),"Кои са частите на един атом?")</f>
        <v>Кои са частите на един атом?</v>
      </c>
      <c r="F4247" s="1" t="str">
        <f ca="1">IFERROR(__xludf.DUMMYFUNCTION("GOOGLETRANSLATE(English!F4247,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4247" s="1" t="str">
        <f ca="1">IFERROR(__xludf.DUMMYFUNCTION("GOOGLETRANSLATE(English!G4247, ""en"", ""bg"")"),"direct_qa")</f>
        <v>direct_qa</v>
      </c>
      <c r="H4247" s="1" t="str">
        <f ca="1">IFERROR(__xludf.DUMMYFUNCTION("GOOGLETRANSLATE(English!H4247, ""en"", ""bg"")"),"заявка_за_знание")</f>
        <v>заявка_за_знание</v>
      </c>
    </row>
    <row r="4248" spans="1:8" ht="13.2" x14ac:dyDescent="0.25">
      <c r="A4248" s="1" t="str">
        <f ca="1">IFERROR(__xludf.DUMMYFUNCTION("GOOGLETRANSLATE(English!A4248, ""en"", ""bg"")"),"qa_11189")</f>
        <v>qa_11189</v>
      </c>
      <c r="B4248" s="1" t="str">
        <f ca="1">IFERROR(__xludf.DUMMYFUNCTION("GOOGLETRANSLATE(English!B4248, ""en"", ""bg"")"),"биология")</f>
        <v>биология</v>
      </c>
      <c r="C4248" s="1" t="str">
        <f ca="1">IFERROR(__xludf.DUMMYFUNCTION("GOOGLETRANSLATE(English!C4248, ""en"", ""bg"")"),"средата")</f>
        <v>средата</v>
      </c>
      <c r="D4248" s="1" t="str">
        <f ca="1">IFERROR(__xludf.DUMMYFUNCTION("GOOGLETRANSLATE(English!D4248, ""en"", ""bg"")"),"екосистеми")</f>
        <v>екосистеми</v>
      </c>
      <c r="E4248" s="1" t="str">
        <f ca="1">IFERROR(__xludf.DUMMYFUNCTION("GOOGLETRANSLATE(English!E4248, ""en"", ""bg"")"),"Можете ли да ми разкажете за екосистемите?")</f>
        <v>Можете ли да ми разкажете за екосистемите?</v>
      </c>
      <c r="F4248" s="1" t="str">
        <f ca="1">IFERROR(__xludf.DUMMYFUNCTION("GOOGLETRANSLATE(English!F4248,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4248" s="1" t="str">
        <f ca="1">IFERROR(__xludf.DUMMYFUNCTION("GOOGLETRANSLATE(English!G4248, ""en"", ""bg"")"),"direct_qa")</f>
        <v>direct_qa</v>
      </c>
      <c r="H4248" s="1" t="str">
        <f ca="1">IFERROR(__xludf.DUMMYFUNCTION("GOOGLETRANSLATE(English!H4248, ""en"", ""bg"")"),"заявка_за_знание")</f>
        <v>заявка_за_знание</v>
      </c>
    </row>
    <row r="4249" spans="1:8" ht="13.2" x14ac:dyDescent="0.25">
      <c r="A4249" s="1" t="str">
        <f ca="1">IFERROR(__xludf.DUMMYFUNCTION("GOOGLETRANSLATE(English!A4249, ""en"", ""bg"")"),"conv_08049")</f>
        <v>conv_08049</v>
      </c>
      <c r="B4249" s="1" t="str">
        <f ca="1">IFERROR(__xludf.DUMMYFUNCTION("GOOGLETRANSLATE(English!B4249, ""en"", ""bg"")"),"биология")</f>
        <v>биология</v>
      </c>
      <c r="C4249" s="1" t="str">
        <f ca="1">IFERROR(__xludf.DUMMYFUNCTION("GOOGLETRANSLATE(English!C4249, ""en"", ""bg"")"),"средата")</f>
        <v>средата</v>
      </c>
      <c r="D4249" s="1" t="str">
        <f ca="1">IFERROR(__xludf.DUMMYFUNCTION("GOOGLETRANSLATE(English!D4249, ""en"", ""bg"")"),"основи на генетиката")</f>
        <v>основи на генетиката</v>
      </c>
      <c r="E4249" s="1" t="str">
        <f ca="1">IFERROR(__xludf.DUMMYFUNCTION("GOOGLETRANSLATE(English!E4249, ""en"", ""bg"")"),"Имам научен въпрос. Какво е важно да знаем за основите на генетиката?")</f>
        <v>Имам научен въпрос. Какво е важно да знаем за основите на генетиката?</v>
      </c>
      <c r="F4249" s="1" t="str">
        <f ca="1">IFERROR(__xludf.DUMMYFUNCTION("GOOGLETRANSLATE(English!F4249,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4249" s="1" t="str">
        <f ca="1">IFERROR(__xludf.DUMMYFUNCTION("GOOGLETRANSLATE(English!G4249, ""en"", ""bg"")"),"разговор")</f>
        <v>разговор</v>
      </c>
      <c r="H4249" s="1" t="str">
        <f ca="1">IFERROR(__xludf.DUMMYFUNCTION("GOOGLETRANSLATE(English!H4249, ""en"", ""bg"")"),"образователна_помощ")</f>
        <v>образователна_помощ</v>
      </c>
    </row>
    <row r="4250" spans="1:8" ht="13.2" x14ac:dyDescent="0.25">
      <c r="A4250" s="1" t="str">
        <f ca="1">IFERROR(__xludf.DUMMYFUNCTION("GOOGLETRANSLATE(English!A4250, ""en"", ""bg"")"),"conv_01141")</f>
        <v>conv_01141</v>
      </c>
      <c r="B4250" s="1" t="str">
        <f ca="1">IFERROR(__xludf.DUMMYFUNCTION("GOOGLETRANSLATE(English!B4250, ""en"", ""bg"")"),"химия")</f>
        <v>химия</v>
      </c>
      <c r="C4250" s="1" t="str">
        <f ca="1">IFERROR(__xludf.DUMMYFUNCTION("GOOGLETRANSLATE(English!C4250, ""en"", ""bg"")"),"високо")</f>
        <v>високо</v>
      </c>
      <c r="D4250" s="1" t="str">
        <f ca="1">IFERROR(__xludf.DUMMYFUNCTION("GOOGLETRANSLATE(English!D4250, ""en"", ""bg"")"),"органична химия")</f>
        <v>органична химия</v>
      </c>
      <c r="E4250" s="1" t="str">
        <f ca="1">IFERROR(__xludf.DUMMYFUNCTION("GOOGLETRANSLATE(English!E4250, ""en"", ""bg"")"),"Не разбирам тази тема. Защо е важно да се учи органична химия?")</f>
        <v>Не разбирам тази тема. Защо е важно да се учи органична химия?</v>
      </c>
      <c r="F4250" s="1" t="str">
        <f ca="1">IFERROR(__xludf.DUMMYFUNCTION("GOOGLETRANSLATE(English!F4250,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4250" s="1" t="str">
        <f ca="1">IFERROR(__xludf.DUMMYFUNCTION("GOOGLETRANSLATE(English!G4250, ""en"", ""bg"")"),"разговор")</f>
        <v>разговор</v>
      </c>
      <c r="H4250" s="1" t="str">
        <f ca="1">IFERROR(__xludf.DUMMYFUNCTION("GOOGLETRANSLATE(English!H4250, ""en"", ""bg"")"),"образователна_помощ")</f>
        <v>образователна_помощ</v>
      </c>
    </row>
    <row r="4251" spans="1:8" ht="13.2" x14ac:dyDescent="0.25">
      <c r="A4251" s="1" t="str">
        <f ca="1">IFERROR(__xludf.DUMMYFUNCTION("GOOGLETRANSLATE(English!A4251, ""en"", ""bg"")"),"conv_02947")</f>
        <v>conv_02947</v>
      </c>
      <c r="B4251" s="1" t="str">
        <f ca="1">IFERROR(__xludf.DUMMYFUNCTION("GOOGLETRANSLATE(English!B4251, ""en"", ""bg"")"),"физика")</f>
        <v>физика</v>
      </c>
      <c r="C4251" s="1" t="str">
        <f ca="1">IFERROR(__xludf.DUMMYFUNCTION("GOOGLETRANSLATE(English!C4251, ""en"", ""bg"")"),"средата")</f>
        <v>средата</v>
      </c>
      <c r="D4251" s="1" t="str">
        <f ca="1">IFERROR(__xludf.DUMMYFUNCTION("GOOGLETRANSLATE(English!D4251, ""en"", ""bg"")"),"видове енергия")</f>
        <v>видове енергия</v>
      </c>
      <c r="E4251" s="1" t="str">
        <f ca="1">IFERROR(__xludf.DUMMYFUNCTION("GOOGLETRANSLATE(English!E4251, ""en"", ""bg"")"),"Имам нужда от помощ с домашното си. Какво е кинетична енергия?")</f>
        <v>Имам нужда от помощ с домашното си. Какво е кинетична енергия?</v>
      </c>
      <c r="F4251" s="1" t="str">
        <f ca="1">IFERROR(__xludf.DUMMYFUNCTION("GOOGLETRANSLATE(English!F4251,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4251" s="1" t="str">
        <f ca="1">IFERROR(__xludf.DUMMYFUNCTION("GOOGLETRANSLATE(English!G4251, ""en"", ""bg"")"),"разговор")</f>
        <v>разговор</v>
      </c>
      <c r="H4251" s="1" t="str">
        <f ca="1">IFERROR(__xludf.DUMMYFUNCTION("GOOGLETRANSLATE(English!H4251, ""en"", ""bg"")"),"образователна_помощ")</f>
        <v>образователна_помощ</v>
      </c>
    </row>
    <row r="4252" spans="1:8" ht="13.2" x14ac:dyDescent="0.25">
      <c r="A4252" s="1" t="str">
        <f ca="1">IFERROR(__xludf.DUMMYFUNCTION("GOOGLETRANSLATE(English!A4252, ""en"", ""bg"")"),"hw_11228")</f>
        <v>hw_11228</v>
      </c>
      <c r="B4252" s="1" t="str">
        <f ca="1">IFERROR(__xludf.DUMMYFUNCTION("GOOGLETRANSLATE(English!B4252, ""en"", ""bg"")"),"физика")</f>
        <v>физика</v>
      </c>
      <c r="C4252" s="1" t="str">
        <f ca="1">IFERROR(__xludf.DUMMYFUNCTION("GOOGLETRANSLATE(English!C4252, ""en"", ""bg"")"),"елементарен")</f>
        <v>елементарен</v>
      </c>
      <c r="D4252" s="1" t="str">
        <f ca="1">IFERROR(__xludf.DUMMYFUNCTION("GOOGLETRANSLATE(English!D4252, ""en"", ""bg"")"),"горещо и студено")</f>
        <v>горещо и студено</v>
      </c>
      <c r="E4252" s="1" t="str">
        <f ca="1">IFERROR(__xludf.DUMMYFUNCTION("GOOGLETRANSLATE(English!E4252, ""en"", ""bg"")"),"Заседнал съм с този проблем с горещината и студените. Можете ли да помогнете?")</f>
        <v>Заседнал съм с този проблем с горещината и студените. Можете ли да помогнете?</v>
      </c>
      <c r="F4252" s="1" t="str">
        <f ca="1">IFERROR(__xludf.DUMMYFUNCTION("GOOGLETRANSLATE(English!F4252,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4252" s="1" t="str">
        <f ca="1">IFERROR(__xludf.DUMMYFUNCTION("GOOGLETRANSLATE(English!G4252, ""en"", ""bg"")"),"помощ_за_домашно_изпълнение")</f>
        <v>помощ_за_домашно_изпълнение</v>
      </c>
      <c r="H4252" s="1" t="str">
        <f ca="1">IFERROR(__xludf.DUMMYFUNCTION("GOOGLETRANSLATE(English!H4252, ""en"", ""bg"")"),"помощ_за_домашно_задаване")</f>
        <v>помощ_за_домашно_задаване</v>
      </c>
    </row>
    <row r="4253" spans="1:8" ht="13.2" x14ac:dyDescent="0.25">
      <c r="A4253" s="1" t="str">
        <f ca="1">IFERROR(__xludf.DUMMYFUNCTION("GOOGLETRANSLATE(English!A4253, ""en"", ""bg"")"),"qa_10982")</f>
        <v>qa_10982</v>
      </c>
      <c r="B4253" s="1" t="str">
        <f ca="1">IFERROR(__xludf.DUMMYFUNCTION("GOOGLETRANSLATE(English!B4253, ""en"", ""bg"")"),"биология")</f>
        <v>биология</v>
      </c>
      <c r="C4253" s="1" t="str">
        <f ca="1">IFERROR(__xludf.DUMMYFUNCTION("GOOGLETRANSLATE(English!C4253, ""en"", ""bg"")"),"средата")</f>
        <v>средата</v>
      </c>
      <c r="D4253" s="1" t="str">
        <f ca="1">IFERROR(__xludf.DUMMYFUNCTION("GOOGLETRANSLATE(English!D4253, ""en"", ""bg"")"),"основи на генетиката")</f>
        <v>основи на генетиката</v>
      </c>
      <c r="E4253" s="1" t="str">
        <f ca="1">IFERROR(__xludf.DUMMYFUNCTION("GOOGLETRANSLATE(English!E4253, ""en"", ""bg"")"),"Защо основите на генетиката са важни в биологията?")</f>
        <v>Защо основите на генетиката са важни в биологията?</v>
      </c>
      <c r="F4253" s="1" t="str">
        <f ca="1">IFERROR(__xludf.DUMMYFUNCTION("GOOGLETRANSLATE(English!F4253,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4253" s="1" t="str">
        <f ca="1">IFERROR(__xludf.DUMMYFUNCTION("GOOGLETRANSLATE(English!G4253, ""en"", ""bg"")"),"direct_qa")</f>
        <v>direct_qa</v>
      </c>
      <c r="H4253" s="1" t="str">
        <f ca="1">IFERROR(__xludf.DUMMYFUNCTION("GOOGLETRANSLATE(English!H4253, ""en"", ""bg"")"),"заявка_за_знание")</f>
        <v>заявка_за_знание</v>
      </c>
    </row>
    <row r="4254" spans="1:8" ht="13.2" x14ac:dyDescent="0.25">
      <c r="A4254" s="1" t="str">
        <f ca="1">IFERROR(__xludf.DUMMYFUNCTION("GOOGLETRANSLATE(English!A4254, ""en"", ""bg"")"),"qa_01785")</f>
        <v>qa_01785</v>
      </c>
      <c r="B4254" s="1" t="str">
        <f ca="1">IFERROR(__xludf.DUMMYFUNCTION("GOOGLETRANSLATE(English!B4254, ""en"", ""bg"")"),"биология")</f>
        <v>биология</v>
      </c>
      <c r="C4254" s="1" t="str">
        <f ca="1">IFERROR(__xludf.DUMMYFUNCTION("GOOGLETRANSLATE(English!C4254, ""en"", ""bg"")"),"средата")</f>
        <v>средата</v>
      </c>
      <c r="D4254" s="1" t="str">
        <f ca="1">IFERROR(__xludf.DUMMYFUNCTION("GOOGLETRANSLATE(English!D4254, ""en"", ""bg"")"),"основи на еволюцията")</f>
        <v>основи на еволюцията</v>
      </c>
      <c r="E4254" s="1" t="str">
        <f ca="1">IFERROR(__xludf.DUMMYFUNCTION("GOOGLETRANSLATE(English!E4254, ""en"", ""bg"")"),"Какво е важно да знаем за основите на еволюцията?")</f>
        <v>Какво е важно да знаем за основите на еволюцията?</v>
      </c>
      <c r="F4254" s="1" t="str">
        <f ca="1">IFERROR(__xludf.DUMMYFUNCTION("GOOGLETRANSLATE(English!F4254,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4254" s="1" t="str">
        <f ca="1">IFERROR(__xludf.DUMMYFUNCTION("GOOGLETRANSLATE(English!G4254, ""en"", ""bg"")"),"direct_qa")</f>
        <v>direct_qa</v>
      </c>
      <c r="H4254" s="1" t="str">
        <f ca="1">IFERROR(__xludf.DUMMYFUNCTION("GOOGLETRANSLATE(English!H4254, ""en"", ""bg"")"),"заявка_за_знание")</f>
        <v>заявка_за_знание</v>
      </c>
    </row>
    <row r="4255" spans="1:8" ht="13.2" x14ac:dyDescent="0.25">
      <c r="A4255" s="1" t="str">
        <f ca="1">IFERROR(__xludf.DUMMYFUNCTION("GOOGLETRANSLATE(English!A4255, ""en"", ""bg"")"),"qa_00394")</f>
        <v>qa_00394</v>
      </c>
      <c r="B4255" s="1" t="str">
        <f ca="1">IFERROR(__xludf.DUMMYFUNCTION("GOOGLETRANSLATE(English!B4255, ""en"", ""bg"")"),"биология")</f>
        <v>биология</v>
      </c>
      <c r="C4255" s="1" t="str">
        <f ca="1">IFERROR(__xludf.DUMMYFUNCTION("GOOGLETRANSLATE(English!C4255, ""en"", ""bg"")"),"средата")</f>
        <v>средата</v>
      </c>
      <c r="D4255" s="1" t="str">
        <f ca="1">IFERROR(__xludf.DUMMYFUNCTION("GOOGLETRANSLATE(English!D4255, ""en"", ""bg"")"),"фотосинтеза")</f>
        <v>фотосинтеза</v>
      </c>
      <c r="E4255" s="1" t="str">
        <f ca="1">IFERROR(__xludf.DUMMYFUNCTION("GOOGLETRANSLATE(English!E4255, ""en"", ""bg"")"),"Защо фотосинтезата е важна в биологията?")</f>
        <v>Защо фотосинтезата е важна в биологията?</v>
      </c>
      <c r="F4255" s="1" t="str">
        <f ca="1">IFERROR(__xludf.DUMMYFUNCTION("GOOGLETRANSLATE(English!F4255, ""en"", ""bg"")"),"Фотосинтезата е важна, защото ни помага да разберем живота и как живите същества оцеляват.")</f>
        <v>Фотосинтезата е важна, защото ни помага да разберем живота и как живите същества оцеляват.</v>
      </c>
      <c r="G4255" s="1" t="str">
        <f ca="1">IFERROR(__xludf.DUMMYFUNCTION("GOOGLETRANSLATE(English!G4255, ""en"", ""bg"")"),"direct_qa")</f>
        <v>direct_qa</v>
      </c>
      <c r="H4255" s="1" t="str">
        <f ca="1">IFERROR(__xludf.DUMMYFUNCTION("GOOGLETRANSLATE(English!H4255, ""en"", ""bg"")"),"заявка_за_знание")</f>
        <v>заявка_за_знание</v>
      </c>
    </row>
    <row r="4256" spans="1:8" ht="13.2" x14ac:dyDescent="0.25">
      <c r="A4256" s="1" t="str">
        <f ca="1">IFERROR(__xludf.DUMMYFUNCTION("GOOGLETRANSLATE(English!A4256, ""en"", ""bg"")"),"conv_11519")</f>
        <v>conv_11519</v>
      </c>
      <c r="B4256" s="1" t="str">
        <f ca="1">IFERROR(__xludf.DUMMYFUNCTION("GOOGLETRANSLATE(English!B4256, ""en"", ""bg"")"),"химия")</f>
        <v>химия</v>
      </c>
      <c r="C4256" s="1" t="str">
        <f ca="1">IFERROR(__xludf.DUMMYFUNCTION("GOOGLETRANSLATE(English!C4256, ""en"", ""bg"")"),"високо")</f>
        <v>високо</v>
      </c>
      <c r="D4256" s="1" t="str">
        <f ca="1">IFERROR(__xludf.DUMMYFUNCTION("GOOGLETRANSLATE(English!D4256, ""en"", ""bg"")"),"стехиометрия")</f>
        <v>стехиометрия</v>
      </c>
      <c r="E4256" s="1" t="str">
        <f ca="1">IFERROR(__xludf.DUMMYFUNCTION("GOOGLETRANSLATE(English!E4256, ""en"", ""bg"")"),"Имам нужда от помощ с домашното. Можете ли да ми помогнете да разбера стехиометрията?")</f>
        <v>Имам нужда от помощ с домашното. Можете ли да ми помогнете да разбера стехиометрията?</v>
      </c>
      <c r="F4256" s="1" t="str">
        <f ca="1">IFERROR(__xludf.DUMMYFUNCTION("GOOGLETRANSLATE(English!F4256,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4256" s="1" t="str">
        <f ca="1">IFERROR(__xludf.DUMMYFUNCTION("GOOGLETRANSLATE(English!G4256, ""en"", ""bg"")"),"разговор")</f>
        <v>разговор</v>
      </c>
      <c r="H4256" s="1" t="str">
        <f ca="1">IFERROR(__xludf.DUMMYFUNCTION("GOOGLETRANSLATE(English!H4256, ""en"", ""bg"")"),"образователна_помощ")</f>
        <v>образователна_помощ</v>
      </c>
    </row>
    <row r="4257" spans="1:8" ht="13.2" x14ac:dyDescent="0.25">
      <c r="A4257" s="1" t="str">
        <f ca="1">IFERROR(__xludf.DUMMYFUNCTION("GOOGLETRANSLATE(English!A4257, ""en"", ""bg"")"),"hw_07845")</f>
        <v>hw_07845</v>
      </c>
      <c r="B4257" s="1" t="str">
        <f ca="1">IFERROR(__xludf.DUMMYFUNCTION("GOOGLETRANSLATE(English!B4257, ""en"", ""bg"")"),"физика")</f>
        <v>физика</v>
      </c>
      <c r="C4257" s="1" t="str">
        <f ca="1">IFERROR(__xludf.DUMMYFUNCTION("GOOGLETRANSLATE(English!C4257, ""en"", ""bg"")"),"елементарен")</f>
        <v>елементарен</v>
      </c>
      <c r="D4257" s="1" t="str">
        <f ca="1">IFERROR(__xludf.DUMMYFUNCTION("GOOGLETRANSLATE(English!D4257, ""en"", ""bg"")"),"горещо и студено")</f>
        <v>горещо и студено</v>
      </c>
      <c r="E4257" s="1" t="str">
        <f ca="1">IFERROR(__xludf.DUMMYFUNCTION("GOOGLETRANSLATE(English!E4257, ""en"", ""bg"")"),"Можеш ли да решиш този горещ и студен въпрос с мен?")</f>
        <v>Можеш ли да решиш този горещ и студен въпрос с мен?</v>
      </c>
      <c r="F4257" s="1" t="str">
        <f ca="1">IFERROR(__xludf.DUMMYFUNCTION("GOOGLETRANSLATE(English!F4257, ""en"", ""bg"")"),"Ще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част"&amp;" бихте искали да започнете?")</f>
        <v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v>
      </c>
      <c r="G4257" s="1" t="str">
        <f ca="1">IFERROR(__xludf.DUMMYFUNCTION("GOOGLETRANSLATE(English!G4257, ""en"", ""bg"")"),"помощ_за_домашно_изпълнение")</f>
        <v>помощ_за_домашно_изпълнение</v>
      </c>
      <c r="H4257" s="1" t="str">
        <f ca="1">IFERROR(__xludf.DUMMYFUNCTION("GOOGLETRANSLATE(English!H4257, ""en"", ""bg"")"),"помощ_за_домашно_задаване")</f>
        <v>помощ_за_домашно_задаване</v>
      </c>
    </row>
    <row r="4258" spans="1:8" ht="13.2" x14ac:dyDescent="0.25">
      <c r="A4258" s="1" t="str">
        <f ca="1">IFERROR(__xludf.DUMMYFUNCTION("GOOGLETRANSLATE(English!A4258, ""en"", ""bg"")"),"qa_09968")</f>
        <v>qa_09968</v>
      </c>
      <c r="B4258" s="1" t="str">
        <f ca="1">IFERROR(__xludf.DUMMYFUNCTION("GOOGLETRANSLATE(English!B4258, ""en"", ""bg"")"),"физика")</f>
        <v>физика</v>
      </c>
      <c r="C4258" s="1" t="str">
        <f ca="1">IFERROR(__xludf.DUMMYFUNCTION("GOOGLETRANSLATE(English!C4258, ""en"", ""bg"")"),"елементарен")</f>
        <v>елементарен</v>
      </c>
      <c r="D4258" s="1" t="str">
        <f ca="1">IFERROR(__xludf.DUMMYFUNCTION("GOOGLETRANSLATE(English!D4258, ""en"", ""bg"")"),"звук")</f>
        <v>звук</v>
      </c>
      <c r="E4258" s="1" t="str">
        <f ca="1">IFERROR(__xludf.DUMMYFUNCTION("GOOGLETRANSLATE(English!E4258, ""en"", ""bg"")"),"Можеш ли да ми обясниш звука?")</f>
        <v>Можеш ли да ми обясниш звука?</v>
      </c>
      <c r="F4258" s="1" t="str">
        <f ca="1">IFERROR(__xludf.DUMMYFUNCTION("GOOGLETRANSLATE(English!F4258, ""en"", ""bg"")"),"Звукът е интересна физическа концепция, която ни помага да разберем как работят нещата в нашия свят!")</f>
        <v>Звукът е интересна физическа концепция, която ни помага да разберем как работят нещата в нашия свят!</v>
      </c>
      <c r="G4258" s="1" t="str">
        <f ca="1">IFERROR(__xludf.DUMMYFUNCTION("GOOGLETRANSLATE(English!G4258, ""en"", ""bg"")"),"direct_qa")</f>
        <v>direct_qa</v>
      </c>
      <c r="H4258" s="1" t="str">
        <f ca="1">IFERROR(__xludf.DUMMYFUNCTION("GOOGLETRANSLATE(English!H4258, ""en"", ""bg"")"),"заявка_за_знание")</f>
        <v>заявка_за_знание</v>
      </c>
    </row>
    <row r="4259" spans="1:8" ht="13.2" x14ac:dyDescent="0.25">
      <c r="A4259" s="1" t="str">
        <f ca="1">IFERROR(__xludf.DUMMYFUNCTION("GOOGLETRANSLATE(English!A4259, ""en"", ""bg"")"),"conv_17524")</f>
        <v>conv_17524</v>
      </c>
      <c r="B4259" s="1" t="str">
        <f ca="1">IFERROR(__xludf.DUMMYFUNCTION("GOOGLETRANSLATE(English!B4259, ""en"", ""bg"")"),"физика")</f>
        <v>физика</v>
      </c>
      <c r="C4259" s="1" t="str">
        <f ca="1">IFERROR(__xludf.DUMMYFUNCTION("GOOGLETRANSLATE(English!C4259, ""en"", ""bg"")"),"средата")</f>
        <v>средата</v>
      </c>
      <c r="D4259" s="1" t="str">
        <f ca="1">IFERROR(__xludf.DUMMYFUNCTION("GOOGLETRANSLATE(English!D4259, ""en"", ""bg"")"),"състояния на материята")</f>
        <v>състояния на материята</v>
      </c>
      <c r="E4259" s="1" t="str">
        <f ca="1">IFERROR(__xludf.DUMMYFUNCTION("GOOGLETRANSLATE(English!E4259, ""en"", ""bg"")"),"Помогнете ми да уча за теста си. Защо състоянията на материята са важни?")</f>
        <v>Помогнете ми да уча за теста си. Защо състоянията на материята са важни?</v>
      </c>
      <c r="F4259" s="1" t="str">
        <f ca="1">IFERROR(__xludf.DUMMYFUNCTION("GOOGLETRANSLATE(English!F4259,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4259" s="1" t="str">
        <f ca="1">IFERROR(__xludf.DUMMYFUNCTION("GOOGLETRANSLATE(English!G4259, ""en"", ""bg"")"),"разговор")</f>
        <v>разговор</v>
      </c>
      <c r="H4259" s="1" t="str">
        <f ca="1">IFERROR(__xludf.DUMMYFUNCTION("GOOGLETRANSLATE(English!H4259, ""en"", ""bg"")"),"образователна_помощ")</f>
        <v>образователна_помощ</v>
      </c>
    </row>
    <row r="4260" spans="1:8" ht="13.2" x14ac:dyDescent="0.25">
      <c r="A4260" s="1" t="str">
        <f ca="1">IFERROR(__xludf.DUMMYFUNCTION("GOOGLETRANSLATE(English!A4260, ""en"", ""bg"")"),"hw_14493")</f>
        <v>hw_14493</v>
      </c>
      <c r="B4260" s="1" t="str">
        <f ca="1">IFERROR(__xludf.DUMMYFUNCTION("GOOGLETRANSLATE(English!B4260, ""en"", ""bg"")"),"физика")</f>
        <v>физика</v>
      </c>
      <c r="C4260" s="1" t="str">
        <f ca="1">IFERROR(__xludf.DUMMYFUNCTION("GOOGLETRANSLATE(English!C4260, ""en"", ""bg"")"),"високо")</f>
        <v>високо</v>
      </c>
      <c r="D4260" s="1" t="str">
        <f ca="1">IFERROR(__xludf.DUMMYFUNCTION("GOOGLETRANSLATE(English!D4260, ""en"", ""bg"")"),"оптика")</f>
        <v>оптика</v>
      </c>
      <c r="E4260" s="1" t="str">
        <f ca="1">IFERROR(__xludf.DUMMYFUNCTION("GOOGLETRANSLATE(English!E4260, ""en"", ""bg"")"),"Домашното ми по физика е за оптика. Объркващо е!")</f>
        <v>Домашното ми по физика е за оптика. Объркващо е!</v>
      </c>
      <c r="F4260" s="1" t="str">
        <f ca="1">IFERROR(__xludf.DUMMYFUNCTION("GOOGLETRANSLATE(English!F4260,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4260" s="1" t="str">
        <f ca="1">IFERROR(__xludf.DUMMYFUNCTION("GOOGLETRANSLATE(English!G4260, ""en"", ""bg"")"),"помощ_за_домашно_изпълнение")</f>
        <v>помощ_за_домашно_изпълнение</v>
      </c>
      <c r="H4260" s="1" t="str">
        <f ca="1">IFERROR(__xludf.DUMMYFUNCTION("GOOGLETRANSLATE(English!H4260, ""en"", ""bg"")"),"помощ_за_домашно_задаване")</f>
        <v>помощ_за_домашно_задаване</v>
      </c>
    </row>
    <row r="4261" spans="1:8" ht="13.2" x14ac:dyDescent="0.25">
      <c r="A4261" s="1" t="str">
        <f ca="1">IFERROR(__xludf.DUMMYFUNCTION("GOOGLETRANSLATE(English!A4261, ""en"", ""bg"")"),"qa_11788")</f>
        <v>qa_11788</v>
      </c>
      <c r="B4261" s="1" t="str">
        <f ca="1">IFERROR(__xludf.DUMMYFUNCTION("GOOGLETRANSLATE(English!B4261, ""en"", ""bg"")"),"физика")</f>
        <v>физика</v>
      </c>
      <c r="C4261" s="1" t="str">
        <f ca="1">IFERROR(__xludf.DUMMYFUNCTION("GOOGLETRANSLATE(English!C4261, ""en"", ""bg"")"),"високо")</f>
        <v>високо</v>
      </c>
      <c r="D4261" s="1" t="str">
        <f ca="1">IFERROR(__xludf.DUMMYFUNCTION("GOOGLETRANSLATE(English!D4261, ""en"", ""bg"")"),"електромагнетизъм")</f>
        <v>електромагнетизъм</v>
      </c>
      <c r="E4261" s="1" t="str">
        <f ca="1">IFERROR(__xludf.DUMMYFUNCTION("GOOGLETRANSLATE(English!E4261, ""en"", ""bg"")"),"Какво трябва да знам за електромагнетизма?")</f>
        <v>Какво трябва да знам за електромагнетизма?</v>
      </c>
      <c r="F4261" s="1" t="str">
        <f ca="1">IFERROR(__xludf.DUMMYFUNCTION("GOOGLETRANSLATE(English!F4261, ""en"", ""bg"")"),"Ключовото нещо за електромагнетизма е как той следва законите на физиката, които управляват нашата вселена.")</f>
        <v>Ключовото нещо за електромагнетизма е как той следва законите на физиката, които управляват нашата вселена.</v>
      </c>
      <c r="G4261" s="1" t="str">
        <f ca="1">IFERROR(__xludf.DUMMYFUNCTION("GOOGLETRANSLATE(English!G4261, ""en"", ""bg"")"),"direct_qa")</f>
        <v>direct_qa</v>
      </c>
      <c r="H4261" s="1" t="str">
        <f ca="1">IFERROR(__xludf.DUMMYFUNCTION("GOOGLETRANSLATE(English!H4261, ""en"", ""bg"")"),"заявка_за_знание")</f>
        <v>заявка_за_знание</v>
      </c>
    </row>
    <row r="4262" spans="1:8" ht="13.2" x14ac:dyDescent="0.25">
      <c r="A4262" s="1" t="str">
        <f ca="1">IFERROR(__xludf.DUMMYFUNCTION("GOOGLETRANSLATE(English!A4262, ""en"", ""bg"")"),"qa_07918")</f>
        <v>qa_07918</v>
      </c>
      <c r="B4262" s="1" t="str">
        <f ca="1">IFERROR(__xludf.DUMMYFUNCTION("GOOGLETRANSLATE(English!B4262, ""en"", ""bg"")"),"химия")</f>
        <v>химия</v>
      </c>
      <c r="C4262" s="1" t="str">
        <f ca="1">IFERROR(__xludf.DUMMYFUNCTION("GOOGLETRANSLATE(English!C4262, ""en"", ""bg"")"),"високо")</f>
        <v>високо</v>
      </c>
      <c r="D4262" s="1" t="str">
        <f ca="1">IFERROR(__xludf.DUMMYFUNCTION("GOOGLETRANSLATE(English!D4262, ""en"", ""bg"")"),"скорости на реакция")</f>
        <v>скорости на реакция</v>
      </c>
      <c r="E4262" s="1" t="str">
        <f ca="1">IFERROR(__xludf.DUMMYFUNCTION("GOOGLETRANSLATE(English!E4262,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4262" s="1" t="str">
        <f ca="1">IFERROR(__xludf.DUMMYFUNCTION("GOOGLETRANSLATE(English!F4262,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262" s="1" t="str">
        <f ca="1">IFERROR(__xludf.DUMMYFUNCTION("GOOGLETRANSLATE(English!G4262, ""en"", ""bg"")"),"direct_qa")</f>
        <v>direct_qa</v>
      </c>
      <c r="H4262" s="1" t="str">
        <f ca="1">IFERROR(__xludf.DUMMYFUNCTION("GOOGLETRANSLATE(English!H4262, ""en"", ""bg"")"),"заявка_за_знание")</f>
        <v>заявка_за_знание</v>
      </c>
    </row>
    <row r="4263" spans="1:8" ht="13.2" x14ac:dyDescent="0.25">
      <c r="A4263" s="1" t="str">
        <f ca="1">IFERROR(__xludf.DUMMYFUNCTION("GOOGLETRANSLATE(English!A4263, ""en"", ""bg"")"),"hw_06774")</f>
        <v>hw_06774</v>
      </c>
      <c r="B4263" s="1" t="str">
        <f ca="1">IFERROR(__xludf.DUMMYFUNCTION("GOOGLETRANSLATE(English!B4263, ""en"", ""bg"")"),"химия")</f>
        <v>химия</v>
      </c>
      <c r="C4263" s="1" t="str">
        <f ca="1">IFERROR(__xludf.DUMMYFUNCTION("GOOGLETRANSLATE(English!C4263, ""en"", ""bg"")"),"елементарен")</f>
        <v>елементарен</v>
      </c>
      <c r="D4263" s="1" t="str">
        <f ca="1">IFERROR(__xludf.DUMMYFUNCTION("GOOGLETRANSLATE(English!D4263, ""en"", ""bg"")"),"разтваряне")</f>
        <v>разтваряне</v>
      </c>
      <c r="E4263" s="1" t="str">
        <f ca="1">IFERROR(__xludf.DUMMYFUNCTION("GOOGLETRANSLATE(English!E4263, ""en"", ""bg"")"),"Можете ли да ми помогнете с изчисленията за разтваряне?")</f>
        <v>Можете ли да ми помогнете с изчисленията за разтваряне?</v>
      </c>
      <c r="F4263" s="1" t="str">
        <f ca="1">IFERROR(__xludf.DUMMYFUNCTION("GOOGLETRANSLATE(English!F4263,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4263" s="1" t="str">
        <f ca="1">IFERROR(__xludf.DUMMYFUNCTION("GOOGLETRANSLATE(English!G4263, ""en"", ""bg"")"),"помощ_за_домашно_изпълнение")</f>
        <v>помощ_за_домашно_изпълнение</v>
      </c>
      <c r="H4263" s="1" t="str">
        <f ca="1">IFERROR(__xludf.DUMMYFUNCTION("GOOGLETRANSLATE(English!H4263, ""en"", ""bg"")"),"помощ_за_домашно_задаване")</f>
        <v>помощ_за_домашно_задаване</v>
      </c>
    </row>
    <row r="4264" spans="1:8" ht="13.2" x14ac:dyDescent="0.25">
      <c r="A4264" s="1" t="str">
        <f ca="1">IFERROR(__xludf.DUMMYFUNCTION("GOOGLETRANSLATE(English!A4264, ""en"", ""bg"")"),"conv_04429")</f>
        <v>conv_04429</v>
      </c>
      <c r="B4264" s="1" t="str">
        <f ca="1">IFERROR(__xludf.DUMMYFUNCTION("GOOGLETRANSLATE(English!B4264, ""en"", ""bg"")"),"биология")</f>
        <v>биология</v>
      </c>
      <c r="C4264" s="1" t="str">
        <f ca="1">IFERROR(__xludf.DUMMYFUNCTION("GOOGLETRANSLATE(English!C4264, ""en"", ""bg"")"),"високо")</f>
        <v>високо</v>
      </c>
      <c r="D4264" s="1" t="str">
        <f ca="1">IFERROR(__xludf.DUMMYFUNCTION("GOOGLETRANSLATE(English!D4264, ""en"", ""bg"")"),"клетъчно дишане")</f>
        <v>клетъчно дишане</v>
      </c>
      <c r="E4264" s="1" t="str">
        <f ca="1">IFERROR(__xludf.DUMMYFUNCTION("GOOGLETRANSLATE(English!E4264, ""en"", ""bg"")"),"Можете ли да ми помогнете? Как работи клетъчното дишане?")</f>
        <v>Можете ли да ми помогнете? Как работи клетъчното дишане?</v>
      </c>
      <c r="F4264" s="1" t="str">
        <f ca="1">IFERROR(__xludf.DUMMYFUNCTION("GOOGLETRANSLATE(English!F4264,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4264" s="1" t="str">
        <f ca="1">IFERROR(__xludf.DUMMYFUNCTION("GOOGLETRANSLATE(English!G4264, ""en"", ""bg"")"),"разговор")</f>
        <v>разговор</v>
      </c>
      <c r="H4264" s="1" t="str">
        <f ca="1">IFERROR(__xludf.DUMMYFUNCTION("GOOGLETRANSLATE(English!H4264, ""en"", ""bg"")"),"образователна_помощ")</f>
        <v>образователна_помощ</v>
      </c>
    </row>
    <row r="4265" spans="1:8" ht="13.2" x14ac:dyDescent="0.25">
      <c r="A4265" s="1" t="str">
        <f ca="1">IFERROR(__xludf.DUMMYFUNCTION("GOOGLETRANSLATE(English!A4265, ""en"", ""bg"")"),"conv_11650")</f>
        <v>conv_11650</v>
      </c>
      <c r="B4265" s="1" t="str">
        <f ca="1">IFERROR(__xludf.DUMMYFUNCTION("GOOGLETRANSLATE(English!B4265, ""en"", ""bg"")"),"физика")</f>
        <v>физика</v>
      </c>
      <c r="C4265" s="1" t="str">
        <f ca="1">IFERROR(__xludf.DUMMYFUNCTION("GOOGLETRANSLATE(English!C4265, ""en"", ""bg"")"),"елементарен")</f>
        <v>елементарен</v>
      </c>
      <c r="D4265" s="1" t="str">
        <f ca="1">IFERROR(__xludf.DUMMYFUNCTION("GOOGLETRANSLATE(English!D4265, ""en"", ""bg"")"),"звук")</f>
        <v>звук</v>
      </c>
      <c r="E4265" s="1" t="str">
        <f ca="1">IFERROR(__xludf.DUMMYFUNCTION("GOOGLETRANSLATE(English!E4265, ""en"", ""bg"")"),"Имам нужда от помощ с домашното. Защо звукът е важен?")</f>
        <v>Имам нужда от помощ с домашното. Защо звукът е важен?</v>
      </c>
      <c r="F4265" s="1" t="str">
        <f ca="1">IFERROR(__xludf.DUMMYFUNCTION("GOOGLETRANSLATE(English!F4265,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4265" s="1" t="str">
        <f ca="1">IFERROR(__xludf.DUMMYFUNCTION("GOOGLETRANSLATE(English!G4265, ""en"", ""bg"")"),"разговор")</f>
        <v>разговор</v>
      </c>
      <c r="H4265" s="1" t="str">
        <f ca="1">IFERROR(__xludf.DUMMYFUNCTION("GOOGLETRANSLATE(English!H4265, ""en"", ""bg"")"),"образователна_помощ")</f>
        <v>образователна_помощ</v>
      </c>
    </row>
    <row r="4266" spans="1:8" ht="13.2" x14ac:dyDescent="0.25">
      <c r="A4266" s="1" t="str">
        <f ca="1">IFERROR(__xludf.DUMMYFUNCTION("GOOGLETRANSLATE(English!A4266, ""en"", ""bg"")"),"conv_11528")</f>
        <v>conv_11528</v>
      </c>
      <c r="B4266" s="1" t="str">
        <f ca="1">IFERROR(__xludf.DUMMYFUNCTION("GOOGLETRANSLATE(English!B4266, ""en"", ""bg"")"),"физика")</f>
        <v>физика</v>
      </c>
      <c r="C4266" s="1" t="str">
        <f ca="1">IFERROR(__xludf.DUMMYFUNCTION("GOOGLETRANSLATE(English!C4266, ""en"", ""bg"")"),"средата")</f>
        <v>средата</v>
      </c>
      <c r="D4266" s="1" t="str">
        <f ca="1">IFERROR(__xludf.DUMMYFUNCTION("GOOGLETRANSLATE(English!D4266, ""en"", ""bg"")"),"основи на електричеството")</f>
        <v>основи на електричеството</v>
      </c>
      <c r="E4266" s="1" t="str">
        <f ca="1">IFERROR(__xludf.DUMMYFUNCTION("GOOGLETRANSLATE(English!E4266, ""en"", ""bg"")"),"Здравей, преподавателю! Защо основите на електричеството са важни?")</f>
        <v>Здравей, преподавателю! Защо основите на електричеството са важни?</v>
      </c>
      <c r="F4266" s="1" t="str">
        <f ca="1">IFERROR(__xludf.DUMMYFUNCTION("GOOGLETRANSLATE(English!F4266,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4266" s="1" t="str">
        <f ca="1">IFERROR(__xludf.DUMMYFUNCTION("GOOGLETRANSLATE(English!G4266, ""en"", ""bg"")"),"разговор")</f>
        <v>разговор</v>
      </c>
      <c r="H4266" s="1" t="str">
        <f ca="1">IFERROR(__xludf.DUMMYFUNCTION("GOOGLETRANSLATE(English!H4266, ""en"", ""bg"")"),"образователна_помощ")</f>
        <v>образователна_помощ</v>
      </c>
    </row>
    <row r="4267" spans="1:8" ht="13.2" x14ac:dyDescent="0.25">
      <c r="A4267" s="1" t="str">
        <f ca="1">IFERROR(__xludf.DUMMYFUNCTION("GOOGLETRANSLATE(English!A4267, ""en"", ""bg"")"),"qa_11027")</f>
        <v>qa_11027</v>
      </c>
      <c r="B4267" s="1" t="str">
        <f ca="1">IFERROR(__xludf.DUMMYFUNCTION("GOOGLETRANSLATE(English!B4267, ""en"", ""bg"")"),"биология")</f>
        <v>биология</v>
      </c>
      <c r="C4267" s="1" t="str">
        <f ca="1">IFERROR(__xludf.DUMMYFUNCTION("GOOGLETRANSLATE(English!C4267, ""en"", ""bg"")"),"елементарен")</f>
        <v>елементарен</v>
      </c>
      <c r="D4267" s="1" t="str">
        <f ca="1">IFERROR(__xludf.DUMMYFUNCTION("GOOGLETRANSLATE(English!D4267, ""en"", ""bg"")"),"животни")</f>
        <v>животни</v>
      </c>
      <c r="E4267" s="1" t="str">
        <f ca="1">IFERROR(__xludf.DUMMYFUNCTION("GOOGLETRANSLATE(English!E4267, ""en"", ""bg"")"),"Защо птиците мигрират?")</f>
        <v>Защо птиците мигрират?</v>
      </c>
      <c r="F4267" s="1" t="str">
        <f ca="1">IFERROR(__xludf.DUMMYFUNCTION("GOOGLETRANSLATE(English!F4267, ""en"", ""bg"")"),"Птиците мигрират, за да намерят храна, по-добро време и безопасни места за раждане на малките си.")</f>
        <v>Птиците мигрират, за да намерят храна, по-добро време и безопасни места за раждане на малките си.</v>
      </c>
      <c r="G4267" s="1" t="str">
        <f ca="1">IFERROR(__xludf.DUMMYFUNCTION("GOOGLETRANSLATE(English!G4267, ""en"", ""bg"")"),"direct_qa")</f>
        <v>direct_qa</v>
      </c>
      <c r="H4267" s="1" t="str">
        <f ca="1">IFERROR(__xludf.DUMMYFUNCTION("GOOGLETRANSLATE(English!H4267, ""en"", ""bg"")"),"заявка_за_знание")</f>
        <v>заявка_за_знание</v>
      </c>
    </row>
    <row r="4268" spans="1:8" ht="13.2" x14ac:dyDescent="0.25">
      <c r="A4268" s="1" t="str">
        <f ca="1">IFERROR(__xludf.DUMMYFUNCTION("GOOGLETRANSLATE(English!A4268, ""en"", ""bg"")"),"conv_04079")</f>
        <v>conv_04079</v>
      </c>
      <c r="B4268" s="1" t="str">
        <f ca="1">IFERROR(__xludf.DUMMYFUNCTION("GOOGLETRANSLATE(English!B4268, ""en"", ""bg"")"),"химия")</f>
        <v>химия</v>
      </c>
      <c r="C4268" s="1" t="str">
        <f ca="1">IFERROR(__xludf.DUMMYFUNCTION("GOOGLETRANSLATE(English!C4268, ""en"", ""bg"")"),"елементарен")</f>
        <v>елементарен</v>
      </c>
      <c r="D4268" s="1" t="str">
        <f ca="1">IFERROR(__xludf.DUMMYFUNCTION("GOOGLETRANSLATE(English!D4268, ""en"", ""bg"")"),"разтваряне")</f>
        <v>разтваряне</v>
      </c>
      <c r="E4268" s="1" t="str">
        <f ca="1">IFERROR(__xludf.DUMMYFUNCTION("GOOGLETRANSLATE(English!E4268, ""en"", ""bg"")"),"Имам нужда от помощ с домашното. Можете ли да ми помогнете да разбера разтварянето?")</f>
        <v>Имам нужда от помощ с домашното. Можете ли да ми помогнете да разбера разтварянето?</v>
      </c>
      <c r="F4268" s="1" t="str">
        <f ca="1">IFERROR(__xludf.DUMMYFUNCTION("GOOGLETRANSLATE(English!F4268,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4268" s="1" t="str">
        <f ca="1">IFERROR(__xludf.DUMMYFUNCTION("GOOGLETRANSLATE(English!G4268, ""en"", ""bg"")"),"разговор")</f>
        <v>разговор</v>
      </c>
      <c r="H4268" s="1" t="str">
        <f ca="1">IFERROR(__xludf.DUMMYFUNCTION("GOOGLETRANSLATE(English!H4268, ""en"", ""bg"")"),"образователна_помощ")</f>
        <v>образователна_помощ</v>
      </c>
    </row>
    <row r="4269" spans="1:8" ht="13.2" x14ac:dyDescent="0.25">
      <c r="A4269" s="1" t="str">
        <f ca="1">IFERROR(__xludf.DUMMYFUNCTION("GOOGLETRANSLATE(English!A4269, ""en"", ""bg"")"),"conv_04323")</f>
        <v>conv_04323</v>
      </c>
      <c r="B4269" s="1" t="str">
        <f ca="1">IFERROR(__xludf.DUMMYFUNCTION("GOOGLETRANSLATE(English!B4269, ""en"", ""bg"")"),"химия")</f>
        <v>химия</v>
      </c>
      <c r="C4269" s="1" t="str">
        <f ca="1">IFERROR(__xludf.DUMMYFUNCTION("GOOGLETRANSLATE(English!C4269, ""en"", ""bg"")"),"високо")</f>
        <v>високо</v>
      </c>
      <c r="D4269" s="1" t="str">
        <f ca="1">IFERROR(__xludf.DUMMYFUNCTION("GOOGLETRANSLATE(English!D4269, ""en"", ""bg"")"),"скорости на реакция")</f>
        <v>скорости на реакция</v>
      </c>
      <c r="E4269" s="1" t="str">
        <f ca="1">IFERROR(__xludf.DUMMYFUNCTION("GOOGLETRANSLATE(English!E4269, ""en"", ""bg"")"),"Можете ли да ми обясните това? Защо е важно да се учи скоростта на реакция?")</f>
        <v>Можете ли да ми обясните това? Защо е важно да се учи скоростта на реакция?</v>
      </c>
      <c r="F4269" s="1" t="str">
        <f ca="1">IFERROR(__xludf.DUMMYFUNCTION("GOOGLETRANSLATE(English!F4269,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4269" s="1" t="str">
        <f ca="1">IFERROR(__xludf.DUMMYFUNCTION("GOOGLETRANSLATE(English!G4269, ""en"", ""bg"")"),"разговор")</f>
        <v>разговор</v>
      </c>
      <c r="H4269" s="1" t="str">
        <f ca="1">IFERROR(__xludf.DUMMYFUNCTION("GOOGLETRANSLATE(English!H4269, ""en"", ""bg"")"),"образователна_помощ")</f>
        <v>образователна_помощ</v>
      </c>
    </row>
    <row r="4270" spans="1:8" ht="13.2" x14ac:dyDescent="0.25">
      <c r="A4270" s="1" t="str">
        <f ca="1">IFERROR(__xludf.DUMMYFUNCTION("GOOGLETRANSLATE(English!A4270, ""en"", ""bg"")"),"hw_07525")</f>
        <v>hw_07525</v>
      </c>
      <c r="B4270" s="1" t="str">
        <f ca="1">IFERROR(__xludf.DUMMYFUNCTION("GOOGLETRANSLATE(English!B4270, ""en"", ""bg"")"),"химия")</f>
        <v>химия</v>
      </c>
      <c r="C4270" s="1" t="str">
        <f ca="1">IFERROR(__xludf.DUMMYFUNCTION("GOOGLETRANSLATE(English!C4270, ""en"", ""bg"")"),"средата")</f>
        <v>средата</v>
      </c>
      <c r="D4270" s="1" t="str">
        <f ca="1">IFERROR(__xludf.DUMMYFUNCTION("GOOGLETRANSLATE(English!D4270, ""en"", ""bg"")"),"химични промени")</f>
        <v>химични промени</v>
      </c>
      <c r="E4270" s="1" t="str">
        <f ca="1">IFERROR(__xludf.DUMMYFUNCTION("GOOGLETRANSLATE(English!E4270,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4270" s="1" t="str">
        <f ca="1">IFERROR(__xludf.DUMMYFUNCTION("GOOGLETRANSLATE(English!F4270,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270" s="1" t="str">
        <f ca="1">IFERROR(__xludf.DUMMYFUNCTION("GOOGLETRANSLATE(English!G4270, ""en"", ""bg"")"),"помощ_за_домашно_изпълнение")</f>
        <v>помощ_за_домашно_изпълнение</v>
      </c>
      <c r="H4270" s="1" t="str">
        <f ca="1">IFERROR(__xludf.DUMMYFUNCTION("GOOGLETRANSLATE(English!H4270, ""en"", ""bg"")"),"помощ_за_домашно_задаване")</f>
        <v>помощ_за_домашно_задаване</v>
      </c>
    </row>
    <row r="4271" spans="1:8" ht="13.2" x14ac:dyDescent="0.25">
      <c r="A4271" s="1" t="str">
        <f ca="1">IFERROR(__xludf.DUMMYFUNCTION("GOOGLETRANSLATE(English!A4271, ""en"", ""bg"")"),"qa_07558")</f>
        <v>qa_07558</v>
      </c>
      <c r="B4271" s="1" t="str">
        <f ca="1">IFERROR(__xludf.DUMMYFUNCTION("GOOGLETRANSLATE(English!B4271, ""en"", ""bg"")"),"биология")</f>
        <v>биология</v>
      </c>
      <c r="C4271" s="1" t="str">
        <f ca="1">IFERROR(__xludf.DUMMYFUNCTION("GOOGLETRANSLATE(English!C4271, ""en"", ""bg"")"),"средата")</f>
        <v>средата</v>
      </c>
      <c r="D4271" s="1" t="str">
        <f ca="1">IFERROR(__xludf.DUMMYFUNCTION("GOOGLETRANSLATE(English!D4271, ""en"", ""bg"")"),"основи на еволюцията")</f>
        <v>основи на еволюцията</v>
      </c>
      <c r="E4271" s="1" t="str">
        <f ca="1">IFERROR(__xludf.DUMMYFUNCTION("GOOGLETRANSLATE(English!E4271, ""en"", ""bg"")"),"Защо основите на еволюцията са важни в биологията?")</f>
        <v>Защо основите на еволюцията са важни в биологията?</v>
      </c>
      <c r="F4271" s="1" t="str">
        <f ca="1">IFERROR(__xludf.DUMMYFUNCTION("GOOGLETRANSLATE(English!F4271,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4271" s="1" t="str">
        <f ca="1">IFERROR(__xludf.DUMMYFUNCTION("GOOGLETRANSLATE(English!G4271, ""en"", ""bg"")"),"direct_qa")</f>
        <v>direct_qa</v>
      </c>
      <c r="H4271" s="1" t="str">
        <f ca="1">IFERROR(__xludf.DUMMYFUNCTION("GOOGLETRANSLATE(English!H4271, ""en"", ""bg"")"),"заявка_за_знание")</f>
        <v>заявка_за_знание</v>
      </c>
    </row>
    <row r="4272" spans="1:8" ht="13.2" x14ac:dyDescent="0.25">
      <c r="A4272" s="1" t="str">
        <f ca="1">IFERROR(__xludf.DUMMYFUNCTION("GOOGLETRANSLATE(English!A4272, ""en"", ""bg"")"),"conv_15460")</f>
        <v>conv_15460</v>
      </c>
      <c r="B4272" s="1" t="str">
        <f ca="1">IFERROR(__xludf.DUMMYFUNCTION("GOOGLETRANSLATE(English!B4272, ""en"", ""bg"")"),"химия")</f>
        <v>химия</v>
      </c>
      <c r="C4272" s="1" t="str">
        <f ca="1">IFERROR(__xludf.DUMMYFUNCTION("GOOGLETRANSLATE(English!C4272, ""en"", ""bg"")"),"елементарен")</f>
        <v>елементарен</v>
      </c>
      <c r="D4272" s="1" t="str">
        <f ca="1">IFERROR(__xludf.DUMMYFUNCTION("GOOGLETRANSLATE(English!D4272, ""en"", ""bg"")"),"безопасност")</f>
        <v>безопасност</v>
      </c>
      <c r="E4272" s="1" t="str">
        <f ca="1">IFERROR(__xludf.DUMMYFUNCTION("GOOGLETRANSLATE(English!E4272, ""en"", ""bg"")"),"Не разбирам тази тема. Защо е важно да се учи безопасността?")</f>
        <v>Не разбирам тази тема. Защо е важно да се учи безопасността?</v>
      </c>
      <c r="F4272" s="1" t="str">
        <f ca="1">IFERROR(__xludf.DUMMYFUNCTION("GOOGLETRANSLATE(English!F4272,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4272" s="1" t="str">
        <f ca="1">IFERROR(__xludf.DUMMYFUNCTION("GOOGLETRANSLATE(English!G4272, ""en"", ""bg"")"),"разговор")</f>
        <v>разговор</v>
      </c>
      <c r="H4272" s="1" t="str">
        <f ca="1">IFERROR(__xludf.DUMMYFUNCTION("GOOGLETRANSLATE(English!H4272, ""en"", ""bg"")"),"образователна_помощ")</f>
        <v>образователна_помощ</v>
      </c>
    </row>
    <row r="4273" spans="1:8" ht="13.2" x14ac:dyDescent="0.25">
      <c r="A4273" s="1" t="str">
        <f ca="1">IFERROR(__xludf.DUMMYFUNCTION("GOOGLETRANSLATE(English!A4273, ""en"", ""bg"")"),"qa_03032")</f>
        <v>qa_03032</v>
      </c>
      <c r="B4273" s="1" t="str">
        <f ca="1">IFERROR(__xludf.DUMMYFUNCTION("GOOGLETRANSLATE(English!B4273, ""en"", ""bg"")"),"физика")</f>
        <v>физика</v>
      </c>
      <c r="C4273" s="1" t="str">
        <f ca="1">IFERROR(__xludf.DUMMYFUNCTION("GOOGLETRANSLATE(English!C4273, ""en"", ""bg"")"),"елементарен")</f>
        <v>елементарен</v>
      </c>
      <c r="D4273" s="1" t="str">
        <f ca="1">IFERROR(__xludf.DUMMYFUNCTION("GOOGLETRANSLATE(English!D4273, ""en"", ""bg"")"),"горещо и студено")</f>
        <v>горещо и студено</v>
      </c>
      <c r="E4273" s="1" t="str">
        <f ca="1">IFERROR(__xludf.DUMMYFUNCTION("GOOGLETRANSLATE(English!E4273, ""en"", ""bg"")"),"Можете ли да ми обясните какво е топло и студено?")</f>
        <v>Можете ли да ми обясните какво е топло и студено?</v>
      </c>
      <c r="F4273" s="1" t="str">
        <f ca="1">IFERROR(__xludf.DUMMYFUNCTION("GOOGLETRANSLATE(English!F4273,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4273" s="1" t="str">
        <f ca="1">IFERROR(__xludf.DUMMYFUNCTION("GOOGLETRANSLATE(English!G4273, ""en"", ""bg"")"),"direct_qa")</f>
        <v>direct_qa</v>
      </c>
      <c r="H4273" s="1" t="str">
        <f ca="1">IFERROR(__xludf.DUMMYFUNCTION("GOOGLETRANSLATE(English!H4273, ""en"", ""bg"")"),"заявка_за_знание")</f>
        <v>заявка_за_знание</v>
      </c>
    </row>
    <row r="4274" spans="1:8" ht="13.2" x14ac:dyDescent="0.25">
      <c r="A4274" s="1" t="str">
        <f ca="1">IFERROR(__xludf.DUMMYFUNCTION("GOOGLETRANSLATE(English!A4274, ""en"", ""bg"")"),"conv_15273")</f>
        <v>conv_15273</v>
      </c>
      <c r="B4274" s="1" t="str">
        <f ca="1">IFERROR(__xludf.DUMMYFUNCTION("GOOGLETRANSLATE(English!B4274, ""en"", ""bg"")"),"химия")</f>
        <v>химия</v>
      </c>
      <c r="C4274" s="1" t="str">
        <f ca="1">IFERROR(__xludf.DUMMYFUNCTION("GOOGLETRANSLATE(English!C4274, ""en"", ""bg"")"),"високо")</f>
        <v>високо</v>
      </c>
      <c r="D4274" s="1" t="str">
        <f ca="1">IFERROR(__xludf.DUMMYFUNCTION("GOOGLETRANSLATE(English!D4274, ""en"", ""bg"")"),"равновесие")</f>
        <v>равновесие</v>
      </c>
      <c r="E4274" s="1" t="str">
        <f ca="1">IFERROR(__xludf.DUMMYFUNCTION("GOOGLETRANSLATE(English!E4274, ""en"", ""bg"")"),"Не разбирам тази тема. Защо е важно да се учи равновесие?")</f>
        <v>Не разбирам тази тема. Защо е важно да се учи равновесие?</v>
      </c>
      <c r="F4274" s="1" t="str">
        <f ca="1">IFERROR(__xludf.DUMMYFUNCTION("GOOGLETRANSLATE(English!F4274,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274" s="1" t="str">
        <f ca="1">IFERROR(__xludf.DUMMYFUNCTION("GOOGLETRANSLATE(English!G4274, ""en"", ""bg"")"),"разговор")</f>
        <v>разговор</v>
      </c>
      <c r="H4274" s="1" t="str">
        <f ca="1">IFERROR(__xludf.DUMMYFUNCTION("GOOGLETRANSLATE(English!H4274, ""en"", ""bg"")"),"образователна_помощ")</f>
        <v>образователна_помощ</v>
      </c>
    </row>
    <row r="4275" spans="1:8" ht="13.2" x14ac:dyDescent="0.25">
      <c r="A4275" s="1" t="str">
        <f ca="1">IFERROR(__xludf.DUMMYFUNCTION("GOOGLETRANSLATE(English!A4275, ""en"", ""bg"")"),"qa_07131")</f>
        <v>qa_07131</v>
      </c>
      <c r="B4275" s="1" t="str">
        <f ca="1">IFERROR(__xludf.DUMMYFUNCTION("GOOGLETRANSLATE(English!B4275, ""en"", ""bg"")"),"физика")</f>
        <v>физика</v>
      </c>
      <c r="C4275" s="1" t="str">
        <f ca="1">IFERROR(__xludf.DUMMYFUNCTION("GOOGLETRANSLATE(English!C4275, ""en"", ""bg"")"),"високо")</f>
        <v>високо</v>
      </c>
      <c r="D4275" s="1" t="str">
        <f ca="1">IFERROR(__xludf.DUMMYFUNCTION("GOOGLETRANSLATE(English!D4275, ""en"", ""bg"")"),"електромагнетизъм")</f>
        <v>електромагнетизъм</v>
      </c>
      <c r="E4275" s="1" t="str">
        <f ca="1">IFERROR(__xludf.DUMMYFUNCTION("GOOGLETRANSLATE(English!E4275, ""en"", ""bg"")"),"Можете ли да ми обясните електромагнетизма?")</f>
        <v>Можете ли да ми обясните електромагнетизма?</v>
      </c>
      <c r="F4275" s="1" t="str">
        <f ca="1">IFERROR(__xludf.DUMMYFUNCTION("GOOGLETRANSLATE(English!F4275,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4275" s="1" t="str">
        <f ca="1">IFERROR(__xludf.DUMMYFUNCTION("GOOGLETRANSLATE(English!G4275, ""en"", ""bg"")"),"direct_qa")</f>
        <v>direct_qa</v>
      </c>
      <c r="H4275" s="1" t="str">
        <f ca="1">IFERROR(__xludf.DUMMYFUNCTION("GOOGLETRANSLATE(English!H4275, ""en"", ""bg"")"),"заявка_за_знание")</f>
        <v>заявка_за_знание</v>
      </c>
    </row>
    <row r="4276" spans="1:8" ht="13.2" x14ac:dyDescent="0.25">
      <c r="A4276" s="1" t="str">
        <f ca="1">IFERROR(__xludf.DUMMYFUNCTION("GOOGLETRANSLATE(English!A4276, ""en"", ""bg"")"),"conv_08734")</f>
        <v>conv_08734</v>
      </c>
      <c r="B4276" s="1" t="str">
        <f ca="1">IFERROR(__xludf.DUMMYFUNCTION("GOOGLETRANSLATE(English!B4276, ""en"", ""bg"")"),"физика")</f>
        <v>физика</v>
      </c>
      <c r="C4276" s="1" t="str">
        <f ca="1">IFERROR(__xludf.DUMMYFUNCTION("GOOGLETRANSLATE(English!C4276, ""en"", ""bg"")"),"средата")</f>
        <v>средата</v>
      </c>
      <c r="D4276" s="1" t="str">
        <f ca="1">IFERROR(__xludf.DUMMYFUNCTION("GOOGLETRANSLATE(English!D4276, ""en"", ""bg"")"),"плътност")</f>
        <v>плътност</v>
      </c>
      <c r="E4276" s="1" t="str">
        <f ca="1">IFERROR(__xludf.DUMMYFUNCTION("GOOGLETRANSLATE(English!E4276, ""en"", ""bg"")"),"Не разбирам тази тема. Защо плътността е важна?")</f>
        <v>Не разбирам тази тема. Защо плътността е важна?</v>
      </c>
      <c r="F4276" s="1" t="str">
        <f ca="1">IFERROR(__xludf.DUMMYFUNCTION("GOOGLETRANSLATE(English!F4276,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4276" s="1" t="str">
        <f ca="1">IFERROR(__xludf.DUMMYFUNCTION("GOOGLETRANSLATE(English!G4276, ""en"", ""bg"")"),"разговор")</f>
        <v>разговор</v>
      </c>
      <c r="H4276" s="1" t="str">
        <f ca="1">IFERROR(__xludf.DUMMYFUNCTION("GOOGLETRANSLATE(English!H4276, ""en"", ""bg"")"),"образователна_помощ")</f>
        <v>образователна_помощ</v>
      </c>
    </row>
    <row r="4277" spans="1:8" ht="13.2" x14ac:dyDescent="0.25">
      <c r="A4277" s="1" t="str">
        <f ca="1">IFERROR(__xludf.DUMMYFUNCTION("GOOGLETRANSLATE(English!A4277, ""en"", ""bg"")"),"qa_01747")</f>
        <v>qa_01747</v>
      </c>
      <c r="B4277" s="1" t="str">
        <f ca="1">IFERROR(__xludf.DUMMYFUNCTION("GOOGLETRANSLATE(English!B4277, ""en"", ""bg"")"),"химия")</f>
        <v>химия</v>
      </c>
      <c r="C4277" s="1" t="str">
        <f ca="1">IFERROR(__xludf.DUMMYFUNCTION("GOOGLETRANSLATE(English!C4277, ""en"", ""bg"")"),"средата")</f>
        <v>средата</v>
      </c>
      <c r="D4277" s="1" t="str">
        <f ca="1">IFERROR(__xludf.DUMMYFUNCTION("GOOGLETRANSLATE(English!D4277, ""en"", ""bg"")"),"съединения срещу елементи")</f>
        <v>съединения срещу елементи</v>
      </c>
      <c r="E4277" s="1" t="str">
        <f ca="1">IFERROR(__xludf.DUMMYFUNCTION("GOOGLETRANSLATE(English!E4277, ""en"", ""bg"")"),"Какво представляват съединенията срещу елементите?")</f>
        <v>Какво представляват съединенията срещу елементите?</v>
      </c>
      <c r="F4277" s="1" t="str">
        <f ca="1">IFERROR(__xludf.DUMMYFUNCTION("GOOGLETRANSLATE(English!F4277,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4277" s="1" t="str">
        <f ca="1">IFERROR(__xludf.DUMMYFUNCTION("GOOGLETRANSLATE(English!G4277, ""en"", ""bg"")"),"direct_qa")</f>
        <v>direct_qa</v>
      </c>
      <c r="H4277" s="1" t="str">
        <f ca="1">IFERROR(__xludf.DUMMYFUNCTION("GOOGLETRANSLATE(English!H4277, ""en"", ""bg"")"),"заявка_за_знание")</f>
        <v>заявка_за_знание</v>
      </c>
    </row>
    <row r="4278" spans="1:8" ht="13.2" x14ac:dyDescent="0.25">
      <c r="A4278" s="1" t="str">
        <f ca="1">IFERROR(__xludf.DUMMYFUNCTION("GOOGLETRANSLATE(English!A4278, ""en"", ""bg"")"),"hw_04687")</f>
        <v>hw_04687</v>
      </c>
      <c r="B4278" s="1" t="str">
        <f ca="1">IFERROR(__xludf.DUMMYFUNCTION("GOOGLETRANSLATE(English!B4278, ""en"", ""bg"")"),"химия")</f>
        <v>химия</v>
      </c>
      <c r="C4278" s="1" t="str">
        <f ca="1">IFERROR(__xludf.DUMMYFUNCTION("GOOGLETRANSLATE(English!C4278, ""en"", ""bg"")"),"високо")</f>
        <v>високо</v>
      </c>
      <c r="D4278" s="1" t="str">
        <f ca="1">IFERROR(__xludf.DUMMYFUNCTION("GOOGLETRANSLATE(English!D4278, ""en"", ""bg"")"),"скорости на реакция")</f>
        <v>скорости на реакция</v>
      </c>
      <c r="E4278" s="1" t="str">
        <f ca="1">IFERROR(__xludf.DUMMYFUNCTION("GOOGLETRANSLATE(English!E4278, ""en"", ""bg"")"),"Докладът ми по химия е за скоростите на реакциите. Помогнете ми да разбера.")</f>
        <v>Докладът ми по химия е за скоростите на реакциите. Помогнете ми да разбера.</v>
      </c>
      <c r="F4278" s="1" t="str">
        <f ca="1">IFERROR(__xludf.DUMMYFUNCTION("GOOGLETRANSLATE(English!F4278,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4278" s="1" t="str">
        <f ca="1">IFERROR(__xludf.DUMMYFUNCTION("GOOGLETRANSLATE(English!G4278, ""en"", ""bg"")"),"помощ_за_домашно_изпълнение")</f>
        <v>помощ_за_домашно_изпълнение</v>
      </c>
      <c r="H4278" s="1" t="str">
        <f ca="1">IFERROR(__xludf.DUMMYFUNCTION("GOOGLETRANSLATE(English!H4278, ""en"", ""bg"")"),"помощ_за_домашно_задаване")</f>
        <v>помощ_за_домашно_задаване</v>
      </c>
    </row>
    <row r="4279" spans="1:8" ht="13.2" x14ac:dyDescent="0.25">
      <c r="A4279" s="1" t="str">
        <f ca="1">IFERROR(__xludf.DUMMYFUNCTION("GOOGLETRANSLATE(English!A4279, ""en"", ""bg"")"),"conv_16366")</f>
        <v>conv_16366</v>
      </c>
      <c r="B4279" s="1" t="str">
        <f ca="1">IFERROR(__xludf.DUMMYFUNCTION("GOOGLETRANSLATE(English!B4279, ""en"", ""bg"")"),"физика")</f>
        <v>физика</v>
      </c>
      <c r="C4279" s="1" t="str">
        <f ca="1">IFERROR(__xludf.DUMMYFUNCTION("GOOGLETRANSLATE(English!C4279, ""en"", ""bg"")"),"елементарен")</f>
        <v>елементарен</v>
      </c>
      <c r="D4279" s="1" t="str">
        <f ca="1">IFERROR(__xludf.DUMMYFUNCTION("GOOGLETRANSLATE(English!D4279, ""en"", ""bg"")"),"прости машини")</f>
        <v>прости машини</v>
      </c>
      <c r="E4279" s="1" t="str">
        <f ca="1">IFERROR(__xludf.DUMMYFUNCTION("GOOGLETRANSLATE(English!E4279, ""en"", ""bg"")"),"Можете ли да ми обясните това? Как работят прости машини във физиката?")</f>
        <v>Можете ли да ми обясните това? Как работят прости машини във физиката?</v>
      </c>
      <c r="F4279" s="1" t="str">
        <f ca="1">IFERROR(__xludf.DUMMYFUNCTION("GOOGLETRANSLATE(English!F4279,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4279" s="1" t="str">
        <f ca="1">IFERROR(__xludf.DUMMYFUNCTION("GOOGLETRANSLATE(English!G4279, ""en"", ""bg"")"),"разговор")</f>
        <v>разговор</v>
      </c>
      <c r="H4279" s="1" t="str">
        <f ca="1">IFERROR(__xludf.DUMMYFUNCTION("GOOGLETRANSLATE(English!H4279, ""en"", ""bg"")"),"образователна_помощ")</f>
        <v>образователна_помощ</v>
      </c>
    </row>
    <row r="4280" spans="1:8" ht="13.2" x14ac:dyDescent="0.25">
      <c r="A4280" s="1" t="str">
        <f ca="1">IFERROR(__xludf.DUMMYFUNCTION("GOOGLETRANSLATE(English!A4280, ""en"", ""bg"")"),"qa_04481")</f>
        <v>qa_04481</v>
      </c>
      <c r="B4280" s="1" t="str">
        <f ca="1">IFERROR(__xludf.DUMMYFUNCTION("GOOGLETRANSLATE(English!B4280, ""en"", ""bg"")"),"физика")</f>
        <v>физика</v>
      </c>
      <c r="C4280" s="1" t="str">
        <f ca="1">IFERROR(__xludf.DUMMYFUNCTION("GOOGLETRANSLATE(English!C4280, ""en"", ""bg"")"),"елементарен")</f>
        <v>елементарен</v>
      </c>
      <c r="D4280" s="1" t="str">
        <f ca="1">IFERROR(__xludf.DUMMYFUNCTION("GOOGLETRANSLATE(English!D4280, ""en"", ""bg"")"),"звук")</f>
        <v>звук</v>
      </c>
      <c r="E4280" s="1" t="str">
        <f ca="1">IFERROR(__xludf.DUMMYFUNCTION("GOOGLETRANSLATE(English!E4280, ""en"", ""bg"")"),"Защо звукът е важен?")</f>
        <v>Защо звукът е важен?</v>
      </c>
      <c r="F4280" s="1" t="str">
        <f ca="1">IFERROR(__xludf.DUMMYFUNCTION("GOOGLETRANSLATE(English!F4280,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4280" s="1" t="str">
        <f ca="1">IFERROR(__xludf.DUMMYFUNCTION("GOOGLETRANSLATE(English!G4280, ""en"", ""bg"")"),"direct_qa")</f>
        <v>direct_qa</v>
      </c>
      <c r="H4280" s="1" t="str">
        <f ca="1">IFERROR(__xludf.DUMMYFUNCTION("GOOGLETRANSLATE(English!H4280, ""en"", ""bg"")"),"заявка_за_знание")</f>
        <v>заявка_за_знание</v>
      </c>
    </row>
    <row r="4281" spans="1:8" ht="13.2" x14ac:dyDescent="0.25">
      <c r="A4281" s="1" t="str">
        <f ca="1">IFERROR(__xludf.DUMMYFUNCTION("GOOGLETRANSLATE(English!A4281, ""en"", ""bg"")"),"hw_01067")</f>
        <v>hw_01067</v>
      </c>
      <c r="B4281" s="1" t="str">
        <f ca="1">IFERROR(__xludf.DUMMYFUNCTION("GOOGLETRANSLATE(English!B4281, ""en"", ""bg"")"),"биология")</f>
        <v>биология</v>
      </c>
      <c r="C4281" s="1" t="str">
        <f ca="1">IFERROR(__xludf.DUMMYFUNCTION("GOOGLETRANSLATE(English!C4281, ""en"", ""bg"")"),"високо")</f>
        <v>високо</v>
      </c>
      <c r="D4281" s="1" t="str">
        <f ca="1">IFERROR(__xludf.DUMMYFUNCTION("GOOGLETRANSLATE(English!D4281, ""en"", ""bg"")"),"молекулярна биология")</f>
        <v>молекулярна биология</v>
      </c>
      <c r="E4281" s="1" t="str">
        <f ca="1">IFERROR(__xludf.DUMMYFUNCTION("GOOGLETRANSLATE(English!E4281, ""en"", ""bg"")"),"Можете ли да обясните молекулярната биология за моя научен проект?")</f>
        <v>Можете ли да обясните молекулярната биология за моя научен проект?</v>
      </c>
      <c r="F4281" s="1" t="str">
        <f ca="1">IFERROR(__xludf.DUMMYFUNCTION("GOOGLETRANSLATE(English!F4281,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281" s="1" t="str">
        <f ca="1">IFERROR(__xludf.DUMMYFUNCTION("GOOGLETRANSLATE(English!G4281, ""en"", ""bg"")"),"помощ_за_домашно_изпълнение")</f>
        <v>помощ_за_домашно_изпълнение</v>
      </c>
      <c r="H4281" s="1" t="str">
        <f ca="1">IFERROR(__xludf.DUMMYFUNCTION("GOOGLETRANSLATE(English!H4281, ""en"", ""bg"")"),"помощ_за_домашно_задаване")</f>
        <v>помощ_за_домашно_задаване</v>
      </c>
    </row>
    <row r="4282" spans="1:8" ht="13.2" x14ac:dyDescent="0.25">
      <c r="A4282" s="1" t="str">
        <f ca="1">IFERROR(__xludf.DUMMYFUNCTION("GOOGLETRANSLATE(English!A4282, ""en"", ""bg"")"),"conv_10305")</f>
        <v>conv_10305</v>
      </c>
      <c r="B4282" s="1" t="str">
        <f ca="1">IFERROR(__xludf.DUMMYFUNCTION("GOOGLETRANSLATE(English!B4282, ""en"", ""bg"")"),"химия")</f>
        <v>химия</v>
      </c>
      <c r="C4282" s="1" t="str">
        <f ca="1">IFERROR(__xludf.DUMMYFUNCTION("GOOGLETRANSLATE(English!C4282, ""en"", ""bg"")"),"високо")</f>
        <v>високо</v>
      </c>
      <c r="D4282" s="1" t="str">
        <f ca="1">IFERROR(__xludf.DUMMYFUNCTION("GOOGLETRANSLATE(English!D4282, ""en"", ""bg"")"),"органична химия")</f>
        <v>органична химия</v>
      </c>
      <c r="E4282" s="1" t="str">
        <f ca="1">IFERROR(__xludf.DUMMYFUNCTION("GOOGLETRANSLATE(English!E4282, ""en"", ""bg"")"),"Здравей, преподавателю! Защо е важно да се учи органична химия?")</f>
        <v>Здравей, преподавателю! Защо е важно да се учи органична химия?</v>
      </c>
      <c r="F4282" s="1" t="str">
        <f ca="1">IFERROR(__xludf.DUMMYFUNCTION("GOOGLETRANSLATE(English!F4282,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4282" s="1" t="str">
        <f ca="1">IFERROR(__xludf.DUMMYFUNCTION("GOOGLETRANSLATE(English!G4282, ""en"", ""bg"")"),"разговор")</f>
        <v>разговор</v>
      </c>
      <c r="H4282" s="1" t="str">
        <f ca="1">IFERROR(__xludf.DUMMYFUNCTION("GOOGLETRANSLATE(English!H4282, ""en"", ""bg"")"),"образователна_помощ")</f>
        <v>образователна_помощ</v>
      </c>
    </row>
    <row r="4283" spans="1:8" ht="13.2" x14ac:dyDescent="0.25">
      <c r="A4283" s="1" t="str">
        <f ca="1">IFERROR(__xludf.DUMMYFUNCTION("GOOGLETRANSLATE(English!A4283, ""en"", ""bg"")"),"qa_05281")</f>
        <v>qa_05281</v>
      </c>
      <c r="B4283" s="1" t="str">
        <f ca="1">IFERROR(__xludf.DUMMYFUNCTION("GOOGLETRANSLATE(English!B4283, ""en"", ""bg"")"),"биология")</f>
        <v>биология</v>
      </c>
      <c r="C4283" s="1" t="str">
        <f ca="1">IFERROR(__xludf.DUMMYFUNCTION("GOOGLETRANSLATE(English!C4283, ""en"", ""bg"")"),"елементарен")</f>
        <v>елементарен</v>
      </c>
      <c r="D4283" s="1" t="str">
        <f ca="1">IFERROR(__xludf.DUMMYFUNCTION("GOOGLETRANSLATE(English!D4283, ""en"", ""bg"")"),"сетива")</f>
        <v>сетива</v>
      </c>
      <c r="E4283" s="1" t="str">
        <f ca="1">IFERROR(__xludf.DUMMYFUNCTION("GOOGLETRANSLATE(English!E4283, ""en"", ""bg"")"),"Можете ли да ми разкажете за сетивата?")</f>
        <v>Можете ли да ми разкажете за сетивата?</v>
      </c>
      <c r="F4283" s="1" t="str">
        <f ca="1">IFERROR(__xludf.DUMMYFUNCTION("GOOGLETRANSLATE(English!F4283,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4283" s="1" t="str">
        <f ca="1">IFERROR(__xludf.DUMMYFUNCTION("GOOGLETRANSLATE(English!G4283, ""en"", ""bg"")"),"direct_qa")</f>
        <v>direct_qa</v>
      </c>
      <c r="H4283" s="1" t="str">
        <f ca="1">IFERROR(__xludf.DUMMYFUNCTION("GOOGLETRANSLATE(English!H4283, ""en"", ""bg"")"),"заявка_за_знание")</f>
        <v>заявка_за_знание</v>
      </c>
    </row>
    <row r="4284" spans="1:8" ht="13.2" x14ac:dyDescent="0.25">
      <c r="A4284" s="1" t="str">
        <f ca="1">IFERROR(__xludf.DUMMYFUNCTION("GOOGLETRANSLATE(English!A4284, ""en"", ""bg"")"),"conv_04424")</f>
        <v>conv_04424</v>
      </c>
      <c r="B4284" s="1" t="str">
        <f ca="1">IFERROR(__xludf.DUMMYFUNCTION("GOOGLETRANSLATE(English!B4284, ""en"", ""bg"")"),"физика")</f>
        <v>физика</v>
      </c>
      <c r="C4284" s="1" t="str">
        <f ca="1">IFERROR(__xludf.DUMMYFUNCTION("GOOGLETRANSLATE(English!C4284, ""en"", ""bg"")"),"елементарен")</f>
        <v>елементарен</v>
      </c>
      <c r="D4284" s="1" t="str">
        <f ca="1">IFERROR(__xludf.DUMMYFUNCTION("GOOGLETRANSLATE(English!D4284, ""en"", ""bg"")"),"светлина и сянка")</f>
        <v>светлина и сянка</v>
      </c>
      <c r="E4284" s="1" t="str">
        <f ca="1">IFERROR(__xludf.DUMMYFUNCTION("GOOGLETRANSLATE(English!E4284, ""en"", ""bg"")"),"Можете ли да ми помогнете? Какво се случва, когато светлината попадне в огледало?")</f>
        <v>Можете ли да ми помогнете? Какво се случва, когато светлината попадне в огледало?</v>
      </c>
      <c r="F4284" s="1" t="str">
        <f ca="1">IFERROR(__xludf.DUMMYFUNCTION("GOOGLETRANSLATE(English!F4284,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4284" s="1" t="str">
        <f ca="1">IFERROR(__xludf.DUMMYFUNCTION("GOOGLETRANSLATE(English!G4284, ""en"", ""bg"")"),"разговор")</f>
        <v>разговор</v>
      </c>
      <c r="H4284" s="1" t="str">
        <f ca="1">IFERROR(__xludf.DUMMYFUNCTION("GOOGLETRANSLATE(English!H4284, ""en"", ""bg"")"),"образователна_помощ")</f>
        <v>образователна_помощ</v>
      </c>
    </row>
    <row r="4285" spans="1:8" ht="13.2" x14ac:dyDescent="0.25">
      <c r="A4285" s="1" t="str">
        <f ca="1">IFERROR(__xludf.DUMMYFUNCTION("GOOGLETRANSLATE(English!A4285, ""en"", ""bg"")"),"qa_09447")</f>
        <v>qa_09447</v>
      </c>
      <c r="B4285" s="1" t="str">
        <f ca="1">IFERROR(__xludf.DUMMYFUNCTION("GOOGLETRANSLATE(English!B4285, ""en"", ""bg"")"),"биология")</f>
        <v>биология</v>
      </c>
      <c r="C4285" s="1" t="str">
        <f ca="1">IFERROR(__xludf.DUMMYFUNCTION("GOOGLETRANSLATE(English!C4285, ""en"", ""bg"")"),"елементарен")</f>
        <v>елементарен</v>
      </c>
      <c r="D4285" s="1" t="str">
        <f ca="1">IFERROR(__xludf.DUMMYFUNCTION("GOOGLETRANSLATE(English!D4285, ""en"", ""bg"")"),"сетива")</f>
        <v>сетива</v>
      </c>
      <c r="E4285" s="1" t="str">
        <f ca="1">IFERROR(__xludf.DUMMYFUNCTION("GOOGLETRANSLATE(English!E4285, ""en"", ""bg"")"),"Как работят сетивата?")</f>
        <v>Как работят сетивата?</v>
      </c>
      <c r="F4285" s="1" t="str">
        <f ca="1">IFERROR(__xludf.DUMMYFUNCTION("GOOGLETRANSLATE(English!F4285, ""en"", ""bg"")"),"Сетивата работят чрез естествени процеси, които учените изучават в продължение на много години.")</f>
        <v>Сетивата работят чрез естествени процеси, които учените изучават в продължение на много години.</v>
      </c>
      <c r="G4285" s="1" t="str">
        <f ca="1">IFERROR(__xludf.DUMMYFUNCTION("GOOGLETRANSLATE(English!G4285, ""en"", ""bg"")"),"direct_qa")</f>
        <v>direct_qa</v>
      </c>
      <c r="H4285" s="1" t="str">
        <f ca="1">IFERROR(__xludf.DUMMYFUNCTION("GOOGLETRANSLATE(English!H4285, ""en"", ""bg"")"),"заявка_за_знание")</f>
        <v>заявка_за_знание</v>
      </c>
    </row>
    <row r="4286" spans="1:8" ht="13.2" x14ac:dyDescent="0.25">
      <c r="A4286" s="1" t="str">
        <f ca="1">IFERROR(__xludf.DUMMYFUNCTION("GOOGLETRANSLATE(English!A4286, ""en"", ""bg"")"),"qa_13662")</f>
        <v>qa_13662</v>
      </c>
      <c r="B4286" s="1" t="str">
        <f ca="1">IFERROR(__xludf.DUMMYFUNCTION("GOOGLETRANSLATE(English!B4286, ""en"", ""bg"")"),"физика")</f>
        <v>физика</v>
      </c>
      <c r="C4286" s="1" t="str">
        <f ca="1">IFERROR(__xludf.DUMMYFUNCTION("GOOGLETRANSLATE(English!C4286, ""en"", ""bg"")"),"високо")</f>
        <v>високо</v>
      </c>
      <c r="D4286" s="1" t="str">
        <f ca="1">IFERROR(__xludf.DUMMYFUNCTION("GOOGLETRANSLATE(English!D4286, ""en"", ""bg"")"),"термодинамика")</f>
        <v>термодинамика</v>
      </c>
      <c r="E4286" s="1" t="str">
        <f ca="1">IFERROR(__xludf.DUMMYFUNCTION("GOOGLETRANSLATE(English!E4286, ""en"", ""bg"")"),"Как работи термодинамиката във физиката?")</f>
        <v>Как работи термодинамиката във физиката?</v>
      </c>
      <c r="F4286" s="1" t="str">
        <f ca="1">IFERROR(__xludf.DUMMYFUNCTION("GOOGLETRANSLATE(English!F4286,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4286" s="1" t="str">
        <f ca="1">IFERROR(__xludf.DUMMYFUNCTION("GOOGLETRANSLATE(English!G4286, ""en"", ""bg"")"),"direct_qa")</f>
        <v>direct_qa</v>
      </c>
      <c r="H4286" s="1" t="str">
        <f ca="1">IFERROR(__xludf.DUMMYFUNCTION("GOOGLETRANSLATE(English!H4286, ""en"", ""bg"")"),"заявка_за_знание")</f>
        <v>заявка_за_знание</v>
      </c>
    </row>
    <row r="4287" spans="1:8" ht="13.2" x14ac:dyDescent="0.25">
      <c r="A4287" s="1" t="str">
        <f ca="1">IFERROR(__xludf.DUMMYFUNCTION("GOOGLETRANSLATE(English!A4287, ""en"", ""bg"")"),"conv_07668")</f>
        <v>conv_07668</v>
      </c>
      <c r="B4287" s="1" t="str">
        <f ca="1">IFERROR(__xludf.DUMMYFUNCTION("GOOGLETRANSLATE(English!B4287, ""en"", ""bg"")"),"химия")</f>
        <v>химия</v>
      </c>
      <c r="C4287" s="1" t="str">
        <f ca="1">IFERROR(__xludf.DUMMYFUNCTION("GOOGLETRANSLATE(English!C4287, ""en"", ""bg"")"),"високо")</f>
        <v>високо</v>
      </c>
      <c r="D4287" s="1" t="str">
        <f ca="1">IFERROR(__xludf.DUMMYFUNCTION("GOOGLETRANSLATE(English!D4287, ""en"", ""bg"")"),"химическо свързване")</f>
        <v>химическо свързване</v>
      </c>
      <c r="E4287" s="1" t="str">
        <f ca="1">IFERROR(__xludf.DUMMYFUNCTION("GOOGLETRANSLATE(English!E4287, ""en"", ""bg"")"),"Здравей, преподавателю! Какво представлява химичното свързване?")</f>
        <v>Здравей, преподавателю! Какво представлява химичното свързване?</v>
      </c>
      <c r="F4287" s="1" t="str">
        <f ca="1">IFERROR(__xludf.DUMMYFUNCTION("GOOGLETRANSLATE(English!F4287,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4287" s="1" t="str">
        <f ca="1">IFERROR(__xludf.DUMMYFUNCTION("GOOGLETRANSLATE(English!G4287, ""en"", ""bg"")"),"разговор")</f>
        <v>разговор</v>
      </c>
      <c r="H4287" s="1" t="str">
        <f ca="1">IFERROR(__xludf.DUMMYFUNCTION("GOOGLETRANSLATE(English!H4287, ""en"", ""bg"")"),"образователна_помощ")</f>
        <v>образователна_помощ</v>
      </c>
    </row>
    <row r="4288" spans="1:8" ht="13.2" x14ac:dyDescent="0.25">
      <c r="A4288" s="1" t="str">
        <f ca="1">IFERROR(__xludf.DUMMYFUNCTION("GOOGLETRANSLATE(English!A4288, ""en"", ""bg"")"),"hw_04601")</f>
        <v>hw_04601</v>
      </c>
      <c r="B4288" s="1" t="str">
        <f ca="1">IFERROR(__xludf.DUMMYFUNCTION("GOOGLETRANSLATE(English!B4288, ""en"", ""bg"")"),"биология")</f>
        <v>биология</v>
      </c>
      <c r="C4288" s="1" t="str">
        <f ca="1">IFERROR(__xludf.DUMMYFUNCTION("GOOGLETRANSLATE(English!C4288, ""en"", ""bg"")"),"средата")</f>
        <v>средата</v>
      </c>
      <c r="D4288" s="1" t="str">
        <f ca="1">IFERROR(__xludf.DUMMYFUNCTION("GOOGLETRANSLATE(English!D4288, ""en"", ""bg"")"),"класификация")</f>
        <v>класификация</v>
      </c>
      <c r="E4288" s="1" t="str">
        <f ca="1">IFERROR(__xludf.DUMMYFUNCTION("GOOGLETRANSLATE(English!E4288, ""en"", ""bg"")"),"Можете ли да обясните класификацията за моя научен проект?")</f>
        <v>Можете ли да обясните класификацията за моя научен проект?</v>
      </c>
      <c r="F4288" s="1" t="str">
        <f ca="1">IFERROR(__xludf.DUMMYFUNCTION("GOOGLETRANSLATE(English!F4288,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4288" s="1" t="str">
        <f ca="1">IFERROR(__xludf.DUMMYFUNCTION("GOOGLETRANSLATE(English!G4288, ""en"", ""bg"")"),"помощ_за_домашно_изпълнение")</f>
        <v>помощ_за_домашно_изпълнение</v>
      </c>
      <c r="H4288" s="1" t="str">
        <f ca="1">IFERROR(__xludf.DUMMYFUNCTION("GOOGLETRANSLATE(English!H4288, ""en"", ""bg"")"),"помощ_за_домашно_задаване")</f>
        <v>помощ_за_домашно_задаване</v>
      </c>
    </row>
    <row r="4289" spans="1:8" ht="13.2" x14ac:dyDescent="0.25">
      <c r="A4289" s="1" t="str">
        <f ca="1">IFERROR(__xludf.DUMMYFUNCTION("GOOGLETRANSLATE(English!A4289, ""en"", ""bg"")"),"conv_17209")</f>
        <v>conv_17209</v>
      </c>
      <c r="B4289" s="1" t="str">
        <f ca="1">IFERROR(__xludf.DUMMYFUNCTION("GOOGLETRANSLATE(English!B4289, ""en"", ""bg"")"),"физика")</f>
        <v>физика</v>
      </c>
      <c r="C4289" s="1" t="str">
        <f ca="1">IFERROR(__xludf.DUMMYFUNCTION("GOOGLETRANSLATE(English!C4289, ""en"", ""bg"")"),"средата")</f>
        <v>средата</v>
      </c>
      <c r="D4289" s="1" t="str">
        <f ca="1">IFERROR(__xludf.DUMMYFUNCTION("GOOGLETRANSLATE(English!D4289, ""en"", ""bg"")"),"прости схеми")</f>
        <v>прости схеми</v>
      </c>
      <c r="E4289" s="1" t="str">
        <f ca="1">IFERROR(__xludf.DUMMYFUNCTION("GOOGLETRANSLATE(English!E4289, ""en"", ""bg"")"),"Не разбирам тази тема. Как работят прости електрически вериги във физиката?")</f>
        <v>Не разбирам тази тема. Как работят прости електрически вериги във физиката?</v>
      </c>
      <c r="F4289" s="1" t="str">
        <f ca="1">IFERROR(__xludf.DUMMYFUNCTION("GOOGLETRANSLATE(English!F4289,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4289" s="1" t="str">
        <f ca="1">IFERROR(__xludf.DUMMYFUNCTION("GOOGLETRANSLATE(English!G4289, ""en"", ""bg"")"),"разговор")</f>
        <v>разговор</v>
      </c>
      <c r="H4289" s="1" t="str">
        <f ca="1">IFERROR(__xludf.DUMMYFUNCTION("GOOGLETRANSLATE(English!H4289, ""en"", ""bg"")"),"образователна_помощ")</f>
        <v>образователна_помощ</v>
      </c>
    </row>
    <row r="4290" spans="1:8" ht="13.2" x14ac:dyDescent="0.25">
      <c r="A4290" s="1" t="str">
        <f ca="1">IFERROR(__xludf.DUMMYFUNCTION("GOOGLETRANSLATE(English!A4290, ""en"", ""bg"")"),"hw_04933")</f>
        <v>hw_04933</v>
      </c>
      <c r="B4290" s="1" t="str">
        <f ca="1">IFERROR(__xludf.DUMMYFUNCTION("GOOGLETRANSLATE(English!B4290, ""en"", ""bg"")"),"биология")</f>
        <v>биология</v>
      </c>
      <c r="C4290" s="1" t="str">
        <f ca="1">IFERROR(__xludf.DUMMYFUNCTION("GOOGLETRANSLATE(English!C4290, ""en"", ""bg"")"),"елементарен")</f>
        <v>елементарен</v>
      </c>
      <c r="D4290" s="1" t="str">
        <f ca="1">IFERROR(__xludf.DUMMYFUNCTION("GOOGLETRANSLATE(English!D4290, ""en"", ""bg"")"),"местообитания")</f>
        <v>местообитания</v>
      </c>
      <c r="E4290" s="1" t="str">
        <f ca="1">IFERROR(__xludf.DUMMYFUNCTION("GOOGLETRANSLATE(English!E4290, ""en"", ""bg"")"),"Можете ли да обясните местообитанията за моя научен проект?")</f>
        <v>Можете ли да обясните местообитанията за моя научен проект?</v>
      </c>
      <c r="F4290" s="1" t="str">
        <f ca="1">IFERROR(__xludf.DUMMYFUNCTION("GOOGLETRANSLATE(English!F4290,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4290" s="1" t="str">
        <f ca="1">IFERROR(__xludf.DUMMYFUNCTION("GOOGLETRANSLATE(English!G4290, ""en"", ""bg"")"),"помощ_за_домашно_изпълнение")</f>
        <v>помощ_за_домашно_изпълнение</v>
      </c>
      <c r="H4290" s="1" t="str">
        <f ca="1">IFERROR(__xludf.DUMMYFUNCTION("GOOGLETRANSLATE(English!H4290, ""en"", ""bg"")"),"помощ_за_домашно_задаване")</f>
        <v>помощ_за_домашно_задаване</v>
      </c>
    </row>
    <row r="4291" spans="1:8" ht="13.2" x14ac:dyDescent="0.25">
      <c r="A4291" s="1" t="str">
        <f ca="1">IFERROR(__xludf.DUMMYFUNCTION("GOOGLETRANSLATE(English!A4291, ""en"", ""bg"")"),"conv_00765")</f>
        <v>conv_00765</v>
      </c>
      <c r="B4291" s="1" t="str">
        <f ca="1">IFERROR(__xludf.DUMMYFUNCTION("GOOGLETRANSLATE(English!B4291, ""en"", ""bg"")"),"физика")</f>
        <v>физика</v>
      </c>
      <c r="C4291" s="1" t="str">
        <f ca="1">IFERROR(__xludf.DUMMYFUNCTION("GOOGLETRANSLATE(English!C4291, ""en"", ""bg"")"),"елементарен")</f>
        <v>елементарен</v>
      </c>
      <c r="D4291" s="1" t="str">
        <f ca="1">IFERROR(__xludf.DUMMYFUNCTION("GOOGLETRANSLATE(English!D4291, ""en"", ""bg"")"),"магнити")</f>
        <v>магнити</v>
      </c>
      <c r="E4291" s="1" t="str">
        <f ca="1">IFERROR(__xludf.DUMMYFUNCTION("GOOGLETRANSLATE(English!E4291, ""en"", ""bg"")"),"Имам нужда от помощ с домашното. Може ли да се направи магнит по-силен?")</f>
        <v>Имам нужда от помощ с домашното. Може ли да се направи магнит по-силен?</v>
      </c>
      <c r="F4291" s="1" t="str">
        <f ca="1">IFERROR(__xludf.DUMMYFUNCTION("GOOGLETRANSLATE(English!F4291,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4291" s="1" t="str">
        <f ca="1">IFERROR(__xludf.DUMMYFUNCTION("GOOGLETRANSLATE(English!G4291, ""en"", ""bg"")"),"разговор")</f>
        <v>разговор</v>
      </c>
      <c r="H4291" s="1" t="str">
        <f ca="1">IFERROR(__xludf.DUMMYFUNCTION("GOOGLETRANSLATE(English!H4291, ""en"", ""bg"")"),"образователна_помощ")</f>
        <v>образователна_помощ</v>
      </c>
    </row>
    <row r="4292" spans="1:8" ht="13.2" x14ac:dyDescent="0.25">
      <c r="A4292" s="1" t="str">
        <f ca="1">IFERROR(__xludf.DUMMYFUNCTION("GOOGLETRANSLATE(English!A4292, ""en"", ""bg"")"),"qa_13999")</f>
        <v>qa_13999</v>
      </c>
      <c r="B4292" s="1" t="str">
        <f ca="1">IFERROR(__xludf.DUMMYFUNCTION("GOOGLETRANSLATE(English!B4292, ""en"", ""bg"")"),"химия")</f>
        <v>химия</v>
      </c>
      <c r="C4292" s="1" t="str">
        <f ca="1">IFERROR(__xludf.DUMMYFUNCTION("GOOGLETRANSLATE(English!C4292, ""en"", ""bg"")"),"високо")</f>
        <v>високо</v>
      </c>
      <c r="D4292" s="1" t="str">
        <f ca="1">IFERROR(__xludf.DUMMYFUNCTION("GOOGLETRANSLATE(English!D4292, ""en"", ""bg"")"),"скорости на реакция")</f>
        <v>скорости на реакция</v>
      </c>
      <c r="E4292" s="1" t="str">
        <f ca="1">IFERROR(__xludf.DUMMYFUNCTION("GOOGLETRANSLATE(English!E4292,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4292" s="1" t="str">
        <f ca="1">IFERROR(__xludf.DUMMYFUNCTION("GOOGLETRANSLATE(English!F4292,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292" s="1" t="str">
        <f ca="1">IFERROR(__xludf.DUMMYFUNCTION("GOOGLETRANSLATE(English!G4292, ""en"", ""bg"")"),"direct_qa")</f>
        <v>direct_qa</v>
      </c>
      <c r="H4292" s="1" t="str">
        <f ca="1">IFERROR(__xludf.DUMMYFUNCTION("GOOGLETRANSLATE(English!H4292, ""en"", ""bg"")"),"заявка_за_знание")</f>
        <v>заявка_за_знание</v>
      </c>
    </row>
    <row r="4293" spans="1:8" ht="13.2" x14ac:dyDescent="0.25">
      <c r="A4293" s="1" t="str">
        <f ca="1">IFERROR(__xludf.DUMMYFUNCTION("GOOGLETRANSLATE(English!A4293, ""en"", ""bg"")"),"hw_13804")</f>
        <v>hw_13804</v>
      </c>
      <c r="B4293" s="1" t="str">
        <f ca="1">IFERROR(__xludf.DUMMYFUNCTION("GOOGLETRANSLATE(English!B4293, ""en"", ""bg"")"),"химия")</f>
        <v>химия</v>
      </c>
      <c r="C4293" s="1" t="str">
        <f ca="1">IFERROR(__xludf.DUMMYFUNCTION("GOOGLETRANSLATE(English!C4293, ""en"", ""bg"")"),"елементарен")</f>
        <v>елементарен</v>
      </c>
      <c r="D4293" s="1" t="str">
        <f ca="1">IFERROR(__xludf.DUMMYFUNCTION("GOOGLETRANSLATE(English!D4293, ""en"", ""bg"")"),"разтваряне")</f>
        <v>разтваряне</v>
      </c>
      <c r="E4293" s="1" t="str">
        <f ca="1">IFERROR(__xludf.DUMMYFUNCTION("GOOGLETRANSLATE(English!E4293, ""en"", ""bg"")"),"Можете ли да ми помогнете с изчисленията за разтваряне?")</f>
        <v>Можете ли да ми помогнете с изчисленията за разтваряне?</v>
      </c>
      <c r="F4293" s="1" t="str">
        <f ca="1">IFERROR(__xludf.DUMMYFUNCTION("GOOGLETRANSLATE(English!F4293,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4293" s="1" t="str">
        <f ca="1">IFERROR(__xludf.DUMMYFUNCTION("GOOGLETRANSLATE(English!G4293, ""en"", ""bg"")"),"помощ_за_домашно_изпълнение")</f>
        <v>помощ_за_домашно_изпълнение</v>
      </c>
      <c r="H4293" s="1" t="str">
        <f ca="1">IFERROR(__xludf.DUMMYFUNCTION("GOOGLETRANSLATE(English!H4293, ""en"", ""bg"")"),"помощ_за_домашно_задаване")</f>
        <v>помощ_за_домашно_задаване</v>
      </c>
    </row>
    <row r="4294" spans="1:8" ht="13.2" x14ac:dyDescent="0.25">
      <c r="A4294" s="1" t="str">
        <f ca="1">IFERROR(__xludf.DUMMYFUNCTION("GOOGLETRANSLATE(English!A4294, ""en"", ""bg"")"),"hw_02708")</f>
        <v>hw_02708</v>
      </c>
      <c r="B4294" s="1" t="str">
        <f ca="1">IFERROR(__xludf.DUMMYFUNCTION("GOOGLETRANSLATE(English!B4294, ""en"", ""bg"")"),"биология")</f>
        <v>биология</v>
      </c>
      <c r="C4294" s="1" t="str">
        <f ca="1">IFERROR(__xludf.DUMMYFUNCTION("GOOGLETRANSLATE(English!C4294, ""en"", ""bg"")"),"средата")</f>
        <v>средата</v>
      </c>
      <c r="D4294" s="1" t="str">
        <f ca="1">IFERROR(__xludf.DUMMYFUNCTION("GOOGLETRANSLATE(English!D4294, ""en"", ""bg"")"),"основи на генетиката")</f>
        <v>основи на генетиката</v>
      </c>
      <c r="E4294" s="1" t="str">
        <f ca="1">IFERROR(__xludf.DUMMYFUNCTION("GOOGLETRANSLATE(English!E4294, ""en"", ""bg"")"),"Домашното ми пита за основите на генетиката. Не го разбирам.")</f>
        <v>Домашното ми пита за основите на генетиката. Не го разбирам.</v>
      </c>
      <c r="F4294" s="1" t="str">
        <f ca="1">IFERROR(__xludf.DUMMYFUNCTION("GOOGLETRANSLATE(English!F4294,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294" s="1" t="str">
        <f ca="1">IFERROR(__xludf.DUMMYFUNCTION("GOOGLETRANSLATE(English!G4294, ""en"", ""bg"")"),"помощ_за_домашно_изпълнение")</f>
        <v>помощ_за_домашно_изпълнение</v>
      </c>
      <c r="H4294" s="1" t="str">
        <f ca="1">IFERROR(__xludf.DUMMYFUNCTION("GOOGLETRANSLATE(English!H4294, ""en"", ""bg"")"),"помощ_за_домашно_задаване")</f>
        <v>помощ_за_домашно_задаване</v>
      </c>
    </row>
    <row r="4295" spans="1:8" ht="13.2" x14ac:dyDescent="0.25">
      <c r="A4295" s="1" t="str">
        <f ca="1">IFERROR(__xludf.DUMMYFUNCTION("GOOGLETRANSLATE(English!A4295, ""en"", ""bg"")"),"qa_13541")</f>
        <v>qa_13541</v>
      </c>
      <c r="B4295" s="1" t="str">
        <f ca="1">IFERROR(__xludf.DUMMYFUNCTION("GOOGLETRANSLATE(English!B4295, ""en"", ""bg"")"),"физика")</f>
        <v>физика</v>
      </c>
      <c r="C4295" s="1" t="str">
        <f ca="1">IFERROR(__xludf.DUMMYFUNCTION("GOOGLETRANSLATE(English!C4295, ""en"", ""bg"")"),"високо")</f>
        <v>високо</v>
      </c>
      <c r="D4295" s="1" t="str">
        <f ca="1">IFERROR(__xludf.DUMMYFUNCTION("GOOGLETRANSLATE(English!D4295, ""en"", ""bg"")"),"електромагнетизъм")</f>
        <v>електромагнетизъм</v>
      </c>
      <c r="E4295" s="1" t="str">
        <f ca="1">IFERROR(__xludf.DUMMYFUNCTION("GOOGLETRANSLATE(English!E4295, ""en"", ""bg"")"),"Как работи електромагнетизмът във физиката?")</f>
        <v>Как работи електромагнетизмът във физиката?</v>
      </c>
      <c r="F4295" s="1" t="str">
        <f ca="1">IFERROR(__xludf.DUMMYFUNCTION("GOOGLETRANSLATE(English!F4295,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4295" s="1" t="str">
        <f ca="1">IFERROR(__xludf.DUMMYFUNCTION("GOOGLETRANSLATE(English!G4295, ""en"", ""bg"")"),"direct_qa")</f>
        <v>direct_qa</v>
      </c>
      <c r="H4295" s="1" t="str">
        <f ca="1">IFERROR(__xludf.DUMMYFUNCTION("GOOGLETRANSLATE(English!H4295, ""en"", ""bg"")"),"заявка_за_знание")</f>
        <v>заявка_за_знание</v>
      </c>
    </row>
    <row r="4296" spans="1:8" ht="13.2" x14ac:dyDescent="0.25">
      <c r="A4296" s="1" t="str">
        <f ca="1">IFERROR(__xludf.DUMMYFUNCTION("GOOGLETRANSLATE(English!A4296, ""en"", ""bg"")"),"conv_03214")</f>
        <v>conv_03214</v>
      </c>
      <c r="B4296" s="1" t="str">
        <f ca="1">IFERROR(__xludf.DUMMYFUNCTION("GOOGLETRANSLATE(English!B4296, ""en"", ""bg"")"),"химия")</f>
        <v>химия</v>
      </c>
      <c r="C4296" s="1" t="str">
        <f ca="1">IFERROR(__xludf.DUMMYFUNCTION("GOOGLETRANSLATE(English!C4296, ""en"", ""bg"")"),"високо")</f>
        <v>високо</v>
      </c>
      <c r="D4296" s="1" t="str">
        <f ca="1">IFERROR(__xludf.DUMMYFUNCTION("GOOGLETRANSLATE(English!D4296, ""en"", ""bg"")"),"органична химия")</f>
        <v>органична химия</v>
      </c>
      <c r="E4296" s="1" t="str">
        <f ca="1">IFERROR(__xludf.DUMMYFUNCTION("GOOGLETRANSLATE(English!E4296, ""en"", ""bg"")"),"Имам научен въпрос. Какво представлява органичната химия?")</f>
        <v>Имам научен въпрос. Какво представлява органичната химия?</v>
      </c>
      <c r="F4296" s="1" t="str">
        <f ca="1">IFERROR(__xludf.DUMMYFUNCTION("GOOGLETRANSLATE(English!F4296,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4296" s="1" t="str">
        <f ca="1">IFERROR(__xludf.DUMMYFUNCTION("GOOGLETRANSLATE(English!G4296, ""en"", ""bg"")"),"разговор")</f>
        <v>разговор</v>
      </c>
      <c r="H4296" s="1" t="str">
        <f ca="1">IFERROR(__xludf.DUMMYFUNCTION("GOOGLETRANSLATE(English!H4296, ""en"", ""bg"")"),"образователна_помощ")</f>
        <v>образователна_помощ</v>
      </c>
    </row>
    <row r="4297" spans="1:8" ht="13.2" x14ac:dyDescent="0.25">
      <c r="A4297" s="1" t="str">
        <f ca="1">IFERROR(__xludf.DUMMYFUNCTION("GOOGLETRANSLATE(English!A4297, ""en"", ""bg"")"),"hw_12802")</f>
        <v>hw_12802</v>
      </c>
      <c r="B4297" s="1" t="str">
        <f ca="1">IFERROR(__xludf.DUMMYFUNCTION("GOOGLETRANSLATE(English!B4297, ""en"", ""bg"")"),"биология")</f>
        <v>биология</v>
      </c>
      <c r="C4297" s="1" t="str">
        <f ca="1">IFERROR(__xludf.DUMMYFUNCTION("GOOGLETRANSLATE(English!C4297, ""en"", ""bg"")"),"елементарен")</f>
        <v>елементарен</v>
      </c>
      <c r="D4297" s="1" t="str">
        <f ca="1">IFERROR(__xludf.DUMMYFUNCTION("GOOGLETRANSLATE(English!D4297, ""en"", ""bg"")"),"хранителни вериги")</f>
        <v>хранителни вериги</v>
      </c>
      <c r="E4297" s="1" t="str">
        <f ca="1">IFERROR(__xludf.DUMMYFUNCTION("GOOGLETRANSLATE(English!E4297, ""en"", ""bg"")"),"Утре имам тест по хранителни вериги. Помогни ми да уча!")</f>
        <v>Утре имам тест по хранителни вериги. Помогни ми да уча!</v>
      </c>
      <c r="F4297" s="1" t="str">
        <f ca="1">IFERROR(__xludf.DUMMYFUNCTION("GOOGLETRANSLATE(English!F4297,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4297" s="1" t="str">
        <f ca="1">IFERROR(__xludf.DUMMYFUNCTION("GOOGLETRANSLATE(English!G4297, ""en"", ""bg"")"),"помощ_за_домашно_изпълнение")</f>
        <v>помощ_за_домашно_изпълнение</v>
      </c>
      <c r="H4297" s="1" t="str">
        <f ca="1">IFERROR(__xludf.DUMMYFUNCTION("GOOGLETRANSLATE(English!H4297, ""en"", ""bg"")"),"помощ_за_домашно_задаване")</f>
        <v>помощ_за_домашно_задаване</v>
      </c>
    </row>
    <row r="4298" spans="1:8" ht="13.2" x14ac:dyDescent="0.25">
      <c r="A4298" s="1" t="str">
        <f ca="1">IFERROR(__xludf.DUMMYFUNCTION("GOOGLETRANSLATE(English!A4298, ""en"", ""bg"")"),"qa_09955")</f>
        <v>qa_09955</v>
      </c>
      <c r="B4298" s="1" t="str">
        <f ca="1">IFERROR(__xludf.DUMMYFUNCTION("GOOGLETRANSLATE(English!B4298, ""en"", ""bg"")"),"физика")</f>
        <v>физика</v>
      </c>
      <c r="C4298" s="1" t="str">
        <f ca="1">IFERROR(__xludf.DUMMYFUNCTION("GOOGLETRANSLATE(English!C4298, ""en"", ""bg"")"),"средата")</f>
        <v>средата</v>
      </c>
      <c r="D4298" s="1" t="str">
        <f ca="1">IFERROR(__xludf.DUMMYFUNCTION("GOOGLETRANSLATE(English!D4298, ""en"", ""bg"")"),"прости схеми")</f>
        <v>прости схеми</v>
      </c>
      <c r="E4298" s="1" t="str">
        <f ca="1">IFERROR(__xludf.DUMMYFUNCTION("GOOGLETRANSLATE(English!E4298, ""en"", ""bg"")"),"Защо простите електрически вериги са важни?")</f>
        <v>Защо простите електрически вериги са важни?</v>
      </c>
      <c r="F4298" s="1" t="str">
        <f ca="1">IFERROR(__xludf.DUMMYFUNCTION("GOOGLETRANSLATE(English!F4298,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4298" s="1" t="str">
        <f ca="1">IFERROR(__xludf.DUMMYFUNCTION("GOOGLETRANSLATE(English!G4298, ""en"", ""bg"")"),"direct_qa")</f>
        <v>direct_qa</v>
      </c>
      <c r="H4298" s="1" t="str">
        <f ca="1">IFERROR(__xludf.DUMMYFUNCTION("GOOGLETRANSLATE(English!H4298, ""en"", ""bg"")"),"заявка_за_знание")</f>
        <v>заявка_за_знание</v>
      </c>
    </row>
    <row r="4299" spans="1:8" ht="13.2" x14ac:dyDescent="0.25">
      <c r="A4299" s="1" t="str">
        <f ca="1">IFERROR(__xludf.DUMMYFUNCTION("GOOGLETRANSLATE(English!A4299, ""en"", ""bg"")"),"conv_11161")</f>
        <v>conv_11161</v>
      </c>
      <c r="B4299" s="1" t="str">
        <f ca="1">IFERROR(__xludf.DUMMYFUNCTION("GOOGLETRANSLATE(English!B4299, ""en"", ""bg"")"),"химия")</f>
        <v>химия</v>
      </c>
      <c r="C4299" s="1" t="str">
        <f ca="1">IFERROR(__xludf.DUMMYFUNCTION("GOOGLETRANSLATE(English!C4299, ""en"", ""bg"")"),"елементарен")</f>
        <v>елементарен</v>
      </c>
      <c r="D4299" s="1" t="str">
        <f ca="1">IFERROR(__xludf.DUMMYFUNCTION("GOOGLETRANSLATE(English!D4299, ""en"", ""bg"")"),"разтваряне")</f>
        <v>разтваряне</v>
      </c>
      <c r="E4299" s="1" t="str">
        <f ca="1">IFERROR(__xludf.DUMMYFUNCTION("GOOGLETRANSLATE(English!E4299, ""en"", ""bg"")"),"Имам нужда от помощ с домашното. Какво е разтваряне?")</f>
        <v>Имам нужда от помощ с домашното. Какво е разтваряне?</v>
      </c>
      <c r="F4299" s="1" t="str">
        <f ca="1">IFERROR(__xludf.DUMMYFUNCTION("GOOGLETRANSLATE(English!F4299,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4299" s="1" t="str">
        <f ca="1">IFERROR(__xludf.DUMMYFUNCTION("GOOGLETRANSLATE(English!G4299, ""en"", ""bg"")"),"разговор")</f>
        <v>разговор</v>
      </c>
      <c r="H4299" s="1" t="str">
        <f ca="1">IFERROR(__xludf.DUMMYFUNCTION("GOOGLETRANSLATE(English!H4299, ""en"", ""bg"")"),"образователна_помощ")</f>
        <v>образователна_помощ</v>
      </c>
    </row>
    <row r="4300" spans="1:8" ht="13.2" x14ac:dyDescent="0.25">
      <c r="A4300" s="1" t="str">
        <f ca="1">IFERROR(__xludf.DUMMYFUNCTION("GOOGLETRANSLATE(English!A4300, ""en"", ""bg"")"),"conv_10289")</f>
        <v>conv_10289</v>
      </c>
      <c r="B4300" s="1" t="str">
        <f ca="1">IFERROR(__xludf.DUMMYFUNCTION("GOOGLETRANSLATE(English!B4300, ""en"", ""bg"")"),"химия")</f>
        <v>химия</v>
      </c>
      <c r="C4300" s="1" t="str">
        <f ca="1">IFERROR(__xludf.DUMMYFUNCTION("GOOGLETRANSLATE(English!C4300, ""en"", ""bg"")"),"високо")</f>
        <v>високо</v>
      </c>
      <c r="D4300" s="1" t="str">
        <f ca="1">IFERROR(__xludf.DUMMYFUNCTION("GOOGLETRANSLATE(English!D4300, ""en"", ""bg"")"),"скорости на реакция")</f>
        <v>скорости на реакция</v>
      </c>
      <c r="E4300" s="1" t="str">
        <f ca="1">IFERROR(__xludf.DUMMYFUNCTION("GOOGLETRANSLATE(English!E4300, ""en"", ""bg"")"),"Здравей, преподавателю! Защо е важно да се учи скоростта на реакция?")</f>
        <v>Здравей, преподавателю! Защо е важно да се учи скоростта на реакция?</v>
      </c>
      <c r="F4300" s="1" t="str">
        <f ca="1">IFERROR(__xludf.DUMMYFUNCTION("GOOGLETRANSLATE(English!F4300,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4300" s="1" t="str">
        <f ca="1">IFERROR(__xludf.DUMMYFUNCTION("GOOGLETRANSLATE(English!G4300, ""en"", ""bg"")"),"разговор")</f>
        <v>разговор</v>
      </c>
      <c r="H4300" s="1" t="str">
        <f ca="1">IFERROR(__xludf.DUMMYFUNCTION("GOOGLETRANSLATE(English!H4300, ""en"", ""bg"")"),"образователна_помощ")</f>
        <v>образователна_помощ</v>
      </c>
    </row>
    <row r="4301" spans="1:8" ht="13.2" x14ac:dyDescent="0.25">
      <c r="A4301" s="1" t="str">
        <f ca="1">IFERROR(__xludf.DUMMYFUNCTION("GOOGLETRANSLATE(English!A4301, ""en"", ""bg"")"),"conv_00082")</f>
        <v>conv_00082</v>
      </c>
      <c r="B4301" s="1" t="str">
        <f ca="1">IFERROR(__xludf.DUMMYFUNCTION("GOOGLETRANSLATE(English!B4301, ""en"", ""bg"")"),"химия")</f>
        <v>химия</v>
      </c>
      <c r="C4301" s="1" t="str">
        <f ca="1">IFERROR(__xludf.DUMMYFUNCTION("GOOGLETRANSLATE(English!C4301, ""en"", ""bg"")"),"средата")</f>
        <v>средата</v>
      </c>
      <c r="D4301" s="1" t="str">
        <f ca="1">IFERROR(__xludf.DUMMYFUNCTION("GOOGLETRANSLATE(English!D4301, ""en"", ""bg"")"),"химични реакции")</f>
        <v>химични реакции</v>
      </c>
      <c r="E4301" s="1" t="str">
        <f ca="1">IFERROR(__xludf.DUMMYFUNCTION("GOOGLETRANSLATE(English!E4301, ""en"", ""bg"")"),"Помогнете ми да уча за теста. Как разбирате дали е протекла химическа реакция?")</f>
        <v>Помогнете ми да уча за теста. Как разбирате дали е протекла химическа реакция?</v>
      </c>
      <c r="F4301" s="1" t="str">
        <f ca="1">IFERROR(__xludf.DUMMYFUNCTION("GOOGLETRANSLATE(English!F4301,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4301" s="1" t="str">
        <f ca="1">IFERROR(__xludf.DUMMYFUNCTION("GOOGLETRANSLATE(English!G4301, ""en"", ""bg"")"),"разговор")</f>
        <v>разговор</v>
      </c>
      <c r="H4301" s="1" t="str">
        <f ca="1">IFERROR(__xludf.DUMMYFUNCTION("GOOGLETRANSLATE(English!H4301, ""en"", ""bg"")"),"образователна_помощ")</f>
        <v>образователна_помощ</v>
      </c>
    </row>
    <row r="4302" spans="1:8" ht="13.2" x14ac:dyDescent="0.25">
      <c r="A4302" s="1" t="str">
        <f ca="1">IFERROR(__xludf.DUMMYFUNCTION("GOOGLETRANSLATE(English!A4302, ""en"", ""bg"")"),"conv_03864")</f>
        <v>conv_03864</v>
      </c>
      <c r="B4302" s="1" t="str">
        <f ca="1">IFERROR(__xludf.DUMMYFUNCTION("GOOGLETRANSLATE(English!B4302, ""en"", ""bg"")"),"биология")</f>
        <v>биология</v>
      </c>
      <c r="C4302" s="1" t="str">
        <f ca="1">IFERROR(__xludf.DUMMYFUNCTION("GOOGLETRANSLATE(English!C4302, ""en"", ""bg"")"),"високо")</f>
        <v>високо</v>
      </c>
      <c r="D4302" s="1" t="str">
        <f ca="1">IFERROR(__xludf.DUMMYFUNCTION("GOOGLETRANSLATE(English!D4302, ""en"", ""bg"")"),"клетъчно дишане")</f>
        <v>клетъчно дишане</v>
      </c>
      <c r="E4302" s="1" t="str">
        <f ca="1">IFERROR(__xludf.DUMMYFUNCTION("GOOGLETRANSLATE(English!E4302, ""en"", ""bg"")"),"Не разбирам тази тема. Защо клетъчното дишане е важно в биологията?")</f>
        <v>Не разбирам тази тема. Защо клетъчното дишане е важно в биологията?</v>
      </c>
      <c r="F4302" s="1" t="str">
        <f ca="1">IFERROR(__xludf.DUMMYFUNCTION("GOOGLETRANSLATE(English!F4302,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4302" s="1" t="str">
        <f ca="1">IFERROR(__xludf.DUMMYFUNCTION("GOOGLETRANSLATE(English!G4302, ""en"", ""bg"")"),"разговор")</f>
        <v>разговор</v>
      </c>
      <c r="H4302" s="1" t="str">
        <f ca="1">IFERROR(__xludf.DUMMYFUNCTION("GOOGLETRANSLATE(English!H4302, ""en"", ""bg"")"),"образователна_помощ")</f>
        <v>образователна_помощ</v>
      </c>
    </row>
    <row r="4303" spans="1:8" ht="13.2" x14ac:dyDescent="0.25">
      <c r="A4303" s="1" t="str">
        <f ca="1">IFERROR(__xludf.DUMMYFUNCTION("GOOGLETRANSLATE(English!A4303, ""en"", ""bg"")"),"conv_08283")</f>
        <v>conv_08283</v>
      </c>
      <c r="B4303" s="1" t="str">
        <f ca="1">IFERROR(__xludf.DUMMYFUNCTION("GOOGLETRANSLATE(English!B4303, ""en"", ""bg"")"),"химия")</f>
        <v>химия</v>
      </c>
      <c r="C4303" s="1" t="str">
        <f ca="1">IFERROR(__xludf.DUMMYFUNCTION("GOOGLETRANSLATE(English!C4303, ""en"", ""bg"")"),"високо")</f>
        <v>високо</v>
      </c>
      <c r="D4303" s="1" t="str">
        <f ca="1">IFERROR(__xludf.DUMMYFUNCTION("GOOGLETRANSLATE(English!D4303, ""en"", ""bg"")"),"равновесие")</f>
        <v>равновесие</v>
      </c>
      <c r="E4303" s="1" t="str">
        <f ca="1">IFERROR(__xludf.DUMMYFUNCTION("GOOGLETRANSLATE(English!E4303, ""en"", ""bg"")"),"Можете ли да ми помогнете? Можете ли да ми помогнете да разбера равновесието?")</f>
        <v>Можете ли да ми помогнете? Можете ли да ми помогнете да разбера равновесието?</v>
      </c>
      <c r="F4303" s="1" t="str">
        <f ca="1">IFERROR(__xludf.DUMMYFUNCTION("GOOGLETRANSLATE(English!F4303,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4303" s="1" t="str">
        <f ca="1">IFERROR(__xludf.DUMMYFUNCTION("GOOGLETRANSLATE(English!G4303, ""en"", ""bg"")"),"разговор")</f>
        <v>разговор</v>
      </c>
      <c r="H4303" s="1" t="str">
        <f ca="1">IFERROR(__xludf.DUMMYFUNCTION("GOOGLETRANSLATE(English!H4303, ""en"", ""bg"")"),"образователна_помощ")</f>
        <v>образователна_помощ</v>
      </c>
    </row>
    <row r="4304" spans="1:8" ht="13.2" x14ac:dyDescent="0.25">
      <c r="A4304" s="1" t="str">
        <f ca="1">IFERROR(__xludf.DUMMYFUNCTION("GOOGLETRANSLATE(English!A4304, ""en"", ""bg"")"),"conv_11475")</f>
        <v>conv_11475</v>
      </c>
      <c r="B4304" s="1" t="str">
        <f ca="1">IFERROR(__xludf.DUMMYFUNCTION("GOOGLETRANSLATE(English!B4304, ""en"", ""bg"")"),"физика")</f>
        <v>физика</v>
      </c>
      <c r="C4304" s="1" t="str">
        <f ca="1">IFERROR(__xludf.DUMMYFUNCTION("GOOGLETRANSLATE(English!C4304, ""en"", ""bg"")"),"елементарен")</f>
        <v>елементарен</v>
      </c>
      <c r="D4304" s="1" t="str">
        <f ca="1">IFERROR(__xludf.DUMMYFUNCTION("GOOGLETRANSLATE(English!D4304, ""en"", ""bg"")"),"горещо и студено")</f>
        <v>горещо и студено</v>
      </c>
      <c r="E4304" s="1" t="str">
        <f ca="1">IFERROR(__xludf.DUMMYFUNCTION("GOOGLETRANSLATE(English!E4304, ""en"", ""bg"")"),"Здравей, преподавателю! Защо е важно топлото и студеното?")</f>
        <v>Здравей, преподавателю! Защо е важно топлото и студеното?</v>
      </c>
      <c r="F4304" s="1" t="str">
        <f ca="1">IFERROR(__xludf.DUMMYFUNCTION("GOOGLETRANSLATE(English!F4304,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4304" s="1" t="str">
        <f ca="1">IFERROR(__xludf.DUMMYFUNCTION("GOOGLETRANSLATE(English!G4304, ""en"", ""bg"")"),"разговор")</f>
        <v>разговор</v>
      </c>
      <c r="H4304" s="1" t="str">
        <f ca="1">IFERROR(__xludf.DUMMYFUNCTION("GOOGLETRANSLATE(English!H4304, ""en"", ""bg"")"),"образователна_помощ")</f>
        <v>образователна_помощ</v>
      </c>
    </row>
    <row r="4305" spans="1:8" ht="13.2" x14ac:dyDescent="0.25">
      <c r="A4305" s="1" t="str">
        <f ca="1">IFERROR(__xludf.DUMMYFUNCTION("GOOGLETRANSLATE(English!A4305, ""en"", ""bg"")"),"conv_14513")</f>
        <v>conv_14513</v>
      </c>
      <c r="B4305" s="1" t="str">
        <f ca="1">IFERROR(__xludf.DUMMYFUNCTION("GOOGLETRANSLATE(English!B4305, ""en"", ""bg"")"),"биология")</f>
        <v>биология</v>
      </c>
      <c r="C4305" s="1" t="str">
        <f ca="1">IFERROR(__xludf.DUMMYFUNCTION("GOOGLETRANSLATE(English!C4305, ""en"", ""bg"")"),"средата")</f>
        <v>средата</v>
      </c>
      <c r="D4305" s="1" t="str">
        <f ca="1">IFERROR(__xludf.DUMMYFUNCTION("GOOGLETRANSLATE(English!D4305, ""en"", ""bg"")"),"размножаване")</f>
        <v>размножаване</v>
      </c>
      <c r="E4305" s="1" t="str">
        <f ca="1">IFERROR(__xludf.DUMMYFUNCTION("GOOGLETRANSLATE(English!E4305, ""en"", ""bg"")"),"Имам нужда от помощ с домашното. Можете ли да ми разкажете за размножаването?")</f>
        <v>Имам нужда от помощ с домашното. Можете ли да ми разкажете за размножаването?</v>
      </c>
      <c r="F4305" s="1" t="str">
        <f ca="1">IFERROR(__xludf.DUMMYFUNCTION("GOOGLETRANSLATE(English!F4305,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4305" s="1" t="str">
        <f ca="1">IFERROR(__xludf.DUMMYFUNCTION("GOOGLETRANSLATE(English!G4305, ""en"", ""bg"")"),"разговор")</f>
        <v>разговор</v>
      </c>
      <c r="H4305" s="1" t="str">
        <f ca="1">IFERROR(__xludf.DUMMYFUNCTION("GOOGLETRANSLATE(English!H4305, ""en"", ""bg"")"),"образователна_помощ")</f>
        <v>образователна_помощ</v>
      </c>
    </row>
    <row r="4306" spans="1:8" ht="13.2" x14ac:dyDescent="0.25">
      <c r="A4306" s="1" t="str">
        <f ca="1">IFERROR(__xludf.DUMMYFUNCTION("GOOGLETRANSLATE(English!A4306, ""en"", ""bg"")"),"conv_16360")</f>
        <v>conv_16360</v>
      </c>
      <c r="B4306" s="1" t="str">
        <f ca="1">IFERROR(__xludf.DUMMYFUNCTION("GOOGLETRANSLATE(English!B4306, ""en"", ""bg"")"),"биология")</f>
        <v>биология</v>
      </c>
      <c r="C4306" s="1" t="str">
        <f ca="1">IFERROR(__xludf.DUMMYFUNCTION("GOOGLETRANSLATE(English!C4306, ""en"", ""bg"")"),"високо")</f>
        <v>високо</v>
      </c>
      <c r="D4306" s="1" t="str">
        <f ca="1">IFERROR(__xludf.DUMMYFUNCTION("GOOGLETRANSLATE(English!D4306, ""en"", ""bg"")"),"митоза и мейоза")</f>
        <v>митоза и мейоза</v>
      </c>
      <c r="E4306" s="1" t="str">
        <f ca="1">IFERROR(__xludf.DUMMYFUNCTION("GOOGLETRANSLATE(English!E4306, ""en"", ""bg"")"),"Имам нужда от помощ с домашното си. Как протичат митозата и мейозата?")</f>
        <v>Имам нужда от помощ с домашното си. Как протичат митозата и мейозата?</v>
      </c>
      <c r="F4306" s="1" t="str">
        <f ca="1">IFERROR(__xludf.DUMMYFUNCTION("GOOGLETRANSLATE(English!F4306, ""en"", ""bg"")"),"Митозата и мейозата протичат чрез естествени процеси, които учените изучават от много години.")</f>
        <v>Митозата и мейозата протичат чрез естествени процеси, които учените изучават от много години.</v>
      </c>
      <c r="G4306" s="1" t="str">
        <f ca="1">IFERROR(__xludf.DUMMYFUNCTION("GOOGLETRANSLATE(English!G4306, ""en"", ""bg"")"),"разговор")</f>
        <v>разговор</v>
      </c>
      <c r="H4306" s="1" t="str">
        <f ca="1">IFERROR(__xludf.DUMMYFUNCTION("GOOGLETRANSLATE(English!H4306, ""en"", ""bg"")"),"образователна_помощ")</f>
        <v>образователна_помощ</v>
      </c>
    </row>
    <row r="4307" spans="1:8" ht="13.2" x14ac:dyDescent="0.25">
      <c r="A4307" s="1" t="str">
        <f ca="1">IFERROR(__xludf.DUMMYFUNCTION("GOOGLETRANSLATE(English!A4307, ""en"", ""bg"")"),"hw_08991")</f>
        <v>hw_08991</v>
      </c>
      <c r="B4307" s="1" t="str">
        <f ca="1">IFERROR(__xludf.DUMMYFUNCTION("GOOGLETRANSLATE(English!B4307, ""en"", ""bg"")"),"биология")</f>
        <v>биология</v>
      </c>
      <c r="C4307" s="1" t="str">
        <f ca="1">IFERROR(__xludf.DUMMYFUNCTION("GOOGLETRANSLATE(English!C4307, ""en"", ""bg"")"),"елементарен")</f>
        <v>елементарен</v>
      </c>
      <c r="D4307" s="1" t="str">
        <f ca="1">IFERROR(__xludf.DUMMYFUNCTION("GOOGLETRANSLATE(English!D4307, ""en"", ""bg"")"),"жизнени цикли")</f>
        <v>жизнени цикли</v>
      </c>
      <c r="E4307" s="1" t="str">
        <f ca="1">IFERROR(__xludf.DUMMYFUNCTION("GOOGLETRANSLATE(English!E4307, ""en"", ""bg"")"),"Утре имам тест по жизнени цикли. Помогни ми да уча!")</f>
        <v>Утре имам тест по жизнени цикли. Помогни ми да уча!</v>
      </c>
      <c r="F4307" s="1" t="str">
        <f ca="1">IFERROR(__xludf.DUMMYFUNCTION("GOOGLETRANSLATE(English!F4307,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4307" s="1" t="str">
        <f ca="1">IFERROR(__xludf.DUMMYFUNCTION("GOOGLETRANSLATE(English!G4307, ""en"", ""bg"")"),"помощ_за_домашно_изпълнение")</f>
        <v>помощ_за_домашно_изпълнение</v>
      </c>
      <c r="H4307" s="1" t="str">
        <f ca="1">IFERROR(__xludf.DUMMYFUNCTION("GOOGLETRANSLATE(English!H4307, ""en"", ""bg"")"),"помощ_за_домашно_задаване")</f>
        <v>помощ_за_домашно_задаване</v>
      </c>
    </row>
    <row r="4308" spans="1:8" ht="13.2" x14ac:dyDescent="0.25">
      <c r="A4308" s="1" t="str">
        <f ca="1">IFERROR(__xludf.DUMMYFUNCTION("GOOGLETRANSLATE(English!A4308, ""en"", ""bg"")"),"hw_13203")</f>
        <v>hw_13203</v>
      </c>
      <c r="B4308" s="1" t="str">
        <f ca="1">IFERROR(__xludf.DUMMYFUNCTION("GOOGLETRANSLATE(English!B4308, ""en"", ""bg"")"),"физика")</f>
        <v>физика</v>
      </c>
      <c r="C4308" s="1" t="str">
        <f ca="1">IFERROR(__xludf.DUMMYFUNCTION("GOOGLETRANSLATE(English!C4308, ""en"", ""bg"")"),"елементарен")</f>
        <v>елементарен</v>
      </c>
      <c r="D4308" s="1" t="str">
        <f ca="1">IFERROR(__xludf.DUMMYFUNCTION("GOOGLETRANSLATE(English!D4308, ""en"", ""bg"")"),"бутане и дърпане")</f>
        <v>бутане и дърпане</v>
      </c>
      <c r="E4308" s="1" t="str">
        <f ca="1">IFERROR(__xludf.DUMMYFUNCTION("GOOGLETRANSLATE(English!E4308, ""en"", ""bg"")"),"Трябва да разбера тласкането и дърпането за изпита си.")</f>
        <v>Трябва да разбера тласкането и дърпането за изпита си.</v>
      </c>
      <c r="F4308" s="1" t="str">
        <f ca="1">IFERROR(__xludf.DUMMYFUNCTION("GOOGLETRANSLATE(English!F4308,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4308" s="1" t="str">
        <f ca="1">IFERROR(__xludf.DUMMYFUNCTION("GOOGLETRANSLATE(English!G4308, ""en"", ""bg"")"),"помощ_за_домашно_изпълнение")</f>
        <v>помощ_за_домашно_изпълнение</v>
      </c>
      <c r="H4308" s="1" t="str">
        <f ca="1">IFERROR(__xludf.DUMMYFUNCTION("GOOGLETRANSLATE(English!H4308, ""en"", ""bg"")"),"помощ_за_домашно_задаване")</f>
        <v>помощ_за_домашно_задаване</v>
      </c>
    </row>
    <row r="4309" spans="1:8" ht="13.2" x14ac:dyDescent="0.25">
      <c r="A4309" s="1" t="str">
        <f ca="1">IFERROR(__xludf.DUMMYFUNCTION("GOOGLETRANSLATE(English!A4309, ""en"", ""bg"")"),"hw_07049")</f>
        <v>hw_07049</v>
      </c>
      <c r="B4309" s="1" t="str">
        <f ca="1">IFERROR(__xludf.DUMMYFUNCTION("GOOGLETRANSLATE(English!B4309, ""en"", ""bg"")"),"химия")</f>
        <v>химия</v>
      </c>
      <c r="C4309" s="1" t="str">
        <f ca="1">IFERROR(__xludf.DUMMYFUNCTION("GOOGLETRANSLATE(English!C4309, ""en"", ""bg"")"),"средата")</f>
        <v>средата</v>
      </c>
      <c r="D4309" s="1" t="str">
        <f ca="1">IFERROR(__xludf.DUMMYFUNCTION("GOOGLETRANSLATE(English!D4309, ""en"", ""bg"")"),"киселини и основи")</f>
        <v>киселини и основи</v>
      </c>
      <c r="E4309" s="1" t="str">
        <f ca="1">IFERROR(__xludf.DUMMYFUNCTION("GOOGLETRANSLATE(English!E4309,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4309" s="1" t="str">
        <f ca="1">IFERROR(__xludf.DUMMYFUNCTION("GOOGLETRANSLATE(English!F4309,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309" s="1" t="str">
        <f ca="1">IFERROR(__xludf.DUMMYFUNCTION("GOOGLETRANSLATE(English!G4309, ""en"", ""bg"")"),"помощ_за_домашно_изпълнение")</f>
        <v>помощ_за_домашно_изпълнение</v>
      </c>
      <c r="H4309" s="1" t="str">
        <f ca="1">IFERROR(__xludf.DUMMYFUNCTION("GOOGLETRANSLATE(English!H4309, ""en"", ""bg"")"),"помощ_за_домашно_задаване")</f>
        <v>помощ_за_домашно_задаване</v>
      </c>
    </row>
    <row r="4310" spans="1:8" ht="13.2" x14ac:dyDescent="0.25">
      <c r="A4310" s="1" t="str">
        <f ca="1">IFERROR(__xludf.DUMMYFUNCTION("GOOGLETRANSLATE(English!A4310, ""en"", ""bg"")"),"qa_00117")</f>
        <v>qa_00117</v>
      </c>
      <c r="B4310" s="1" t="str">
        <f ca="1">IFERROR(__xludf.DUMMYFUNCTION("GOOGLETRANSLATE(English!B4310, ""en"", ""bg"")"),"биология")</f>
        <v>биология</v>
      </c>
      <c r="C4310" s="1" t="str">
        <f ca="1">IFERROR(__xludf.DUMMYFUNCTION("GOOGLETRANSLATE(English!C4310, ""en"", ""bg"")"),"елементарен")</f>
        <v>елементарен</v>
      </c>
      <c r="D4310" s="1" t="str">
        <f ca="1">IFERROR(__xludf.DUMMYFUNCTION("GOOGLETRANSLATE(English!D4310, ""en"", ""bg"")"),"основни нужди")</f>
        <v>основни нужди</v>
      </c>
      <c r="E4310" s="1" t="str">
        <f ca="1">IFERROR(__xludf.DUMMYFUNCTION("GOOGLETRANSLATE(English!E4310, ""en"", ""bg"")"),"Защо основните потребности са важни в биологията?")</f>
        <v>Защо основните потребности са важни в биологията?</v>
      </c>
      <c r="F4310" s="1" t="str">
        <f ca="1">IFERROR(__xludf.DUMMYFUNCTION("GOOGLETRANSLATE(English!F4310, ""en"", ""bg"")"),"Основните потребности са важни, защото ни помагат да разберем живота и как живите същества оцеляват.")</f>
        <v>Основните потребности са важни, защото ни помагат да разберем живота и как живите същества оцеляват.</v>
      </c>
      <c r="G4310" s="1" t="str">
        <f ca="1">IFERROR(__xludf.DUMMYFUNCTION("GOOGLETRANSLATE(English!G4310, ""en"", ""bg"")"),"direct_qa")</f>
        <v>direct_qa</v>
      </c>
      <c r="H4310" s="1" t="str">
        <f ca="1">IFERROR(__xludf.DUMMYFUNCTION("GOOGLETRANSLATE(English!H4310, ""en"", ""bg"")"),"заявка_за_знание")</f>
        <v>заявка_за_знание</v>
      </c>
    </row>
    <row r="4311" spans="1:8" ht="13.2" x14ac:dyDescent="0.25">
      <c r="A4311" s="1" t="str">
        <f ca="1">IFERROR(__xludf.DUMMYFUNCTION("GOOGLETRANSLATE(English!A4311, ""en"", ""bg"")"),"hw_05456")</f>
        <v>hw_05456</v>
      </c>
      <c r="B4311" s="1" t="str">
        <f ca="1">IFERROR(__xludf.DUMMYFUNCTION("GOOGLETRANSLATE(English!B4311, ""en"", ""bg"")"),"физика")</f>
        <v>физика</v>
      </c>
      <c r="C4311" s="1" t="str">
        <f ca="1">IFERROR(__xludf.DUMMYFUNCTION("GOOGLETRANSLATE(English!C4311, ""en"", ""bg"")"),"високо")</f>
        <v>високо</v>
      </c>
      <c r="D4311" s="1" t="str">
        <f ca="1">IFERROR(__xludf.DUMMYFUNCTION("GOOGLETRANSLATE(English!D4311, ""en"", ""bg"")"),"радиоактивност")</f>
        <v>радиоактивност</v>
      </c>
      <c r="E4311" s="1" t="str">
        <f ca="1">IFERROR(__xludf.DUMMYFUNCTION("GOOGLETRANSLATE(English!E4311, ""en"", ""bg"")"),"Трябва да разбера радиоактивността за изпита си.")</f>
        <v>Трябва да разбера радиоактивността за изпита си.</v>
      </c>
      <c r="F4311" s="1" t="str">
        <f ca="1">IFERROR(__xludf.DUMMYFUNCTION("GOOGLETRANSLATE(English!F4311,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4311" s="1" t="str">
        <f ca="1">IFERROR(__xludf.DUMMYFUNCTION("GOOGLETRANSLATE(English!G4311, ""en"", ""bg"")"),"помощ_за_домашно_изпълнение")</f>
        <v>помощ_за_домашно_изпълнение</v>
      </c>
      <c r="H4311" s="1" t="str">
        <f ca="1">IFERROR(__xludf.DUMMYFUNCTION("GOOGLETRANSLATE(English!H4311, ""en"", ""bg"")"),"помощ_за_домашно_задаване")</f>
        <v>помощ_за_домашно_задаване</v>
      </c>
    </row>
    <row r="4312" spans="1:8" ht="13.2" x14ac:dyDescent="0.25">
      <c r="A4312" s="1" t="str">
        <f ca="1">IFERROR(__xludf.DUMMYFUNCTION("GOOGLETRANSLATE(English!A4312, ""en"", ""bg"")"),"hw_10742")</f>
        <v>hw_10742</v>
      </c>
      <c r="B4312" s="1" t="str">
        <f ca="1">IFERROR(__xludf.DUMMYFUNCTION("GOOGLETRANSLATE(English!B4312, ""en"", ""bg"")"),"химия")</f>
        <v>химия</v>
      </c>
      <c r="C4312" s="1" t="str">
        <f ca="1">IFERROR(__xludf.DUMMYFUNCTION("GOOGLETRANSLATE(English!C4312, ""en"", ""bg"")"),"елементарен")</f>
        <v>елементарен</v>
      </c>
      <c r="D4312" s="1" t="str">
        <f ca="1">IFERROR(__xludf.DUMMYFUNCTION("GOOGLETRANSLATE(English!D4312, ""en"", ""bg"")"),"разтваряне")</f>
        <v>разтваряне</v>
      </c>
      <c r="E4312" s="1" t="str">
        <f ca="1">IFERROR(__xludf.DUMMYFUNCTION("GOOGLETRANSLATE(English!E4312,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4312" s="1" t="str">
        <f ca="1">IFERROR(__xludf.DUMMYFUNCTION("GOOGLETRANSLATE(English!F4312,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4312" s="1" t="str">
        <f ca="1">IFERROR(__xludf.DUMMYFUNCTION("GOOGLETRANSLATE(English!G4312, ""en"", ""bg"")"),"помощ_за_домашно_изпълнение")</f>
        <v>помощ_за_домашно_изпълнение</v>
      </c>
      <c r="H4312" s="1" t="str">
        <f ca="1">IFERROR(__xludf.DUMMYFUNCTION("GOOGLETRANSLATE(English!H4312, ""en"", ""bg"")"),"помощ_за_домашно_задаване")</f>
        <v>помощ_за_домашно_задаване</v>
      </c>
    </row>
    <row r="4313" spans="1:8" ht="13.2" x14ac:dyDescent="0.25">
      <c r="A4313" s="1" t="str">
        <f ca="1">IFERROR(__xludf.DUMMYFUNCTION("GOOGLETRANSLATE(English!A4313, ""en"", ""bg"")"),"qa_03511")</f>
        <v>qa_03511</v>
      </c>
      <c r="B4313" s="1" t="str">
        <f ca="1">IFERROR(__xludf.DUMMYFUNCTION("GOOGLETRANSLATE(English!B4313, ""en"", ""bg"")"),"химия")</f>
        <v>химия</v>
      </c>
      <c r="C4313" s="1" t="str">
        <f ca="1">IFERROR(__xludf.DUMMYFUNCTION("GOOGLETRANSLATE(English!C4313, ""en"", ""bg"")"),"елементарен")</f>
        <v>елементарен</v>
      </c>
      <c r="D4313" s="1" t="str">
        <f ca="1">IFERROR(__xludf.DUMMYFUNCTION("GOOGLETRANSLATE(English!D4313, ""en"", ""bg"")"),"твърди вещества, течности, газове")</f>
        <v>твърди вещества, течности, газове</v>
      </c>
      <c r="E4313" s="1" t="str">
        <f ca="1">IFERROR(__xludf.DUMMYFUNCTION("GOOGLETRANSLATE(English!E4313, ""en"", ""bg"")"),"Можете ли да превърнете газ обратно в течност?")</f>
        <v>Можете ли да превърнете газ обратно в течност?</v>
      </c>
      <c r="F4313" s="1" t="str">
        <f ca="1">IFERROR(__xludf.DUMMYFUNCTION("GOOGLETRANSLATE(English!F4313, ""en"", ""bg"")"),"Да! Можете да превърнете газ обратно в течност, като го охладите. Този процес се нарича кондензация.")</f>
        <v>Да! Можете да превърнете газ обратно в течност, като го охладите. Този процес се нарича кондензация.</v>
      </c>
      <c r="G4313" s="1" t="str">
        <f ca="1">IFERROR(__xludf.DUMMYFUNCTION("GOOGLETRANSLATE(English!G4313, ""en"", ""bg"")"),"direct_qa")</f>
        <v>direct_qa</v>
      </c>
      <c r="H4313" s="1" t="str">
        <f ca="1">IFERROR(__xludf.DUMMYFUNCTION("GOOGLETRANSLATE(English!H4313, ""en"", ""bg"")"),"заявка_за_знание")</f>
        <v>заявка_за_знание</v>
      </c>
    </row>
    <row r="4314" spans="1:8" ht="13.2" x14ac:dyDescent="0.25">
      <c r="A4314" s="1" t="str">
        <f ca="1">IFERROR(__xludf.DUMMYFUNCTION("GOOGLETRANSLATE(English!A4314, ""en"", ""bg"")"),"qa_05362")</f>
        <v>qa_05362</v>
      </c>
      <c r="B4314" s="1" t="str">
        <f ca="1">IFERROR(__xludf.DUMMYFUNCTION("GOOGLETRANSLATE(English!B4314, ""en"", ""bg"")"),"химия")</f>
        <v>химия</v>
      </c>
      <c r="C4314" s="1" t="str">
        <f ca="1">IFERROR(__xludf.DUMMYFUNCTION("GOOGLETRANSLATE(English!C4314, ""en"", ""bg"")"),"средата")</f>
        <v>средата</v>
      </c>
      <c r="D4314" s="1" t="str">
        <f ca="1">IFERROR(__xludf.DUMMYFUNCTION("GOOGLETRANSLATE(English!D4314, ""en"", ""bg"")"),"киселини и основи")</f>
        <v>киселини и основи</v>
      </c>
      <c r="E4314" s="1" t="str">
        <f ca="1">IFERROR(__xludf.DUMMYFUNCTION("GOOGLETRANSLATE(English!E4314, ""en"", ""bg"")"),"Защо е важно да се изучават киселини и основи?")</f>
        <v>Защо е важно да се изучават киселини и основи?</v>
      </c>
      <c r="F4314" s="1" t="str">
        <f ca="1">IFERROR(__xludf.DUMMYFUNCTION("GOOGLETRANSLATE(English!F4314,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4314" s="1" t="str">
        <f ca="1">IFERROR(__xludf.DUMMYFUNCTION("GOOGLETRANSLATE(English!G4314, ""en"", ""bg"")"),"direct_qa")</f>
        <v>direct_qa</v>
      </c>
      <c r="H4314" s="1" t="str">
        <f ca="1">IFERROR(__xludf.DUMMYFUNCTION("GOOGLETRANSLATE(English!H4314, ""en"", ""bg"")"),"заявка_за_знание")</f>
        <v>заявка_за_знание</v>
      </c>
    </row>
    <row r="4315" spans="1:8" ht="13.2" x14ac:dyDescent="0.25">
      <c r="A4315" s="1" t="str">
        <f ca="1">IFERROR(__xludf.DUMMYFUNCTION("GOOGLETRANSLATE(English!A4315, ""en"", ""bg"")"),"conv_16854")</f>
        <v>conv_16854</v>
      </c>
      <c r="B4315" s="1" t="str">
        <f ca="1">IFERROR(__xludf.DUMMYFUNCTION("GOOGLETRANSLATE(English!B4315, ""en"", ""bg"")"),"химия")</f>
        <v>химия</v>
      </c>
      <c r="C4315" s="1" t="str">
        <f ca="1">IFERROR(__xludf.DUMMYFUNCTION("GOOGLETRANSLATE(English!C4315, ""en"", ""bg"")"),"високо")</f>
        <v>високо</v>
      </c>
      <c r="D4315" s="1" t="str">
        <f ca="1">IFERROR(__xludf.DUMMYFUNCTION("GOOGLETRANSLATE(English!D4315, ""en"", ""bg"")"),"равновесие")</f>
        <v>равновесие</v>
      </c>
      <c r="E4315" s="1" t="str">
        <f ca="1">IFERROR(__xludf.DUMMYFUNCTION("GOOGLETRANSLATE(English!E4315, ""en"", ""bg"")"),"Можете ли да ми обясните това? Как работи равновесието в химията?")</f>
        <v>Можете ли да ми обясните това? Как работи равновесието в химията?</v>
      </c>
      <c r="F4315" s="1" t="str">
        <f ca="1">IFERROR(__xludf.DUMMYFUNCTION("GOOGLETRANSLATE(English!F4315,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4315" s="1" t="str">
        <f ca="1">IFERROR(__xludf.DUMMYFUNCTION("GOOGLETRANSLATE(English!G4315, ""en"", ""bg"")"),"разговор")</f>
        <v>разговор</v>
      </c>
      <c r="H4315" s="1" t="str">
        <f ca="1">IFERROR(__xludf.DUMMYFUNCTION("GOOGLETRANSLATE(English!H4315, ""en"", ""bg"")"),"образователна_помощ")</f>
        <v>образователна_помощ</v>
      </c>
    </row>
    <row r="4316" spans="1:8" ht="13.2" x14ac:dyDescent="0.25">
      <c r="A4316" s="1" t="str">
        <f ca="1">IFERROR(__xludf.DUMMYFUNCTION("GOOGLETRANSLATE(English!A4316, ""en"", ""bg"")"),"conv_10080")</f>
        <v>conv_10080</v>
      </c>
      <c r="B4316" s="1" t="str">
        <f ca="1">IFERROR(__xludf.DUMMYFUNCTION("GOOGLETRANSLATE(English!B4316, ""en"", ""bg"")"),"биология")</f>
        <v>биология</v>
      </c>
      <c r="C4316" s="1" t="str">
        <f ca="1">IFERROR(__xludf.DUMMYFUNCTION("GOOGLETRANSLATE(English!C4316, ""en"", ""bg"")"),"средата")</f>
        <v>средата</v>
      </c>
      <c r="D4316" s="1" t="str">
        <f ca="1">IFERROR(__xludf.DUMMYFUNCTION("GOOGLETRANSLATE(English!D4316, ""en"", ""bg"")"),"основи на еволюцията")</f>
        <v>основи на еволюцията</v>
      </c>
      <c r="E4316" s="1" t="str">
        <f ca="1">IFERROR(__xludf.DUMMYFUNCTION("GOOGLETRANSLATE(English!E4316, ""en"", ""bg"")"),"Имам научен въпрос. Как работят основите на еволюцията?")</f>
        <v>Имам научен въпрос. Как работят основите на еволюцията?</v>
      </c>
      <c r="F4316" s="1" t="str">
        <f ca="1">IFERROR(__xludf.DUMMYFUNCTION("GOOGLETRANSLATE(English!F4316,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4316" s="1" t="str">
        <f ca="1">IFERROR(__xludf.DUMMYFUNCTION("GOOGLETRANSLATE(English!G4316, ""en"", ""bg"")"),"разговор")</f>
        <v>разговор</v>
      </c>
      <c r="H4316" s="1" t="str">
        <f ca="1">IFERROR(__xludf.DUMMYFUNCTION("GOOGLETRANSLATE(English!H4316, ""en"", ""bg"")"),"образователна_помощ")</f>
        <v>образователна_помощ</v>
      </c>
    </row>
    <row r="4317" spans="1:8" ht="13.2" x14ac:dyDescent="0.25">
      <c r="A4317" s="1" t="str">
        <f ca="1">IFERROR(__xludf.DUMMYFUNCTION("GOOGLETRANSLATE(English!A4317, ""en"", ""bg"")"),"qa_06812")</f>
        <v>qa_06812</v>
      </c>
      <c r="B4317" s="1" t="str">
        <f ca="1">IFERROR(__xludf.DUMMYFUNCTION("GOOGLETRANSLATE(English!B4317, ""en"", ""bg"")"),"биология")</f>
        <v>биология</v>
      </c>
      <c r="C4317" s="1" t="str">
        <f ca="1">IFERROR(__xludf.DUMMYFUNCTION("GOOGLETRANSLATE(English!C4317, ""en"", ""bg"")"),"елементарен")</f>
        <v>елементарен</v>
      </c>
      <c r="D4317" s="1" t="str">
        <f ca="1">IFERROR(__xludf.DUMMYFUNCTION("GOOGLETRANSLATE(English!D4317, ""en"", ""bg"")"),"животни")</f>
        <v>животни</v>
      </c>
      <c r="E4317" s="1" t="str">
        <f ca="1">IFERROR(__xludf.DUMMYFUNCTION("GOOGLETRANSLATE(English!E4317, ""en"", ""bg"")"),"Какво отличава бозайниците от птиците?")</f>
        <v>Какво отличава бозайниците от птиците?</v>
      </c>
      <c r="F4317" s="1" t="str">
        <f ca="1">IFERROR(__xludf.DUMMYFUNCTION("GOOGLETRANSLATE(English!F4317, ""en"", ""bg"")"),"Бозайниците имат козина или косми и хранят малките си с мляко, докато птиците имат пера и снасят яйца.")</f>
        <v>Бозайниците имат козина или косми и хранят малките си с мляко, докато птиците имат пера и снасят яйца.</v>
      </c>
      <c r="G4317" s="1" t="str">
        <f ca="1">IFERROR(__xludf.DUMMYFUNCTION("GOOGLETRANSLATE(English!G4317, ""en"", ""bg"")"),"direct_qa")</f>
        <v>direct_qa</v>
      </c>
      <c r="H4317" s="1" t="str">
        <f ca="1">IFERROR(__xludf.DUMMYFUNCTION("GOOGLETRANSLATE(English!H4317, ""en"", ""bg"")"),"заявка_за_знание")</f>
        <v>заявка_за_знание</v>
      </c>
    </row>
    <row r="4318" spans="1:8" ht="13.2" x14ac:dyDescent="0.25">
      <c r="A4318" s="1" t="str">
        <f ca="1">IFERROR(__xludf.DUMMYFUNCTION("GOOGLETRANSLATE(English!A4318, ""en"", ""bg"")"),"conv_01626")</f>
        <v>conv_01626</v>
      </c>
      <c r="B4318" s="1" t="str">
        <f ca="1">IFERROR(__xludf.DUMMYFUNCTION("GOOGLETRANSLATE(English!B4318, ""en"", ""bg"")"),"химия")</f>
        <v>химия</v>
      </c>
      <c r="C4318" s="1" t="str">
        <f ca="1">IFERROR(__xludf.DUMMYFUNCTION("GOOGLETRANSLATE(English!C4318, ""en"", ""bg"")"),"елементарен")</f>
        <v>елементарен</v>
      </c>
      <c r="D4318" s="1" t="str">
        <f ca="1">IFERROR(__xludf.DUMMYFUNCTION("GOOGLETRANSLATE(English!D4318, ""en"", ""bg"")"),"твърди вещества, течности, газове")</f>
        <v>твърди вещества, течности, газове</v>
      </c>
      <c r="E4318" s="1" t="str">
        <f ca="1">IFERROR(__xludf.DUMMYFUNCTION("GOOGLETRANSLATE(English!E4318, ""en"", ""bg"")"),"Имам нужда от помощ с домашното. Защо ледът плува по водата?")</f>
        <v>Имам нужда от помощ с домашното. Защо ледът плува по водата?</v>
      </c>
      <c r="F4318" s="1" t="str">
        <f ca="1">IFERROR(__xludf.DUMMYFUNCTION("GOOGLETRANSLATE(English!F4318,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4318" s="1" t="str">
        <f ca="1">IFERROR(__xludf.DUMMYFUNCTION("GOOGLETRANSLATE(English!G4318, ""en"", ""bg"")"),"разговор")</f>
        <v>разговор</v>
      </c>
      <c r="H4318" s="1" t="str">
        <f ca="1">IFERROR(__xludf.DUMMYFUNCTION("GOOGLETRANSLATE(English!H4318, ""en"", ""bg"")"),"образователна_помощ")</f>
        <v>образователна_помощ</v>
      </c>
    </row>
    <row r="4319" spans="1:8" ht="13.2" x14ac:dyDescent="0.25">
      <c r="A4319" s="1" t="str">
        <f ca="1">IFERROR(__xludf.DUMMYFUNCTION("GOOGLETRANSLATE(English!A4319, ""en"", ""bg"")"),"qa_13816")</f>
        <v>qa_13816</v>
      </c>
      <c r="B4319" s="1" t="str">
        <f ca="1">IFERROR(__xludf.DUMMYFUNCTION("GOOGLETRANSLATE(English!B4319, ""en"", ""bg"")"),"физика")</f>
        <v>физика</v>
      </c>
      <c r="C4319" s="1" t="str">
        <f ca="1">IFERROR(__xludf.DUMMYFUNCTION("GOOGLETRANSLATE(English!C4319, ""en"", ""bg"")"),"средата")</f>
        <v>средата</v>
      </c>
      <c r="D4319" s="1" t="str">
        <f ca="1">IFERROR(__xludf.DUMMYFUNCTION("GOOGLETRANSLATE(English!D4319, ""en"", ""bg"")"),"сили и движение")</f>
        <v>сили и движение</v>
      </c>
      <c r="E4319" s="1" t="str">
        <f ca="1">IFERROR(__xludf.DUMMYFUNCTION("GOOGLETRANSLATE(English!E4319, ""en"", ""bg"")"),"Каква е разликата между скорост и ускорение?")</f>
        <v>Каква е разликата между скорост и ускорение?</v>
      </c>
      <c r="F4319" s="1" t="str">
        <f ca="1">IFERROR(__xludf.DUMMYFUNCTION("GOOGLETRANSLATE(English!F4319,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4319" s="1" t="str">
        <f ca="1">IFERROR(__xludf.DUMMYFUNCTION("GOOGLETRANSLATE(English!G4319, ""en"", ""bg"")"),"direct_qa")</f>
        <v>direct_qa</v>
      </c>
      <c r="H4319" s="1" t="str">
        <f ca="1">IFERROR(__xludf.DUMMYFUNCTION("GOOGLETRANSLATE(English!H4319, ""en"", ""bg"")"),"заявка_за_знание")</f>
        <v>заявка_за_знание</v>
      </c>
    </row>
    <row r="4320" spans="1:8" ht="13.2" x14ac:dyDescent="0.25">
      <c r="A4320" s="1" t="str">
        <f ca="1">IFERROR(__xludf.DUMMYFUNCTION("GOOGLETRANSLATE(English!A4320, ""en"", ""bg"")"),"conv_18990")</f>
        <v>conv_18990</v>
      </c>
      <c r="B4320" s="1" t="str">
        <f ca="1">IFERROR(__xludf.DUMMYFUNCTION("GOOGLETRANSLATE(English!B4320, ""en"", ""bg"")"),"физика")</f>
        <v>физика</v>
      </c>
      <c r="C4320" s="1" t="str">
        <f ca="1">IFERROR(__xludf.DUMMYFUNCTION("GOOGLETRANSLATE(English!C4320, ""en"", ""bg"")"),"елементарен")</f>
        <v>елементарен</v>
      </c>
      <c r="D4320" s="1" t="str">
        <f ca="1">IFERROR(__xludf.DUMMYFUNCTION("GOOGLETRANSLATE(English!D4320, ""en"", ""bg"")"),"звук")</f>
        <v>звук</v>
      </c>
      <c r="E4320" s="1" t="str">
        <f ca="1">IFERROR(__xludf.DUMMYFUNCTION("GOOGLETRANSLATE(English!E4320, ""en"", ""bg"")"),"Можете ли да ми обясните това? Какво трябва да знам за звука?")</f>
        <v>Можете ли да ми обясните това? Какво трябва да знам за звука?</v>
      </c>
      <c r="F4320" s="1" t="str">
        <f ca="1">IFERROR(__xludf.DUMMYFUNCTION("GOOGLETRANSLATE(English!F4320,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4320" s="1" t="str">
        <f ca="1">IFERROR(__xludf.DUMMYFUNCTION("GOOGLETRANSLATE(English!G4320, ""en"", ""bg"")"),"разговор")</f>
        <v>разговор</v>
      </c>
      <c r="H4320" s="1" t="str">
        <f ca="1">IFERROR(__xludf.DUMMYFUNCTION("GOOGLETRANSLATE(English!H4320, ""en"", ""bg"")"),"образователна_помощ")</f>
        <v>образователна_помощ</v>
      </c>
    </row>
    <row r="4321" spans="1:8" ht="13.2" x14ac:dyDescent="0.25">
      <c r="A4321" s="1" t="str">
        <f ca="1">IFERROR(__xludf.DUMMYFUNCTION("GOOGLETRANSLATE(English!A4321, ""en"", ""bg"")"),"conv_19658")</f>
        <v>conv_19658</v>
      </c>
      <c r="B4321" s="1" t="str">
        <f ca="1">IFERROR(__xludf.DUMMYFUNCTION("GOOGLETRANSLATE(English!B4321, ""en"", ""bg"")"),"физика")</f>
        <v>физика</v>
      </c>
      <c r="C4321" s="1" t="str">
        <f ca="1">IFERROR(__xludf.DUMMYFUNCTION("GOOGLETRANSLATE(English!C4321, ""en"", ""bg"")"),"средата")</f>
        <v>средата</v>
      </c>
      <c r="D4321" s="1" t="str">
        <f ca="1">IFERROR(__xludf.DUMMYFUNCTION("GOOGLETRANSLATE(English!D4321, ""en"", ""bg"")"),"плътност")</f>
        <v>плътност</v>
      </c>
      <c r="E4321" s="1" t="str">
        <f ca="1">IFERROR(__xludf.DUMMYFUNCTION("GOOGLETRANSLATE(English!E4321, ""en"", ""bg"")"),"Имам нужда от помощ с домашното. Защо плътността е важна?")</f>
        <v>Имам нужда от помощ с домашното. Защо плътността е важна?</v>
      </c>
      <c r="F4321" s="1" t="str">
        <f ca="1">IFERROR(__xludf.DUMMYFUNCTION("GOOGLETRANSLATE(English!F4321,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4321" s="1" t="str">
        <f ca="1">IFERROR(__xludf.DUMMYFUNCTION("GOOGLETRANSLATE(English!G4321, ""en"", ""bg"")"),"разговор")</f>
        <v>разговор</v>
      </c>
      <c r="H4321" s="1" t="str">
        <f ca="1">IFERROR(__xludf.DUMMYFUNCTION("GOOGLETRANSLATE(English!H4321, ""en"", ""bg"")"),"образователна_помощ")</f>
        <v>образователна_помощ</v>
      </c>
    </row>
    <row r="4322" spans="1:8" ht="13.2" x14ac:dyDescent="0.25">
      <c r="A4322" s="1" t="str">
        <f ca="1">IFERROR(__xludf.DUMMYFUNCTION("GOOGLETRANSLATE(English!A4322, ""en"", ""bg"")"),"hw_08998")</f>
        <v>hw_08998</v>
      </c>
      <c r="B4322" s="1" t="str">
        <f ca="1">IFERROR(__xludf.DUMMYFUNCTION("GOOGLETRANSLATE(English!B4322, ""en"", ""bg"")"),"химия")</f>
        <v>химия</v>
      </c>
      <c r="C4322" s="1" t="str">
        <f ca="1">IFERROR(__xludf.DUMMYFUNCTION("GOOGLETRANSLATE(English!C4322, ""en"", ""bg"")"),"елементарен")</f>
        <v>елементарен</v>
      </c>
      <c r="D4322" s="1" t="str">
        <f ca="1">IFERROR(__xludf.DUMMYFUNCTION("GOOGLETRANSLATE(English!D4322, ""en"", ""bg"")"),"смесване на материали")</f>
        <v>смесване на материали</v>
      </c>
      <c r="E4322" s="1" t="str">
        <f ca="1">IFERROR(__xludf.DUMMYFUNCTION("GOOGLETRANSLATE(English!E4322, ""en"", ""bg"")"),"Моят доклад по химия е за смесване на материали. Помогнете ми да разбера.")</f>
        <v>Моят доклад по химия е за смесване на материали. Помогнете ми да разбера.</v>
      </c>
      <c r="F4322" s="1" t="str">
        <f ca="1">IFERROR(__xludf.DUMMYFUNCTION("GOOGLETRANSLATE(English!F4322,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4322" s="1" t="str">
        <f ca="1">IFERROR(__xludf.DUMMYFUNCTION("GOOGLETRANSLATE(English!G4322, ""en"", ""bg"")"),"помощ_за_домашно_изпълнение")</f>
        <v>помощ_за_домашно_изпълнение</v>
      </c>
      <c r="H4322" s="1" t="str">
        <f ca="1">IFERROR(__xludf.DUMMYFUNCTION("GOOGLETRANSLATE(English!H4322, ""en"", ""bg"")"),"помощ_за_домашно_задаване")</f>
        <v>помощ_за_домашно_задаване</v>
      </c>
    </row>
    <row r="4323" spans="1:8" ht="13.2" x14ac:dyDescent="0.25">
      <c r="A4323" s="1" t="str">
        <f ca="1">IFERROR(__xludf.DUMMYFUNCTION("GOOGLETRANSLATE(English!A4323, ""en"", ""bg"")"),"qa_04036")</f>
        <v>qa_04036</v>
      </c>
      <c r="B4323" s="1" t="str">
        <f ca="1">IFERROR(__xludf.DUMMYFUNCTION("GOOGLETRANSLATE(English!B4323, ""en"", ""bg"")"),"биология")</f>
        <v>биология</v>
      </c>
      <c r="C4323" s="1" t="str">
        <f ca="1">IFERROR(__xludf.DUMMYFUNCTION("GOOGLETRANSLATE(English!C4323, ""en"", ""bg"")"),"средата")</f>
        <v>средата</v>
      </c>
      <c r="D4323" s="1" t="str">
        <f ca="1">IFERROR(__xludf.DUMMYFUNCTION("GOOGLETRANSLATE(English!D4323, ""en"", ""bg"")"),"основи на генетиката")</f>
        <v>основи на генетиката</v>
      </c>
      <c r="E4323" s="1" t="str">
        <f ca="1">IFERROR(__xludf.DUMMYFUNCTION("GOOGLETRANSLATE(English!E4323, ""en"", ""bg"")"),"Как работят основите на генетиката?")</f>
        <v>Как работят основите на генетиката?</v>
      </c>
      <c r="F4323" s="1" t="str">
        <f ca="1">IFERROR(__xludf.DUMMYFUNCTION("GOOGLETRANSLATE(English!F4323,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4323" s="1" t="str">
        <f ca="1">IFERROR(__xludf.DUMMYFUNCTION("GOOGLETRANSLATE(English!G4323, ""en"", ""bg"")"),"direct_qa")</f>
        <v>direct_qa</v>
      </c>
      <c r="H4323" s="1" t="str">
        <f ca="1">IFERROR(__xludf.DUMMYFUNCTION("GOOGLETRANSLATE(English!H4323, ""en"", ""bg"")"),"заявка_за_знание")</f>
        <v>заявка_за_знание</v>
      </c>
    </row>
    <row r="4324" spans="1:8" ht="13.2" x14ac:dyDescent="0.25">
      <c r="A4324" s="1" t="str">
        <f ca="1">IFERROR(__xludf.DUMMYFUNCTION("GOOGLETRANSLATE(English!A4324, ""en"", ""bg"")"),"hw_07154")</f>
        <v>hw_07154</v>
      </c>
      <c r="B4324" s="1" t="str">
        <f ca="1">IFERROR(__xludf.DUMMYFUNCTION("GOOGLETRANSLATE(English!B4324, ""en"", ""bg"")"),"биология")</f>
        <v>биология</v>
      </c>
      <c r="C4324" s="1" t="str">
        <f ca="1">IFERROR(__xludf.DUMMYFUNCTION("GOOGLETRANSLATE(English!C4324, ""en"", ""bg"")"),"елементарен")</f>
        <v>елементарен</v>
      </c>
      <c r="D4324" s="1" t="str">
        <f ca="1">IFERROR(__xludf.DUMMYFUNCTION("GOOGLETRANSLATE(English!D4324, ""en"", ""bg"")"),"местообитания")</f>
        <v>местообитания</v>
      </c>
      <c r="E4324" s="1" t="str">
        <f ca="1">IFERROR(__xludf.DUMMYFUNCTION("GOOGLETRANSLATE(English!E4324, ""en"", ""bg"")"),"Утре имам тест по местообитания. Помогни ми да уча!")</f>
        <v>Утре имам тест по местообитания. Помогни ми да уча!</v>
      </c>
      <c r="F4324" s="1" t="str">
        <f ca="1">IFERROR(__xludf.DUMMYFUNCTION("GOOGLETRANSLATE(English!F4324, ""en"", ""bg"")"),"Ще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запо"&amp;"чнете?")</f>
        <v>Ще се радвам да ви помогна с местообитанията! Нека разделя това на прости стъпки. Първо, нека обясня какво означава „местообитания“ и защо са важни в биологията. След това можем да разгледаме заедно някои примери. С коя конкретна част бихте искали да започнете?</v>
      </c>
      <c r="G4324" s="1" t="str">
        <f ca="1">IFERROR(__xludf.DUMMYFUNCTION("GOOGLETRANSLATE(English!G4324, ""en"", ""bg"")"),"помощ_за_домашно_изпълнение")</f>
        <v>помощ_за_домашно_изпълнение</v>
      </c>
      <c r="H4324" s="1" t="str">
        <f ca="1">IFERROR(__xludf.DUMMYFUNCTION("GOOGLETRANSLATE(English!H4324, ""en"", ""bg"")"),"помощ_за_домашно_задаване")</f>
        <v>помощ_за_домашно_задаване</v>
      </c>
    </row>
    <row r="4325" spans="1:8" ht="13.2" x14ac:dyDescent="0.25">
      <c r="A4325" s="1" t="str">
        <f ca="1">IFERROR(__xludf.DUMMYFUNCTION("GOOGLETRANSLATE(English!A4325, ""en"", ""bg"")"),"qa_00247")</f>
        <v>qa_00247</v>
      </c>
      <c r="B4325" s="1" t="str">
        <f ca="1">IFERROR(__xludf.DUMMYFUNCTION("GOOGLETRANSLATE(English!B4325, ""en"", ""bg"")"),"биология")</f>
        <v>биология</v>
      </c>
      <c r="C4325" s="1" t="str">
        <f ca="1">IFERROR(__xludf.DUMMYFUNCTION("GOOGLETRANSLATE(English!C4325, ""en"", ""bg"")"),"елементарен")</f>
        <v>елементарен</v>
      </c>
      <c r="D4325" s="1" t="str">
        <f ca="1">IFERROR(__xludf.DUMMYFUNCTION("GOOGLETRANSLATE(English!D4325, ""en"", ""bg"")"),"животни")</f>
        <v>животни</v>
      </c>
      <c r="E4325" s="1" t="str">
        <f ca="1">IFERROR(__xludf.DUMMYFUNCTION("GOOGLETRANSLATE(English!E4325, ""en"", ""bg"")"),"Как кучетата се грижат за своите бебета?")</f>
        <v>Как кучетата се грижат за своите бебета?</v>
      </c>
      <c r="F4325" s="1" t="str">
        <f ca="1">IFERROR(__xludf.DUMMYFUNCTION("GOOGLETRANSLATE(English!F4325,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4325" s="1" t="str">
        <f ca="1">IFERROR(__xludf.DUMMYFUNCTION("GOOGLETRANSLATE(English!G4325, ""en"", ""bg"")"),"direct_qa")</f>
        <v>direct_qa</v>
      </c>
      <c r="H4325" s="1" t="str">
        <f ca="1">IFERROR(__xludf.DUMMYFUNCTION("GOOGLETRANSLATE(English!H4325, ""en"", ""bg"")"),"заявка_за_знание")</f>
        <v>заявка_за_знание</v>
      </c>
    </row>
    <row r="4326" spans="1:8" ht="13.2" x14ac:dyDescent="0.25">
      <c r="A4326" s="1" t="str">
        <f ca="1">IFERROR(__xludf.DUMMYFUNCTION("GOOGLETRANSLATE(English!A4326, ""en"", ""bg"")"),"conv_00248")</f>
        <v>conv_00248</v>
      </c>
      <c r="B4326" s="1" t="str">
        <f ca="1">IFERROR(__xludf.DUMMYFUNCTION("GOOGLETRANSLATE(English!B4326, ""en"", ""bg"")"),"физика")</f>
        <v>физика</v>
      </c>
      <c r="C4326" s="1" t="str">
        <f ca="1">IFERROR(__xludf.DUMMYFUNCTION("GOOGLETRANSLATE(English!C4326, ""en"", ""bg"")"),"високо")</f>
        <v>високо</v>
      </c>
      <c r="D4326" s="1" t="str">
        <f ca="1">IFERROR(__xludf.DUMMYFUNCTION("GOOGLETRANSLATE(English!D4326, ""en"", ""bg"")"),"електромагнетизъм")</f>
        <v>електромагнетизъм</v>
      </c>
      <c r="E4326" s="1" t="str">
        <f ca="1">IFERROR(__xludf.DUMMYFUNCTION("GOOGLETRANSLATE(English!E4326, ""en"", ""bg"")"),"Можете ли да ми обясните това? Защо електромагнетизмът е важен?")</f>
        <v>Можете ли да ми обясните това? Защо електромагнетизмът е важен?</v>
      </c>
      <c r="F4326" s="1" t="str">
        <f ca="1">IFERROR(__xludf.DUMMYFUNCTION("GOOGLETRANSLATE(English!F4326,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4326" s="1" t="str">
        <f ca="1">IFERROR(__xludf.DUMMYFUNCTION("GOOGLETRANSLATE(English!G4326, ""en"", ""bg"")"),"разговор")</f>
        <v>разговор</v>
      </c>
      <c r="H4326" s="1" t="str">
        <f ca="1">IFERROR(__xludf.DUMMYFUNCTION("GOOGLETRANSLATE(English!H4326, ""en"", ""bg"")"),"образователна_помощ")</f>
        <v>образователна_помощ</v>
      </c>
    </row>
    <row r="4327" spans="1:8" ht="13.2" x14ac:dyDescent="0.25">
      <c r="A4327" s="1" t="str">
        <f ca="1">IFERROR(__xludf.DUMMYFUNCTION("GOOGLETRANSLATE(English!A4327, ""en"", ""bg"")"),"conv_16748")</f>
        <v>conv_16748</v>
      </c>
      <c r="B4327" s="1" t="str">
        <f ca="1">IFERROR(__xludf.DUMMYFUNCTION("GOOGLETRANSLATE(English!B4327, ""en"", ""bg"")"),"биология")</f>
        <v>биология</v>
      </c>
      <c r="C4327" s="1" t="str">
        <f ca="1">IFERROR(__xludf.DUMMYFUNCTION("GOOGLETRANSLATE(English!C4327, ""en"", ""bg"")"),"високо")</f>
        <v>високо</v>
      </c>
      <c r="D4327" s="1" t="str">
        <f ca="1">IFERROR(__xludf.DUMMYFUNCTION("GOOGLETRANSLATE(English!D4327, ""en"", ""bg"")"),"Структура на ДНК")</f>
        <v>Структура на ДНК</v>
      </c>
      <c r="E4327" s="1" t="str">
        <f ca="1">IFERROR(__xludf.DUMMYFUNCTION("GOOGLETRANSLATE(English!E4327, ""en"", ""bg"")"),"Имам нужда от помощ с домашното. Можете ли да ми разкажете за структурата на ДНК?")</f>
        <v>Имам нужда от помощ с домашното. Можете ли да ми разкажете за структурата на ДНК?</v>
      </c>
      <c r="F4327" s="1" t="str">
        <f ca="1">IFERROR(__xludf.DUMMYFUNCTION("GOOGLETRANSLATE(English!F4327, ""en"", ""bg"")"),"Структурата на ДНК е завладяваща част от биологията! Тя ни помага да разберем как функционират живите същества.")</f>
        <v>Структурата на ДНК е завладяваща част от биологията! Тя ни помага да разберем как функционират живите същества.</v>
      </c>
      <c r="G4327" s="1" t="str">
        <f ca="1">IFERROR(__xludf.DUMMYFUNCTION("GOOGLETRANSLATE(English!G4327, ""en"", ""bg"")"),"разговор")</f>
        <v>разговор</v>
      </c>
      <c r="H4327" s="1" t="str">
        <f ca="1">IFERROR(__xludf.DUMMYFUNCTION("GOOGLETRANSLATE(English!H4327, ""en"", ""bg"")"),"образователна_помощ")</f>
        <v>образователна_помощ</v>
      </c>
    </row>
    <row r="4328" spans="1:8" ht="13.2" x14ac:dyDescent="0.25">
      <c r="A4328" s="1" t="str">
        <f ca="1">IFERROR(__xludf.DUMMYFUNCTION("GOOGLETRANSLATE(English!A4328, ""en"", ""bg"")"),"qa_10849")</f>
        <v>qa_10849</v>
      </c>
      <c r="B4328" s="1" t="str">
        <f ca="1">IFERROR(__xludf.DUMMYFUNCTION("GOOGLETRANSLATE(English!B4328, ""en"", ""bg"")"),"химия")</f>
        <v>химия</v>
      </c>
      <c r="C4328" s="1" t="str">
        <f ca="1">IFERROR(__xludf.DUMMYFUNCTION("GOOGLETRANSLATE(English!C4328, ""en"", ""bg"")"),"елементарен")</f>
        <v>елементарен</v>
      </c>
      <c r="D4328" s="1" t="str">
        <f ca="1">IFERROR(__xludf.DUMMYFUNCTION("GOOGLETRANSLATE(English!D4328, ""en"", ""bg"")"),"твърди вещества, течности, газове")</f>
        <v>твърди вещества, течности, газове</v>
      </c>
      <c r="E4328" s="1" t="str">
        <f ca="1">IFERROR(__xludf.DUMMYFUNCTION("GOOGLETRANSLATE(English!E4328, ""en"", ""bg"")"),"Какво се случва, когато нагрявате твърдо вещество?")</f>
        <v>Какво се случва, когато нагрявате твърдо вещество?</v>
      </c>
      <c r="F4328" s="1" t="str">
        <f ca="1">IFERROR(__xludf.DUMMYFUNCTION("GOOGLETRANSLATE(English!F4328,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4328" s="1" t="str">
        <f ca="1">IFERROR(__xludf.DUMMYFUNCTION("GOOGLETRANSLATE(English!G4328, ""en"", ""bg"")"),"direct_qa")</f>
        <v>direct_qa</v>
      </c>
      <c r="H4328" s="1" t="str">
        <f ca="1">IFERROR(__xludf.DUMMYFUNCTION("GOOGLETRANSLATE(English!H4328, ""en"", ""bg"")"),"заявка_за_знание")</f>
        <v>заявка_за_знание</v>
      </c>
    </row>
    <row r="4329" spans="1:8" ht="13.2" x14ac:dyDescent="0.25">
      <c r="A4329" s="1" t="str">
        <f ca="1">IFERROR(__xludf.DUMMYFUNCTION("GOOGLETRANSLATE(English!A4329, ""en"", ""bg"")"),"hw_14815")</f>
        <v>hw_14815</v>
      </c>
      <c r="B4329" s="1" t="str">
        <f ca="1">IFERROR(__xludf.DUMMYFUNCTION("GOOGLETRANSLATE(English!B4329, ""en"", ""bg"")"),"биология")</f>
        <v>биология</v>
      </c>
      <c r="C4329" s="1" t="str">
        <f ca="1">IFERROR(__xludf.DUMMYFUNCTION("GOOGLETRANSLATE(English!C4329, ""en"", ""bg"")"),"високо")</f>
        <v>високо</v>
      </c>
      <c r="D4329" s="1" t="str">
        <f ca="1">IFERROR(__xludf.DUMMYFUNCTION("GOOGLETRANSLATE(English!D4329, ""en"", ""bg"")"),"молекулярна биология")</f>
        <v>молекулярна биология</v>
      </c>
      <c r="E4329" s="1" t="str">
        <f ca="1">IFERROR(__xludf.DUMMYFUNCTION("GOOGLETRANSLATE(English!E4329, ""en"", ""bg"")"),"Домашното ми е за молекулярна биология. Не я разбирам.")</f>
        <v>Домашното ми е за молекулярна биология. Не я разбирам.</v>
      </c>
      <c r="F4329" s="1" t="str">
        <f ca="1">IFERROR(__xludf.DUMMYFUNCTION("GOOGLETRANSLATE(English!F4329, ""en"", ""bg"")"),"Ще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"&amp;"искали да започнете?")</f>
        <v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v>
      </c>
      <c r="G4329" s="1" t="str">
        <f ca="1">IFERROR(__xludf.DUMMYFUNCTION("GOOGLETRANSLATE(English!G4329, ""en"", ""bg"")"),"помощ_за_домашно_изпълнение")</f>
        <v>помощ_за_домашно_изпълнение</v>
      </c>
      <c r="H4329" s="1" t="str">
        <f ca="1">IFERROR(__xludf.DUMMYFUNCTION("GOOGLETRANSLATE(English!H4329, ""en"", ""bg"")"),"помощ_за_домашно_задаване")</f>
        <v>помощ_за_домашно_задаване</v>
      </c>
    </row>
    <row r="4330" spans="1:8" ht="13.2" x14ac:dyDescent="0.25">
      <c r="A4330" s="1" t="str">
        <f ca="1">IFERROR(__xludf.DUMMYFUNCTION("GOOGLETRANSLATE(English!A4330, ""en"", ""bg"")"),"hw_14591")</f>
        <v>hw_14591</v>
      </c>
      <c r="B4330" s="1" t="str">
        <f ca="1">IFERROR(__xludf.DUMMYFUNCTION("GOOGLETRANSLATE(English!B4330, ""en"", ""bg"")"),"физика")</f>
        <v>физика</v>
      </c>
      <c r="C4330" s="1" t="str">
        <f ca="1">IFERROR(__xludf.DUMMYFUNCTION("GOOGLETRANSLATE(English!C4330, ""en"", ""bg"")"),"елементарен")</f>
        <v>елементарен</v>
      </c>
      <c r="D4330" s="1" t="str">
        <f ca="1">IFERROR(__xludf.DUMMYFUNCTION("GOOGLETRANSLATE(English!D4330, ""en"", ""bg"")"),"бутане и дърпане")</f>
        <v>бутане и дърпане</v>
      </c>
      <c r="E4330" s="1" t="str">
        <f ca="1">IFERROR(__xludf.DUMMYFUNCTION("GOOGLETRANSLATE(English!E4330,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4330" s="1" t="str">
        <f ca="1">IFERROR(__xludf.DUMMYFUNCTION("GOOGLETRANSLATE(English!F4330,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4330" s="1" t="str">
        <f ca="1">IFERROR(__xludf.DUMMYFUNCTION("GOOGLETRANSLATE(English!G4330, ""en"", ""bg"")"),"помощ_за_домашно_изпълнение")</f>
        <v>помощ_за_домашно_изпълнение</v>
      </c>
      <c r="H4330" s="1" t="str">
        <f ca="1">IFERROR(__xludf.DUMMYFUNCTION("GOOGLETRANSLATE(English!H4330, ""en"", ""bg"")"),"помощ_за_домашно_задаване")</f>
        <v>помощ_за_домашно_задаване</v>
      </c>
    </row>
    <row r="4331" spans="1:8" ht="13.2" x14ac:dyDescent="0.25">
      <c r="A4331" s="1" t="str">
        <f ca="1">IFERROR(__xludf.DUMMYFUNCTION("GOOGLETRANSLATE(English!A4331, ""en"", ""bg"")"),"conv_04210")</f>
        <v>conv_04210</v>
      </c>
      <c r="B4331" s="1" t="str">
        <f ca="1">IFERROR(__xludf.DUMMYFUNCTION("GOOGLETRANSLATE(English!B4331, ""en"", ""bg"")"),"физика")</f>
        <v>физика</v>
      </c>
      <c r="C4331" s="1" t="str">
        <f ca="1">IFERROR(__xludf.DUMMYFUNCTION("GOOGLETRANSLATE(English!C4331, ""en"", ""bg"")"),"елементарен")</f>
        <v>елементарен</v>
      </c>
      <c r="D4331" s="1" t="str">
        <f ca="1">IFERROR(__xludf.DUMMYFUNCTION("GOOGLETRANSLATE(English!D4331, ""en"", ""bg"")"),"плаващ и потъващ")</f>
        <v>плаващ и потъващ</v>
      </c>
      <c r="E4331" s="1" t="str">
        <f ca="1">IFERROR(__xludf.DUMMYFUNCTION("GOOGLETRANSLATE(English!E4331, ""en"", ""bg"")"),"Здравей, преподавателю! Как се плава и потъва във физиката?")</f>
        <v>Здравей, преподавателю! Как се плава и потъва във физиката?</v>
      </c>
      <c r="F4331" s="1" t="str">
        <f ca="1">IFERROR(__xludf.DUMMYFUNCTION("GOOGLETRANSLATE(English!F4331,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4331" s="1" t="str">
        <f ca="1">IFERROR(__xludf.DUMMYFUNCTION("GOOGLETRANSLATE(English!G4331, ""en"", ""bg"")"),"разговор")</f>
        <v>разговор</v>
      </c>
      <c r="H4331" s="1" t="str">
        <f ca="1">IFERROR(__xludf.DUMMYFUNCTION("GOOGLETRANSLATE(English!H4331, ""en"", ""bg"")"),"образователна_помощ")</f>
        <v>образователна_помощ</v>
      </c>
    </row>
    <row r="4332" spans="1:8" ht="13.2" x14ac:dyDescent="0.25">
      <c r="A4332" s="1" t="str">
        <f ca="1">IFERROR(__xludf.DUMMYFUNCTION("GOOGLETRANSLATE(English!A4332, ""en"", ""bg"")"),"qa_13935")</f>
        <v>qa_13935</v>
      </c>
      <c r="B4332" s="1" t="str">
        <f ca="1">IFERROR(__xludf.DUMMYFUNCTION("GOOGLETRANSLATE(English!B4332, ""en"", ""bg"")"),"биология")</f>
        <v>биология</v>
      </c>
      <c r="C4332" s="1" t="str">
        <f ca="1">IFERROR(__xludf.DUMMYFUNCTION("GOOGLETRANSLATE(English!C4332, ""en"", ""bg"")"),"средата")</f>
        <v>средата</v>
      </c>
      <c r="D4332" s="1" t="str">
        <f ca="1">IFERROR(__xludf.DUMMYFUNCTION("GOOGLETRANSLATE(English!D4332, ""en"", ""bg"")"),"основи на генетиката")</f>
        <v>основи на генетиката</v>
      </c>
      <c r="E4332" s="1" t="str">
        <f ca="1">IFERROR(__xludf.DUMMYFUNCTION("GOOGLETRANSLATE(English!E4332, ""en"", ""bg"")"),"Как работят основите на генетиката?")</f>
        <v>Как работят основите на генетиката?</v>
      </c>
      <c r="F4332" s="1" t="str">
        <f ca="1">IFERROR(__xludf.DUMMYFUNCTION("GOOGLETRANSLATE(English!F4332,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4332" s="1" t="str">
        <f ca="1">IFERROR(__xludf.DUMMYFUNCTION("GOOGLETRANSLATE(English!G4332, ""en"", ""bg"")"),"direct_qa")</f>
        <v>direct_qa</v>
      </c>
      <c r="H4332" s="1" t="str">
        <f ca="1">IFERROR(__xludf.DUMMYFUNCTION("GOOGLETRANSLATE(English!H4332, ""en"", ""bg"")"),"заявка_за_знание")</f>
        <v>заявка_за_знание</v>
      </c>
    </row>
    <row r="4333" spans="1:8" ht="13.2" x14ac:dyDescent="0.25">
      <c r="A4333" s="1" t="str">
        <f ca="1">IFERROR(__xludf.DUMMYFUNCTION("GOOGLETRANSLATE(English!A4333, ""en"", ""bg"")"),"conv_11354")</f>
        <v>conv_11354</v>
      </c>
      <c r="B4333" s="1" t="str">
        <f ca="1">IFERROR(__xludf.DUMMYFUNCTION("GOOGLETRANSLATE(English!B4333, ""en"", ""bg"")"),"биология")</f>
        <v>биология</v>
      </c>
      <c r="C4333" s="1" t="str">
        <f ca="1">IFERROR(__xludf.DUMMYFUNCTION("GOOGLETRANSLATE(English!C4333, ""en"", ""bg"")"),"елементарен")</f>
        <v>елементарен</v>
      </c>
      <c r="D4333" s="1" t="str">
        <f ca="1">IFERROR(__xludf.DUMMYFUNCTION("GOOGLETRANSLATE(English!D4333, ""en"", ""bg"")"),"жизнени цикли")</f>
        <v>жизнени цикли</v>
      </c>
      <c r="E4333" s="1" t="str">
        <f ca="1">IFERROR(__xludf.DUMMYFUNCTION("GOOGLETRANSLATE(English!E4333, ""en"", ""bg"")"),"Здравей, преподавателю! Можеш ли да ми разкажеш за жизнените цикли?")</f>
        <v>Здравей, преподавателю! Можеш ли да ми разкажеш за жизнените цикли?</v>
      </c>
      <c r="F4333" s="1" t="str">
        <f ca="1">IFERROR(__xludf.DUMMYFUNCTION("GOOGLETRANSLATE(English!F4333,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4333" s="1" t="str">
        <f ca="1">IFERROR(__xludf.DUMMYFUNCTION("GOOGLETRANSLATE(English!G4333, ""en"", ""bg"")"),"разговор")</f>
        <v>разговор</v>
      </c>
      <c r="H4333" s="1" t="str">
        <f ca="1">IFERROR(__xludf.DUMMYFUNCTION("GOOGLETRANSLATE(English!H4333, ""en"", ""bg"")"),"образователна_помощ")</f>
        <v>образователна_помощ</v>
      </c>
    </row>
    <row r="4334" spans="1:8" ht="13.2" x14ac:dyDescent="0.25">
      <c r="A4334" s="1" t="str">
        <f ca="1">IFERROR(__xludf.DUMMYFUNCTION("GOOGLETRANSLATE(English!A4334, ""en"", ""bg"")"),"qa_11946")</f>
        <v>qa_11946</v>
      </c>
      <c r="B4334" s="1" t="str">
        <f ca="1">IFERROR(__xludf.DUMMYFUNCTION("GOOGLETRANSLATE(English!B4334, ""en"", ""bg"")"),"биология")</f>
        <v>биология</v>
      </c>
      <c r="C4334" s="1" t="str">
        <f ca="1">IFERROR(__xludf.DUMMYFUNCTION("GOOGLETRANSLATE(English!C4334, ""en"", ""bg"")"),"високо")</f>
        <v>високо</v>
      </c>
      <c r="D4334" s="1" t="str">
        <f ca="1">IFERROR(__xludf.DUMMYFUNCTION("GOOGLETRANSLATE(English!D4334, ""en"", ""bg"")"),"клетъчно дишане")</f>
        <v>клетъчно дишане</v>
      </c>
      <c r="E4334" s="1" t="str">
        <f ca="1">IFERROR(__xludf.DUMMYFUNCTION("GOOGLETRANSLATE(English!E4334, ""en"", ""bg"")"),"Как работи клетъчното дишане?")</f>
        <v>Как работи клетъчното дишане?</v>
      </c>
      <c r="F4334" s="1" t="str">
        <f ca="1">IFERROR(__xludf.DUMMYFUNCTION("GOOGLETRANSLATE(English!F4334,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4334" s="1" t="str">
        <f ca="1">IFERROR(__xludf.DUMMYFUNCTION("GOOGLETRANSLATE(English!G4334, ""en"", ""bg"")"),"direct_qa")</f>
        <v>direct_qa</v>
      </c>
      <c r="H4334" s="1" t="str">
        <f ca="1">IFERROR(__xludf.DUMMYFUNCTION("GOOGLETRANSLATE(English!H4334, ""en"", ""bg"")"),"заявка_за_знание")</f>
        <v>заявка_за_знание</v>
      </c>
    </row>
    <row r="4335" spans="1:8" ht="13.2" x14ac:dyDescent="0.25">
      <c r="A4335" s="1" t="str">
        <f ca="1">IFERROR(__xludf.DUMMYFUNCTION("GOOGLETRANSLATE(English!A4335, ""en"", ""bg"")"),"hw_02008")</f>
        <v>hw_02008</v>
      </c>
      <c r="B4335" s="1" t="str">
        <f ca="1">IFERROR(__xludf.DUMMYFUNCTION("GOOGLETRANSLATE(English!B4335, ""en"", ""bg"")"),"физика")</f>
        <v>физика</v>
      </c>
      <c r="C4335" s="1" t="str">
        <f ca="1">IFERROR(__xludf.DUMMYFUNCTION("GOOGLETRANSLATE(English!C4335, ""en"", ""bg"")"),"високо")</f>
        <v>високо</v>
      </c>
      <c r="D4335" s="1" t="str">
        <f ca="1">IFERROR(__xludf.DUMMYFUNCTION("GOOGLETRANSLATE(English!D4335, ""en"", ""bg"")"),"механика")</f>
        <v>механика</v>
      </c>
      <c r="E4335" s="1" t="str">
        <f ca="1">IFERROR(__xludf.DUMMYFUNCTION("GOOGLETRANSLATE(English!E4335, ""en"", ""bg"")"),"Можеш ли да решиш този механичен въпрос с мен?")</f>
        <v>Можеш ли да решиш този механичен въпрос с мен?</v>
      </c>
      <c r="F4335" s="1" t="str">
        <f ca="1">IFERROR(__xludf.DUMMYFUNCTION("GOOGLETRANSLATE(English!F4335,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4335" s="1" t="str">
        <f ca="1">IFERROR(__xludf.DUMMYFUNCTION("GOOGLETRANSLATE(English!G4335, ""en"", ""bg"")"),"помощ_за_домашно_изпълнение")</f>
        <v>помощ_за_домашно_изпълнение</v>
      </c>
      <c r="H4335" s="1" t="str">
        <f ca="1">IFERROR(__xludf.DUMMYFUNCTION("GOOGLETRANSLATE(English!H4335, ""en"", ""bg"")"),"помощ_за_домашно_задаване")</f>
        <v>помощ_за_домашно_задаване</v>
      </c>
    </row>
    <row r="4336" spans="1:8" ht="13.2" x14ac:dyDescent="0.25">
      <c r="A4336" s="1" t="str">
        <f ca="1">IFERROR(__xludf.DUMMYFUNCTION("GOOGLETRANSLATE(English!A4336, ""en"", ""bg"")"),"conv_02255")</f>
        <v>conv_02255</v>
      </c>
      <c r="B4336" s="1" t="str">
        <f ca="1">IFERROR(__xludf.DUMMYFUNCTION("GOOGLETRANSLATE(English!B4336, ""en"", ""bg"")"),"химия")</f>
        <v>химия</v>
      </c>
      <c r="C4336" s="1" t="str">
        <f ca="1">IFERROR(__xludf.DUMMYFUNCTION("GOOGLETRANSLATE(English!C4336, ""en"", ""bg"")"),"елементарен")</f>
        <v>елементарен</v>
      </c>
      <c r="D4336" s="1" t="str">
        <f ca="1">IFERROR(__xludf.DUMMYFUNCTION("GOOGLETRANSLATE(English!D4336, ""en"", ""bg"")"),"промени в материалите")</f>
        <v>промени в материалите</v>
      </c>
      <c r="E4336" s="1" t="str">
        <f ca="1">IFERROR(__xludf.DUMMYFUNCTION("GOOGLETRANSLATE(English!E4336, ""en"", ""bg"")"),"Не разбирам тази тема. Какво представляват промените в материалите?")</f>
        <v>Не разбирам тази тема. Какво представляват промените в материалите?</v>
      </c>
      <c r="F4336" s="1" t="str">
        <f ca="1">IFERROR(__xludf.DUMMYFUNCTION("GOOGLETRANSLATE(English!F4336,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4336" s="1" t="str">
        <f ca="1">IFERROR(__xludf.DUMMYFUNCTION("GOOGLETRANSLATE(English!G4336, ""en"", ""bg"")"),"разговор")</f>
        <v>разговор</v>
      </c>
      <c r="H4336" s="1" t="str">
        <f ca="1">IFERROR(__xludf.DUMMYFUNCTION("GOOGLETRANSLATE(English!H4336, ""en"", ""bg"")"),"образователна_помощ")</f>
        <v>образователна_помощ</v>
      </c>
    </row>
    <row r="4337" spans="1:8" ht="13.2" x14ac:dyDescent="0.25">
      <c r="A4337" s="1" t="str">
        <f ca="1">IFERROR(__xludf.DUMMYFUNCTION("GOOGLETRANSLATE(English!A4337, ""en"", ""bg"")"),"qa_08813")</f>
        <v>qa_08813</v>
      </c>
      <c r="B4337" s="1" t="str">
        <f ca="1">IFERROR(__xludf.DUMMYFUNCTION("GOOGLETRANSLATE(English!B4337, ""en"", ""bg"")"),"физика")</f>
        <v>физика</v>
      </c>
      <c r="C4337" s="1" t="str">
        <f ca="1">IFERROR(__xludf.DUMMYFUNCTION("GOOGLETRANSLATE(English!C4337, ""en"", ""bg"")"),"елементарен")</f>
        <v>елементарен</v>
      </c>
      <c r="D4337" s="1" t="str">
        <f ca="1">IFERROR(__xludf.DUMMYFUNCTION("GOOGLETRANSLATE(English!D4337, ""en"", ""bg"")"),"бутане и дърпане")</f>
        <v>бутане и дърпане</v>
      </c>
      <c r="E4337" s="1" t="str">
        <f ca="1">IFERROR(__xludf.DUMMYFUNCTION("GOOGLETRANSLATE(English!E4337, ""en"", ""bg"")"),"Защо е важно бутането и дърпането?")</f>
        <v>Защо е важно бутането и дърпането?</v>
      </c>
      <c r="F4337" s="1" t="str">
        <f ca="1">IFERROR(__xludf.DUMMYFUNCTION("GOOGLETRANSLATE(English!F4337,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4337" s="1" t="str">
        <f ca="1">IFERROR(__xludf.DUMMYFUNCTION("GOOGLETRANSLATE(English!G4337, ""en"", ""bg"")"),"direct_qa")</f>
        <v>direct_qa</v>
      </c>
      <c r="H4337" s="1" t="str">
        <f ca="1">IFERROR(__xludf.DUMMYFUNCTION("GOOGLETRANSLATE(English!H4337, ""en"", ""bg"")"),"заявка_за_знание")</f>
        <v>заявка_за_знание</v>
      </c>
    </row>
    <row r="4338" spans="1:8" ht="13.2" x14ac:dyDescent="0.25">
      <c r="A4338" s="1" t="str">
        <f ca="1">IFERROR(__xludf.DUMMYFUNCTION("GOOGLETRANSLATE(English!A4338, ""en"", ""bg"")"),"conv_11302")</f>
        <v>conv_11302</v>
      </c>
      <c r="B4338" s="1" t="str">
        <f ca="1">IFERROR(__xludf.DUMMYFUNCTION("GOOGLETRANSLATE(English!B4338, ""en"", ""bg"")"),"химия")</f>
        <v>химия</v>
      </c>
      <c r="C4338" s="1" t="str">
        <f ca="1">IFERROR(__xludf.DUMMYFUNCTION("GOOGLETRANSLATE(English!C4338, ""en"", ""bg"")"),"високо")</f>
        <v>високо</v>
      </c>
      <c r="D4338" s="1" t="str">
        <f ca="1">IFERROR(__xludf.DUMMYFUNCTION("GOOGLETRANSLATE(English!D4338, ""en"", ""bg"")"),"равновесие")</f>
        <v>равновесие</v>
      </c>
      <c r="E4338" s="1" t="str">
        <f ca="1">IFERROR(__xludf.DUMMYFUNCTION("GOOGLETRANSLATE(English!E4338, ""en"", ""bg"")"),"Не разбирам тази тема. Защо е важно да се учи равновесие?")</f>
        <v>Не разбирам тази тема. Защо е важно да се учи равновесие?</v>
      </c>
      <c r="F4338" s="1" t="str">
        <f ca="1">IFERROR(__xludf.DUMMYFUNCTION("GOOGLETRANSLATE(English!F4338,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338" s="1" t="str">
        <f ca="1">IFERROR(__xludf.DUMMYFUNCTION("GOOGLETRANSLATE(English!G4338, ""en"", ""bg"")"),"разговор")</f>
        <v>разговор</v>
      </c>
      <c r="H4338" s="1" t="str">
        <f ca="1">IFERROR(__xludf.DUMMYFUNCTION("GOOGLETRANSLATE(English!H4338, ""en"", ""bg"")"),"образователна_помощ")</f>
        <v>образователна_помощ</v>
      </c>
    </row>
    <row r="4339" spans="1:8" ht="13.2" x14ac:dyDescent="0.25">
      <c r="A4339" s="1" t="str">
        <f ca="1">IFERROR(__xludf.DUMMYFUNCTION("GOOGLETRANSLATE(English!A4339, ""en"", ""bg"")"),"hw_11679")</f>
        <v>hw_11679</v>
      </c>
      <c r="B4339" s="1" t="str">
        <f ca="1">IFERROR(__xludf.DUMMYFUNCTION("GOOGLETRANSLATE(English!B4339, ""en"", ""bg"")"),"физика")</f>
        <v>физика</v>
      </c>
      <c r="C4339" s="1" t="str">
        <f ca="1">IFERROR(__xludf.DUMMYFUNCTION("GOOGLETRANSLATE(English!C4339, ""en"", ""bg"")"),"средата")</f>
        <v>средата</v>
      </c>
      <c r="D4339" s="1" t="str">
        <f ca="1">IFERROR(__xludf.DUMMYFUNCTION("GOOGLETRANSLATE(English!D4339, ""en"", ""bg"")"),"прости схеми")</f>
        <v>прости схеми</v>
      </c>
      <c r="E4339" s="1" t="str">
        <f ca="1">IFERROR(__xludf.DUMMYFUNCTION("GOOGLETRANSLATE(English!E4339,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4339" s="1" t="str">
        <f ca="1">IFERROR(__xludf.DUMMYFUNCTION("GOOGLETRANSLATE(English!F4339,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4339" s="1" t="str">
        <f ca="1">IFERROR(__xludf.DUMMYFUNCTION("GOOGLETRANSLATE(English!G4339, ""en"", ""bg"")"),"помощ_за_домашно_изпълнение")</f>
        <v>помощ_за_домашно_изпълнение</v>
      </c>
      <c r="H4339" s="1" t="str">
        <f ca="1">IFERROR(__xludf.DUMMYFUNCTION("GOOGLETRANSLATE(English!H4339, ""en"", ""bg"")"),"помощ_за_домашно_задаване")</f>
        <v>помощ_за_домашно_задаване</v>
      </c>
    </row>
    <row r="4340" spans="1:8" ht="13.2" x14ac:dyDescent="0.25">
      <c r="A4340" s="1" t="str">
        <f ca="1">IFERROR(__xludf.DUMMYFUNCTION("GOOGLETRANSLATE(English!A4340, ""en"", ""bg"")"),"qa_04364")</f>
        <v>qa_04364</v>
      </c>
      <c r="B4340" s="1" t="str">
        <f ca="1">IFERROR(__xludf.DUMMYFUNCTION("GOOGLETRANSLATE(English!B4340, ""en"", ""bg"")"),"физика")</f>
        <v>физика</v>
      </c>
      <c r="C4340" s="1" t="str">
        <f ca="1">IFERROR(__xludf.DUMMYFUNCTION("GOOGLETRANSLATE(English!C4340, ""en"", ""bg"")"),"елементарен")</f>
        <v>елементарен</v>
      </c>
      <c r="D4340" s="1" t="str">
        <f ca="1">IFERROR(__xludf.DUMMYFUNCTION("GOOGLETRANSLATE(English!D4340, ""en"", ""bg"")"),"магнити")</f>
        <v>магнити</v>
      </c>
      <c r="E4340" s="1" t="str">
        <f ca="1">IFERROR(__xludf.DUMMYFUNCTION("GOOGLETRANSLATE(English!E4340, ""en"", ""bg"")"),"Как работят магнитите?")</f>
        <v>Как работят магнитите?</v>
      </c>
      <c r="F4340" s="1" t="str">
        <f ca="1">IFERROR(__xludf.DUMMYFUNCTION("GOOGLETRANSLATE(English!F4340,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4340" s="1" t="str">
        <f ca="1">IFERROR(__xludf.DUMMYFUNCTION("GOOGLETRANSLATE(English!G4340, ""en"", ""bg"")"),"direct_qa")</f>
        <v>direct_qa</v>
      </c>
      <c r="H4340" s="1" t="str">
        <f ca="1">IFERROR(__xludf.DUMMYFUNCTION("GOOGLETRANSLATE(English!H4340, ""en"", ""bg"")"),"заявка_за_знание")</f>
        <v>заявка_за_знание</v>
      </c>
    </row>
    <row r="4341" spans="1:8" ht="13.2" x14ac:dyDescent="0.25">
      <c r="A4341" s="1" t="str">
        <f ca="1">IFERROR(__xludf.DUMMYFUNCTION("GOOGLETRANSLATE(English!A4341, ""en"", ""bg"")"),"hw_06111")</f>
        <v>hw_06111</v>
      </c>
      <c r="B4341" s="1" t="str">
        <f ca="1">IFERROR(__xludf.DUMMYFUNCTION("GOOGLETRANSLATE(English!B4341, ""en"", ""bg"")"),"химия")</f>
        <v>химия</v>
      </c>
      <c r="C4341" s="1" t="str">
        <f ca="1">IFERROR(__xludf.DUMMYFUNCTION("GOOGLETRANSLATE(English!C4341, ""en"", ""bg"")"),"високо")</f>
        <v>високо</v>
      </c>
      <c r="D4341" s="1" t="str">
        <f ca="1">IFERROR(__xludf.DUMMYFUNCTION("GOOGLETRANSLATE(English!D4341, ""en"", ""bg"")"),"органична химия")</f>
        <v>органична химия</v>
      </c>
      <c r="E4341" s="1" t="str">
        <f ca="1">IFERROR(__xludf.DUMMYFUNCTION("GOOGLETRANSLATE(English!E4341, ""en"", ""bg"")"),"Имам затруднения с органичната химия в домашното си.")</f>
        <v>Имам затруднения с органичната химия в домашното си.</v>
      </c>
      <c r="F4341" s="1" t="str">
        <f ca="1">IFERROR(__xludf.DUMMYFUNCTION("GOOGLETRANSLATE(English!F4341,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341" s="1" t="str">
        <f ca="1">IFERROR(__xludf.DUMMYFUNCTION("GOOGLETRANSLATE(English!G4341, ""en"", ""bg"")"),"помощ_за_домашно_изпълнение")</f>
        <v>помощ_за_домашно_изпълнение</v>
      </c>
      <c r="H4341" s="1" t="str">
        <f ca="1">IFERROR(__xludf.DUMMYFUNCTION("GOOGLETRANSLATE(English!H4341, ""en"", ""bg"")"),"помощ_за_домашно_задаване")</f>
        <v>помощ_за_домашно_задаване</v>
      </c>
    </row>
    <row r="4342" spans="1:8" ht="13.2" x14ac:dyDescent="0.25">
      <c r="A4342" s="1" t="str">
        <f ca="1">IFERROR(__xludf.DUMMYFUNCTION("GOOGLETRANSLATE(English!A4342, ""en"", ""bg"")"),"conv_00790")</f>
        <v>conv_00790</v>
      </c>
      <c r="B4342" s="1" t="str">
        <f ca="1">IFERROR(__xludf.DUMMYFUNCTION("GOOGLETRANSLATE(English!B4342, ""en"", ""bg"")"),"физика")</f>
        <v>физика</v>
      </c>
      <c r="C4342" s="1" t="str">
        <f ca="1">IFERROR(__xludf.DUMMYFUNCTION("GOOGLETRANSLATE(English!C4342, ""en"", ""bg"")"),"високо")</f>
        <v>високо</v>
      </c>
      <c r="D4342" s="1" t="str">
        <f ca="1">IFERROR(__xludf.DUMMYFUNCTION("GOOGLETRANSLATE(English!D4342, ""en"", ""bg"")"),"термодинамика")</f>
        <v>термодинамика</v>
      </c>
      <c r="E4342" s="1" t="str">
        <f ca="1">IFERROR(__xludf.DUMMYFUNCTION("GOOGLETRANSLATE(English!E4342, ""en"", ""bg"")"),"Помогнете ми да уча за теста си. Защо термодинамиката е важна?")</f>
        <v>Помогнете ми да уча за теста си. Защо термодинамиката е важна?</v>
      </c>
      <c r="F4342" s="1" t="str">
        <f ca="1">IFERROR(__xludf.DUMMYFUNCTION("GOOGLETRANSLATE(English!F4342,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4342" s="1" t="str">
        <f ca="1">IFERROR(__xludf.DUMMYFUNCTION("GOOGLETRANSLATE(English!G4342, ""en"", ""bg"")"),"разговор")</f>
        <v>разговор</v>
      </c>
      <c r="H4342" s="1" t="str">
        <f ca="1">IFERROR(__xludf.DUMMYFUNCTION("GOOGLETRANSLATE(English!H4342, ""en"", ""bg"")"),"образователна_помощ")</f>
        <v>образователна_помощ</v>
      </c>
    </row>
    <row r="4343" spans="1:8" ht="13.2" x14ac:dyDescent="0.25">
      <c r="A4343" s="1" t="str">
        <f ca="1">IFERROR(__xludf.DUMMYFUNCTION("GOOGLETRANSLATE(English!A4343, ""en"", ""bg"")"),"conv_04944")</f>
        <v>conv_04944</v>
      </c>
      <c r="B4343" s="1" t="str">
        <f ca="1">IFERROR(__xludf.DUMMYFUNCTION("GOOGLETRANSLATE(English!B4343, ""en"", ""bg"")"),"химия")</f>
        <v>химия</v>
      </c>
      <c r="C4343" s="1" t="str">
        <f ca="1">IFERROR(__xludf.DUMMYFUNCTION("GOOGLETRANSLATE(English!C4343, ""en"", ""bg"")"),"средата")</f>
        <v>средата</v>
      </c>
      <c r="D4343" s="1" t="str">
        <f ca="1">IFERROR(__xludf.DUMMYFUNCTION("GOOGLETRANSLATE(English!D4343, ""en"", ""bg"")"),"съединения срещу елементи")</f>
        <v>съединения срещу елементи</v>
      </c>
      <c r="E4343" s="1" t="str">
        <f ca="1">IFERROR(__xludf.DUMMYFUNCTION("GOOGLETRANSLATE(English!E4343, ""en"", ""bg"")"),"Помогнете ми да уча за теста. Можете ли да ми помогнете да разбера по-добре съединенията спрямо елементите?")</f>
        <v>Помогнете ми да уча за теста. Можете ли да ми помогнете да разбера по-добре съединенията спрямо елементите?</v>
      </c>
      <c r="F4343" s="1" t="str">
        <f ca="1">IFERROR(__xludf.DUMMYFUNCTION("GOOGLETRANSLATE(English!F4343,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4343" s="1" t="str">
        <f ca="1">IFERROR(__xludf.DUMMYFUNCTION("GOOGLETRANSLATE(English!G4343, ""en"", ""bg"")"),"разговор")</f>
        <v>разговор</v>
      </c>
      <c r="H4343" s="1" t="str">
        <f ca="1">IFERROR(__xludf.DUMMYFUNCTION("GOOGLETRANSLATE(English!H4343, ""en"", ""bg"")"),"образователна_помощ")</f>
        <v>образователна_помощ</v>
      </c>
    </row>
    <row r="4344" spans="1:8" ht="13.2" x14ac:dyDescent="0.25">
      <c r="A4344" s="1" t="str">
        <f ca="1">IFERROR(__xludf.DUMMYFUNCTION("GOOGLETRANSLATE(English!A4344, ""en"", ""bg"")"),"qa_00649")</f>
        <v>qa_00649</v>
      </c>
      <c r="B4344" s="1" t="str">
        <f ca="1">IFERROR(__xludf.DUMMYFUNCTION("GOOGLETRANSLATE(English!B4344, ""en"", ""bg"")"),"химия")</f>
        <v>химия</v>
      </c>
      <c r="C4344" s="1" t="str">
        <f ca="1">IFERROR(__xludf.DUMMYFUNCTION("GOOGLETRANSLATE(English!C4344, ""en"", ""bg"")"),"средата")</f>
        <v>средата</v>
      </c>
      <c r="D4344" s="1" t="str">
        <f ca="1">IFERROR(__xludf.DUMMYFUNCTION("GOOGLETRANSLATE(English!D4344, ""en"", ""bg"")"),"основи на периодичната таблица")</f>
        <v>основи на периодичната таблица</v>
      </c>
      <c r="E4344" s="1" t="str">
        <f ca="1">IFERROR(__xludf.DUMMYFUNCTION("GOOGLETRANSLATE(English!E4344, ""en"", ""bg"")"),"Какво представляват основите на периодичната таблица?")</f>
        <v>Какво представляват основите на периодичната таблица?</v>
      </c>
      <c r="F4344" s="1" t="str">
        <f ca="1">IFERROR(__xludf.DUMMYFUNCTION("GOOGLETRANSLATE(English!F4344,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4344" s="1" t="str">
        <f ca="1">IFERROR(__xludf.DUMMYFUNCTION("GOOGLETRANSLATE(English!G4344, ""en"", ""bg"")"),"direct_qa")</f>
        <v>direct_qa</v>
      </c>
      <c r="H4344" s="1" t="str">
        <f ca="1">IFERROR(__xludf.DUMMYFUNCTION("GOOGLETRANSLATE(English!H4344, ""en"", ""bg"")"),"заявка_за_знание")</f>
        <v>заявка_за_знание</v>
      </c>
    </row>
    <row r="4345" spans="1:8" ht="13.2" x14ac:dyDescent="0.25">
      <c r="A4345" s="1" t="str">
        <f ca="1">IFERROR(__xludf.DUMMYFUNCTION("GOOGLETRANSLATE(English!A4345, ""en"", ""bg"")"),"conv_01437")</f>
        <v>conv_01437</v>
      </c>
      <c r="B4345" s="1" t="str">
        <f ca="1">IFERROR(__xludf.DUMMYFUNCTION("GOOGLETRANSLATE(English!B4345, ""en"", ""bg"")"),"биология")</f>
        <v>биология</v>
      </c>
      <c r="C4345" s="1" t="str">
        <f ca="1">IFERROR(__xludf.DUMMYFUNCTION("GOOGLETRANSLATE(English!C4345, ""en"", ""bg"")"),"високо")</f>
        <v>високо</v>
      </c>
      <c r="D4345" s="1" t="str">
        <f ca="1">IFERROR(__xludf.DUMMYFUNCTION("GOOGLETRANSLATE(English!D4345, ""en"", ""bg"")"),"модели на наследяване")</f>
        <v>модели на наследяване</v>
      </c>
      <c r="E4345" s="1" t="str">
        <f ca="1">IFERROR(__xludf.DUMMYFUNCTION("GOOGLETRANSLATE(English!E4345, ""en"", ""bg"")"),"Помогнете ми да уча за теста си. Как работят моделите на наследяване?")</f>
        <v>Помогнете ми да уча за теста си. Как работят моделите на наследяване?</v>
      </c>
      <c r="F4345" s="1" t="str">
        <f ca="1">IFERROR(__xludf.DUMMYFUNCTION("GOOGLETRANSLATE(English!F4345,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4345" s="1" t="str">
        <f ca="1">IFERROR(__xludf.DUMMYFUNCTION("GOOGLETRANSLATE(English!G4345, ""en"", ""bg"")"),"разговор")</f>
        <v>разговор</v>
      </c>
      <c r="H4345" s="1" t="str">
        <f ca="1">IFERROR(__xludf.DUMMYFUNCTION("GOOGLETRANSLATE(English!H4345, ""en"", ""bg"")"),"образователна_помощ")</f>
        <v>образователна_помощ</v>
      </c>
    </row>
    <row r="4346" spans="1:8" ht="13.2" x14ac:dyDescent="0.25">
      <c r="A4346" s="1" t="str">
        <f ca="1">IFERROR(__xludf.DUMMYFUNCTION("GOOGLETRANSLATE(English!A4346, ""en"", ""bg"")"),"qa_06629")</f>
        <v>qa_06629</v>
      </c>
      <c r="B4346" s="1" t="str">
        <f ca="1">IFERROR(__xludf.DUMMYFUNCTION("GOOGLETRANSLATE(English!B4346, ""en"", ""bg"")"),"биология")</f>
        <v>биология</v>
      </c>
      <c r="C4346" s="1" t="str">
        <f ca="1">IFERROR(__xludf.DUMMYFUNCTION("GOOGLETRANSLATE(English!C4346, ""en"", ""bg"")"),"високо")</f>
        <v>високо</v>
      </c>
      <c r="D4346" s="1" t="str">
        <f ca="1">IFERROR(__xludf.DUMMYFUNCTION("GOOGLETRANSLATE(English!D4346, ""en"", ""bg"")"),"молекулярна биология")</f>
        <v>молекулярна биология</v>
      </c>
      <c r="E4346" s="1" t="str">
        <f ca="1">IFERROR(__xludf.DUMMYFUNCTION("GOOGLETRANSLATE(English!E4346, ""en"", ""bg"")"),"Как работи молекулярната биология?")</f>
        <v>Как работи молекулярната биология?</v>
      </c>
      <c r="F4346" s="1" t="str">
        <f ca="1">IFERROR(__xludf.DUMMYFUNCTION("GOOGLETRANSLATE(English!F4346,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4346" s="1" t="str">
        <f ca="1">IFERROR(__xludf.DUMMYFUNCTION("GOOGLETRANSLATE(English!G4346, ""en"", ""bg"")"),"direct_qa")</f>
        <v>direct_qa</v>
      </c>
      <c r="H4346" s="1" t="str">
        <f ca="1">IFERROR(__xludf.DUMMYFUNCTION("GOOGLETRANSLATE(English!H4346, ""en"", ""bg"")"),"заявка_за_знание")</f>
        <v>заявка_за_знание</v>
      </c>
    </row>
    <row r="4347" spans="1:8" ht="13.2" x14ac:dyDescent="0.25">
      <c r="A4347" s="1" t="str">
        <f ca="1">IFERROR(__xludf.DUMMYFUNCTION("GOOGLETRANSLATE(English!A4347, ""en"", ""bg"")"),"conv_17156")</f>
        <v>conv_17156</v>
      </c>
      <c r="B4347" s="1" t="str">
        <f ca="1">IFERROR(__xludf.DUMMYFUNCTION("GOOGLETRANSLATE(English!B4347, ""en"", ""bg"")"),"биология")</f>
        <v>биология</v>
      </c>
      <c r="C4347" s="1" t="str">
        <f ca="1">IFERROR(__xludf.DUMMYFUNCTION("GOOGLETRANSLATE(English!C4347, ""en"", ""bg"")"),"високо")</f>
        <v>високо</v>
      </c>
      <c r="D4347" s="1" t="str">
        <f ca="1">IFERROR(__xludf.DUMMYFUNCTION("GOOGLETRANSLATE(English!D4347, ""en"", ""bg"")"),"клетъчно дишане")</f>
        <v>клетъчно дишане</v>
      </c>
      <c r="E4347" s="1" t="str">
        <f ca="1">IFERROR(__xludf.DUMMYFUNCTION("GOOGLETRANSLATE(English!E4347, ""en"", ""bg"")"),"Помогнете ми да уча за теста си. Защо клетъчното дишане е важно в биологията?")</f>
        <v>Помогнете ми да уча за теста си. Защо клетъчното дишане е важно в биологията?</v>
      </c>
      <c r="F4347" s="1" t="str">
        <f ca="1">IFERROR(__xludf.DUMMYFUNCTION("GOOGLETRANSLATE(English!F4347,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4347" s="1" t="str">
        <f ca="1">IFERROR(__xludf.DUMMYFUNCTION("GOOGLETRANSLATE(English!G4347, ""en"", ""bg"")"),"разговор")</f>
        <v>разговор</v>
      </c>
      <c r="H4347" s="1" t="str">
        <f ca="1">IFERROR(__xludf.DUMMYFUNCTION("GOOGLETRANSLATE(English!H4347, ""en"", ""bg"")"),"образователна_помощ")</f>
        <v>образователна_помощ</v>
      </c>
    </row>
    <row r="4348" spans="1:8" ht="13.2" x14ac:dyDescent="0.25">
      <c r="A4348" s="1" t="str">
        <f ca="1">IFERROR(__xludf.DUMMYFUNCTION("GOOGLETRANSLATE(English!A4348, ""en"", ""bg"")"),"conv_02797")</f>
        <v>conv_02797</v>
      </c>
      <c r="B4348" s="1" t="str">
        <f ca="1">IFERROR(__xludf.DUMMYFUNCTION("GOOGLETRANSLATE(English!B4348, ""en"", ""bg"")"),"биология")</f>
        <v>биология</v>
      </c>
      <c r="C4348" s="1" t="str">
        <f ca="1">IFERROR(__xludf.DUMMYFUNCTION("GOOGLETRANSLATE(English!C4348, ""en"", ""bg"")"),"високо")</f>
        <v>високо</v>
      </c>
      <c r="D4348" s="1" t="str">
        <f ca="1">IFERROR(__xludf.DUMMYFUNCTION("GOOGLETRANSLATE(English!D4348, ""en"", ""bg"")"),"молекулярна биология")</f>
        <v>молекулярна биология</v>
      </c>
      <c r="E4348" s="1" t="str">
        <f ca="1">IFERROR(__xludf.DUMMYFUNCTION("GOOGLETRANSLATE(English!E4348, ""en"", ""bg"")"),"Не разбирам тази тема. Защо молекулярната биология е важна в биологията?")</f>
        <v>Не разбирам тази тема. Защо молекулярната биология е важна в биологията?</v>
      </c>
      <c r="F4348" s="1" t="str">
        <f ca="1">IFERROR(__xludf.DUMMYFUNCTION("GOOGLETRANSLATE(English!F4348,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4348" s="1" t="str">
        <f ca="1">IFERROR(__xludf.DUMMYFUNCTION("GOOGLETRANSLATE(English!G4348, ""en"", ""bg"")"),"разговор")</f>
        <v>разговор</v>
      </c>
      <c r="H4348" s="1" t="str">
        <f ca="1">IFERROR(__xludf.DUMMYFUNCTION("GOOGLETRANSLATE(English!H4348, ""en"", ""bg"")"),"образователна_помощ")</f>
        <v>образователна_помощ</v>
      </c>
    </row>
    <row r="4349" spans="1:8" ht="13.2" x14ac:dyDescent="0.25">
      <c r="A4349" s="1" t="str">
        <f ca="1">IFERROR(__xludf.DUMMYFUNCTION("GOOGLETRANSLATE(English!A4349, ""en"", ""bg"")"),"conv_07476")</f>
        <v>conv_07476</v>
      </c>
      <c r="B4349" s="1" t="str">
        <f ca="1">IFERROR(__xludf.DUMMYFUNCTION("GOOGLETRANSLATE(English!B4349, ""en"", ""bg"")"),"биология")</f>
        <v>биология</v>
      </c>
      <c r="C4349" s="1" t="str">
        <f ca="1">IFERROR(__xludf.DUMMYFUNCTION("GOOGLETRANSLATE(English!C4349, ""en"", ""bg"")"),"високо")</f>
        <v>високо</v>
      </c>
      <c r="D4349" s="1" t="str">
        <f ca="1">IFERROR(__xludf.DUMMYFUNCTION("GOOGLETRANSLATE(English!D4349, ""en"", ""bg"")"),"молекулярна биология")</f>
        <v>молекулярна биология</v>
      </c>
      <c r="E4349" s="1" t="str">
        <f ca="1">IFERROR(__xludf.DUMMYFUNCTION("GOOGLETRANSLATE(English!E4349, ""en"", ""bg"")"),"Имам научен въпрос. Как работи молекулярната биология?")</f>
        <v>Имам научен въпрос. Как работи молекулярната биология?</v>
      </c>
      <c r="F4349" s="1" t="str">
        <f ca="1">IFERROR(__xludf.DUMMYFUNCTION("GOOGLETRANSLATE(English!F4349,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4349" s="1" t="str">
        <f ca="1">IFERROR(__xludf.DUMMYFUNCTION("GOOGLETRANSLATE(English!G4349, ""en"", ""bg"")"),"разговор")</f>
        <v>разговор</v>
      </c>
      <c r="H4349" s="1" t="str">
        <f ca="1">IFERROR(__xludf.DUMMYFUNCTION("GOOGLETRANSLATE(English!H4349, ""en"", ""bg"")"),"образователна_помощ")</f>
        <v>образователна_помощ</v>
      </c>
    </row>
    <row r="4350" spans="1:8" ht="13.2" x14ac:dyDescent="0.25">
      <c r="A4350" s="1" t="str">
        <f ca="1">IFERROR(__xludf.DUMMYFUNCTION("GOOGLETRANSLATE(English!A4350, ""en"", ""bg"")"),"hw_06728")</f>
        <v>hw_06728</v>
      </c>
      <c r="B4350" s="1" t="str">
        <f ca="1">IFERROR(__xludf.DUMMYFUNCTION("GOOGLETRANSLATE(English!B4350, ""en"", ""bg"")"),"химия")</f>
        <v>химия</v>
      </c>
      <c r="C4350" s="1" t="str">
        <f ca="1">IFERROR(__xludf.DUMMYFUNCTION("GOOGLETRANSLATE(English!C4350, ""en"", ""bg"")"),"високо")</f>
        <v>високо</v>
      </c>
      <c r="D4350" s="1" t="str">
        <f ca="1">IFERROR(__xludf.DUMMYFUNCTION("GOOGLETRANSLATE(English!D4350, ""en"", ""bg"")"),"органична химия")</f>
        <v>органична химия</v>
      </c>
      <c r="E4350" s="1" t="str">
        <f ca="1">IFERROR(__xludf.DUMMYFUNCTION("GOOGLETRANSLATE(English!E4350,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4350" s="1" t="str">
        <f ca="1">IFERROR(__xludf.DUMMYFUNCTION("GOOGLETRANSLATE(English!F4350,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350" s="1" t="str">
        <f ca="1">IFERROR(__xludf.DUMMYFUNCTION("GOOGLETRANSLATE(English!G4350, ""en"", ""bg"")"),"помощ_за_домашно_изпълнение")</f>
        <v>помощ_за_домашно_изпълнение</v>
      </c>
      <c r="H4350" s="1" t="str">
        <f ca="1">IFERROR(__xludf.DUMMYFUNCTION("GOOGLETRANSLATE(English!H4350, ""en"", ""bg"")"),"помощ_за_домашно_задаване")</f>
        <v>помощ_за_домашно_задаване</v>
      </c>
    </row>
    <row r="4351" spans="1:8" ht="13.2" x14ac:dyDescent="0.25">
      <c r="A4351" s="1" t="str">
        <f ca="1">IFERROR(__xludf.DUMMYFUNCTION("GOOGLETRANSLATE(English!A4351, ""en"", ""bg"")"),"hw_05212")</f>
        <v>hw_05212</v>
      </c>
      <c r="B4351" s="1" t="str">
        <f ca="1">IFERROR(__xludf.DUMMYFUNCTION("GOOGLETRANSLATE(English!B4351, ""en"", ""bg"")"),"химия")</f>
        <v>химия</v>
      </c>
      <c r="C4351" s="1" t="str">
        <f ca="1">IFERROR(__xludf.DUMMYFUNCTION("GOOGLETRANSLATE(English!C4351, ""en"", ""bg"")"),"елементарен")</f>
        <v>елементарен</v>
      </c>
      <c r="D4351" s="1" t="str">
        <f ca="1">IFERROR(__xludf.DUMMYFUNCTION("GOOGLETRANSLATE(English!D4351, ""en"", ""bg"")"),"твърди вещества, течности, газове")</f>
        <v>твърди вещества, течности, газове</v>
      </c>
      <c r="E4351" s="1" t="str">
        <f ca="1">IFERROR(__xludf.DUMMYFUNCTION("GOOGLETRANSLATE(English!E4351,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4351" s="1" t="str">
        <f ca="1">IFERROR(__xludf.DUMMYFUNCTION("GOOGLETRANSLATE(English!F4351,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4351" s="1" t="str">
        <f ca="1">IFERROR(__xludf.DUMMYFUNCTION("GOOGLETRANSLATE(English!G4351, ""en"", ""bg"")"),"помощ_за_домашно_изпълнение")</f>
        <v>помощ_за_домашно_изпълнение</v>
      </c>
      <c r="H4351" s="1" t="str">
        <f ca="1">IFERROR(__xludf.DUMMYFUNCTION("GOOGLETRANSLATE(English!H4351, ""en"", ""bg"")"),"помощ_за_домашно_задаване")</f>
        <v>помощ_за_домашно_задаване</v>
      </c>
    </row>
    <row r="4352" spans="1:8" ht="13.2" x14ac:dyDescent="0.25">
      <c r="A4352" s="1" t="str">
        <f ca="1">IFERROR(__xludf.DUMMYFUNCTION("GOOGLETRANSLATE(English!A4352, ""en"", ""bg"")"),"conv_07832")</f>
        <v>conv_07832</v>
      </c>
      <c r="B4352" s="1" t="str">
        <f ca="1">IFERROR(__xludf.DUMMYFUNCTION("GOOGLETRANSLATE(English!B4352, ""en"", ""bg"")"),"биология")</f>
        <v>биология</v>
      </c>
      <c r="C4352" s="1" t="str">
        <f ca="1">IFERROR(__xludf.DUMMYFUNCTION("GOOGLETRANSLATE(English!C4352, ""en"", ""bg"")"),"елементарен")</f>
        <v>елементарен</v>
      </c>
      <c r="D4352" s="1" t="str">
        <f ca="1">IFERROR(__xludf.DUMMYFUNCTION("GOOGLETRANSLATE(English!D4352, ""en"", ""bg"")"),"хранителни вериги")</f>
        <v>хранителни вериги</v>
      </c>
      <c r="E4352" s="1" t="str">
        <f ca="1">IFERROR(__xludf.DUMMYFUNCTION("GOOGLETRANSLATE(English!E4352, ""en"", ""bg"")"),"Помогнете ми да уча за теста си. Защо хранителните вериги са важни в биологията?")</f>
        <v>Помогнете ми да уча за теста си. Защо хранителните вериги са важни в биологията?</v>
      </c>
      <c r="F4352" s="1" t="str">
        <f ca="1">IFERROR(__xludf.DUMMYFUNCTION("GOOGLETRANSLATE(English!F4352, ""en"", ""bg"")"),"Хранителните вериги са важни, защото ни помагат да разберем живота и как живите същества оцеляват.")</f>
        <v>Хранителните вериги са важни, защото ни помагат да разберем живота и как живите същества оцеляват.</v>
      </c>
      <c r="G4352" s="1" t="str">
        <f ca="1">IFERROR(__xludf.DUMMYFUNCTION("GOOGLETRANSLATE(English!G4352, ""en"", ""bg"")"),"разговор")</f>
        <v>разговор</v>
      </c>
      <c r="H4352" s="1" t="str">
        <f ca="1">IFERROR(__xludf.DUMMYFUNCTION("GOOGLETRANSLATE(English!H4352, ""en"", ""bg"")"),"образователна_помощ")</f>
        <v>образователна_помощ</v>
      </c>
    </row>
    <row r="4353" spans="1:8" ht="13.2" x14ac:dyDescent="0.25">
      <c r="A4353" s="1" t="str">
        <f ca="1">IFERROR(__xludf.DUMMYFUNCTION("GOOGLETRANSLATE(English!A4353, ""en"", ""bg"")"),"hw_11149")</f>
        <v>hw_11149</v>
      </c>
      <c r="B4353" s="1" t="str">
        <f ca="1">IFERROR(__xludf.DUMMYFUNCTION("GOOGLETRANSLATE(English!B4353, ""en"", ""bg"")"),"химия")</f>
        <v>химия</v>
      </c>
      <c r="C4353" s="1" t="str">
        <f ca="1">IFERROR(__xludf.DUMMYFUNCTION("GOOGLETRANSLATE(English!C4353, ""en"", ""bg"")"),"елементарен")</f>
        <v>елементарен</v>
      </c>
      <c r="D4353" s="1" t="str">
        <f ca="1">IFERROR(__xludf.DUMMYFUNCTION("GOOGLETRANSLATE(English!D4353, ""en"", ""bg"")"),"безопасност")</f>
        <v>безопасност</v>
      </c>
      <c r="E4353" s="1" t="str">
        <f ca="1">IFERROR(__xludf.DUMMYFUNCTION("GOOGLETRANSLATE(English!E4353, ""en"", ""bg"")"),"Не разбирам тази концепция за безопасност. Моля, обяснете!")</f>
        <v>Не разбирам тази концепция за безопасност. Моля, обяснете!</v>
      </c>
      <c r="F4353" s="1" t="str">
        <f ca="1">IFERROR(__xludf.DUMMYFUNCTION("GOOGLETRANSLATE(English!F4353,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4353" s="1" t="str">
        <f ca="1">IFERROR(__xludf.DUMMYFUNCTION("GOOGLETRANSLATE(English!G4353, ""en"", ""bg"")"),"помощ_за_домашно_изпълнение")</f>
        <v>помощ_за_домашно_изпълнение</v>
      </c>
      <c r="H4353" s="1" t="str">
        <f ca="1">IFERROR(__xludf.DUMMYFUNCTION("GOOGLETRANSLATE(English!H4353, ""en"", ""bg"")"),"помощ_за_домашно_задаване")</f>
        <v>помощ_за_домашно_задаване</v>
      </c>
    </row>
    <row r="4354" spans="1:8" ht="13.2" x14ac:dyDescent="0.25">
      <c r="A4354" s="1" t="str">
        <f ca="1">IFERROR(__xludf.DUMMYFUNCTION("GOOGLETRANSLATE(English!A4354, ""en"", ""bg"")"),"conv_12837")</f>
        <v>conv_12837</v>
      </c>
      <c r="B4354" s="1" t="str">
        <f ca="1">IFERROR(__xludf.DUMMYFUNCTION("GOOGLETRANSLATE(English!B4354, ""en"", ""bg"")"),"биология")</f>
        <v>биология</v>
      </c>
      <c r="C4354" s="1" t="str">
        <f ca="1">IFERROR(__xludf.DUMMYFUNCTION("GOOGLETRANSLATE(English!C4354, ""en"", ""bg"")"),"средата")</f>
        <v>средата</v>
      </c>
      <c r="D4354" s="1" t="str">
        <f ca="1">IFERROR(__xludf.DUMMYFUNCTION("GOOGLETRANSLATE(English!D4354, ""en"", ""bg"")"),"клетки")</f>
        <v>клетки</v>
      </c>
      <c r="E4354" s="1" t="str">
        <f ca="1">IFERROR(__xludf.DUMMYFUNCTION("GOOGLETRANSLATE(English!E4354, ""en"", ""bg"")"),"Здравей, преподавателю! Защо клетките са толкова малки?")</f>
        <v>Здравей, преподавателю! Защо клетките са толкова малки?</v>
      </c>
      <c r="F4354" s="1" t="str">
        <f ca="1">IFERROR(__xludf.DUMMYFUNCTION("GOOGLETRANSLATE(English!F4354, ""en"", ""bg"")"),"Клетките са малки, за да могат бързо да доставят хранителни вещества и кислород до всички свои части!")</f>
        <v>Клетките са малки, за да могат бързо да доставят хранителни вещества и кислород до всички свои части!</v>
      </c>
      <c r="G4354" s="1" t="str">
        <f ca="1">IFERROR(__xludf.DUMMYFUNCTION("GOOGLETRANSLATE(English!G4354, ""en"", ""bg"")"),"разговор")</f>
        <v>разговор</v>
      </c>
      <c r="H4354" s="1" t="str">
        <f ca="1">IFERROR(__xludf.DUMMYFUNCTION("GOOGLETRANSLATE(English!H4354, ""en"", ""bg"")"),"образователна_помощ")</f>
        <v>образователна_помощ</v>
      </c>
    </row>
    <row r="4355" spans="1:8" ht="13.2" x14ac:dyDescent="0.25">
      <c r="A4355" s="1" t="str">
        <f ca="1">IFERROR(__xludf.DUMMYFUNCTION("GOOGLETRANSLATE(English!A4355, ""en"", ""bg"")"),"hw_05026")</f>
        <v>hw_05026</v>
      </c>
      <c r="B4355" s="1" t="str">
        <f ca="1">IFERROR(__xludf.DUMMYFUNCTION("GOOGLETRANSLATE(English!B4355, ""en"", ""bg"")"),"химия")</f>
        <v>химия</v>
      </c>
      <c r="C4355" s="1" t="str">
        <f ca="1">IFERROR(__xludf.DUMMYFUNCTION("GOOGLETRANSLATE(English!C4355, ""en"", ""bg"")"),"високо")</f>
        <v>високо</v>
      </c>
      <c r="D4355" s="1" t="str">
        <f ca="1">IFERROR(__xludf.DUMMYFUNCTION("GOOGLETRANSLATE(English!D4355, ""en"", ""bg"")"),"равновесие")</f>
        <v>равновесие</v>
      </c>
      <c r="E4355" s="1" t="str">
        <f ca="1">IFERROR(__xludf.DUMMYFUNCTION("GOOGLETRANSLATE(English!E4355, ""en"", ""bg"")"),"Трудно ми е да пазя равновесието си в домашните.")</f>
        <v>Трудно ми е да пазя равновесието си в домашните.</v>
      </c>
      <c r="F4355" s="1" t="str">
        <f ca="1">IFERROR(__xludf.DUMMYFUNCTION("GOOGLETRANSLATE(English!F4355,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4355" s="1" t="str">
        <f ca="1">IFERROR(__xludf.DUMMYFUNCTION("GOOGLETRANSLATE(English!G4355, ""en"", ""bg"")"),"помощ_за_домашно_изпълнение")</f>
        <v>помощ_за_домашно_изпълнение</v>
      </c>
      <c r="H4355" s="1" t="str">
        <f ca="1">IFERROR(__xludf.DUMMYFUNCTION("GOOGLETRANSLATE(English!H4355, ""en"", ""bg"")"),"помощ_за_домашно_задаване")</f>
        <v>помощ_за_домашно_задаване</v>
      </c>
    </row>
    <row r="4356" spans="1:8" ht="13.2" x14ac:dyDescent="0.25">
      <c r="A4356" s="1" t="str">
        <f ca="1">IFERROR(__xludf.DUMMYFUNCTION("GOOGLETRANSLATE(English!A4356, ""en"", ""bg"")"),"conv_17941")</f>
        <v>conv_17941</v>
      </c>
      <c r="B4356" s="1" t="str">
        <f ca="1">IFERROR(__xludf.DUMMYFUNCTION("GOOGLETRANSLATE(English!B4356, ""en"", ""bg"")"),"биология")</f>
        <v>биология</v>
      </c>
      <c r="C4356" s="1" t="str">
        <f ca="1">IFERROR(__xludf.DUMMYFUNCTION("GOOGLETRANSLATE(English!C4356, ""en"", ""bg"")"),"високо")</f>
        <v>високо</v>
      </c>
      <c r="D4356" s="1" t="str">
        <f ca="1">IFERROR(__xludf.DUMMYFUNCTION("GOOGLETRANSLATE(English!D4356, ""en"", ""bg"")"),"клетъчно дишане")</f>
        <v>клетъчно дишане</v>
      </c>
      <c r="E4356" s="1" t="str">
        <f ca="1">IFERROR(__xludf.DUMMYFUNCTION("GOOGLETRANSLATE(English!E4356, ""en"", ""bg"")"),"Можете ли да ми обясните това? Какво е важно да знаем за клетъчното дишане?")</f>
        <v>Можете ли да ми обясните това? Какво е важно да знаем за клетъчното дишане?</v>
      </c>
      <c r="F4356" s="1" t="str">
        <f ca="1">IFERROR(__xludf.DUMMYFUNCTION("GOOGLETRANSLATE(English!F4356,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4356" s="1" t="str">
        <f ca="1">IFERROR(__xludf.DUMMYFUNCTION("GOOGLETRANSLATE(English!G4356, ""en"", ""bg"")"),"разговор")</f>
        <v>разговор</v>
      </c>
      <c r="H4356" s="1" t="str">
        <f ca="1">IFERROR(__xludf.DUMMYFUNCTION("GOOGLETRANSLATE(English!H4356, ""en"", ""bg"")"),"образователна_помощ")</f>
        <v>образователна_помощ</v>
      </c>
    </row>
    <row r="4357" spans="1:8" ht="13.2" x14ac:dyDescent="0.25">
      <c r="A4357" s="1" t="str">
        <f ca="1">IFERROR(__xludf.DUMMYFUNCTION("GOOGLETRANSLATE(English!A4357, ""en"", ""bg"")"),"qa_01649")</f>
        <v>qa_01649</v>
      </c>
      <c r="B4357" s="1" t="str">
        <f ca="1">IFERROR(__xludf.DUMMYFUNCTION("GOOGLETRANSLATE(English!B4357, ""en"", ""bg"")"),"биология")</f>
        <v>биология</v>
      </c>
      <c r="C4357" s="1" t="str">
        <f ca="1">IFERROR(__xludf.DUMMYFUNCTION("GOOGLETRANSLATE(English!C4357, ""en"", ""bg"")"),"средата")</f>
        <v>средата</v>
      </c>
      <c r="D4357" s="1" t="str">
        <f ca="1">IFERROR(__xludf.DUMMYFUNCTION("GOOGLETRANSLATE(English!D4357, ""en"", ""bg"")"),"екосистеми")</f>
        <v>екосистеми</v>
      </c>
      <c r="E4357" s="1" t="str">
        <f ca="1">IFERROR(__xludf.DUMMYFUNCTION("GOOGLETRANSLATE(English!E4357, ""en"", ""bg"")"),"Защо екосистемите са важни в биологията?")</f>
        <v>Защо екосистемите са важни в биологията?</v>
      </c>
      <c r="F4357" s="1" t="str">
        <f ca="1">IFERROR(__xludf.DUMMYFUNCTION("GOOGLETRANSLATE(English!F4357,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4357" s="1" t="str">
        <f ca="1">IFERROR(__xludf.DUMMYFUNCTION("GOOGLETRANSLATE(English!G4357, ""en"", ""bg"")"),"direct_qa")</f>
        <v>direct_qa</v>
      </c>
      <c r="H4357" s="1" t="str">
        <f ca="1">IFERROR(__xludf.DUMMYFUNCTION("GOOGLETRANSLATE(English!H4357, ""en"", ""bg"")"),"заявка_за_знание")</f>
        <v>заявка_за_знание</v>
      </c>
    </row>
    <row r="4358" spans="1:8" ht="13.2" x14ac:dyDescent="0.25">
      <c r="A4358" s="1" t="str">
        <f ca="1">IFERROR(__xludf.DUMMYFUNCTION("GOOGLETRANSLATE(English!A4358, ""en"", ""bg"")"),"qa_14338")</f>
        <v>qa_14338</v>
      </c>
      <c r="B4358" s="1" t="str">
        <f ca="1">IFERROR(__xludf.DUMMYFUNCTION("GOOGLETRANSLATE(English!B4358, ""en"", ""bg"")"),"химия")</f>
        <v>химия</v>
      </c>
      <c r="C4358" s="1" t="str">
        <f ca="1">IFERROR(__xludf.DUMMYFUNCTION("GOOGLETRANSLATE(English!C4358, ""en"", ""bg"")"),"средата")</f>
        <v>средата</v>
      </c>
      <c r="D4358" s="1" t="str">
        <f ca="1">IFERROR(__xludf.DUMMYFUNCTION("GOOGLETRANSLATE(English!D4358, ""en"", ""bg"")"),"съединения срещу елементи")</f>
        <v>съединения срещу елементи</v>
      </c>
      <c r="E4358" s="1" t="str">
        <f ca="1">IFERROR(__xludf.DUMMYFUNCTION("GOOGLETRANSLATE(English!E4358, ""en"", ""bg"")"),"Как работят съединенията срещу елементите в химията?")</f>
        <v>Как работят съединенията срещу елементите в химията?</v>
      </c>
      <c r="F4358" s="1" t="str">
        <f ca="1">IFERROR(__xludf.DUMMYFUNCTION("GOOGLETRANSLATE(English!F4358,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4358" s="1" t="str">
        <f ca="1">IFERROR(__xludf.DUMMYFUNCTION("GOOGLETRANSLATE(English!G4358, ""en"", ""bg"")"),"direct_qa")</f>
        <v>direct_qa</v>
      </c>
      <c r="H4358" s="1" t="str">
        <f ca="1">IFERROR(__xludf.DUMMYFUNCTION("GOOGLETRANSLATE(English!H4358, ""en"", ""bg"")"),"заявка_за_знание")</f>
        <v>заявка_за_знание</v>
      </c>
    </row>
    <row r="4359" spans="1:8" ht="13.2" x14ac:dyDescent="0.25">
      <c r="A4359" s="1" t="str">
        <f ca="1">IFERROR(__xludf.DUMMYFUNCTION("GOOGLETRANSLATE(English!A4359, ""en"", ""bg"")"),"qa_12280")</f>
        <v>qa_12280</v>
      </c>
      <c r="B4359" s="1" t="str">
        <f ca="1">IFERROR(__xludf.DUMMYFUNCTION("GOOGLETRANSLATE(English!B4359, ""en"", ""bg"")"),"химия")</f>
        <v>химия</v>
      </c>
      <c r="C4359" s="1" t="str">
        <f ca="1">IFERROR(__xludf.DUMMYFUNCTION("GOOGLETRANSLATE(English!C4359, ""en"", ""bg"")"),"средата")</f>
        <v>средата</v>
      </c>
      <c r="D4359" s="1" t="str">
        <f ca="1">IFERROR(__xludf.DUMMYFUNCTION("GOOGLETRANSLATE(English!D4359, ""en"", ""bg"")"),"химични реакции")</f>
        <v>химични реакции</v>
      </c>
      <c r="E4359" s="1" t="str">
        <f ca="1">IFERROR(__xludf.DUMMYFUNCTION("GOOGLETRANSLATE(English!E4359, ""en"", ""bg"")"),"Как да разберете дали е възникнала химическа реакция?")</f>
        <v>Как да разберете дали е възникнала химическа реакция?</v>
      </c>
      <c r="F4359" s="1" t="str">
        <f ca="1">IFERROR(__xludf.DUMMYFUNCTION("GOOGLETRANSLATE(English!F4359,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4359" s="1" t="str">
        <f ca="1">IFERROR(__xludf.DUMMYFUNCTION("GOOGLETRANSLATE(English!G4359, ""en"", ""bg"")"),"direct_qa")</f>
        <v>direct_qa</v>
      </c>
      <c r="H4359" s="1" t="str">
        <f ca="1">IFERROR(__xludf.DUMMYFUNCTION("GOOGLETRANSLATE(English!H4359, ""en"", ""bg"")"),"заявка_за_знание")</f>
        <v>заявка_за_знание</v>
      </c>
    </row>
    <row r="4360" spans="1:8" ht="13.2" x14ac:dyDescent="0.25">
      <c r="A4360" s="1" t="str">
        <f ca="1">IFERROR(__xludf.DUMMYFUNCTION("GOOGLETRANSLATE(English!A4360, ""en"", ""bg"")"),"conv_15805")</f>
        <v>conv_15805</v>
      </c>
      <c r="B4360" s="1" t="str">
        <f ca="1">IFERROR(__xludf.DUMMYFUNCTION("GOOGLETRANSLATE(English!B4360, ""en"", ""bg"")"),"химия")</f>
        <v>химия</v>
      </c>
      <c r="C4360" s="1" t="str">
        <f ca="1">IFERROR(__xludf.DUMMYFUNCTION("GOOGLETRANSLATE(English!C4360, ""en"", ""bg"")"),"средата")</f>
        <v>средата</v>
      </c>
      <c r="D4360" s="1" t="str">
        <f ca="1">IFERROR(__xludf.DUMMYFUNCTION("GOOGLETRANSLATE(English!D4360, ""en"", ""bg"")"),"киселини и основи")</f>
        <v>киселини и основи</v>
      </c>
      <c r="E4360" s="1" t="str">
        <f ca="1">IFERROR(__xludf.DUMMYFUNCTION("GOOGLETRANSLATE(English!E4360, ""en"", ""bg"")"),"Имам научен въпрос. Можете ли да ми помогнете да разбера киселините и основите?")</f>
        <v>Имам научен въпрос. Можете ли да ми помогнете да разбера киселините и основите?</v>
      </c>
      <c r="F4360" s="1" t="str">
        <f ca="1">IFERROR(__xludf.DUMMYFUNCTION("GOOGLETRANSLATE(English!F4360,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4360" s="1" t="str">
        <f ca="1">IFERROR(__xludf.DUMMYFUNCTION("GOOGLETRANSLATE(English!G4360, ""en"", ""bg"")"),"разговор")</f>
        <v>разговор</v>
      </c>
      <c r="H4360" s="1" t="str">
        <f ca="1">IFERROR(__xludf.DUMMYFUNCTION("GOOGLETRANSLATE(English!H4360, ""en"", ""bg"")"),"образователна_помощ")</f>
        <v>образователна_помощ</v>
      </c>
    </row>
    <row r="4361" spans="1:8" ht="13.2" x14ac:dyDescent="0.25">
      <c r="A4361" s="1" t="str">
        <f ca="1">IFERROR(__xludf.DUMMYFUNCTION("GOOGLETRANSLATE(English!A4361, ""en"", ""bg"")"),"conv_11945")</f>
        <v>conv_11945</v>
      </c>
      <c r="B4361" s="1" t="str">
        <f ca="1">IFERROR(__xludf.DUMMYFUNCTION("GOOGLETRANSLATE(English!B4361, ""en"", ""bg"")"),"химия")</f>
        <v>химия</v>
      </c>
      <c r="C4361" s="1" t="str">
        <f ca="1">IFERROR(__xludf.DUMMYFUNCTION("GOOGLETRANSLATE(English!C4361, ""en"", ""bg"")"),"високо")</f>
        <v>високо</v>
      </c>
      <c r="D4361" s="1" t="str">
        <f ca="1">IFERROR(__xludf.DUMMYFUNCTION("GOOGLETRANSLATE(English!D4361, ""en"", ""bg"")"),"химическо свързване")</f>
        <v>химическо свързване</v>
      </c>
      <c r="E4361" s="1" t="str">
        <f ca="1">IFERROR(__xludf.DUMMYFUNCTION("GOOGLETRANSLATE(English!E4361, ""en"", ""bg"")"),"Помогнете ми да уча за теста си. Как работи химическата връзка в химията?")</f>
        <v>Помогнете ми да уча за теста си. Как работи химическата връзка в химията?</v>
      </c>
      <c r="F4361" s="1" t="str">
        <f ca="1">IFERROR(__xludf.DUMMYFUNCTION("GOOGLETRANSLATE(English!F4361,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4361" s="1" t="str">
        <f ca="1">IFERROR(__xludf.DUMMYFUNCTION("GOOGLETRANSLATE(English!G4361, ""en"", ""bg"")"),"разговор")</f>
        <v>разговор</v>
      </c>
      <c r="H4361" s="1" t="str">
        <f ca="1">IFERROR(__xludf.DUMMYFUNCTION("GOOGLETRANSLATE(English!H4361, ""en"", ""bg"")"),"образователна_помощ")</f>
        <v>образователна_помощ</v>
      </c>
    </row>
    <row r="4362" spans="1:8" ht="13.2" x14ac:dyDescent="0.25">
      <c r="A4362" s="1" t="str">
        <f ca="1">IFERROR(__xludf.DUMMYFUNCTION("GOOGLETRANSLATE(English!A4362, ""en"", ""bg"")"),"qa_12091")</f>
        <v>qa_12091</v>
      </c>
      <c r="B4362" s="1" t="str">
        <f ca="1">IFERROR(__xludf.DUMMYFUNCTION("GOOGLETRANSLATE(English!B4362, ""en"", ""bg"")"),"биология")</f>
        <v>биология</v>
      </c>
      <c r="C4362" s="1" t="str">
        <f ca="1">IFERROR(__xludf.DUMMYFUNCTION("GOOGLETRANSLATE(English!C4362, ""en"", ""bg"")"),"средата")</f>
        <v>средата</v>
      </c>
      <c r="D4362" s="1" t="str">
        <f ca="1">IFERROR(__xludf.DUMMYFUNCTION("GOOGLETRANSLATE(English!D4362, ""en"", ""bg"")"),"размножаване")</f>
        <v>размножаване</v>
      </c>
      <c r="E4362" s="1" t="str">
        <f ca="1">IFERROR(__xludf.DUMMYFUNCTION("GOOGLETRANSLATE(English!E4362, ""en"", ""bg"")"),"Защо размножаването е важно в биологията?")</f>
        <v>Защо размножаването е важно в биологията?</v>
      </c>
      <c r="F4362" s="1" t="str">
        <f ca="1">IFERROR(__xludf.DUMMYFUNCTION("GOOGLETRANSLATE(English!F4362, ""en"", ""bg"")"),"Размножаването е важно, защото ни помага да разберем живота и как живите същества оцеляват.")</f>
        <v>Размножаването е важно, защото ни помага да разберем живота и как живите същества оцеляват.</v>
      </c>
      <c r="G4362" s="1" t="str">
        <f ca="1">IFERROR(__xludf.DUMMYFUNCTION("GOOGLETRANSLATE(English!G4362, ""en"", ""bg"")"),"direct_qa")</f>
        <v>direct_qa</v>
      </c>
      <c r="H4362" s="1" t="str">
        <f ca="1">IFERROR(__xludf.DUMMYFUNCTION("GOOGLETRANSLATE(English!H4362, ""en"", ""bg"")"),"заявка_за_знание")</f>
        <v>заявка_за_знание</v>
      </c>
    </row>
    <row r="4363" spans="1:8" ht="13.2" x14ac:dyDescent="0.25">
      <c r="A4363" s="1" t="str">
        <f ca="1">IFERROR(__xludf.DUMMYFUNCTION("GOOGLETRANSLATE(English!A4363, ""en"", ""bg"")"),"conv_14576")</f>
        <v>conv_14576</v>
      </c>
      <c r="B4363" s="1" t="str">
        <f ca="1">IFERROR(__xludf.DUMMYFUNCTION("GOOGLETRANSLATE(English!B4363, ""en"", ""bg"")"),"биология")</f>
        <v>биология</v>
      </c>
      <c r="C4363" s="1" t="str">
        <f ca="1">IFERROR(__xludf.DUMMYFUNCTION("GOOGLETRANSLATE(English!C4363, ""en"", ""bg"")"),"високо")</f>
        <v>високо</v>
      </c>
      <c r="D4363" s="1" t="str">
        <f ca="1">IFERROR(__xludf.DUMMYFUNCTION("GOOGLETRANSLATE(English!D4363, ""en"", ""bg"")"),"молекулярна биология")</f>
        <v>молекулярна биология</v>
      </c>
      <c r="E4363" s="1" t="str">
        <f ca="1">IFERROR(__xludf.DUMMYFUNCTION("GOOGLETRANSLATE(English!E4363, ""en"", ""bg"")"),"Имам нужда от помощ с домашното си. Как работи молекулярната биология?")</f>
        <v>Имам нужда от помощ с домашното си. Как работи молекулярната биология?</v>
      </c>
      <c r="F4363" s="1" t="str">
        <f ca="1">IFERROR(__xludf.DUMMYFUNCTION("GOOGLETRANSLATE(English!F4363,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4363" s="1" t="str">
        <f ca="1">IFERROR(__xludf.DUMMYFUNCTION("GOOGLETRANSLATE(English!G4363, ""en"", ""bg"")"),"разговор")</f>
        <v>разговор</v>
      </c>
      <c r="H4363" s="1" t="str">
        <f ca="1">IFERROR(__xludf.DUMMYFUNCTION("GOOGLETRANSLATE(English!H4363, ""en"", ""bg"")"),"образователна_помощ")</f>
        <v>образователна_помощ</v>
      </c>
    </row>
    <row r="4364" spans="1:8" ht="13.2" x14ac:dyDescent="0.25">
      <c r="A4364" s="1" t="str">
        <f ca="1">IFERROR(__xludf.DUMMYFUNCTION("GOOGLETRANSLATE(English!A4364, ""en"", ""bg"")"),"hw_03548")</f>
        <v>hw_03548</v>
      </c>
      <c r="B4364" s="1" t="str">
        <f ca="1">IFERROR(__xludf.DUMMYFUNCTION("GOOGLETRANSLATE(English!B4364, ""en"", ""bg"")"),"биология")</f>
        <v>биология</v>
      </c>
      <c r="C4364" s="1" t="str">
        <f ca="1">IFERROR(__xludf.DUMMYFUNCTION("GOOGLETRANSLATE(English!C4364, ""en"", ""bg"")"),"елементарен")</f>
        <v>елементарен</v>
      </c>
      <c r="D4364" s="1" t="str">
        <f ca="1">IFERROR(__xludf.DUMMYFUNCTION("GOOGLETRANSLATE(English!D4364, ""en"", ""bg"")"),"домашни любимци срещу диви животни")</f>
        <v>домашни любимци срещу диви животни</v>
      </c>
      <c r="E4364" s="1" t="str">
        <f ca="1">IFERROR(__xludf.DUMMYFUNCTION("GOOGLETRANSLATE(English!E4364, ""en"", ""bg"")"),"Утре имам тест за домашни любимци срещу диви животни. Помогни ми да уча!")</f>
        <v>Утре имам тест за домашни любимци срещу диви животни. Помогни ми да уча!</v>
      </c>
      <c r="F4364" s="1" t="str">
        <f ca="1">IFERROR(__xludf.DUMMYFUNCTION("GOOGLETRANSLATE(English!F4364,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4364" s="1" t="str">
        <f ca="1">IFERROR(__xludf.DUMMYFUNCTION("GOOGLETRANSLATE(English!G4364, ""en"", ""bg"")"),"помощ_за_домашно_изпълнение")</f>
        <v>помощ_за_домашно_изпълнение</v>
      </c>
      <c r="H4364" s="1" t="str">
        <f ca="1">IFERROR(__xludf.DUMMYFUNCTION("GOOGLETRANSLATE(English!H4364, ""en"", ""bg"")"),"помощ_за_домашно_задаване")</f>
        <v>помощ_за_домашно_задаване</v>
      </c>
    </row>
    <row r="4365" spans="1:8" ht="13.2" x14ac:dyDescent="0.25">
      <c r="A4365" s="1" t="str">
        <f ca="1">IFERROR(__xludf.DUMMYFUNCTION("GOOGLETRANSLATE(English!A4365, ""en"", ""bg"")"),"qa_00548")</f>
        <v>qa_00548</v>
      </c>
      <c r="B4365" s="1" t="str">
        <f ca="1">IFERROR(__xludf.DUMMYFUNCTION("GOOGLETRANSLATE(English!B4365, ""en"", ""bg"")"),"биология")</f>
        <v>биология</v>
      </c>
      <c r="C4365" s="1" t="str">
        <f ca="1">IFERROR(__xludf.DUMMYFUNCTION("GOOGLETRANSLATE(English!C4365, ""en"", ""bg"")"),"високо")</f>
        <v>високо</v>
      </c>
      <c r="D4365" s="1" t="str">
        <f ca="1">IFERROR(__xludf.DUMMYFUNCTION("GOOGLETRANSLATE(English!D4365, ""en"", ""bg"")"),"митоза и мейоза")</f>
        <v>митоза и мейоза</v>
      </c>
      <c r="E4365" s="1" t="str">
        <f ca="1">IFERROR(__xludf.DUMMYFUNCTION("GOOGLETRANSLATE(English!E4365, ""en"", ""bg"")"),"Можете ли да ми разкажете за митозата и мейозата?")</f>
        <v>Можете ли да ми разкажете за митозата и мейозата?</v>
      </c>
      <c r="F4365" s="1" t="str">
        <f ca="1">IFERROR(__xludf.DUMMYFUNCTION("GOOGLETRANSLATE(English!F4365,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4365" s="1" t="str">
        <f ca="1">IFERROR(__xludf.DUMMYFUNCTION("GOOGLETRANSLATE(English!G4365, ""en"", ""bg"")"),"direct_qa")</f>
        <v>direct_qa</v>
      </c>
      <c r="H4365" s="1" t="str">
        <f ca="1">IFERROR(__xludf.DUMMYFUNCTION("GOOGLETRANSLATE(English!H4365, ""en"", ""bg"")"),"заявка_за_знание")</f>
        <v>заявка_за_знание</v>
      </c>
    </row>
    <row r="4366" spans="1:8" ht="13.2" x14ac:dyDescent="0.25">
      <c r="A4366" s="1" t="str">
        <f ca="1">IFERROR(__xludf.DUMMYFUNCTION("GOOGLETRANSLATE(English!A4366, ""en"", ""bg"")"),"conv_08047")</f>
        <v>conv_08047</v>
      </c>
      <c r="B4366" s="1" t="str">
        <f ca="1">IFERROR(__xludf.DUMMYFUNCTION("GOOGLETRANSLATE(English!B4366, ""en"", ""bg"")"),"химия")</f>
        <v>химия</v>
      </c>
      <c r="C4366" s="1" t="str">
        <f ca="1">IFERROR(__xludf.DUMMYFUNCTION("GOOGLETRANSLATE(English!C4366, ""en"", ""bg"")"),"елементарен")</f>
        <v>елементарен</v>
      </c>
      <c r="D4366" s="1" t="str">
        <f ca="1">IFERROR(__xludf.DUMMYFUNCTION("GOOGLETRANSLATE(English!D4366, ""en"", ""bg"")"),"твърди вещества, течности, газове")</f>
        <v>твърди вещества, течности, газове</v>
      </c>
      <c r="E4366" s="1" t="str">
        <f ca="1">IFERROR(__xludf.DUMMYFUNCTION("GOOGLETRANSLATE(English!E4366, ""en"", ""bg"")"),"Не разбирам тази тема. Как водата преминава от течност в газообразно състояние?")</f>
        <v>Не разбирам тази тема. Как водата преминава от течност в газообразно състояние?</v>
      </c>
      <c r="F4366" s="1" t="str">
        <f ca="1">IFERROR(__xludf.DUMMYFUNCTION("GOOGLETRANSLATE(English!F4366,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4366" s="1" t="str">
        <f ca="1">IFERROR(__xludf.DUMMYFUNCTION("GOOGLETRANSLATE(English!G4366, ""en"", ""bg"")"),"разговор")</f>
        <v>разговор</v>
      </c>
      <c r="H4366" s="1" t="str">
        <f ca="1">IFERROR(__xludf.DUMMYFUNCTION("GOOGLETRANSLATE(English!H4366, ""en"", ""bg"")"),"образователна_помощ")</f>
        <v>образователна_помощ</v>
      </c>
    </row>
    <row r="4367" spans="1:8" ht="13.2" x14ac:dyDescent="0.25">
      <c r="A4367" s="1" t="str">
        <f ca="1">IFERROR(__xludf.DUMMYFUNCTION("GOOGLETRANSLATE(English!A4367, ""en"", ""bg"")"),"conv_05322")</f>
        <v>conv_05322</v>
      </c>
      <c r="B4367" s="1" t="str">
        <f ca="1">IFERROR(__xludf.DUMMYFUNCTION("GOOGLETRANSLATE(English!B4367, ""en"", ""bg"")"),"физика")</f>
        <v>физика</v>
      </c>
      <c r="C4367" s="1" t="str">
        <f ca="1">IFERROR(__xludf.DUMMYFUNCTION("GOOGLETRANSLATE(English!C4367, ""en"", ""bg"")"),"високо")</f>
        <v>високо</v>
      </c>
      <c r="D4367" s="1" t="str">
        <f ca="1">IFERROR(__xludf.DUMMYFUNCTION("GOOGLETRANSLATE(English!D4367, ""en"", ""bg"")"),"атомна структура")</f>
        <v>атомна структура</v>
      </c>
      <c r="E4367" s="1" t="str">
        <f ca="1">IFERROR(__xludf.DUMMYFUNCTION("GOOGLETRANSLATE(English!E4367, ""en"", ""bg"")"),"Имам научен въпрос. Защо атомната структура е важна?")</f>
        <v>Имам научен въпрос. Защо атомната структура е важна?</v>
      </c>
      <c r="F4367" s="1" t="str">
        <f ca="1">IFERROR(__xludf.DUMMYFUNCTION("GOOGLETRANSLATE(English!F4367,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4367" s="1" t="str">
        <f ca="1">IFERROR(__xludf.DUMMYFUNCTION("GOOGLETRANSLATE(English!G4367, ""en"", ""bg"")"),"разговор")</f>
        <v>разговор</v>
      </c>
      <c r="H4367" s="1" t="str">
        <f ca="1">IFERROR(__xludf.DUMMYFUNCTION("GOOGLETRANSLATE(English!H4367, ""en"", ""bg"")"),"образователна_помощ")</f>
        <v>образователна_помощ</v>
      </c>
    </row>
    <row r="4368" spans="1:8" ht="13.2" x14ac:dyDescent="0.25">
      <c r="A4368" s="1" t="str">
        <f ca="1">IFERROR(__xludf.DUMMYFUNCTION("GOOGLETRANSLATE(English!A4368, ""en"", ""bg"")"),"hw_08155")</f>
        <v>hw_08155</v>
      </c>
      <c r="B4368" s="1" t="str">
        <f ca="1">IFERROR(__xludf.DUMMYFUNCTION("GOOGLETRANSLATE(English!B4368, ""en"", ""bg"")"),"физика")</f>
        <v>физика</v>
      </c>
      <c r="C4368" s="1" t="str">
        <f ca="1">IFERROR(__xludf.DUMMYFUNCTION("GOOGLETRANSLATE(English!C4368, ""en"", ""bg"")"),"елементарен")</f>
        <v>елементарен</v>
      </c>
      <c r="D4368" s="1" t="str">
        <f ca="1">IFERROR(__xludf.DUMMYFUNCTION("GOOGLETRANSLATE(English!D4368, ""en"", ""bg"")"),"звук")</f>
        <v>звук</v>
      </c>
      <c r="E4368" s="1" t="str">
        <f ca="1">IFERROR(__xludf.DUMMYFUNCTION("GOOGLETRANSLATE(English!E4368,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4368" s="1" t="str">
        <f ca="1">IFERROR(__xludf.DUMMYFUNCTION("GOOGLETRANSLATE(English!F4368,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4368" s="1" t="str">
        <f ca="1">IFERROR(__xludf.DUMMYFUNCTION("GOOGLETRANSLATE(English!G4368, ""en"", ""bg"")"),"помощ_за_домашно_изпълнение")</f>
        <v>помощ_за_домашно_изпълнение</v>
      </c>
      <c r="H4368" s="1" t="str">
        <f ca="1">IFERROR(__xludf.DUMMYFUNCTION("GOOGLETRANSLATE(English!H4368, ""en"", ""bg"")"),"помощ_за_домашно_задаване")</f>
        <v>помощ_за_домашно_задаване</v>
      </c>
    </row>
    <row r="4369" spans="1:8" ht="13.2" x14ac:dyDescent="0.25">
      <c r="A4369" s="1" t="str">
        <f ca="1">IFERROR(__xludf.DUMMYFUNCTION("GOOGLETRANSLATE(English!A4369, ""en"", ""bg"")"),"conv_02786")</f>
        <v>conv_02786</v>
      </c>
      <c r="B4369" s="1" t="str">
        <f ca="1">IFERROR(__xludf.DUMMYFUNCTION("GOOGLETRANSLATE(English!B4369, ""en"", ""bg"")"),"физика")</f>
        <v>физика</v>
      </c>
      <c r="C4369" s="1" t="str">
        <f ca="1">IFERROR(__xludf.DUMMYFUNCTION("GOOGLETRANSLATE(English!C4369, ""en"", ""bg"")"),"високо")</f>
        <v>високо</v>
      </c>
      <c r="D4369" s="1" t="str">
        <f ca="1">IFERROR(__xludf.DUMMYFUNCTION("GOOGLETRANSLATE(English!D4369, ""en"", ""bg"")"),"атомна структура")</f>
        <v>атомна структура</v>
      </c>
      <c r="E4369" s="1" t="str">
        <f ca="1">IFERROR(__xludf.DUMMYFUNCTION("GOOGLETRANSLATE(English!E4369, ""en"", ""bg"")"),"Можете ли да ми обясните това? Какво трябва да знам за атомната структура?")</f>
        <v>Можете ли да ми обясните това? Какво трябва да знам за атомната структура?</v>
      </c>
      <c r="F4369" s="1" t="str">
        <f ca="1">IFERROR(__xludf.DUMMYFUNCTION("GOOGLETRANSLATE(English!F4369,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4369" s="1" t="str">
        <f ca="1">IFERROR(__xludf.DUMMYFUNCTION("GOOGLETRANSLATE(English!G4369, ""en"", ""bg"")"),"разговор")</f>
        <v>разговор</v>
      </c>
      <c r="H4369" s="1" t="str">
        <f ca="1">IFERROR(__xludf.DUMMYFUNCTION("GOOGLETRANSLATE(English!H4369, ""en"", ""bg"")"),"образователна_помощ")</f>
        <v>образователна_помощ</v>
      </c>
    </row>
    <row r="4370" spans="1:8" ht="13.2" x14ac:dyDescent="0.25">
      <c r="A4370" s="1" t="str">
        <f ca="1">IFERROR(__xludf.DUMMYFUNCTION("GOOGLETRANSLATE(English!A4370, ""en"", ""bg"")"),"qa_04255")</f>
        <v>qa_04255</v>
      </c>
      <c r="B4370" s="1" t="str">
        <f ca="1">IFERROR(__xludf.DUMMYFUNCTION("GOOGLETRANSLATE(English!B4370, ""en"", ""bg"")"),"химия")</f>
        <v>химия</v>
      </c>
      <c r="C4370" s="1" t="str">
        <f ca="1">IFERROR(__xludf.DUMMYFUNCTION("GOOGLETRANSLATE(English!C4370, ""en"", ""bg"")"),"средата")</f>
        <v>средата</v>
      </c>
      <c r="D4370" s="1" t="str">
        <f ca="1">IFERROR(__xludf.DUMMYFUNCTION("GOOGLETRANSLATE(English!D4370, ""en"", ""bg"")"),"киселини и основи")</f>
        <v>киселини и основи</v>
      </c>
      <c r="E4370" s="1" t="str">
        <f ca="1">IFERROR(__xludf.DUMMYFUNCTION("GOOGLETRANSLATE(English!E4370, ""en"", ""bg"")"),"Как действат киселините и основите в химията?")</f>
        <v>Как действат киселините и основите в химията?</v>
      </c>
      <c r="F4370" s="1" t="str">
        <f ca="1">IFERROR(__xludf.DUMMYFUNCTION("GOOGLETRANSLATE(English!F4370,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370" s="1" t="str">
        <f ca="1">IFERROR(__xludf.DUMMYFUNCTION("GOOGLETRANSLATE(English!G4370, ""en"", ""bg"")"),"direct_qa")</f>
        <v>direct_qa</v>
      </c>
      <c r="H4370" s="1" t="str">
        <f ca="1">IFERROR(__xludf.DUMMYFUNCTION("GOOGLETRANSLATE(English!H4370, ""en"", ""bg"")"),"заявка_за_знание")</f>
        <v>заявка_за_знание</v>
      </c>
    </row>
    <row r="4371" spans="1:8" ht="13.2" x14ac:dyDescent="0.25">
      <c r="A4371" s="1" t="str">
        <f ca="1">IFERROR(__xludf.DUMMYFUNCTION("GOOGLETRANSLATE(English!A4371, ""en"", ""bg"")"),"conv_07542")</f>
        <v>conv_07542</v>
      </c>
      <c r="B4371" s="1" t="str">
        <f ca="1">IFERROR(__xludf.DUMMYFUNCTION("GOOGLETRANSLATE(English!B4371, ""en"", ""bg"")"),"химия")</f>
        <v>химия</v>
      </c>
      <c r="C4371" s="1" t="str">
        <f ca="1">IFERROR(__xludf.DUMMYFUNCTION("GOOGLETRANSLATE(English!C4371, ""en"", ""bg"")"),"средата")</f>
        <v>средата</v>
      </c>
      <c r="D4371" s="1" t="str">
        <f ca="1">IFERROR(__xludf.DUMMYFUNCTION("GOOGLETRANSLATE(English!D4371, ""en"", ""bg"")"),"съединения срещу елементи")</f>
        <v>съединения срещу елементи</v>
      </c>
      <c r="E4371" s="1" t="str">
        <f ca="1">IFERROR(__xludf.DUMMYFUNCTION("GOOGLETRANSLATE(English!E4371, ""en"", ""bg"")"),"Здравей, преподавателю! Как се различават съединенията спрямо елементите в химията?")</f>
        <v>Здравей, преподавателю! Как се различават съединенията спрямо елементите в химията?</v>
      </c>
      <c r="F4371" s="1" t="str">
        <f ca="1">IFERROR(__xludf.DUMMYFUNCTION("GOOGLETRANSLATE(English!F4371,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4371" s="1" t="str">
        <f ca="1">IFERROR(__xludf.DUMMYFUNCTION("GOOGLETRANSLATE(English!G4371, ""en"", ""bg"")"),"разговор")</f>
        <v>разговор</v>
      </c>
      <c r="H4371" s="1" t="str">
        <f ca="1">IFERROR(__xludf.DUMMYFUNCTION("GOOGLETRANSLATE(English!H4371, ""en"", ""bg"")"),"образователна_помощ")</f>
        <v>образователна_помощ</v>
      </c>
    </row>
    <row r="4372" spans="1:8" ht="13.2" x14ac:dyDescent="0.25">
      <c r="A4372" s="1" t="str">
        <f ca="1">IFERROR(__xludf.DUMMYFUNCTION("GOOGLETRANSLATE(English!A4372, ""en"", ""bg"")"),"hw_12717")</f>
        <v>hw_12717</v>
      </c>
      <c r="B4372" s="1" t="str">
        <f ca="1">IFERROR(__xludf.DUMMYFUNCTION("GOOGLETRANSLATE(English!B4372, ""en"", ""bg"")"),"физика")</f>
        <v>физика</v>
      </c>
      <c r="C4372" s="1" t="str">
        <f ca="1">IFERROR(__xludf.DUMMYFUNCTION("GOOGLETRANSLATE(English!C4372, ""en"", ""bg"")"),"високо")</f>
        <v>високо</v>
      </c>
      <c r="D4372" s="1" t="str">
        <f ca="1">IFERROR(__xludf.DUMMYFUNCTION("GOOGLETRANSLATE(English!D4372, ""en"", ""bg"")"),"атомна структура")</f>
        <v>атомна структура</v>
      </c>
      <c r="E4372" s="1" t="str">
        <f ca="1">IFERROR(__xludf.DUMMYFUNCTION("GOOGLETRANSLATE(English!E4372, ""en"", ""bg"")"),"Можете ли да решите този въпрос за атомната структура с мен?")</f>
        <v>Можете ли да решите този въпрос за атомната структура с мен?</v>
      </c>
      <c r="F4372" s="1" t="str">
        <f ca="1">IFERROR(__xludf.DUMMYFUNCTION("GOOGLETRANSLATE(English!F4372,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4372" s="1" t="str">
        <f ca="1">IFERROR(__xludf.DUMMYFUNCTION("GOOGLETRANSLATE(English!G4372, ""en"", ""bg"")"),"помощ_за_домашно_изпълнение")</f>
        <v>помощ_за_домашно_изпълнение</v>
      </c>
      <c r="H4372" s="1" t="str">
        <f ca="1">IFERROR(__xludf.DUMMYFUNCTION("GOOGLETRANSLATE(English!H4372, ""en"", ""bg"")"),"помощ_за_домашно_задаване")</f>
        <v>помощ_за_домашно_задаване</v>
      </c>
    </row>
    <row r="4373" spans="1:8" ht="13.2" x14ac:dyDescent="0.25">
      <c r="A4373" s="1" t="str">
        <f ca="1">IFERROR(__xludf.DUMMYFUNCTION("GOOGLETRANSLATE(English!A4373, ""en"", ""bg"")"),"conv_10092")</f>
        <v>conv_10092</v>
      </c>
      <c r="B4373" s="1" t="str">
        <f ca="1">IFERROR(__xludf.DUMMYFUNCTION("GOOGLETRANSLATE(English!B4373, ""en"", ""bg"")"),"биология")</f>
        <v>биология</v>
      </c>
      <c r="C4373" s="1" t="str">
        <f ca="1">IFERROR(__xludf.DUMMYFUNCTION("GOOGLETRANSLATE(English!C4373, ""en"", ""bg"")"),"високо")</f>
        <v>високо</v>
      </c>
      <c r="D4373" s="1" t="str">
        <f ca="1">IFERROR(__xludf.DUMMYFUNCTION("GOOGLETRANSLATE(English!D4373, ""en"", ""bg"")"),"клетъчно дишане")</f>
        <v>клетъчно дишане</v>
      </c>
      <c r="E4373" s="1" t="str">
        <f ca="1">IFERROR(__xludf.DUMMYFUNCTION("GOOGLETRANSLATE(English!E4373, ""en"", ""bg"")"),"Помогнете ми да уча за теста си. Какво е важно да знаем за клетъчното дишане?")</f>
        <v>Помогнете ми да уча за теста си. Какво е важно да знаем за клетъчното дишане?</v>
      </c>
      <c r="F4373" s="1" t="str">
        <f ca="1">IFERROR(__xludf.DUMMYFUNCTION("GOOGLETRANSLATE(English!F4373,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4373" s="1" t="str">
        <f ca="1">IFERROR(__xludf.DUMMYFUNCTION("GOOGLETRANSLATE(English!G4373, ""en"", ""bg"")"),"разговор")</f>
        <v>разговор</v>
      </c>
      <c r="H4373" s="1" t="str">
        <f ca="1">IFERROR(__xludf.DUMMYFUNCTION("GOOGLETRANSLATE(English!H4373, ""en"", ""bg"")"),"образователна_помощ")</f>
        <v>образователна_помощ</v>
      </c>
    </row>
    <row r="4374" spans="1:8" ht="13.2" x14ac:dyDescent="0.25">
      <c r="A4374" s="1" t="str">
        <f ca="1">IFERROR(__xludf.DUMMYFUNCTION("GOOGLETRANSLATE(English!A4374, ""en"", ""bg"")"),"qa_14358")</f>
        <v>qa_14358</v>
      </c>
      <c r="B4374" s="1" t="str">
        <f ca="1">IFERROR(__xludf.DUMMYFUNCTION("GOOGLETRANSLATE(English!B4374, ""en"", ""bg"")"),"химия")</f>
        <v>химия</v>
      </c>
      <c r="C4374" s="1" t="str">
        <f ca="1">IFERROR(__xludf.DUMMYFUNCTION("GOOGLETRANSLATE(English!C4374, ""en"", ""bg"")"),"високо")</f>
        <v>високо</v>
      </c>
      <c r="D4374" s="1" t="str">
        <f ca="1">IFERROR(__xludf.DUMMYFUNCTION("GOOGLETRANSLATE(English!D4374, ""en"", ""bg"")"),"равновесие")</f>
        <v>равновесие</v>
      </c>
      <c r="E4374" s="1" t="str">
        <f ca="1">IFERROR(__xludf.DUMMYFUNCTION("GOOGLETRANSLATE(English!E4374, ""en"", ""bg"")"),"Как работи равновесието в химията?")</f>
        <v>Как работи равновесието в химията?</v>
      </c>
      <c r="F4374" s="1" t="str">
        <f ca="1">IFERROR(__xludf.DUMMYFUNCTION("GOOGLETRANSLATE(English!F4374,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4374" s="1" t="str">
        <f ca="1">IFERROR(__xludf.DUMMYFUNCTION("GOOGLETRANSLATE(English!G4374, ""en"", ""bg"")"),"direct_qa")</f>
        <v>direct_qa</v>
      </c>
      <c r="H4374" s="1" t="str">
        <f ca="1">IFERROR(__xludf.DUMMYFUNCTION("GOOGLETRANSLATE(English!H4374, ""en"", ""bg"")"),"заявка_за_знание")</f>
        <v>заявка_за_знание</v>
      </c>
    </row>
    <row r="4375" spans="1:8" ht="13.2" x14ac:dyDescent="0.25">
      <c r="A4375" s="1" t="str">
        <f ca="1">IFERROR(__xludf.DUMMYFUNCTION("GOOGLETRANSLATE(English!A4375, ""en"", ""bg"")"),"hw_00936")</f>
        <v>hw_00936</v>
      </c>
      <c r="B4375" s="1" t="str">
        <f ca="1">IFERROR(__xludf.DUMMYFUNCTION("GOOGLETRANSLATE(English!B4375, ""en"", ""bg"")"),"химия")</f>
        <v>химия</v>
      </c>
      <c r="C4375" s="1" t="str">
        <f ca="1">IFERROR(__xludf.DUMMYFUNCTION("GOOGLETRANSLATE(English!C4375, ""en"", ""bg"")"),"високо")</f>
        <v>високо</v>
      </c>
      <c r="D4375" s="1" t="str">
        <f ca="1">IFERROR(__xludf.DUMMYFUNCTION("GOOGLETRANSLATE(English!D4375, ""en"", ""bg"")"),"равновесие")</f>
        <v>равновесие</v>
      </c>
      <c r="E4375" s="1" t="str">
        <f ca="1">IFERROR(__xludf.DUMMYFUNCTION("GOOGLETRANSLATE(English!E4375, ""en"", ""bg"")"),"Можете ли да ми помогнете с изчисленията за равновесие?")</f>
        <v>Можете ли да ми помогнете с изчисленията за равновесие?</v>
      </c>
      <c r="F4375" s="1" t="str">
        <f ca="1">IFERROR(__xludf.DUMMYFUNCTION("GOOGLETRANSLATE(English!F4375,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4375" s="1" t="str">
        <f ca="1">IFERROR(__xludf.DUMMYFUNCTION("GOOGLETRANSLATE(English!G4375, ""en"", ""bg"")"),"помощ_за_домашно_изпълнение")</f>
        <v>помощ_за_домашно_изпълнение</v>
      </c>
      <c r="H4375" s="1" t="str">
        <f ca="1">IFERROR(__xludf.DUMMYFUNCTION("GOOGLETRANSLATE(English!H4375, ""en"", ""bg"")"),"помощ_за_домашно_задаване")</f>
        <v>помощ_за_домашно_задаване</v>
      </c>
    </row>
    <row r="4376" spans="1:8" ht="13.2" x14ac:dyDescent="0.25">
      <c r="A4376" s="1" t="str">
        <f ca="1">IFERROR(__xludf.DUMMYFUNCTION("GOOGLETRANSLATE(English!A4376, ""en"", ""bg"")"),"conv_05749")</f>
        <v>conv_05749</v>
      </c>
      <c r="B4376" s="1" t="str">
        <f ca="1">IFERROR(__xludf.DUMMYFUNCTION("GOOGLETRANSLATE(English!B4376, ""en"", ""bg"")"),"химия")</f>
        <v>химия</v>
      </c>
      <c r="C4376" s="1" t="str">
        <f ca="1">IFERROR(__xludf.DUMMYFUNCTION("GOOGLETRANSLATE(English!C4376, ""en"", ""bg"")"),"елементарен")</f>
        <v>елементарен</v>
      </c>
      <c r="D4376" s="1" t="str">
        <f ca="1">IFERROR(__xludf.DUMMYFUNCTION("GOOGLETRANSLATE(English!D4376, ""en"", ""bg"")"),"твърди вещества, течности, газове")</f>
        <v>твърди вещества, течности, газове</v>
      </c>
      <c r="E4376" s="1" t="str">
        <f ca="1">IFERROR(__xludf.DUMMYFUNCTION("GOOGLETRANSLATE(English!E4376, ""en"", ""bg"")"),"Помогнете ми да уча за теста си. Как водата преминава от течност в газообразно състояние?")</f>
        <v>Помогнете ми да уча за теста си. Как водата преминава от течност в газообразно състояние?</v>
      </c>
      <c r="F4376" s="1" t="str">
        <f ca="1">IFERROR(__xludf.DUMMYFUNCTION("GOOGLETRANSLATE(English!F4376,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4376" s="1" t="str">
        <f ca="1">IFERROR(__xludf.DUMMYFUNCTION("GOOGLETRANSLATE(English!G4376, ""en"", ""bg"")"),"разговор")</f>
        <v>разговор</v>
      </c>
      <c r="H4376" s="1" t="str">
        <f ca="1">IFERROR(__xludf.DUMMYFUNCTION("GOOGLETRANSLATE(English!H4376, ""en"", ""bg"")"),"образователна_помощ")</f>
        <v>образователна_помощ</v>
      </c>
    </row>
    <row r="4377" spans="1:8" ht="13.2" x14ac:dyDescent="0.25">
      <c r="A4377" s="1" t="str">
        <f ca="1">IFERROR(__xludf.DUMMYFUNCTION("GOOGLETRANSLATE(English!A4377, ""en"", ""bg"")"),"qa_08176")</f>
        <v>qa_08176</v>
      </c>
      <c r="B4377" s="1" t="str">
        <f ca="1">IFERROR(__xludf.DUMMYFUNCTION("GOOGLETRANSLATE(English!B4377, ""en"", ""bg"")"),"физика")</f>
        <v>физика</v>
      </c>
      <c r="C4377" s="1" t="str">
        <f ca="1">IFERROR(__xludf.DUMMYFUNCTION("GOOGLETRANSLATE(English!C4377, ""en"", ""bg"")"),"средата")</f>
        <v>средата</v>
      </c>
      <c r="D4377" s="1" t="str">
        <f ca="1">IFERROR(__xludf.DUMMYFUNCTION("GOOGLETRANSLATE(English!D4377, ""en"", ""bg"")"),"прости схеми")</f>
        <v>прости схеми</v>
      </c>
      <c r="E4377" s="1" t="str">
        <f ca="1">IFERROR(__xludf.DUMMYFUNCTION("GOOGLETRANSLATE(English!E4377, ""en"", ""bg"")"),"Как работят прости електрически вериги във физиката?")</f>
        <v>Как работят прости електрически вериги във физиката?</v>
      </c>
      <c r="F4377" s="1" t="str">
        <f ca="1">IFERROR(__xludf.DUMMYFUNCTION("GOOGLETRANSLATE(English!F4377,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4377" s="1" t="str">
        <f ca="1">IFERROR(__xludf.DUMMYFUNCTION("GOOGLETRANSLATE(English!G4377, ""en"", ""bg"")"),"direct_qa")</f>
        <v>direct_qa</v>
      </c>
      <c r="H4377" s="1" t="str">
        <f ca="1">IFERROR(__xludf.DUMMYFUNCTION("GOOGLETRANSLATE(English!H4377, ""en"", ""bg"")"),"заявка_за_знание")</f>
        <v>заявка_за_знание</v>
      </c>
    </row>
    <row r="4378" spans="1:8" ht="13.2" x14ac:dyDescent="0.25">
      <c r="A4378" s="1" t="str">
        <f ca="1">IFERROR(__xludf.DUMMYFUNCTION("GOOGLETRANSLATE(English!A4378, ""en"", ""bg"")"),"qa_11111")</f>
        <v>qa_11111</v>
      </c>
      <c r="B4378" s="1" t="str">
        <f ca="1">IFERROR(__xludf.DUMMYFUNCTION("GOOGLETRANSLATE(English!B4378, ""en"", ""bg"")"),"химия")</f>
        <v>химия</v>
      </c>
      <c r="C4378" s="1" t="str">
        <f ca="1">IFERROR(__xludf.DUMMYFUNCTION("GOOGLETRANSLATE(English!C4378, ""en"", ""bg"")"),"високо")</f>
        <v>високо</v>
      </c>
      <c r="D4378" s="1" t="str">
        <f ca="1">IFERROR(__xludf.DUMMYFUNCTION("GOOGLETRANSLATE(English!D4378, ""en"", ""bg"")"),"равновесие")</f>
        <v>равновесие</v>
      </c>
      <c r="E4378" s="1" t="str">
        <f ca="1">IFERROR(__xludf.DUMMYFUNCTION("GOOGLETRANSLATE(English!E4378, ""en"", ""bg"")"),"Как работи равновесието в химията?")</f>
        <v>Как работи равновесието в химията?</v>
      </c>
      <c r="F4378" s="1" t="str">
        <f ca="1">IFERROR(__xludf.DUMMYFUNCTION("GOOGLETRANSLATE(English!F4378,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4378" s="1" t="str">
        <f ca="1">IFERROR(__xludf.DUMMYFUNCTION("GOOGLETRANSLATE(English!G4378, ""en"", ""bg"")"),"direct_qa")</f>
        <v>direct_qa</v>
      </c>
      <c r="H4378" s="1" t="str">
        <f ca="1">IFERROR(__xludf.DUMMYFUNCTION("GOOGLETRANSLATE(English!H4378, ""en"", ""bg"")"),"заявка_за_знание")</f>
        <v>заявка_за_знание</v>
      </c>
    </row>
    <row r="4379" spans="1:8" ht="13.2" x14ac:dyDescent="0.25">
      <c r="A4379" s="1" t="str">
        <f ca="1">IFERROR(__xludf.DUMMYFUNCTION("GOOGLETRANSLATE(English!A4379, ""en"", ""bg"")"),"hw_03872")</f>
        <v>hw_03872</v>
      </c>
      <c r="B4379" s="1" t="str">
        <f ca="1">IFERROR(__xludf.DUMMYFUNCTION("GOOGLETRANSLATE(English!B4379, ""en"", ""bg"")"),"физика")</f>
        <v>физика</v>
      </c>
      <c r="C4379" s="1" t="str">
        <f ca="1">IFERROR(__xludf.DUMMYFUNCTION("GOOGLETRANSLATE(English!C4379, ""en"", ""bg"")"),"високо")</f>
        <v>високо</v>
      </c>
      <c r="D4379" s="1" t="str">
        <f ca="1">IFERROR(__xludf.DUMMYFUNCTION("GOOGLETRANSLATE(English!D4379, ""en"", ""bg"")"),"оптика")</f>
        <v>оптика</v>
      </c>
      <c r="E4379" s="1" t="str">
        <f ca="1">IFERROR(__xludf.DUMMYFUNCTION("GOOGLETRANSLATE(English!E4379, ""en"", ""bg"")"),"Домашното ми по физика е за оптика. Объркващо е!")</f>
        <v>Домашното ми по физика е за оптика. Объркващо е!</v>
      </c>
      <c r="F4379" s="1" t="str">
        <f ca="1">IFERROR(__xludf.DUMMYFUNCTION("GOOGLETRANSLATE(English!F4379,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4379" s="1" t="str">
        <f ca="1">IFERROR(__xludf.DUMMYFUNCTION("GOOGLETRANSLATE(English!G4379, ""en"", ""bg"")"),"помощ_за_домашно_изпълнение")</f>
        <v>помощ_за_домашно_изпълнение</v>
      </c>
      <c r="H4379" s="1" t="str">
        <f ca="1">IFERROR(__xludf.DUMMYFUNCTION("GOOGLETRANSLATE(English!H4379, ""en"", ""bg"")"),"помощ_за_домашно_задаване")</f>
        <v>помощ_за_домашно_задаване</v>
      </c>
    </row>
    <row r="4380" spans="1:8" ht="13.2" x14ac:dyDescent="0.25">
      <c r="A4380" s="1" t="str">
        <f ca="1">IFERROR(__xludf.DUMMYFUNCTION("GOOGLETRANSLATE(English!A4380, ""en"", ""bg"")"),"conv_17121")</f>
        <v>conv_17121</v>
      </c>
      <c r="B4380" s="1" t="str">
        <f ca="1">IFERROR(__xludf.DUMMYFUNCTION("GOOGLETRANSLATE(English!B4380, ""en"", ""bg"")"),"физика")</f>
        <v>физика</v>
      </c>
      <c r="C4380" s="1" t="str">
        <f ca="1">IFERROR(__xludf.DUMMYFUNCTION("GOOGLETRANSLATE(English!C4380, ""en"", ""bg"")"),"високо")</f>
        <v>високо</v>
      </c>
      <c r="D4380" s="1" t="str">
        <f ca="1">IFERROR(__xludf.DUMMYFUNCTION("GOOGLETRANSLATE(English!D4380, ""en"", ""bg"")"),"механика")</f>
        <v>механика</v>
      </c>
      <c r="E4380" s="1" t="str">
        <f ca="1">IFERROR(__xludf.DUMMYFUNCTION("GOOGLETRANSLATE(English!E4380, ""en"", ""bg"")"),"Имам научен въпрос. Какво трябва да знам за механиката?")</f>
        <v>Имам научен въпрос. Какво трябва да знам за механиката?</v>
      </c>
      <c r="F4380" s="1" t="str">
        <f ca="1">IFERROR(__xludf.DUMMYFUNCTION("GOOGLETRANSLATE(English!F4380,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4380" s="1" t="str">
        <f ca="1">IFERROR(__xludf.DUMMYFUNCTION("GOOGLETRANSLATE(English!G4380, ""en"", ""bg"")"),"разговор")</f>
        <v>разговор</v>
      </c>
      <c r="H4380" s="1" t="str">
        <f ca="1">IFERROR(__xludf.DUMMYFUNCTION("GOOGLETRANSLATE(English!H4380, ""en"", ""bg"")"),"образователна_помощ")</f>
        <v>образователна_помощ</v>
      </c>
    </row>
    <row r="4381" spans="1:8" ht="13.2" x14ac:dyDescent="0.25">
      <c r="A4381" s="1" t="str">
        <f ca="1">IFERROR(__xludf.DUMMYFUNCTION("GOOGLETRANSLATE(English!A4381, ""en"", ""bg"")"),"qa_06399")</f>
        <v>qa_06399</v>
      </c>
      <c r="B4381" s="1" t="str">
        <f ca="1">IFERROR(__xludf.DUMMYFUNCTION("GOOGLETRANSLATE(English!B4381, ""en"", ""bg"")"),"физика")</f>
        <v>физика</v>
      </c>
      <c r="C4381" s="1" t="str">
        <f ca="1">IFERROR(__xludf.DUMMYFUNCTION("GOOGLETRANSLATE(English!C4381, ""en"", ""bg"")"),"средата")</f>
        <v>средата</v>
      </c>
      <c r="D4381" s="1" t="str">
        <f ca="1">IFERROR(__xludf.DUMMYFUNCTION("GOOGLETRANSLATE(English!D4381, ""en"", ""bg"")"),"видове енергия")</f>
        <v>видове енергия</v>
      </c>
      <c r="E4381" s="1" t="str">
        <f ca="1">IFERROR(__xludf.DUMMYFUNCTION("GOOGLETRANSLATE(English!E4381, ""en"", ""bg"")"),"Какво е кинетична енергия?")</f>
        <v>Какво е кинетична енергия?</v>
      </c>
      <c r="F4381" s="1" t="str">
        <f ca="1">IFERROR(__xludf.DUMMYFUNCTION("GOOGLETRANSLATE(English!F4381,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4381" s="1" t="str">
        <f ca="1">IFERROR(__xludf.DUMMYFUNCTION("GOOGLETRANSLATE(English!G4381, ""en"", ""bg"")"),"direct_qa")</f>
        <v>direct_qa</v>
      </c>
      <c r="H4381" s="1" t="str">
        <f ca="1">IFERROR(__xludf.DUMMYFUNCTION("GOOGLETRANSLATE(English!H4381, ""en"", ""bg"")"),"заявка_за_знание")</f>
        <v>заявка_за_знание</v>
      </c>
    </row>
    <row r="4382" spans="1:8" ht="13.2" x14ac:dyDescent="0.25">
      <c r="A4382" s="1" t="str">
        <f ca="1">IFERROR(__xludf.DUMMYFUNCTION("GOOGLETRANSLATE(English!A4382, ""en"", ""bg"")"),"conv_06829")</f>
        <v>conv_06829</v>
      </c>
      <c r="B4382" s="1" t="str">
        <f ca="1">IFERROR(__xludf.DUMMYFUNCTION("GOOGLETRANSLATE(English!B4382, ""en"", ""bg"")"),"химия")</f>
        <v>химия</v>
      </c>
      <c r="C4382" s="1" t="str">
        <f ca="1">IFERROR(__xludf.DUMMYFUNCTION("GOOGLETRANSLATE(English!C4382, ""en"", ""bg"")"),"елементарен")</f>
        <v>елементарен</v>
      </c>
      <c r="D4382" s="1" t="str">
        <f ca="1">IFERROR(__xludf.DUMMYFUNCTION("GOOGLETRANSLATE(English!D4382, ""en"", ""bg"")"),"ежедневни химикали")</f>
        <v>ежедневни химикали</v>
      </c>
      <c r="E4382" s="1" t="str">
        <f ca="1">IFERROR(__xludf.DUMMYFUNCTION("GOOGLETRANSLATE(English!E4382, ""en"", ""bg"")"),"Помогнете ми да уча за теста. Защо е важно да се изучават ежедневни химикали?")</f>
        <v>Помогнете ми да уча за теста. Защо е важно да се изучават ежедневни химикали?</v>
      </c>
      <c r="F4382" s="1" t="str">
        <f ca="1">IFERROR(__xludf.DUMMYFUNCTION("GOOGLETRANSLATE(English!F4382,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4382" s="1" t="str">
        <f ca="1">IFERROR(__xludf.DUMMYFUNCTION("GOOGLETRANSLATE(English!G4382, ""en"", ""bg"")"),"разговор")</f>
        <v>разговор</v>
      </c>
      <c r="H4382" s="1" t="str">
        <f ca="1">IFERROR(__xludf.DUMMYFUNCTION("GOOGLETRANSLATE(English!H4382, ""en"", ""bg"")"),"образователна_помощ")</f>
        <v>образователна_помощ</v>
      </c>
    </row>
    <row r="4383" spans="1:8" ht="13.2" x14ac:dyDescent="0.25">
      <c r="A4383" s="1" t="str">
        <f ca="1">IFERROR(__xludf.DUMMYFUNCTION("GOOGLETRANSLATE(English!A4383, ""en"", ""bg"")"),"conv_14975")</f>
        <v>conv_14975</v>
      </c>
      <c r="B4383" s="1" t="str">
        <f ca="1">IFERROR(__xludf.DUMMYFUNCTION("GOOGLETRANSLATE(English!B4383, ""en"", ""bg"")"),"биология")</f>
        <v>биология</v>
      </c>
      <c r="C4383" s="1" t="str">
        <f ca="1">IFERROR(__xludf.DUMMYFUNCTION("GOOGLETRANSLATE(English!C4383, ""en"", ""bg"")"),"средата")</f>
        <v>средата</v>
      </c>
      <c r="D4383" s="1" t="str">
        <f ca="1">IFERROR(__xludf.DUMMYFUNCTION("GOOGLETRANSLATE(English!D4383, ""en"", ""bg"")"),"основи на еволюцията")</f>
        <v>основи на еволюцията</v>
      </c>
      <c r="E4383" s="1" t="str">
        <f ca="1">IFERROR(__xludf.DUMMYFUNCTION("GOOGLETRANSLATE(English!E4383, ""en"", ""bg"")"),"Здравей, преподавателю! Защо основите на еволюцията са важни в биологията?")</f>
        <v>Здравей, преподавателю! Защо основите на еволюцията са важни в биологията?</v>
      </c>
      <c r="F4383" s="1" t="str">
        <f ca="1">IFERROR(__xludf.DUMMYFUNCTION("GOOGLETRANSLATE(English!F4383,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4383" s="1" t="str">
        <f ca="1">IFERROR(__xludf.DUMMYFUNCTION("GOOGLETRANSLATE(English!G4383, ""en"", ""bg"")"),"разговор")</f>
        <v>разговор</v>
      </c>
      <c r="H4383" s="1" t="str">
        <f ca="1">IFERROR(__xludf.DUMMYFUNCTION("GOOGLETRANSLATE(English!H4383, ""en"", ""bg"")"),"образователна_помощ")</f>
        <v>образователна_помощ</v>
      </c>
    </row>
    <row r="4384" spans="1:8" ht="13.2" x14ac:dyDescent="0.25">
      <c r="A4384" s="1" t="str">
        <f ca="1">IFERROR(__xludf.DUMMYFUNCTION("GOOGLETRANSLATE(English!A4384, ""en"", ""bg"")"),"hw_05793")</f>
        <v>hw_05793</v>
      </c>
      <c r="B4384" s="1" t="str">
        <f ca="1">IFERROR(__xludf.DUMMYFUNCTION("GOOGLETRANSLATE(English!B4384, ""en"", ""bg"")"),"физика")</f>
        <v>физика</v>
      </c>
      <c r="C4384" s="1" t="str">
        <f ca="1">IFERROR(__xludf.DUMMYFUNCTION("GOOGLETRANSLATE(English!C4384, ""en"", ""bg"")"),"високо")</f>
        <v>високо</v>
      </c>
      <c r="D4384" s="1" t="str">
        <f ca="1">IFERROR(__xludf.DUMMYFUNCTION("GOOGLETRANSLATE(English!D4384, ""en"", ""bg"")"),"електромагнетизъм")</f>
        <v>електромагнетизъм</v>
      </c>
      <c r="E4384" s="1" t="str">
        <f ca="1">IFERROR(__xludf.DUMMYFUNCTION("GOOGLETRANSLATE(English!E4384, ""en"", ""bg"")"),"Трябва да разбирам електромагнетизма за изпита си.")</f>
        <v>Трябва да разбирам електромагнетизма за изпита си.</v>
      </c>
      <c r="F4384" s="1" t="str">
        <f ca="1">IFERROR(__xludf.DUMMYFUNCTION("GOOGLETRANSLATE(English!F4384,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4384" s="1" t="str">
        <f ca="1">IFERROR(__xludf.DUMMYFUNCTION("GOOGLETRANSLATE(English!G4384, ""en"", ""bg"")"),"помощ_за_домашно_изпълнение")</f>
        <v>помощ_за_домашно_изпълнение</v>
      </c>
      <c r="H4384" s="1" t="str">
        <f ca="1">IFERROR(__xludf.DUMMYFUNCTION("GOOGLETRANSLATE(English!H4384, ""en"", ""bg"")"),"помощ_за_домашно_задаване")</f>
        <v>помощ_за_домашно_задаване</v>
      </c>
    </row>
    <row r="4385" spans="1:8" ht="13.2" x14ac:dyDescent="0.25">
      <c r="A4385" s="1" t="str">
        <f ca="1">IFERROR(__xludf.DUMMYFUNCTION("GOOGLETRANSLATE(English!A4385, ""en"", ""bg"")"),"conv_01236")</f>
        <v>conv_01236</v>
      </c>
      <c r="B4385" s="1" t="str">
        <f ca="1">IFERROR(__xludf.DUMMYFUNCTION("GOOGLETRANSLATE(English!B4385, ""en"", ""bg"")"),"химия")</f>
        <v>химия</v>
      </c>
      <c r="C4385" s="1" t="str">
        <f ca="1">IFERROR(__xludf.DUMMYFUNCTION("GOOGLETRANSLATE(English!C4385, ""en"", ""bg"")"),"средата")</f>
        <v>средата</v>
      </c>
      <c r="D4385" s="1" t="str">
        <f ca="1">IFERROR(__xludf.DUMMYFUNCTION("GOOGLETRANSLATE(English!D4385, ""en"", ""bg"")"),"основи на периодичната таблица")</f>
        <v>основи на периодичната таблица</v>
      </c>
      <c r="E4385" s="1" t="str">
        <f ca="1">IFERROR(__xludf.DUMMYFUNCTION("GOOGLETRANSLATE(English!E4385, ""en"", ""bg"")"),"Не разбирам тази тема. Как функционират основите на периодичната таблица в химията?")</f>
        <v>Не разбирам тази тема. Как функционират основите на периодичната таблица в химията?</v>
      </c>
      <c r="F4385" s="1" t="str">
        <f ca="1">IFERROR(__xludf.DUMMYFUNCTION("GOOGLETRANSLATE(English!F4385,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4385" s="1" t="str">
        <f ca="1">IFERROR(__xludf.DUMMYFUNCTION("GOOGLETRANSLATE(English!G4385, ""en"", ""bg"")"),"разговор")</f>
        <v>разговор</v>
      </c>
      <c r="H4385" s="1" t="str">
        <f ca="1">IFERROR(__xludf.DUMMYFUNCTION("GOOGLETRANSLATE(English!H4385, ""en"", ""bg"")"),"образователна_помощ")</f>
        <v>образователна_помощ</v>
      </c>
    </row>
    <row r="4386" spans="1:8" ht="13.2" x14ac:dyDescent="0.25">
      <c r="A4386" s="1" t="str">
        <f ca="1">IFERROR(__xludf.DUMMYFUNCTION("GOOGLETRANSLATE(English!A4386, ""en"", ""bg"")"),"hw_13512")</f>
        <v>hw_13512</v>
      </c>
      <c r="B4386" s="1" t="str">
        <f ca="1">IFERROR(__xludf.DUMMYFUNCTION("GOOGLETRANSLATE(English!B4386, ""en"", ""bg"")"),"физика")</f>
        <v>физика</v>
      </c>
      <c r="C4386" s="1" t="str">
        <f ca="1">IFERROR(__xludf.DUMMYFUNCTION("GOOGLETRANSLATE(English!C4386, ""en"", ""bg"")"),"елементарен")</f>
        <v>елементарен</v>
      </c>
      <c r="D4386" s="1" t="str">
        <f ca="1">IFERROR(__xludf.DUMMYFUNCTION("GOOGLETRANSLATE(English!D4386, ""en"", ""bg"")"),"прости машини")</f>
        <v>прости машини</v>
      </c>
      <c r="E4386" s="1" t="str">
        <f ca="1">IFERROR(__xludf.DUMMYFUNCTION("GOOGLETRANSLATE(English!E4386, ""en"", ""bg"")"),"Заседнал съм с този прост проблем с машината. Можете ли да помогнете?")</f>
        <v>Заседнал съм с този прост проблем с машината. Можете ли да помогнете?</v>
      </c>
      <c r="F4386" s="1" t="str">
        <f ca="1">IFERROR(__xludf.DUMMYFUNCTION("GOOGLETRANSLATE(English!F4386,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4386" s="1" t="str">
        <f ca="1">IFERROR(__xludf.DUMMYFUNCTION("GOOGLETRANSLATE(English!G4386, ""en"", ""bg"")"),"помощ_за_домашно_изпълнение")</f>
        <v>помощ_за_домашно_изпълнение</v>
      </c>
      <c r="H4386" s="1" t="str">
        <f ca="1">IFERROR(__xludf.DUMMYFUNCTION("GOOGLETRANSLATE(English!H4386, ""en"", ""bg"")"),"помощ_за_домашно_задаване")</f>
        <v>помощ_за_домашно_задаване</v>
      </c>
    </row>
    <row r="4387" spans="1:8" ht="13.2" x14ac:dyDescent="0.25">
      <c r="A4387" s="1" t="str">
        <f ca="1">IFERROR(__xludf.DUMMYFUNCTION("GOOGLETRANSLATE(English!A4387, ""en"", ""bg"")"),"qa_06062")</f>
        <v>qa_06062</v>
      </c>
      <c r="B4387" s="1" t="str">
        <f ca="1">IFERROR(__xludf.DUMMYFUNCTION("GOOGLETRANSLATE(English!B4387, ""en"", ""bg"")"),"биология")</f>
        <v>биология</v>
      </c>
      <c r="C4387" s="1" t="str">
        <f ca="1">IFERROR(__xludf.DUMMYFUNCTION("GOOGLETRANSLATE(English!C4387, ""en"", ""bg"")"),"високо")</f>
        <v>високо</v>
      </c>
      <c r="D4387" s="1" t="str">
        <f ca="1">IFERROR(__xludf.DUMMYFUNCTION("GOOGLETRANSLATE(English!D4387, ""en"", ""bg"")"),"митоза и мейоза")</f>
        <v>митоза и мейоза</v>
      </c>
      <c r="E4387" s="1" t="str">
        <f ca="1">IFERROR(__xludf.DUMMYFUNCTION("GOOGLETRANSLATE(English!E4387, ""en"", ""bg"")"),"Можете ли да ми разкажете за митозата и мейозата?")</f>
        <v>Можете ли да ми разкажете за митозата и мейозата?</v>
      </c>
      <c r="F4387" s="1" t="str">
        <f ca="1">IFERROR(__xludf.DUMMYFUNCTION("GOOGLETRANSLATE(English!F4387,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4387" s="1" t="str">
        <f ca="1">IFERROR(__xludf.DUMMYFUNCTION("GOOGLETRANSLATE(English!G4387, ""en"", ""bg"")"),"direct_qa")</f>
        <v>direct_qa</v>
      </c>
      <c r="H4387" s="1" t="str">
        <f ca="1">IFERROR(__xludf.DUMMYFUNCTION("GOOGLETRANSLATE(English!H4387, ""en"", ""bg"")"),"заявка_за_знание")</f>
        <v>заявка_за_знание</v>
      </c>
    </row>
    <row r="4388" spans="1:8" ht="13.2" x14ac:dyDescent="0.25">
      <c r="A4388" s="1" t="str">
        <f ca="1">IFERROR(__xludf.DUMMYFUNCTION("GOOGLETRANSLATE(English!A4388, ""en"", ""bg"")"),"hw_10918")</f>
        <v>hw_10918</v>
      </c>
      <c r="B4388" s="1" t="str">
        <f ca="1">IFERROR(__xludf.DUMMYFUNCTION("GOOGLETRANSLATE(English!B4388, ""en"", ""bg"")"),"химия")</f>
        <v>химия</v>
      </c>
      <c r="C4388" s="1" t="str">
        <f ca="1">IFERROR(__xludf.DUMMYFUNCTION("GOOGLETRANSLATE(English!C4388, ""en"", ""bg"")"),"високо")</f>
        <v>високо</v>
      </c>
      <c r="D4388" s="1" t="str">
        <f ca="1">IFERROR(__xludf.DUMMYFUNCTION("GOOGLETRANSLATE(English!D4388, ""en"", ""bg"")"),"химическо свързване")</f>
        <v>химическо свързване</v>
      </c>
      <c r="E4388" s="1" t="str">
        <f ca="1">IFERROR(__xludf.DUMMYFUNCTION("GOOGLETRANSLATE(English!E4388, ""en"", ""bg"")"),"Имам проблеми с химичните връзки в домашното си.")</f>
        <v>Имам проблеми с химичните връзки в домашното си.</v>
      </c>
      <c r="F4388" s="1" t="str">
        <f ca="1">IFERROR(__xludf.DUMMYFUNCTION("GOOGLETRANSLATE(English!F4388,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4388" s="1" t="str">
        <f ca="1">IFERROR(__xludf.DUMMYFUNCTION("GOOGLETRANSLATE(English!G4388, ""en"", ""bg"")"),"помощ_за_домашно_изпълнение")</f>
        <v>помощ_за_домашно_изпълнение</v>
      </c>
      <c r="H4388" s="1" t="str">
        <f ca="1">IFERROR(__xludf.DUMMYFUNCTION("GOOGLETRANSLATE(English!H4388, ""en"", ""bg"")"),"помощ_за_домашно_задаване")</f>
        <v>помощ_за_домашно_задаване</v>
      </c>
    </row>
    <row r="4389" spans="1:8" ht="13.2" x14ac:dyDescent="0.25">
      <c r="A4389" s="1" t="str">
        <f ca="1">IFERROR(__xludf.DUMMYFUNCTION("GOOGLETRANSLATE(English!A4389, ""en"", ""bg"")"),"qa_04084")</f>
        <v>qa_04084</v>
      </c>
      <c r="B4389" s="1" t="str">
        <f ca="1">IFERROR(__xludf.DUMMYFUNCTION("GOOGLETRANSLATE(English!B4389, ""en"", ""bg"")"),"химия")</f>
        <v>химия</v>
      </c>
      <c r="C4389" s="1" t="str">
        <f ca="1">IFERROR(__xludf.DUMMYFUNCTION("GOOGLETRANSLATE(English!C4389, ""en"", ""bg"")"),"средата")</f>
        <v>средата</v>
      </c>
      <c r="D4389" s="1" t="str">
        <f ca="1">IFERROR(__xludf.DUMMYFUNCTION("GOOGLETRANSLATE(English!D4389, ""en"", ""bg"")"),"киселини и основи")</f>
        <v>киселини и основи</v>
      </c>
      <c r="E4389" s="1" t="str">
        <f ca="1">IFERROR(__xludf.DUMMYFUNCTION("GOOGLETRANSLATE(English!E4389, ""en"", ""bg"")"),"Можете ли да ми помогнете да разбера понятията киселини и основи?")</f>
        <v>Можете ли да ми помогнете да разбера понятията киселини и основи?</v>
      </c>
      <c r="F4389" s="1" t="str">
        <f ca="1">IFERROR(__xludf.DUMMYFUNCTION("GOOGLETRANSLATE(English!F4389,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4389" s="1" t="str">
        <f ca="1">IFERROR(__xludf.DUMMYFUNCTION("GOOGLETRANSLATE(English!G4389, ""en"", ""bg"")"),"direct_qa")</f>
        <v>direct_qa</v>
      </c>
      <c r="H4389" s="1" t="str">
        <f ca="1">IFERROR(__xludf.DUMMYFUNCTION("GOOGLETRANSLATE(English!H4389, ""en"", ""bg"")"),"заявка_за_знание")</f>
        <v>заявка_за_знание</v>
      </c>
    </row>
    <row r="4390" spans="1:8" ht="13.2" x14ac:dyDescent="0.25">
      <c r="A4390" s="1" t="str">
        <f ca="1">IFERROR(__xludf.DUMMYFUNCTION("GOOGLETRANSLATE(English!A4390, ""en"", ""bg"")"),"hw_01683")</f>
        <v>hw_01683</v>
      </c>
      <c r="B4390" s="1" t="str">
        <f ca="1">IFERROR(__xludf.DUMMYFUNCTION("GOOGLETRANSLATE(English!B4390, ""en"", ""bg"")"),"биология")</f>
        <v>биология</v>
      </c>
      <c r="C4390" s="1" t="str">
        <f ca="1">IFERROR(__xludf.DUMMYFUNCTION("GOOGLETRANSLATE(English!C4390, ""en"", ""bg"")"),"средата")</f>
        <v>средата</v>
      </c>
      <c r="D4390" s="1" t="str">
        <f ca="1">IFERROR(__xludf.DUMMYFUNCTION("GOOGLETRANSLATE(English!D4390, ""en"", ""bg"")"),"екосистеми")</f>
        <v>екосистеми</v>
      </c>
      <c r="E4390" s="1" t="str">
        <f ca="1">IFERROR(__xludf.DUMMYFUNCTION("GOOGLETRANSLATE(English!E4390, ""en"", ""bg"")"),"Можете ли да обясните екосистемите за моя научен проект?")</f>
        <v>Можете ли да обясните екосистемите за моя научен проект?</v>
      </c>
      <c r="F4390" s="1" t="str">
        <f ca="1">IFERROR(__xludf.DUMMYFUNCTION("GOOGLETRANSLATE(English!F4390,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4390" s="1" t="str">
        <f ca="1">IFERROR(__xludf.DUMMYFUNCTION("GOOGLETRANSLATE(English!G4390, ""en"", ""bg"")"),"помощ_за_домашно_изпълнение")</f>
        <v>помощ_за_домашно_изпълнение</v>
      </c>
      <c r="H4390" s="1" t="str">
        <f ca="1">IFERROR(__xludf.DUMMYFUNCTION("GOOGLETRANSLATE(English!H4390, ""en"", ""bg"")"),"помощ_за_домашно_задаване")</f>
        <v>помощ_за_домашно_задаване</v>
      </c>
    </row>
    <row r="4391" spans="1:8" ht="13.2" x14ac:dyDescent="0.25">
      <c r="A4391" s="1" t="str">
        <f ca="1">IFERROR(__xludf.DUMMYFUNCTION("GOOGLETRANSLATE(English!A4391, ""en"", ""bg"")"),"hw_13799")</f>
        <v>hw_13799</v>
      </c>
      <c r="B4391" s="1" t="str">
        <f ca="1">IFERROR(__xludf.DUMMYFUNCTION("GOOGLETRANSLATE(English!B4391, ""en"", ""bg"")"),"биология")</f>
        <v>биология</v>
      </c>
      <c r="C4391" s="1" t="str">
        <f ca="1">IFERROR(__xludf.DUMMYFUNCTION("GOOGLETRANSLATE(English!C4391, ""en"", ""bg"")"),"средата")</f>
        <v>средата</v>
      </c>
      <c r="D4391" s="1" t="str">
        <f ca="1">IFERROR(__xludf.DUMMYFUNCTION("GOOGLETRANSLATE(English!D4391, ""en"", ""bg"")"),"размножаване")</f>
        <v>размножаване</v>
      </c>
      <c r="E4391" s="1" t="str">
        <f ca="1">IFERROR(__xludf.DUMMYFUNCTION("GOOGLETRANSLATE(English!E4391, ""en"", ""bg"")"),"Утре имам тест по репродукция. Помогни ми да уча!")</f>
        <v>Утре имам тест по репродукция. Помогни ми да уча!</v>
      </c>
      <c r="F4391" s="1" t="str">
        <f ca="1">IFERROR(__xludf.DUMMYFUNCTION("GOOGLETRANSLATE(English!F4391,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391" s="1" t="str">
        <f ca="1">IFERROR(__xludf.DUMMYFUNCTION("GOOGLETRANSLATE(English!G4391, ""en"", ""bg"")"),"помощ_за_домашно_изпълнение")</f>
        <v>помощ_за_домашно_изпълнение</v>
      </c>
      <c r="H4391" s="1" t="str">
        <f ca="1">IFERROR(__xludf.DUMMYFUNCTION("GOOGLETRANSLATE(English!H4391, ""en"", ""bg"")"),"помощ_за_домашно_задаване")</f>
        <v>помощ_за_домашно_задаване</v>
      </c>
    </row>
    <row r="4392" spans="1:8" ht="13.2" x14ac:dyDescent="0.25">
      <c r="A4392" s="1" t="str">
        <f ca="1">IFERROR(__xludf.DUMMYFUNCTION("GOOGLETRANSLATE(English!A4392, ""en"", ""bg"")"),"conv_15546")</f>
        <v>conv_15546</v>
      </c>
      <c r="B4392" s="1" t="str">
        <f ca="1">IFERROR(__xludf.DUMMYFUNCTION("GOOGLETRANSLATE(English!B4392, ""en"", ""bg"")"),"физика")</f>
        <v>физика</v>
      </c>
      <c r="C4392" s="1" t="str">
        <f ca="1">IFERROR(__xludf.DUMMYFUNCTION("GOOGLETRANSLATE(English!C4392, ""en"", ""bg"")"),"високо")</f>
        <v>високо</v>
      </c>
      <c r="D4392" s="1" t="str">
        <f ca="1">IFERROR(__xludf.DUMMYFUNCTION("GOOGLETRANSLATE(English!D4392, ""en"", ""bg"")"),"електромагнетизъм")</f>
        <v>електромагнетизъм</v>
      </c>
      <c r="E4392" s="1" t="str">
        <f ca="1">IFERROR(__xludf.DUMMYFUNCTION("GOOGLETRANSLATE(English!E4392, ""en"", ""bg"")"),"Здравей, преподавателю! Можеш ли да ми обясниш електромагнетизма?")</f>
        <v>Здравей, преподавателю! Можеш ли да ми обясниш електромагнетизма?</v>
      </c>
      <c r="F4392" s="1" t="str">
        <f ca="1">IFERROR(__xludf.DUMMYFUNCTION("GOOGLETRANSLATE(English!F4392,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4392" s="1" t="str">
        <f ca="1">IFERROR(__xludf.DUMMYFUNCTION("GOOGLETRANSLATE(English!G4392, ""en"", ""bg"")"),"разговор")</f>
        <v>разговор</v>
      </c>
      <c r="H4392" s="1" t="str">
        <f ca="1">IFERROR(__xludf.DUMMYFUNCTION("GOOGLETRANSLATE(English!H4392, ""en"", ""bg"")"),"образователна_помощ")</f>
        <v>образователна_помощ</v>
      </c>
    </row>
    <row r="4393" spans="1:8" ht="13.2" x14ac:dyDescent="0.25">
      <c r="A4393" s="1" t="str">
        <f ca="1">IFERROR(__xludf.DUMMYFUNCTION("GOOGLETRANSLATE(English!A4393, ""en"", ""bg"")"),"qa_04440")</f>
        <v>qa_04440</v>
      </c>
      <c r="B4393" s="1" t="str">
        <f ca="1">IFERROR(__xludf.DUMMYFUNCTION("GOOGLETRANSLATE(English!B4393, ""en"", ""bg"")"),"биология")</f>
        <v>биология</v>
      </c>
      <c r="C4393" s="1" t="str">
        <f ca="1">IFERROR(__xludf.DUMMYFUNCTION("GOOGLETRANSLATE(English!C4393, ""en"", ""bg"")"),"елементарен")</f>
        <v>елементарен</v>
      </c>
      <c r="D4393" s="1" t="str">
        <f ca="1">IFERROR(__xludf.DUMMYFUNCTION("GOOGLETRANSLATE(English!D4393, ""en"", ""bg"")"),"животни")</f>
        <v>животни</v>
      </c>
      <c r="E4393" s="1" t="str">
        <f ca="1">IFERROR(__xludf.DUMMYFUNCTION("GOOGLETRANSLATE(English!E4393, ""en"", ""bg"")"),"Какво ядат птиците?")</f>
        <v>Какво ядат птиците?</v>
      </c>
      <c r="F4393" s="1" t="str">
        <f ca="1">IFERROR(__xludf.DUMMYFUNCTION("GOOGLETRANSLATE(English!F4393,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4393" s="1" t="str">
        <f ca="1">IFERROR(__xludf.DUMMYFUNCTION("GOOGLETRANSLATE(English!G4393, ""en"", ""bg"")"),"direct_qa")</f>
        <v>direct_qa</v>
      </c>
      <c r="H4393" s="1" t="str">
        <f ca="1">IFERROR(__xludf.DUMMYFUNCTION("GOOGLETRANSLATE(English!H4393, ""en"", ""bg"")"),"заявка_за_знание")</f>
        <v>заявка_за_знание</v>
      </c>
    </row>
    <row r="4394" spans="1:8" ht="13.2" x14ac:dyDescent="0.25">
      <c r="A4394" s="1" t="str">
        <f ca="1">IFERROR(__xludf.DUMMYFUNCTION("GOOGLETRANSLATE(English!A4394, ""en"", ""bg"")"),"qa_09560")</f>
        <v>qa_09560</v>
      </c>
      <c r="B4394" s="1" t="str">
        <f ca="1">IFERROR(__xludf.DUMMYFUNCTION("GOOGLETRANSLATE(English!B4394, ""en"", ""bg"")"),"химия")</f>
        <v>химия</v>
      </c>
      <c r="C4394" s="1" t="str">
        <f ca="1">IFERROR(__xludf.DUMMYFUNCTION("GOOGLETRANSLATE(English!C4394, ""en"", ""bg"")"),"елементарен")</f>
        <v>елементарен</v>
      </c>
      <c r="D4394" s="1" t="str">
        <f ca="1">IFERROR(__xludf.DUMMYFUNCTION("GOOGLETRANSLATE(English!D4394, ""en"", ""bg"")"),"разтваряне")</f>
        <v>разтваряне</v>
      </c>
      <c r="E4394" s="1" t="str">
        <f ca="1">IFERROR(__xludf.DUMMYFUNCTION("GOOGLETRANSLATE(English!E4394, ""en"", ""bg"")"),"Можете ли да ми помогнете да разбера разтварянето?")</f>
        <v>Можете ли да ми помогнете да разбера разтварянето?</v>
      </c>
      <c r="F4394" s="1" t="str">
        <f ca="1">IFERROR(__xludf.DUMMYFUNCTION("GOOGLETRANSLATE(English!F4394,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4394" s="1" t="str">
        <f ca="1">IFERROR(__xludf.DUMMYFUNCTION("GOOGLETRANSLATE(English!G4394, ""en"", ""bg"")"),"direct_qa")</f>
        <v>direct_qa</v>
      </c>
      <c r="H4394" s="1" t="str">
        <f ca="1">IFERROR(__xludf.DUMMYFUNCTION("GOOGLETRANSLATE(English!H4394, ""en"", ""bg"")"),"заявка_за_знание")</f>
        <v>заявка_за_знание</v>
      </c>
    </row>
    <row r="4395" spans="1:8" ht="13.2" x14ac:dyDescent="0.25">
      <c r="A4395" s="1" t="str">
        <f ca="1">IFERROR(__xludf.DUMMYFUNCTION("GOOGLETRANSLATE(English!A4395, ""en"", ""bg"")"),"qa_04655")</f>
        <v>qa_04655</v>
      </c>
      <c r="B4395" s="1" t="str">
        <f ca="1">IFERROR(__xludf.DUMMYFUNCTION("GOOGLETRANSLATE(English!B4395, ""en"", ""bg"")"),"химия")</f>
        <v>химия</v>
      </c>
      <c r="C4395" s="1" t="str">
        <f ca="1">IFERROR(__xludf.DUMMYFUNCTION("GOOGLETRANSLATE(English!C4395, ""en"", ""bg"")"),"високо")</f>
        <v>високо</v>
      </c>
      <c r="D4395" s="1" t="str">
        <f ca="1">IFERROR(__xludf.DUMMYFUNCTION("GOOGLETRANSLATE(English!D4395, ""en"", ""bg"")"),"скорости на реакция")</f>
        <v>скорости на реакция</v>
      </c>
      <c r="E4395" s="1" t="str">
        <f ca="1">IFERROR(__xludf.DUMMYFUNCTION("GOOGLETRANSLATE(English!E4395, ""en"", ""bg"")"),"Защо е важно да се учи скоростта на реакция?")</f>
        <v>Защо е важно да се учи скоростта на реакция?</v>
      </c>
      <c r="F4395" s="1" t="str">
        <f ca="1">IFERROR(__xludf.DUMMYFUNCTION("GOOGLETRANSLATE(English!F4395, ""en"", ""bg"")"),"Изучаването на скоростите на реакциите ни помага да разберем света около нас и как протичат химичните процеси в природата и технологиите.")</f>
        <v>Изучаването на скоростите на реакциите ни помага да разберем света около нас и как протичат химичните процеси в природата и технологиите.</v>
      </c>
      <c r="G4395" s="1" t="str">
        <f ca="1">IFERROR(__xludf.DUMMYFUNCTION("GOOGLETRANSLATE(English!G4395, ""en"", ""bg"")"),"direct_qa")</f>
        <v>direct_qa</v>
      </c>
      <c r="H4395" s="1" t="str">
        <f ca="1">IFERROR(__xludf.DUMMYFUNCTION("GOOGLETRANSLATE(English!H4395, ""en"", ""bg"")"),"заявка_за_знание")</f>
        <v>заявка_за_знание</v>
      </c>
    </row>
    <row r="4396" spans="1:8" ht="13.2" x14ac:dyDescent="0.25">
      <c r="A4396" s="1" t="str">
        <f ca="1">IFERROR(__xludf.DUMMYFUNCTION("GOOGLETRANSLATE(English!A4396, ""en"", ""bg"")"),"hw_08164")</f>
        <v>hw_08164</v>
      </c>
      <c r="B4396" s="1" t="str">
        <f ca="1">IFERROR(__xludf.DUMMYFUNCTION("GOOGLETRANSLATE(English!B4396, ""en"", ""bg"")"),"биология")</f>
        <v>биология</v>
      </c>
      <c r="C4396" s="1" t="str">
        <f ca="1">IFERROR(__xludf.DUMMYFUNCTION("GOOGLETRANSLATE(English!C4396, ""en"", ""bg"")"),"средата")</f>
        <v>средата</v>
      </c>
      <c r="D4396" s="1" t="str">
        <f ca="1">IFERROR(__xludf.DUMMYFUNCTION("GOOGLETRANSLATE(English!D4396, ""en"", ""bg"")"),"клетки")</f>
        <v>клетки</v>
      </c>
      <c r="E4396" s="1" t="str">
        <f ca="1">IFERROR(__xludf.DUMMYFUNCTION("GOOGLETRANSLATE(English!E4396, ""en"", ""bg"")"),"Домашното ми пита за клетки. Не го разбирам.")</f>
        <v>Домашното ми пита за клетки. Не го разбирам.</v>
      </c>
      <c r="F4396" s="1" t="str">
        <f ca="1">IFERROR(__xludf.DUMMYFUNCTION("GOOGLETRANSLATE(English!F4396,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4396" s="1" t="str">
        <f ca="1">IFERROR(__xludf.DUMMYFUNCTION("GOOGLETRANSLATE(English!G4396, ""en"", ""bg"")"),"помощ_за_домашно_изпълнение")</f>
        <v>помощ_за_домашно_изпълнение</v>
      </c>
      <c r="H4396" s="1" t="str">
        <f ca="1">IFERROR(__xludf.DUMMYFUNCTION("GOOGLETRANSLATE(English!H4396, ""en"", ""bg"")"),"помощ_за_домашно_задаване")</f>
        <v>помощ_за_домашно_задаване</v>
      </c>
    </row>
    <row r="4397" spans="1:8" ht="13.2" x14ac:dyDescent="0.25">
      <c r="A4397" s="1" t="str">
        <f ca="1">IFERROR(__xludf.DUMMYFUNCTION("GOOGLETRANSLATE(English!A4397, ""en"", ""bg"")"),"hw_01992")</f>
        <v>hw_01992</v>
      </c>
      <c r="B4397" s="1" t="str">
        <f ca="1">IFERROR(__xludf.DUMMYFUNCTION("GOOGLETRANSLATE(English!B4397, ""en"", ""bg"")"),"биология")</f>
        <v>биология</v>
      </c>
      <c r="C4397" s="1" t="str">
        <f ca="1">IFERROR(__xludf.DUMMYFUNCTION("GOOGLETRANSLATE(English!C4397, ""en"", ""bg"")"),"средата")</f>
        <v>средата</v>
      </c>
      <c r="D4397" s="1" t="str">
        <f ca="1">IFERROR(__xludf.DUMMYFUNCTION("GOOGLETRANSLATE(English!D4397, ""en"", ""bg"")"),"размножаване")</f>
        <v>размножаване</v>
      </c>
      <c r="E4397" s="1" t="str">
        <f ca="1">IFERROR(__xludf.DUMMYFUNCTION("GOOGLETRANSLATE(English!E4397, ""en"", ""bg"")"),"Можете ли да обясните размножаването за моя научен проект?")</f>
        <v>Можете ли да обясните размножаването за моя научен проект?</v>
      </c>
      <c r="F4397" s="1" t="str">
        <f ca="1">IFERROR(__xludf.DUMMYFUNCTION("GOOGLETRANSLATE(English!F4397,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397" s="1" t="str">
        <f ca="1">IFERROR(__xludf.DUMMYFUNCTION("GOOGLETRANSLATE(English!G4397, ""en"", ""bg"")"),"помощ_за_домашно_изпълнение")</f>
        <v>помощ_за_домашно_изпълнение</v>
      </c>
      <c r="H4397" s="1" t="str">
        <f ca="1">IFERROR(__xludf.DUMMYFUNCTION("GOOGLETRANSLATE(English!H4397, ""en"", ""bg"")"),"помощ_за_домашно_задаване")</f>
        <v>помощ_за_домашно_задаване</v>
      </c>
    </row>
    <row r="4398" spans="1:8" ht="13.2" x14ac:dyDescent="0.25">
      <c r="A4398" s="1" t="str">
        <f ca="1">IFERROR(__xludf.DUMMYFUNCTION("GOOGLETRANSLATE(English!A4398, ""en"", ""bg"")"),"qa_03878")</f>
        <v>qa_03878</v>
      </c>
      <c r="B4398" s="1" t="str">
        <f ca="1">IFERROR(__xludf.DUMMYFUNCTION("GOOGLETRANSLATE(English!B4398, ""en"", ""bg"")"),"химия")</f>
        <v>химия</v>
      </c>
      <c r="C4398" s="1" t="str">
        <f ca="1">IFERROR(__xludf.DUMMYFUNCTION("GOOGLETRANSLATE(English!C4398, ""en"", ""bg"")"),"средата")</f>
        <v>средата</v>
      </c>
      <c r="D4398" s="1" t="str">
        <f ca="1">IFERROR(__xludf.DUMMYFUNCTION("GOOGLETRANSLATE(English!D4398, ""en"", ""bg"")"),"киселини и основи")</f>
        <v>киселини и основи</v>
      </c>
      <c r="E4398" s="1" t="str">
        <f ca="1">IFERROR(__xludf.DUMMYFUNCTION("GOOGLETRANSLATE(English!E4398, ""en"", ""bg"")"),"Какво представляват киселините и основите?")</f>
        <v>Какво представляват киселините и основите?</v>
      </c>
      <c r="F4398" s="1" t="str">
        <f ca="1">IFERROR(__xludf.DUMMYFUNCTION("GOOGLETRANSLATE(English!F4398,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4398" s="1" t="str">
        <f ca="1">IFERROR(__xludf.DUMMYFUNCTION("GOOGLETRANSLATE(English!G4398, ""en"", ""bg"")"),"direct_qa")</f>
        <v>direct_qa</v>
      </c>
      <c r="H4398" s="1" t="str">
        <f ca="1">IFERROR(__xludf.DUMMYFUNCTION("GOOGLETRANSLATE(English!H4398, ""en"", ""bg"")"),"заявка_за_знание")</f>
        <v>заявка_за_знание</v>
      </c>
    </row>
    <row r="4399" spans="1:8" ht="13.2" x14ac:dyDescent="0.25">
      <c r="A4399" s="1" t="str">
        <f ca="1">IFERROR(__xludf.DUMMYFUNCTION("GOOGLETRANSLATE(English!A4399, ""en"", ""bg"")"),"conv_12024")</f>
        <v>conv_12024</v>
      </c>
      <c r="B4399" s="1" t="str">
        <f ca="1">IFERROR(__xludf.DUMMYFUNCTION("GOOGLETRANSLATE(English!B4399, ""en"", ""bg"")"),"физика")</f>
        <v>физика</v>
      </c>
      <c r="C4399" s="1" t="str">
        <f ca="1">IFERROR(__xludf.DUMMYFUNCTION("GOOGLETRANSLATE(English!C4399, ""en"", ""bg"")"),"средата")</f>
        <v>средата</v>
      </c>
      <c r="D4399" s="1" t="str">
        <f ca="1">IFERROR(__xludf.DUMMYFUNCTION("GOOGLETRANSLATE(English!D4399, ""en"", ""bg"")"),"основи на електричеството")</f>
        <v>основи на електричеството</v>
      </c>
      <c r="E4399" s="1" t="str">
        <f ca="1">IFERROR(__xludf.DUMMYFUNCTION("GOOGLETRANSLATE(English!E4399, ""en"", ""bg"")"),"Имам научен въпрос. Как работят основите на електричеството във физиката?")</f>
        <v>Имам научен въпрос. Как работят основите на електричеството във физиката?</v>
      </c>
      <c r="F4399" s="1" t="str">
        <f ca="1">IFERROR(__xludf.DUMMYFUNCTION("GOOGLETRANSLATE(English!F4399,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4399" s="1" t="str">
        <f ca="1">IFERROR(__xludf.DUMMYFUNCTION("GOOGLETRANSLATE(English!G4399, ""en"", ""bg"")"),"разговор")</f>
        <v>разговор</v>
      </c>
      <c r="H4399" s="1" t="str">
        <f ca="1">IFERROR(__xludf.DUMMYFUNCTION("GOOGLETRANSLATE(English!H4399, ""en"", ""bg"")"),"образователна_помощ")</f>
        <v>образователна_помощ</v>
      </c>
    </row>
    <row r="4400" spans="1:8" ht="13.2" x14ac:dyDescent="0.25">
      <c r="A4400" s="1" t="str">
        <f ca="1">IFERROR(__xludf.DUMMYFUNCTION("GOOGLETRANSLATE(English!A4400, ""en"", ""bg"")"),"conv_07411")</f>
        <v>conv_07411</v>
      </c>
      <c r="B4400" s="1" t="str">
        <f ca="1">IFERROR(__xludf.DUMMYFUNCTION("GOOGLETRANSLATE(English!B4400, ""en"", ""bg"")"),"биология")</f>
        <v>биология</v>
      </c>
      <c r="C4400" s="1" t="str">
        <f ca="1">IFERROR(__xludf.DUMMYFUNCTION("GOOGLETRANSLATE(English!C4400, ""en"", ""bg"")"),"средата")</f>
        <v>средата</v>
      </c>
      <c r="D4400" s="1" t="str">
        <f ca="1">IFERROR(__xludf.DUMMYFUNCTION("GOOGLETRANSLATE(English!D4400, ""en"", ""bg"")"),"основи на еволюцията")</f>
        <v>основи на еволюцията</v>
      </c>
      <c r="E4400" s="1" t="str">
        <f ca="1">IFERROR(__xludf.DUMMYFUNCTION("GOOGLETRANSLATE(English!E4400, ""en"", ""bg"")"),"Не разбирам тази тема. Защо основите на еволюцията са важни в биологията?")</f>
        <v>Не разбирам тази тема. Защо основите на еволюцията са важни в биологията?</v>
      </c>
      <c r="F4400" s="1" t="str">
        <f ca="1">IFERROR(__xludf.DUMMYFUNCTION("GOOGLETRANSLATE(English!F4400,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4400" s="1" t="str">
        <f ca="1">IFERROR(__xludf.DUMMYFUNCTION("GOOGLETRANSLATE(English!G4400, ""en"", ""bg"")"),"разговор")</f>
        <v>разговор</v>
      </c>
      <c r="H4400" s="1" t="str">
        <f ca="1">IFERROR(__xludf.DUMMYFUNCTION("GOOGLETRANSLATE(English!H4400, ""en"", ""bg"")"),"образователна_помощ")</f>
        <v>образователна_помощ</v>
      </c>
    </row>
    <row r="4401" spans="1:8" ht="13.2" x14ac:dyDescent="0.25">
      <c r="A4401" s="1" t="str">
        <f ca="1">IFERROR(__xludf.DUMMYFUNCTION("GOOGLETRANSLATE(English!A4401, ""en"", ""bg"")"),"qa_08189")</f>
        <v>qa_08189</v>
      </c>
      <c r="B4401" s="1" t="str">
        <f ca="1">IFERROR(__xludf.DUMMYFUNCTION("GOOGLETRANSLATE(English!B4401, ""en"", ""bg"")"),"химия")</f>
        <v>химия</v>
      </c>
      <c r="C4401" s="1" t="str">
        <f ca="1">IFERROR(__xludf.DUMMYFUNCTION("GOOGLETRANSLATE(English!C4401, ""en"", ""bg"")"),"високо")</f>
        <v>високо</v>
      </c>
      <c r="D4401" s="1" t="str">
        <f ca="1">IFERROR(__xludf.DUMMYFUNCTION("GOOGLETRANSLATE(English!D4401, ""en"", ""bg"")"),"равновесие")</f>
        <v>равновесие</v>
      </c>
      <c r="E4401" s="1" t="str">
        <f ca="1">IFERROR(__xludf.DUMMYFUNCTION("GOOGLETRANSLATE(English!E4401, ""en"", ""bg"")"),"Какво е равновесието изобщо?")</f>
        <v>Какво е равновесието изобщо?</v>
      </c>
      <c r="F4401" s="1" t="str">
        <f ca="1">IFERROR(__xludf.DUMMYFUNCTION("GOOGLETRANSLATE(English!F4401, ""en"", ""bg"")"),"Равновесието е свързано с взаимодействията между различните видове материя и енергия.")</f>
        <v>Равновесието е свързано с взаимодействията между различните видове материя и енергия.</v>
      </c>
      <c r="G4401" s="1" t="str">
        <f ca="1">IFERROR(__xludf.DUMMYFUNCTION("GOOGLETRANSLATE(English!G4401, ""en"", ""bg"")"),"direct_qa")</f>
        <v>direct_qa</v>
      </c>
      <c r="H4401" s="1" t="str">
        <f ca="1">IFERROR(__xludf.DUMMYFUNCTION("GOOGLETRANSLATE(English!H4401, ""en"", ""bg"")"),"заявка_за_знание")</f>
        <v>заявка_за_знание</v>
      </c>
    </row>
    <row r="4402" spans="1:8" ht="13.2" x14ac:dyDescent="0.25">
      <c r="A4402" s="1" t="str">
        <f ca="1">IFERROR(__xludf.DUMMYFUNCTION("GOOGLETRANSLATE(English!A4402, ""en"", ""bg"")"),"hw_02399")</f>
        <v>hw_02399</v>
      </c>
      <c r="B4402" s="1" t="str">
        <f ca="1">IFERROR(__xludf.DUMMYFUNCTION("GOOGLETRANSLATE(English!B4402, ""en"", ""bg"")"),"физика")</f>
        <v>физика</v>
      </c>
      <c r="C4402" s="1" t="str">
        <f ca="1">IFERROR(__xludf.DUMMYFUNCTION("GOOGLETRANSLATE(English!C4402, ""en"", ""bg"")"),"елементарен")</f>
        <v>елементарен</v>
      </c>
      <c r="D4402" s="1" t="str">
        <f ca="1">IFERROR(__xludf.DUMMYFUNCTION("GOOGLETRANSLATE(English!D4402, ""en"", ""bg"")"),"бутане и дърпане")</f>
        <v>бутане и дърпане</v>
      </c>
      <c r="E4402" s="1" t="str">
        <f ca="1">IFERROR(__xludf.DUMMYFUNCTION("GOOGLETRANSLATE(English!E4402, ""en"", ""bg"")"),"Заседнал съм с този проблем с натискането и издърпването. Можете ли да помогнете?")</f>
        <v>Заседнал съм с този проблем с натискането и издърпването. Можете ли да помогнете?</v>
      </c>
      <c r="F4402" s="1" t="str">
        <f ca="1">IFERROR(__xludf.DUMMYFUNCTION("GOOGLETRANSLATE(English!F4402,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4402" s="1" t="str">
        <f ca="1">IFERROR(__xludf.DUMMYFUNCTION("GOOGLETRANSLATE(English!G4402, ""en"", ""bg"")"),"помощ_за_домашно_изпълнение")</f>
        <v>помощ_за_домашно_изпълнение</v>
      </c>
      <c r="H4402" s="1" t="str">
        <f ca="1">IFERROR(__xludf.DUMMYFUNCTION("GOOGLETRANSLATE(English!H4402, ""en"", ""bg"")"),"помощ_за_домашно_задаване")</f>
        <v>помощ_за_домашно_задаване</v>
      </c>
    </row>
    <row r="4403" spans="1:8" ht="13.2" x14ac:dyDescent="0.25">
      <c r="A4403" s="1" t="str">
        <f ca="1">IFERROR(__xludf.DUMMYFUNCTION("GOOGLETRANSLATE(English!A4403, ""en"", ""bg"")"),"conv_01747")</f>
        <v>conv_01747</v>
      </c>
      <c r="B4403" s="1" t="str">
        <f ca="1">IFERROR(__xludf.DUMMYFUNCTION("GOOGLETRANSLATE(English!B4403, ""en"", ""bg"")"),"физика")</f>
        <v>физика</v>
      </c>
      <c r="C4403" s="1" t="str">
        <f ca="1">IFERROR(__xludf.DUMMYFUNCTION("GOOGLETRANSLATE(English!C4403, ""en"", ""bg"")"),"високо")</f>
        <v>високо</v>
      </c>
      <c r="D4403" s="1" t="str">
        <f ca="1">IFERROR(__xludf.DUMMYFUNCTION("GOOGLETRANSLATE(English!D4403, ""en"", ""bg"")"),"атомна структура")</f>
        <v>атомна структура</v>
      </c>
      <c r="E4403" s="1" t="str">
        <f ca="1">IFERROR(__xludf.DUMMYFUNCTION("GOOGLETRANSLATE(English!E4403, ""en"", ""bg"")"),"Имам научен въпрос. Защо атомната структура е важна?")</f>
        <v>Имам научен въпрос. Защо атомната структура е важна?</v>
      </c>
      <c r="F4403" s="1" t="str">
        <f ca="1">IFERROR(__xludf.DUMMYFUNCTION("GOOGLETRANSLATE(English!F4403,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4403" s="1" t="str">
        <f ca="1">IFERROR(__xludf.DUMMYFUNCTION("GOOGLETRANSLATE(English!G4403, ""en"", ""bg"")"),"разговор")</f>
        <v>разговор</v>
      </c>
      <c r="H4403" s="1" t="str">
        <f ca="1">IFERROR(__xludf.DUMMYFUNCTION("GOOGLETRANSLATE(English!H4403, ""en"", ""bg"")"),"образователна_помощ")</f>
        <v>образователна_помощ</v>
      </c>
    </row>
    <row r="4404" spans="1:8" ht="13.2" x14ac:dyDescent="0.25">
      <c r="A4404" s="1" t="str">
        <f ca="1">IFERROR(__xludf.DUMMYFUNCTION("GOOGLETRANSLATE(English!A4404, ""en"", ""bg"")"),"conv_16246")</f>
        <v>conv_16246</v>
      </c>
      <c r="B4404" s="1" t="str">
        <f ca="1">IFERROR(__xludf.DUMMYFUNCTION("GOOGLETRANSLATE(English!B4404, ""en"", ""bg"")"),"химия")</f>
        <v>химия</v>
      </c>
      <c r="C4404" s="1" t="str">
        <f ca="1">IFERROR(__xludf.DUMMYFUNCTION("GOOGLETRANSLATE(English!C4404, ""en"", ""bg"")"),"елементарен")</f>
        <v>елементарен</v>
      </c>
      <c r="D4404" s="1" t="str">
        <f ca="1">IFERROR(__xludf.DUMMYFUNCTION("GOOGLETRANSLATE(English!D4404, ""en"", ""bg"")"),"промени в материалите")</f>
        <v>промени в материалите</v>
      </c>
      <c r="E4404" s="1" t="str">
        <f ca="1">IFERROR(__xludf.DUMMYFUNCTION("GOOGLETRANSLATE(English!E4404, ""en"", ""bg"")"),"Можете ли да ми обясните това? Какво представляват промените в материалите?")</f>
        <v>Можете ли да ми обясните това? Какво представляват промените в материалите?</v>
      </c>
      <c r="F4404" s="1" t="str">
        <f ca="1">IFERROR(__xludf.DUMMYFUNCTION("GOOGLETRANSLATE(English!F4404,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4404" s="1" t="str">
        <f ca="1">IFERROR(__xludf.DUMMYFUNCTION("GOOGLETRANSLATE(English!G4404, ""en"", ""bg"")"),"разговор")</f>
        <v>разговор</v>
      </c>
      <c r="H4404" s="1" t="str">
        <f ca="1">IFERROR(__xludf.DUMMYFUNCTION("GOOGLETRANSLATE(English!H4404, ""en"", ""bg"")"),"образователна_помощ")</f>
        <v>образователна_помощ</v>
      </c>
    </row>
    <row r="4405" spans="1:8" ht="13.2" x14ac:dyDescent="0.25">
      <c r="A4405" s="1" t="str">
        <f ca="1">IFERROR(__xludf.DUMMYFUNCTION("GOOGLETRANSLATE(English!A4405, ""en"", ""bg"")"),"conv_04227")</f>
        <v>conv_04227</v>
      </c>
      <c r="B4405" s="1" t="str">
        <f ca="1">IFERROR(__xludf.DUMMYFUNCTION("GOOGLETRANSLATE(English!B4405, ""en"", ""bg"")"),"физика")</f>
        <v>физика</v>
      </c>
      <c r="C4405" s="1" t="str">
        <f ca="1">IFERROR(__xludf.DUMMYFUNCTION("GOOGLETRANSLATE(English!C4405, ""en"", ""bg"")"),"високо")</f>
        <v>високо</v>
      </c>
      <c r="D4405" s="1" t="str">
        <f ca="1">IFERROR(__xludf.DUMMYFUNCTION("GOOGLETRANSLATE(English!D4405, ""en"", ""bg"")"),"атомна структура")</f>
        <v>атомна структура</v>
      </c>
      <c r="E4405" s="1" t="str">
        <f ca="1">IFERROR(__xludf.DUMMYFUNCTION("GOOGLETRANSLATE(English!E4405, ""en"", ""bg"")"),"Помогнете ми да уча за теста си. Какво трябва да знам за атомната структура?")</f>
        <v>Помогнете ми да уча за теста си. Какво трябва да знам за атомната структура?</v>
      </c>
      <c r="F4405" s="1" t="str">
        <f ca="1">IFERROR(__xludf.DUMMYFUNCTION("GOOGLETRANSLATE(English!F4405,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4405" s="1" t="str">
        <f ca="1">IFERROR(__xludf.DUMMYFUNCTION("GOOGLETRANSLATE(English!G4405, ""en"", ""bg"")"),"разговор")</f>
        <v>разговор</v>
      </c>
      <c r="H4405" s="1" t="str">
        <f ca="1">IFERROR(__xludf.DUMMYFUNCTION("GOOGLETRANSLATE(English!H4405, ""en"", ""bg"")"),"образователна_помощ")</f>
        <v>образователна_помощ</v>
      </c>
    </row>
    <row r="4406" spans="1:8" ht="13.2" x14ac:dyDescent="0.25">
      <c r="A4406" s="1" t="str">
        <f ca="1">IFERROR(__xludf.DUMMYFUNCTION("GOOGLETRANSLATE(English!A4406, ""en"", ""bg"")"),"conv_01165")</f>
        <v>conv_01165</v>
      </c>
      <c r="B4406" s="1" t="str">
        <f ca="1">IFERROR(__xludf.DUMMYFUNCTION("GOOGLETRANSLATE(English!B4406, ""en"", ""bg"")"),"биология")</f>
        <v>биология</v>
      </c>
      <c r="C4406" s="1" t="str">
        <f ca="1">IFERROR(__xludf.DUMMYFUNCTION("GOOGLETRANSLATE(English!C4406, ""en"", ""bg"")"),"елементарен")</f>
        <v>елементарен</v>
      </c>
      <c r="D4406" s="1" t="str">
        <f ca="1">IFERROR(__xludf.DUMMYFUNCTION("GOOGLETRANSLATE(English!D4406, ""en"", ""bg"")"),"животни")</f>
        <v>животни</v>
      </c>
      <c r="E4406" s="1" t="str">
        <f ca="1">IFERROR(__xludf.DUMMYFUNCTION("GOOGLETRANSLATE(English!E4406, ""en"", ""bg"")"),"Имам нужда от помощ с домашното. Как животните се защитават?")</f>
        <v>Имам нужда от помощ с домашното. Как животните се защитават?</v>
      </c>
      <c r="F4406" s="1" t="str">
        <f ca="1">IFERROR(__xludf.DUMMYFUNCTION("GOOGLETRANSLATE(English!F4406, ""en"", ""bg"")"),"Животните се защитават по много начини: камуфлаж, бързо бягане, остри зъби или нокти или живот на групи!")</f>
        <v>Животните се защитават по много начини: камуфлаж, бързо бягане, остри зъби или нокти или живот на групи!</v>
      </c>
      <c r="G4406" s="1" t="str">
        <f ca="1">IFERROR(__xludf.DUMMYFUNCTION("GOOGLETRANSLATE(English!G4406, ""en"", ""bg"")"),"разговор")</f>
        <v>разговор</v>
      </c>
      <c r="H4406" s="1" t="str">
        <f ca="1">IFERROR(__xludf.DUMMYFUNCTION("GOOGLETRANSLATE(English!H4406, ""en"", ""bg"")"),"образователна_помощ")</f>
        <v>образователна_помощ</v>
      </c>
    </row>
    <row r="4407" spans="1:8" ht="13.2" x14ac:dyDescent="0.25">
      <c r="A4407" s="1" t="str">
        <f ca="1">IFERROR(__xludf.DUMMYFUNCTION("GOOGLETRANSLATE(English!A4407, ""en"", ""bg"")"),"hw_13794")</f>
        <v>hw_13794</v>
      </c>
      <c r="B4407" s="1" t="str">
        <f ca="1">IFERROR(__xludf.DUMMYFUNCTION("GOOGLETRANSLATE(English!B4407, ""en"", ""bg"")"),"биология")</f>
        <v>биология</v>
      </c>
      <c r="C4407" s="1" t="str">
        <f ca="1">IFERROR(__xludf.DUMMYFUNCTION("GOOGLETRANSLATE(English!C4407, ""en"", ""bg"")"),"високо")</f>
        <v>високо</v>
      </c>
      <c r="D4407" s="1" t="str">
        <f ca="1">IFERROR(__xludf.DUMMYFUNCTION("GOOGLETRANSLATE(English!D4407, ""en"", ""bg"")"),"синтез на протеини")</f>
        <v>синтез на протеини</v>
      </c>
      <c r="E4407" s="1" t="str">
        <f ca="1">IFERROR(__xludf.DUMMYFUNCTION("GOOGLETRANSLATE(English!E4407, ""en"", ""bg"")"),"Утре имам тест по протеинов синтез. Помогни ми да уча!")</f>
        <v>Утре имам тест по протеинов синтез. Помогни ми да уча!</v>
      </c>
      <c r="F4407" s="1" t="str">
        <f ca="1">IFERROR(__xludf.DUMMYFUNCTION("GOOGLETRANSLATE(English!F4407,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4407" s="1" t="str">
        <f ca="1">IFERROR(__xludf.DUMMYFUNCTION("GOOGLETRANSLATE(English!G4407, ""en"", ""bg"")"),"помощ_за_домашно_изпълнение")</f>
        <v>помощ_за_домашно_изпълнение</v>
      </c>
      <c r="H4407" s="1" t="str">
        <f ca="1">IFERROR(__xludf.DUMMYFUNCTION("GOOGLETRANSLATE(English!H4407, ""en"", ""bg"")"),"помощ_за_домашно_задаване")</f>
        <v>помощ_за_домашно_задаване</v>
      </c>
    </row>
    <row r="4408" spans="1:8" ht="13.2" x14ac:dyDescent="0.25">
      <c r="A4408" s="1" t="str">
        <f ca="1">IFERROR(__xludf.DUMMYFUNCTION("GOOGLETRANSLATE(English!A4408, ""en"", ""bg"")"),"qa_12267")</f>
        <v>qa_12267</v>
      </c>
      <c r="B4408" s="1" t="str">
        <f ca="1">IFERROR(__xludf.DUMMYFUNCTION("GOOGLETRANSLATE(English!B4408, ""en"", ""bg"")"),"биология")</f>
        <v>биология</v>
      </c>
      <c r="C4408" s="1" t="str">
        <f ca="1">IFERROR(__xludf.DUMMYFUNCTION("GOOGLETRANSLATE(English!C4408, ""en"", ""bg"")"),"средата")</f>
        <v>средата</v>
      </c>
      <c r="D4408" s="1" t="str">
        <f ca="1">IFERROR(__xludf.DUMMYFUNCTION("GOOGLETRANSLATE(English!D4408, ""en"", ""bg"")"),"дишане")</f>
        <v>дишане</v>
      </c>
      <c r="E4408" s="1" t="str">
        <f ca="1">IFERROR(__xludf.DUMMYFUNCTION("GOOGLETRANSLATE(English!E4408, ""en"", ""bg"")"),"Как работи дишането?")</f>
        <v>Как работи дишането?</v>
      </c>
      <c r="F4408" s="1" t="str">
        <f ca="1">IFERROR(__xludf.DUMMYFUNCTION("GOOGLETRANSLATE(English!F4408,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4408" s="1" t="str">
        <f ca="1">IFERROR(__xludf.DUMMYFUNCTION("GOOGLETRANSLATE(English!G4408, ""en"", ""bg"")"),"direct_qa")</f>
        <v>direct_qa</v>
      </c>
      <c r="H4408" s="1" t="str">
        <f ca="1">IFERROR(__xludf.DUMMYFUNCTION("GOOGLETRANSLATE(English!H4408, ""en"", ""bg"")"),"заявка_за_знание")</f>
        <v>заявка_за_знание</v>
      </c>
    </row>
    <row r="4409" spans="1:8" ht="13.2" x14ac:dyDescent="0.25">
      <c r="A4409" s="1" t="str">
        <f ca="1">IFERROR(__xludf.DUMMYFUNCTION("GOOGLETRANSLATE(English!A4409, ""en"", ""bg"")"),"qa_12902")</f>
        <v>qa_12902</v>
      </c>
      <c r="B4409" s="1" t="str">
        <f ca="1">IFERROR(__xludf.DUMMYFUNCTION("GOOGLETRANSLATE(English!B4409, ""en"", ""bg"")"),"биология")</f>
        <v>биология</v>
      </c>
      <c r="C4409" s="1" t="str">
        <f ca="1">IFERROR(__xludf.DUMMYFUNCTION("GOOGLETRANSLATE(English!C4409, ""en"", ""bg"")"),"средата")</f>
        <v>средата</v>
      </c>
      <c r="D4409" s="1" t="str">
        <f ca="1">IFERROR(__xludf.DUMMYFUNCTION("GOOGLETRANSLATE(English!D4409, ""en"", ""bg"")"),"класификация")</f>
        <v>класификация</v>
      </c>
      <c r="E4409" s="1" t="str">
        <f ca="1">IFERROR(__xludf.DUMMYFUNCTION("GOOGLETRANSLATE(English!E4409, ""en"", ""bg"")"),"Можете ли да ми кажете за класификацията?")</f>
        <v>Можете ли да ми кажете за класификацията?</v>
      </c>
      <c r="F4409" s="1" t="str">
        <f ca="1">IFERROR(__xludf.DUMMYFUNCTION("GOOGLETRANSLATE(English!F4409,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4409" s="1" t="str">
        <f ca="1">IFERROR(__xludf.DUMMYFUNCTION("GOOGLETRANSLATE(English!G4409, ""en"", ""bg"")"),"direct_qa")</f>
        <v>direct_qa</v>
      </c>
      <c r="H4409" s="1" t="str">
        <f ca="1">IFERROR(__xludf.DUMMYFUNCTION("GOOGLETRANSLATE(English!H4409, ""en"", ""bg"")"),"заявка_за_знание")</f>
        <v>заявка_за_знание</v>
      </c>
    </row>
    <row r="4410" spans="1:8" ht="13.2" x14ac:dyDescent="0.25">
      <c r="A4410" s="1" t="str">
        <f ca="1">IFERROR(__xludf.DUMMYFUNCTION("GOOGLETRANSLATE(English!A4410, ""en"", ""bg"")"),"hw_02026")</f>
        <v>hw_02026</v>
      </c>
      <c r="B4410" s="1" t="str">
        <f ca="1">IFERROR(__xludf.DUMMYFUNCTION("GOOGLETRANSLATE(English!B4410, ""en"", ""bg"")"),"биология")</f>
        <v>биология</v>
      </c>
      <c r="C4410" s="1" t="str">
        <f ca="1">IFERROR(__xludf.DUMMYFUNCTION("GOOGLETRANSLATE(English!C4410, ""en"", ""bg"")"),"средата")</f>
        <v>средата</v>
      </c>
      <c r="D4410" s="1" t="str">
        <f ca="1">IFERROR(__xludf.DUMMYFUNCTION("GOOGLETRANSLATE(English!D4410, ""en"", ""bg"")"),"основи на генетиката")</f>
        <v>основи на генетиката</v>
      </c>
      <c r="E4410" s="1" t="str">
        <f ca="1">IFERROR(__xludf.DUMMYFUNCTION("GOOGLETRANSLATE(English!E4410, ""en"", ""bg"")"),"Трябва да напиша доклад за основите на генетиката. Можете ли да ми помогнете да започна?")</f>
        <v>Трябва да напиша доклад за основите на генетиката. Можете ли да ми помогнете да започна?</v>
      </c>
      <c r="F4410" s="1" t="str">
        <f ca="1">IFERROR(__xludf.DUMMYFUNCTION("GOOGLETRANSLATE(English!F4410,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410" s="1" t="str">
        <f ca="1">IFERROR(__xludf.DUMMYFUNCTION("GOOGLETRANSLATE(English!G4410, ""en"", ""bg"")"),"помощ_за_домашно_изпълнение")</f>
        <v>помощ_за_домашно_изпълнение</v>
      </c>
      <c r="H4410" s="1" t="str">
        <f ca="1">IFERROR(__xludf.DUMMYFUNCTION("GOOGLETRANSLATE(English!H4410, ""en"", ""bg"")"),"помощ_за_домашно_задаване")</f>
        <v>помощ_за_домашно_задаване</v>
      </c>
    </row>
    <row r="4411" spans="1:8" ht="13.2" x14ac:dyDescent="0.25">
      <c r="A4411" s="1" t="str">
        <f ca="1">IFERROR(__xludf.DUMMYFUNCTION("GOOGLETRANSLATE(English!A4411, ""en"", ""bg"")"),"qa_10457")</f>
        <v>qa_10457</v>
      </c>
      <c r="B4411" s="1" t="str">
        <f ca="1">IFERROR(__xludf.DUMMYFUNCTION("GOOGLETRANSLATE(English!B4411, ""en"", ""bg"")"),"биология")</f>
        <v>биология</v>
      </c>
      <c r="C4411" s="1" t="str">
        <f ca="1">IFERROR(__xludf.DUMMYFUNCTION("GOOGLETRANSLATE(English!C4411, ""en"", ""bg"")"),"елементарен")</f>
        <v>елементарен</v>
      </c>
      <c r="D4411" s="1" t="str">
        <f ca="1">IFERROR(__xludf.DUMMYFUNCTION("GOOGLETRANSLATE(English!D4411, ""en"", ""bg"")"),"сетива")</f>
        <v>сетива</v>
      </c>
      <c r="E4411" s="1" t="str">
        <f ca="1">IFERROR(__xludf.DUMMYFUNCTION("GOOGLETRANSLATE(English!E4411, ""en"", ""bg"")"),"Можете ли да ми разкажете за сетивата?")</f>
        <v>Можете ли да ми разкажете за сетивата?</v>
      </c>
      <c r="F4411" s="1" t="str">
        <f ca="1">IFERROR(__xludf.DUMMYFUNCTION("GOOGLETRANSLATE(English!F4411,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4411" s="1" t="str">
        <f ca="1">IFERROR(__xludf.DUMMYFUNCTION("GOOGLETRANSLATE(English!G4411, ""en"", ""bg"")"),"direct_qa")</f>
        <v>direct_qa</v>
      </c>
      <c r="H4411" s="1" t="str">
        <f ca="1">IFERROR(__xludf.DUMMYFUNCTION("GOOGLETRANSLATE(English!H4411, ""en"", ""bg"")"),"заявка_за_знание")</f>
        <v>заявка_за_знание</v>
      </c>
    </row>
    <row r="4412" spans="1:8" ht="13.2" x14ac:dyDescent="0.25">
      <c r="A4412" s="1" t="str">
        <f ca="1">IFERROR(__xludf.DUMMYFUNCTION("GOOGLETRANSLATE(English!A4412, ""en"", ""bg"")"),"qa_14277")</f>
        <v>qa_14277</v>
      </c>
      <c r="B4412" s="1" t="str">
        <f ca="1">IFERROR(__xludf.DUMMYFUNCTION("GOOGLETRANSLATE(English!B4412, ""en"", ""bg"")"),"химия")</f>
        <v>химия</v>
      </c>
      <c r="C4412" s="1" t="str">
        <f ca="1">IFERROR(__xludf.DUMMYFUNCTION("GOOGLETRANSLATE(English!C4412, ""en"", ""bg"")"),"средата")</f>
        <v>средата</v>
      </c>
      <c r="D4412" s="1" t="str">
        <f ca="1">IFERROR(__xludf.DUMMYFUNCTION("GOOGLETRANSLATE(English!D4412, ""en"", ""bg"")"),"химични промени")</f>
        <v>химични промени</v>
      </c>
      <c r="E4412" s="1" t="str">
        <f ca="1">IFERROR(__xludf.DUMMYFUNCTION("GOOGLETRANSLATE(English!E4412, ""en"", ""bg"")"),"Защо е важно да се изучават химичните промени?")</f>
        <v>Защо е важно да се изучават химичните промени?</v>
      </c>
      <c r="F4412" s="1" t="str">
        <f ca="1">IFERROR(__xludf.DUMMYFUNCTION("GOOGLETRANSLATE(English!F4412,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4412" s="1" t="str">
        <f ca="1">IFERROR(__xludf.DUMMYFUNCTION("GOOGLETRANSLATE(English!G4412, ""en"", ""bg"")"),"direct_qa")</f>
        <v>direct_qa</v>
      </c>
      <c r="H4412" s="1" t="str">
        <f ca="1">IFERROR(__xludf.DUMMYFUNCTION("GOOGLETRANSLATE(English!H4412, ""en"", ""bg"")"),"заявка_за_знание")</f>
        <v>заявка_за_знание</v>
      </c>
    </row>
    <row r="4413" spans="1:8" ht="13.2" x14ac:dyDescent="0.25">
      <c r="A4413" s="1" t="str">
        <f ca="1">IFERROR(__xludf.DUMMYFUNCTION("GOOGLETRANSLATE(English!A4413, ""en"", ""bg"")"),"qa_03455")</f>
        <v>qa_03455</v>
      </c>
      <c r="B4413" s="1" t="str">
        <f ca="1">IFERROR(__xludf.DUMMYFUNCTION("GOOGLETRANSLATE(English!B4413, ""en"", ""bg"")"),"химия")</f>
        <v>химия</v>
      </c>
      <c r="C4413" s="1" t="str">
        <f ca="1">IFERROR(__xludf.DUMMYFUNCTION("GOOGLETRANSLATE(English!C4413, ""en"", ""bg"")"),"средата")</f>
        <v>средата</v>
      </c>
      <c r="D4413" s="1" t="str">
        <f ca="1">IFERROR(__xludf.DUMMYFUNCTION("GOOGLETRANSLATE(English!D4413, ""en"", ""bg"")"),"атоми и молекули")</f>
        <v>атоми и молекули</v>
      </c>
      <c r="E4413" s="1" t="str">
        <f ca="1">IFERROR(__xludf.DUMMYFUNCTION("GOOGLETRANSLATE(English!E4413, ""en"", ""bg"")"),"Защо атомите се свързват помежду си?")</f>
        <v>Защо атомите се свързват помежду си?</v>
      </c>
      <c r="F4413" s="1" t="str">
        <f ca="1">IFERROR(__xludf.DUMMYFUNCTION("GOOGLETRANSLATE(English!F4413,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413" s="1" t="str">
        <f ca="1">IFERROR(__xludf.DUMMYFUNCTION("GOOGLETRANSLATE(English!G4413, ""en"", ""bg"")"),"direct_qa")</f>
        <v>direct_qa</v>
      </c>
      <c r="H4413" s="1" t="str">
        <f ca="1">IFERROR(__xludf.DUMMYFUNCTION("GOOGLETRANSLATE(English!H4413, ""en"", ""bg"")"),"заявка_за_знание")</f>
        <v>заявка_за_знание</v>
      </c>
    </row>
    <row r="4414" spans="1:8" ht="13.2" x14ac:dyDescent="0.25">
      <c r="A4414" s="1" t="str">
        <f ca="1">IFERROR(__xludf.DUMMYFUNCTION("GOOGLETRANSLATE(English!A4414, ""en"", ""bg"")"),"hw_12620")</f>
        <v>hw_12620</v>
      </c>
      <c r="B4414" s="1" t="str">
        <f ca="1">IFERROR(__xludf.DUMMYFUNCTION("GOOGLETRANSLATE(English!B4414, ""en"", ""bg"")"),"химия")</f>
        <v>химия</v>
      </c>
      <c r="C4414" s="1" t="str">
        <f ca="1">IFERROR(__xludf.DUMMYFUNCTION("GOOGLETRANSLATE(English!C4414, ""en"", ""bg"")"),"високо")</f>
        <v>високо</v>
      </c>
      <c r="D4414" s="1" t="str">
        <f ca="1">IFERROR(__xludf.DUMMYFUNCTION("GOOGLETRANSLATE(English!D4414, ""en"", ""bg"")"),"органична химия")</f>
        <v>органична химия</v>
      </c>
      <c r="E4414" s="1" t="str">
        <f ca="1">IFERROR(__xludf.DUMMYFUNCTION("GOOGLETRANSLATE(English!E4414, ""en"", ""bg"")"),"Имам затруднения с органичната химия в домашното си.")</f>
        <v>Имам затруднения с органичната химия в домашното си.</v>
      </c>
      <c r="F4414" s="1" t="str">
        <f ca="1">IFERROR(__xludf.DUMMYFUNCTION("GOOGLETRANSLATE(English!F4414,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414" s="1" t="str">
        <f ca="1">IFERROR(__xludf.DUMMYFUNCTION("GOOGLETRANSLATE(English!G4414, ""en"", ""bg"")"),"помощ_за_домашно_изпълнение")</f>
        <v>помощ_за_домашно_изпълнение</v>
      </c>
      <c r="H4414" s="1" t="str">
        <f ca="1">IFERROR(__xludf.DUMMYFUNCTION("GOOGLETRANSLATE(English!H4414, ""en"", ""bg"")"),"помощ_за_домашно_задаване")</f>
        <v>помощ_за_домашно_задаване</v>
      </c>
    </row>
    <row r="4415" spans="1:8" ht="13.2" x14ac:dyDescent="0.25">
      <c r="A4415" s="1" t="str">
        <f ca="1">IFERROR(__xludf.DUMMYFUNCTION("GOOGLETRANSLATE(English!A4415, ""en"", ""bg"")"),"qa_08747")</f>
        <v>qa_08747</v>
      </c>
      <c r="B4415" s="1" t="str">
        <f ca="1">IFERROR(__xludf.DUMMYFUNCTION("GOOGLETRANSLATE(English!B4415, ""en"", ""bg"")"),"химия")</f>
        <v>химия</v>
      </c>
      <c r="C4415" s="1" t="str">
        <f ca="1">IFERROR(__xludf.DUMMYFUNCTION("GOOGLETRANSLATE(English!C4415, ""en"", ""bg"")"),"елементарен")</f>
        <v>елементарен</v>
      </c>
      <c r="D4415" s="1" t="str">
        <f ca="1">IFERROR(__xludf.DUMMYFUNCTION("GOOGLETRANSLATE(English!D4415, ""en"", ""bg"")"),"смесване на материали")</f>
        <v>смесване на материали</v>
      </c>
      <c r="E4415" s="1" t="str">
        <f ca="1">IFERROR(__xludf.DUMMYFUNCTION("GOOGLETRANSLATE(English!E4415, ""en"", ""bg"")"),"Какво е решение?")</f>
        <v>Какво е решение?</v>
      </c>
      <c r="F4415" s="1" t="str">
        <f ca="1">IFERROR(__xludf.DUMMYFUNCTION("GOOGLETRANSLATE(English!F4415,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4415" s="1" t="str">
        <f ca="1">IFERROR(__xludf.DUMMYFUNCTION("GOOGLETRANSLATE(English!G4415, ""en"", ""bg"")"),"direct_qa")</f>
        <v>direct_qa</v>
      </c>
      <c r="H4415" s="1" t="str">
        <f ca="1">IFERROR(__xludf.DUMMYFUNCTION("GOOGLETRANSLATE(English!H4415, ""en"", ""bg"")"),"заявка_за_знание")</f>
        <v>заявка_за_знание</v>
      </c>
    </row>
    <row r="4416" spans="1:8" ht="13.2" x14ac:dyDescent="0.25">
      <c r="A4416" s="1" t="str">
        <f ca="1">IFERROR(__xludf.DUMMYFUNCTION("GOOGLETRANSLATE(English!A4416, ""en"", ""bg"")"),"conv_16160")</f>
        <v>conv_16160</v>
      </c>
      <c r="B4416" s="1" t="str">
        <f ca="1">IFERROR(__xludf.DUMMYFUNCTION("GOOGLETRANSLATE(English!B4416, ""en"", ""bg"")"),"биология")</f>
        <v>биология</v>
      </c>
      <c r="C4416" s="1" t="str">
        <f ca="1">IFERROR(__xludf.DUMMYFUNCTION("GOOGLETRANSLATE(English!C4416, ""en"", ""bg"")"),"високо")</f>
        <v>високо</v>
      </c>
      <c r="D4416" s="1" t="str">
        <f ca="1">IFERROR(__xludf.DUMMYFUNCTION("GOOGLETRANSLATE(English!D4416, ""en"", ""bg"")"),"клетъчно дишане")</f>
        <v>клетъчно дишане</v>
      </c>
      <c r="E4416" s="1" t="str">
        <f ca="1">IFERROR(__xludf.DUMMYFUNCTION("GOOGLETRANSLATE(English!E4416, ""en"", ""bg"")"),"Можете ли да ми помогнете? Какво е важно да знаем за клетъчното дишане?")</f>
        <v>Можете ли да ми помогнете? Какво е важно да знаем за клетъчното дишане?</v>
      </c>
      <c r="F4416" s="1" t="str">
        <f ca="1">IFERROR(__xludf.DUMMYFUNCTION("GOOGLETRANSLATE(English!F4416,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4416" s="1" t="str">
        <f ca="1">IFERROR(__xludf.DUMMYFUNCTION("GOOGLETRANSLATE(English!G4416, ""en"", ""bg"")"),"разговор")</f>
        <v>разговор</v>
      </c>
      <c r="H4416" s="1" t="str">
        <f ca="1">IFERROR(__xludf.DUMMYFUNCTION("GOOGLETRANSLATE(English!H4416, ""en"", ""bg"")"),"образователна_помощ")</f>
        <v>образователна_помощ</v>
      </c>
    </row>
    <row r="4417" spans="1:8" ht="13.2" x14ac:dyDescent="0.25">
      <c r="A4417" s="1" t="str">
        <f ca="1">IFERROR(__xludf.DUMMYFUNCTION("GOOGLETRANSLATE(English!A4417, ""en"", ""bg"")"),"conv_02806")</f>
        <v>conv_02806</v>
      </c>
      <c r="B4417" s="1" t="str">
        <f ca="1">IFERROR(__xludf.DUMMYFUNCTION("GOOGLETRANSLATE(English!B4417, ""en"", ""bg"")"),"физика")</f>
        <v>физика</v>
      </c>
      <c r="C4417" s="1" t="str">
        <f ca="1">IFERROR(__xludf.DUMMYFUNCTION("GOOGLETRANSLATE(English!C4417, ""en"", ""bg"")"),"високо")</f>
        <v>високо</v>
      </c>
      <c r="D4417" s="1" t="str">
        <f ca="1">IFERROR(__xludf.DUMMYFUNCTION("GOOGLETRANSLATE(English!D4417, ""en"", ""bg"")"),"атомна структура")</f>
        <v>атомна структура</v>
      </c>
      <c r="E4417" s="1" t="str">
        <f ca="1">IFERROR(__xludf.DUMMYFUNCTION("GOOGLETRANSLATE(English!E4417, ""en"", ""bg"")"),"Можете ли да ми помогнете? Можете ли да ми обясните атомната структура?")</f>
        <v>Можете ли да ми помогнете? Можете ли да ми обясните атомната структура?</v>
      </c>
      <c r="F4417" s="1" t="str">
        <f ca="1">IFERROR(__xludf.DUMMYFUNCTION("GOOGLETRANSLATE(English!F4417,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417" s="1" t="str">
        <f ca="1">IFERROR(__xludf.DUMMYFUNCTION("GOOGLETRANSLATE(English!G4417, ""en"", ""bg"")"),"разговор")</f>
        <v>разговор</v>
      </c>
      <c r="H4417" s="1" t="str">
        <f ca="1">IFERROR(__xludf.DUMMYFUNCTION("GOOGLETRANSLATE(English!H4417, ""en"", ""bg"")"),"образователна_помощ")</f>
        <v>образователна_помощ</v>
      </c>
    </row>
    <row r="4418" spans="1:8" ht="13.2" x14ac:dyDescent="0.25">
      <c r="A4418" s="1" t="str">
        <f ca="1">IFERROR(__xludf.DUMMYFUNCTION("GOOGLETRANSLATE(English!A4418, ""en"", ""bg"")"),"hw_06816")</f>
        <v>hw_06816</v>
      </c>
      <c r="B4418" s="1" t="str">
        <f ca="1">IFERROR(__xludf.DUMMYFUNCTION("GOOGLETRANSLATE(English!B4418, ""en"", ""bg"")"),"физика")</f>
        <v>физика</v>
      </c>
      <c r="C4418" s="1" t="str">
        <f ca="1">IFERROR(__xludf.DUMMYFUNCTION("GOOGLETRANSLATE(English!C4418, ""en"", ""bg"")"),"средата")</f>
        <v>средата</v>
      </c>
      <c r="D4418" s="1" t="str">
        <f ca="1">IFERROR(__xludf.DUMMYFUNCTION("GOOGLETRANSLATE(English!D4418, ""en"", ""bg"")"),"видове енергия")</f>
        <v>видове енергия</v>
      </c>
      <c r="E4418" s="1" t="str">
        <f ca="1">IFERROR(__xludf.DUMMYFUNCTION("GOOGLETRANSLATE(English!E4418, ""en"", ""bg"")"),"Домашното ми по физика е за видовете енергия. Объркващо е!")</f>
        <v>Домашното ми по физика е за видовете енергия. Объркващо е!</v>
      </c>
      <c r="F4418" s="1" t="str">
        <f ca="1">IFERROR(__xludf.DUMMYFUNCTION("GOOGLETRANSLATE(English!F4418,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4418" s="1" t="str">
        <f ca="1">IFERROR(__xludf.DUMMYFUNCTION("GOOGLETRANSLATE(English!G4418, ""en"", ""bg"")"),"помощ_за_домашно_изпълнение")</f>
        <v>помощ_за_домашно_изпълнение</v>
      </c>
      <c r="H4418" s="1" t="str">
        <f ca="1">IFERROR(__xludf.DUMMYFUNCTION("GOOGLETRANSLATE(English!H4418, ""en"", ""bg"")"),"помощ_за_домашно_задаване")</f>
        <v>помощ_за_домашно_задаване</v>
      </c>
    </row>
    <row r="4419" spans="1:8" ht="13.2" x14ac:dyDescent="0.25">
      <c r="A4419" s="1" t="str">
        <f ca="1">IFERROR(__xludf.DUMMYFUNCTION("GOOGLETRANSLATE(English!A4419, ""en"", ""bg"")"),"conv_03624")</f>
        <v>conv_03624</v>
      </c>
      <c r="B4419" s="1" t="str">
        <f ca="1">IFERROR(__xludf.DUMMYFUNCTION("GOOGLETRANSLATE(English!B4419, ""en"", ""bg"")"),"биология")</f>
        <v>биология</v>
      </c>
      <c r="C4419" s="1" t="str">
        <f ca="1">IFERROR(__xludf.DUMMYFUNCTION("GOOGLETRANSLATE(English!C4419, ""en"", ""bg"")"),"средата")</f>
        <v>средата</v>
      </c>
      <c r="D4419" s="1" t="str">
        <f ca="1">IFERROR(__xludf.DUMMYFUNCTION("GOOGLETRANSLATE(English!D4419, ""en"", ""bg"")"),"класификация")</f>
        <v>класификация</v>
      </c>
      <c r="E4419" s="1" t="str">
        <f ca="1">IFERROR(__xludf.DUMMYFUNCTION("GOOGLETRANSLATE(English!E4419, ""en"", ""bg"")"),"Не разбирам тази тема. Какво е важно да се знае за класификацията?")</f>
        <v>Не разбирам тази тема. Какво е важно да се знае за класификацията?</v>
      </c>
      <c r="F4419" s="1" t="str">
        <f ca="1">IFERROR(__xludf.DUMMYFUNCTION("GOOGLETRANSLATE(English!F4419,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4419" s="1" t="str">
        <f ca="1">IFERROR(__xludf.DUMMYFUNCTION("GOOGLETRANSLATE(English!G4419, ""en"", ""bg"")"),"разговор")</f>
        <v>разговор</v>
      </c>
      <c r="H4419" s="1" t="str">
        <f ca="1">IFERROR(__xludf.DUMMYFUNCTION("GOOGLETRANSLATE(English!H4419, ""en"", ""bg"")"),"образователна_помощ")</f>
        <v>образователна_помощ</v>
      </c>
    </row>
    <row r="4420" spans="1:8" ht="13.2" x14ac:dyDescent="0.25">
      <c r="A4420" s="1" t="str">
        <f ca="1">IFERROR(__xludf.DUMMYFUNCTION("GOOGLETRANSLATE(English!A4420, ""en"", ""bg"")"),"conv_11066")</f>
        <v>conv_11066</v>
      </c>
      <c r="B4420" s="1" t="str">
        <f ca="1">IFERROR(__xludf.DUMMYFUNCTION("GOOGLETRANSLATE(English!B4420, ""en"", ""bg"")"),"физика")</f>
        <v>физика</v>
      </c>
      <c r="C4420" s="1" t="str">
        <f ca="1">IFERROR(__xludf.DUMMYFUNCTION("GOOGLETRANSLATE(English!C4420, ""en"", ""bg"")"),"елементарен")</f>
        <v>елементарен</v>
      </c>
      <c r="D4420" s="1" t="str">
        <f ca="1">IFERROR(__xludf.DUMMYFUNCTION("GOOGLETRANSLATE(English!D4420, ""en"", ""bg"")"),"звук")</f>
        <v>звук</v>
      </c>
      <c r="E4420" s="1" t="str">
        <f ca="1">IFERROR(__xludf.DUMMYFUNCTION("GOOGLETRANSLATE(English!E4420, ""en"", ""bg"")"),"Можете ли да ми помогнете? Защо звукът е важен?")</f>
        <v>Можете ли да ми помогнете? Защо звукът е важен?</v>
      </c>
      <c r="F4420" s="1" t="str">
        <f ca="1">IFERROR(__xludf.DUMMYFUNCTION("GOOGLETRANSLATE(English!F4420,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4420" s="1" t="str">
        <f ca="1">IFERROR(__xludf.DUMMYFUNCTION("GOOGLETRANSLATE(English!G4420, ""en"", ""bg"")"),"разговор")</f>
        <v>разговор</v>
      </c>
      <c r="H4420" s="1" t="str">
        <f ca="1">IFERROR(__xludf.DUMMYFUNCTION("GOOGLETRANSLATE(English!H4420, ""en"", ""bg"")"),"образователна_помощ")</f>
        <v>образователна_помощ</v>
      </c>
    </row>
    <row r="4421" spans="1:8" ht="13.2" x14ac:dyDescent="0.25">
      <c r="A4421" s="1" t="str">
        <f ca="1">IFERROR(__xludf.DUMMYFUNCTION("GOOGLETRANSLATE(English!A4421, ""en"", ""bg"")"),"conv_06742")</f>
        <v>conv_06742</v>
      </c>
      <c r="B4421" s="1" t="str">
        <f ca="1">IFERROR(__xludf.DUMMYFUNCTION("GOOGLETRANSLATE(English!B4421, ""en"", ""bg"")"),"биология")</f>
        <v>биология</v>
      </c>
      <c r="C4421" s="1" t="str">
        <f ca="1">IFERROR(__xludf.DUMMYFUNCTION("GOOGLETRANSLATE(English!C4421, ""en"", ""bg"")"),"средата")</f>
        <v>средата</v>
      </c>
      <c r="D4421" s="1" t="str">
        <f ca="1">IFERROR(__xludf.DUMMYFUNCTION("GOOGLETRANSLATE(English!D4421, ""en"", ""bg"")"),"размножаване")</f>
        <v>размножаване</v>
      </c>
      <c r="E4421" s="1" t="str">
        <f ca="1">IFERROR(__xludf.DUMMYFUNCTION("GOOGLETRANSLATE(English!E4421, ""en"", ""bg"")"),"Можете ли да ми обясните това? Какво е важно да знаем за размножаването?")</f>
        <v>Можете ли да ми обясните това? Какво е важно да знаем за размножаването?</v>
      </c>
      <c r="F4421" s="1" t="str">
        <f ca="1">IFERROR(__xludf.DUMMYFUNCTION("GOOGLETRANSLATE(English!F4421,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4421" s="1" t="str">
        <f ca="1">IFERROR(__xludf.DUMMYFUNCTION("GOOGLETRANSLATE(English!G4421, ""en"", ""bg"")"),"разговор")</f>
        <v>разговор</v>
      </c>
      <c r="H4421" s="1" t="str">
        <f ca="1">IFERROR(__xludf.DUMMYFUNCTION("GOOGLETRANSLATE(English!H4421, ""en"", ""bg"")"),"образователна_помощ")</f>
        <v>образователна_помощ</v>
      </c>
    </row>
    <row r="4422" spans="1:8" ht="13.2" x14ac:dyDescent="0.25">
      <c r="A4422" s="1" t="str">
        <f ca="1">IFERROR(__xludf.DUMMYFUNCTION("GOOGLETRANSLATE(English!A4422, ""en"", ""bg"")"),"hw_01713")</f>
        <v>hw_01713</v>
      </c>
      <c r="B4422" s="1" t="str">
        <f ca="1">IFERROR(__xludf.DUMMYFUNCTION("GOOGLETRANSLATE(English!B4422, ""en"", ""bg"")"),"химия")</f>
        <v>химия</v>
      </c>
      <c r="C4422" s="1" t="str">
        <f ca="1">IFERROR(__xludf.DUMMYFUNCTION("GOOGLETRANSLATE(English!C4422, ""en"", ""bg"")"),"елементарен")</f>
        <v>елементарен</v>
      </c>
      <c r="D4422" s="1" t="str">
        <f ca="1">IFERROR(__xludf.DUMMYFUNCTION("GOOGLETRANSLATE(English!D4422, ""en"", ""bg"")"),"разтваряне")</f>
        <v>разтваряне</v>
      </c>
      <c r="E4422" s="1" t="str">
        <f ca="1">IFERROR(__xludf.DUMMYFUNCTION("GOOGLETRANSLATE(English!E4422, ""en"", ""bg"")"),"Можете ли да ми помогнете с изчисленията за разтваряне?")</f>
        <v>Можете ли да ми помогнете с изчисленията за разтваряне?</v>
      </c>
      <c r="F4422" s="1" t="str">
        <f ca="1">IFERROR(__xludf.DUMMYFUNCTION("GOOGLETRANSLATE(English!F4422,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4422" s="1" t="str">
        <f ca="1">IFERROR(__xludf.DUMMYFUNCTION("GOOGLETRANSLATE(English!G4422, ""en"", ""bg"")"),"помощ_за_домашно_изпълнение")</f>
        <v>помощ_за_домашно_изпълнение</v>
      </c>
      <c r="H4422" s="1" t="str">
        <f ca="1">IFERROR(__xludf.DUMMYFUNCTION("GOOGLETRANSLATE(English!H4422, ""en"", ""bg"")"),"помощ_за_домашно_задаване")</f>
        <v>помощ_за_домашно_задаване</v>
      </c>
    </row>
    <row r="4423" spans="1:8" ht="13.2" x14ac:dyDescent="0.25">
      <c r="A4423" s="1" t="str">
        <f ca="1">IFERROR(__xludf.DUMMYFUNCTION("GOOGLETRANSLATE(English!A4423, ""en"", ""bg"")"),"conv_18873")</f>
        <v>conv_18873</v>
      </c>
      <c r="B4423" s="1" t="str">
        <f ca="1">IFERROR(__xludf.DUMMYFUNCTION("GOOGLETRANSLATE(English!B4423, ""en"", ""bg"")"),"физика")</f>
        <v>физика</v>
      </c>
      <c r="C4423" s="1" t="str">
        <f ca="1">IFERROR(__xludf.DUMMYFUNCTION("GOOGLETRANSLATE(English!C4423, ""en"", ""bg"")"),"елементарен")</f>
        <v>елементарен</v>
      </c>
      <c r="D4423" s="1" t="str">
        <f ca="1">IFERROR(__xludf.DUMMYFUNCTION("GOOGLETRANSLATE(English!D4423, ""en"", ""bg"")"),"горещо и студено")</f>
        <v>горещо и студено</v>
      </c>
      <c r="E4423" s="1" t="str">
        <f ca="1">IFERROR(__xludf.DUMMYFUNCTION("GOOGLETRANSLATE(English!E4423, ""en"", ""bg"")"),"Здравей, преподавателю! Как се сравняват топлото и студеното във физиката?")</f>
        <v>Здравей, преподавателю! Как се сравняват топлото и студеното във физиката?</v>
      </c>
      <c r="F4423" s="1" t="str">
        <f ca="1">IFERROR(__xludf.DUMMYFUNCTION("GOOGLETRANSLATE(English!F4423, ""en"", ""bg"")"),"Топлото и студеното работят според научни принципи, които можем да наблюдаваме и измерваме.")</f>
        <v>Топлото и студеното работят според научни принципи, които можем да наблюдаваме и измерваме.</v>
      </c>
      <c r="G4423" s="1" t="str">
        <f ca="1">IFERROR(__xludf.DUMMYFUNCTION("GOOGLETRANSLATE(English!G4423, ""en"", ""bg"")"),"разговор")</f>
        <v>разговор</v>
      </c>
      <c r="H4423" s="1" t="str">
        <f ca="1">IFERROR(__xludf.DUMMYFUNCTION("GOOGLETRANSLATE(English!H4423, ""en"", ""bg"")"),"образователна_помощ")</f>
        <v>образователна_помощ</v>
      </c>
    </row>
    <row r="4424" spans="1:8" ht="13.2" x14ac:dyDescent="0.25">
      <c r="A4424" s="1" t="str">
        <f ca="1">IFERROR(__xludf.DUMMYFUNCTION("GOOGLETRANSLATE(English!A4424, ""en"", ""bg"")"),"conv_19883")</f>
        <v>conv_19883</v>
      </c>
      <c r="B4424" s="1" t="str">
        <f ca="1">IFERROR(__xludf.DUMMYFUNCTION("GOOGLETRANSLATE(English!B4424, ""en"", ""bg"")"),"физика")</f>
        <v>физика</v>
      </c>
      <c r="C4424" s="1" t="str">
        <f ca="1">IFERROR(__xludf.DUMMYFUNCTION("GOOGLETRANSLATE(English!C4424, ""en"", ""bg"")"),"елементарен")</f>
        <v>елементарен</v>
      </c>
      <c r="D4424" s="1" t="str">
        <f ca="1">IFERROR(__xludf.DUMMYFUNCTION("GOOGLETRANSLATE(English!D4424, ""en"", ""bg"")"),"бутане и дърпане")</f>
        <v>бутане и дърпане</v>
      </c>
      <c r="E4424" s="1" t="str">
        <f ca="1">IFERROR(__xludf.DUMMYFUNCTION("GOOGLETRANSLATE(English!E4424, ""en"", ""bg"")"),"Имам нужда от помощ с домашното. Как работят бутането и дърпането във физиката?")</f>
        <v>Имам нужда от помощ с домашното. Как работят бутането и дърпането във физиката?</v>
      </c>
      <c r="F4424" s="1" t="str">
        <f ca="1">IFERROR(__xludf.DUMMYFUNCTION("GOOGLETRANSLATE(English!F4424, ""en"", ""bg"")"),"Бутането и дърпането работят според научни принципи, които можем да наблюдаваме и измерваме.")</f>
        <v>Бутането и дърпането работят според научни принципи, които можем да наблюдаваме и измерваме.</v>
      </c>
      <c r="G4424" s="1" t="str">
        <f ca="1">IFERROR(__xludf.DUMMYFUNCTION("GOOGLETRANSLATE(English!G4424, ""en"", ""bg"")"),"разговор")</f>
        <v>разговор</v>
      </c>
      <c r="H4424" s="1" t="str">
        <f ca="1">IFERROR(__xludf.DUMMYFUNCTION("GOOGLETRANSLATE(English!H4424, ""en"", ""bg"")"),"образователна_помощ")</f>
        <v>образователна_помощ</v>
      </c>
    </row>
    <row r="4425" spans="1:8" ht="13.2" x14ac:dyDescent="0.25">
      <c r="A4425" s="1" t="str">
        <f ca="1">IFERROR(__xludf.DUMMYFUNCTION("GOOGLETRANSLATE(English!A4425, ""en"", ""bg"")"),"conv_14650")</f>
        <v>conv_14650</v>
      </c>
      <c r="B4425" s="1" t="str">
        <f ca="1">IFERROR(__xludf.DUMMYFUNCTION("GOOGLETRANSLATE(English!B4425, ""en"", ""bg"")"),"физика")</f>
        <v>физика</v>
      </c>
      <c r="C4425" s="1" t="str">
        <f ca="1">IFERROR(__xludf.DUMMYFUNCTION("GOOGLETRANSLATE(English!C4425, ""en"", ""bg"")"),"високо")</f>
        <v>високо</v>
      </c>
      <c r="D4425" s="1" t="str">
        <f ca="1">IFERROR(__xludf.DUMMYFUNCTION("GOOGLETRANSLATE(English!D4425, ""en"", ""bg"")"),"термодинамика")</f>
        <v>термодинамика</v>
      </c>
      <c r="E4425" s="1" t="str">
        <f ca="1">IFERROR(__xludf.DUMMYFUNCTION("GOOGLETRANSLATE(English!E4425, ""en"", ""bg"")"),"Имам нужда от помощ с домашното си. Как работи термодинамиката във физиката?")</f>
        <v>Имам нужда от помощ с домашното си. Как работи термодинамиката във физиката?</v>
      </c>
      <c r="F4425" s="1" t="str">
        <f ca="1">IFERROR(__xludf.DUMMYFUNCTION("GOOGLETRANSLATE(English!F4425,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4425" s="1" t="str">
        <f ca="1">IFERROR(__xludf.DUMMYFUNCTION("GOOGLETRANSLATE(English!G4425, ""en"", ""bg"")"),"разговор")</f>
        <v>разговор</v>
      </c>
      <c r="H4425" s="1" t="str">
        <f ca="1">IFERROR(__xludf.DUMMYFUNCTION("GOOGLETRANSLATE(English!H4425, ""en"", ""bg"")"),"образователна_помощ")</f>
        <v>образователна_помощ</v>
      </c>
    </row>
    <row r="4426" spans="1:8" ht="13.2" x14ac:dyDescent="0.25">
      <c r="A4426" s="1" t="str">
        <f ca="1">IFERROR(__xludf.DUMMYFUNCTION("GOOGLETRANSLATE(English!A4426, ""en"", ""bg"")"),"conv_05335")</f>
        <v>conv_05335</v>
      </c>
      <c r="B4426" s="1" t="str">
        <f ca="1">IFERROR(__xludf.DUMMYFUNCTION("GOOGLETRANSLATE(English!B4426, ""en"", ""bg"")"),"биология")</f>
        <v>биология</v>
      </c>
      <c r="C4426" s="1" t="str">
        <f ca="1">IFERROR(__xludf.DUMMYFUNCTION("GOOGLETRANSLATE(English!C4426, ""en"", ""bg"")"),"високо")</f>
        <v>високо</v>
      </c>
      <c r="D4426" s="1" t="str">
        <f ca="1">IFERROR(__xludf.DUMMYFUNCTION("GOOGLETRANSLATE(English!D4426, ""en"", ""bg"")"),"клетъчно дишане")</f>
        <v>клетъчно дишане</v>
      </c>
      <c r="E4426" s="1" t="str">
        <f ca="1">IFERROR(__xludf.DUMMYFUNCTION("GOOGLETRANSLATE(English!E4426, ""en"", ""bg"")"),"Можете ли да ми обясните това? Как работи клетъчното дишане?")</f>
        <v>Можете ли да ми обясните това? Как работи клетъчното дишане?</v>
      </c>
      <c r="F4426" s="1" t="str">
        <f ca="1">IFERROR(__xludf.DUMMYFUNCTION("GOOGLETRANSLATE(English!F4426,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4426" s="1" t="str">
        <f ca="1">IFERROR(__xludf.DUMMYFUNCTION("GOOGLETRANSLATE(English!G4426, ""en"", ""bg"")"),"разговор")</f>
        <v>разговор</v>
      </c>
      <c r="H4426" s="1" t="str">
        <f ca="1">IFERROR(__xludf.DUMMYFUNCTION("GOOGLETRANSLATE(English!H4426, ""en"", ""bg"")"),"образователна_помощ")</f>
        <v>образователна_помощ</v>
      </c>
    </row>
    <row r="4427" spans="1:8" ht="13.2" x14ac:dyDescent="0.25">
      <c r="A4427" s="1" t="str">
        <f ca="1">IFERROR(__xludf.DUMMYFUNCTION("GOOGLETRANSLATE(English!A4427, ""en"", ""bg"")"),"qa_08524")</f>
        <v>qa_08524</v>
      </c>
      <c r="B4427" s="1" t="str">
        <f ca="1">IFERROR(__xludf.DUMMYFUNCTION("GOOGLETRANSLATE(English!B4427, ""en"", ""bg"")"),"физика")</f>
        <v>физика</v>
      </c>
      <c r="C4427" s="1" t="str">
        <f ca="1">IFERROR(__xludf.DUMMYFUNCTION("GOOGLETRANSLATE(English!C4427, ""en"", ""bg"")"),"елементарен")</f>
        <v>елементарен</v>
      </c>
      <c r="D4427" s="1" t="str">
        <f ca="1">IFERROR(__xludf.DUMMYFUNCTION("GOOGLETRANSLATE(English!D4427, ""en"", ""bg"")"),"плаващ и потъващ")</f>
        <v>плаващ и потъващ</v>
      </c>
      <c r="E4427" s="1" t="str">
        <f ca="1">IFERROR(__xludf.DUMMYFUNCTION("GOOGLETRANSLATE(English!E4427, ""en"", ""bg"")"),"Какво трябва да знам за плаването и потъването?")</f>
        <v>Какво трябва да знам за плаването и потъването?</v>
      </c>
      <c r="F4427" s="1" t="str">
        <f ca="1">IFERROR(__xludf.DUMMYFUNCTION("GOOGLETRANSLATE(English!F4427,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4427" s="1" t="str">
        <f ca="1">IFERROR(__xludf.DUMMYFUNCTION("GOOGLETRANSLATE(English!G4427, ""en"", ""bg"")"),"direct_qa")</f>
        <v>direct_qa</v>
      </c>
      <c r="H4427" s="1" t="str">
        <f ca="1">IFERROR(__xludf.DUMMYFUNCTION("GOOGLETRANSLATE(English!H4427, ""en"", ""bg"")"),"заявка_за_знание")</f>
        <v>заявка_за_знание</v>
      </c>
    </row>
    <row r="4428" spans="1:8" ht="13.2" x14ac:dyDescent="0.25">
      <c r="A4428" s="1" t="str">
        <f ca="1">IFERROR(__xludf.DUMMYFUNCTION("GOOGLETRANSLATE(English!A4428, ""en"", ""bg"")"),"conv_12077")</f>
        <v>conv_12077</v>
      </c>
      <c r="B4428" s="1" t="str">
        <f ca="1">IFERROR(__xludf.DUMMYFUNCTION("GOOGLETRANSLATE(English!B4428, ""en"", ""bg"")"),"физика")</f>
        <v>физика</v>
      </c>
      <c r="C4428" s="1" t="str">
        <f ca="1">IFERROR(__xludf.DUMMYFUNCTION("GOOGLETRANSLATE(English!C4428, ""en"", ""bg"")"),"високо")</f>
        <v>високо</v>
      </c>
      <c r="D4428" s="1" t="str">
        <f ca="1">IFERROR(__xludf.DUMMYFUNCTION("GOOGLETRANSLATE(English!D4428, ""en"", ""bg"")"),"атомна структура")</f>
        <v>атомна структура</v>
      </c>
      <c r="E4428" s="1" t="str">
        <f ca="1">IFERROR(__xludf.DUMMYFUNCTION("GOOGLETRANSLATE(English!E4428, ""en"", ""bg"")"),"Имам научен въпрос. Можете ли да ми обясните структурата на атома?")</f>
        <v>Имам научен въпрос. Можете ли да ми обясните структурата на атома?</v>
      </c>
      <c r="F4428" s="1" t="str">
        <f ca="1">IFERROR(__xludf.DUMMYFUNCTION("GOOGLETRANSLATE(English!F4428,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428" s="1" t="str">
        <f ca="1">IFERROR(__xludf.DUMMYFUNCTION("GOOGLETRANSLATE(English!G4428, ""en"", ""bg"")"),"разговор")</f>
        <v>разговор</v>
      </c>
      <c r="H4428" s="1" t="str">
        <f ca="1">IFERROR(__xludf.DUMMYFUNCTION("GOOGLETRANSLATE(English!H4428, ""en"", ""bg"")"),"образователна_помощ")</f>
        <v>образователна_помощ</v>
      </c>
    </row>
    <row r="4429" spans="1:8" ht="13.2" x14ac:dyDescent="0.25">
      <c r="A4429" s="1" t="str">
        <f ca="1">IFERROR(__xludf.DUMMYFUNCTION("GOOGLETRANSLATE(English!A4429, ""en"", ""bg"")"),"conv_14251")</f>
        <v>conv_14251</v>
      </c>
      <c r="B4429" s="1" t="str">
        <f ca="1">IFERROR(__xludf.DUMMYFUNCTION("GOOGLETRANSLATE(English!B4429, ""en"", ""bg"")"),"химия")</f>
        <v>химия</v>
      </c>
      <c r="C4429" s="1" t="str">
        <f ca="1">IFERROR(__xludf.DUMMYFUNCTION("GOOGLETRANSLATE(English!C4429, ""en"", ""bg"")"),"високо")</f>
        <v>високо</v>
      </c>
      <c r="D4429" s="1" t="str">
        <f ca="1">IFERROR(__xludf.DUMMYFUNCTION("GOOGLETRANSLATE(English!D4429, ""en"", ""bg"")"),"електрохимия")</f>
        <v>електрохимия</v>
      </c>
      <c r="E4429" s="1" t="str">
        <f ca="1">IFERROR(__xludf.DUMMYFUNCTION("GOOGLETRANSLATE(English!E4429, ""en"", ""bg"")"),"Можете ли да ми помогнете? Можете ли да ми помогнете да разбера електрохимията?")</f>
        <v>Можете ли да ми помогнете? Можете ли да ми помогнете да разбера електрохимията?</v>
      </c>
      <c r="F4429" s="1" t="str">
        <f ca="1">IFERROR(__xludf.DUMMYFUNCTION("GOOGLETRANSLATE(English!F4429, ""en"", ""bg"")"),"Електрохимията е важна химическа концепция, която ни помага да разберем как се държи и променя материята!")</f>
        <v>Електрохимията е важна химическа концепция, която ни помага да разберем как се държи и променя материята!</v>
      </c>
      <c r="G4429" s="1" t="str">
        <f ca="1">IFERROR(__xludf.DUMMYFUNCTION("GOOGLETRANSLATE(English!G4429, ""en"", ""bg"")"),"разговор")</f>
        <v>разговор</v>
      </c>
      <c r="H4429" s="1" t="str">
        <f ca="1">IFERROR(__xludf.DUMMYFUNCTION("GOOGLETRANSLATE(English!H4429, ""en"", ""bg"")"),"образователна_помощ")</f>
        <v>образователна_помощ</v>
      </c>
    </row>
    <row r="4430" spans="1:8" ht="13.2" x14ac:dyDescent="0.25">
      <c r="A4430" s="1" t="str">
        <f ca="1">IFERROR(__xludf.DUMMYFUNCTION("GOOGLETRANSLATE(English!A4430, ""en"", ""bg"")"),"hw_00036")</f>
        <v>hw_00036</v>
      </c>
      <c r="B4430" s="1" t="str">
        <f ca="1">IFERROR(__xludf.DUMMYFUNCTION("GOOGLETRANSLATE(English!B4430, ""en"", ""bg"")"),"физика")</f>
        <v>физика</v>
      </c>
      <c r="C4430" s="1" t="str">
        <f ca="1">IFERROR(__xludf.DUMMYFUNCTION("GOOGLETRANSLATE(English!C4430, ""en"", ""bg"")"),"високо")</f>
        <v>високо</v>
      </c>
      <c r="D4430" s="1" t="str">
        <f ca="1">IFERROR(__xludf.DUMMYFUNCTION("GOOGLETRANSLATE(English!D4430, ""en"", ""bg"")"),"електромагнетизъм")</f>
        <v>електромагнетизъм</v>
      </c>
      <c r="E4430" s="1" t="str">
        <f ca="1">IFERROR(__xludf.DUMMYFUNCTION("GOOGLETRANSLATE(English!E4430, ""en"", ""bg"")"),"Можете ли да решите този въпрос по електромагнетизъм с мен?")</f>
        <v>Можете ли да решите този въпрос по електромагнетизъм с мен?</v>
      </c>
      <c r="F4430" s="1" t="str">
        <f ca="1">IFERROR(__xludf.DUMMYFUNCTION("GOOGLETRANSLATE(English!F4430,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4430" s="1" t="str">
        <f ca="1">IFERROR(__xludf.DUMMYFUNCTION("GOOGLETRANSLATE(English!G4430, ""en"", ""bg"")"),"помощ_за_домашно_изпълнение")</f>
        <v>помощ_за_домашно_изпълнение</v>
      </c>
      <c r="H4430" s="1" t="str">
        <f ca="1">IFERROR(__xludf.DUMMYFUNCTION("GOOGLETRANSLATE(English!H4430, ""en"", ""bg"")"),"помощ_за_домашно_задаване")</f>
        <v>помощ_за_домашно_задаване</v>
      </c>
    </row>
    <row r="4431" spans="1:8" ht="13.2" x14ac:dyDescent="0.25">
      <c r="A4431" s="1" t="str">
        <f ca="1">IFERROR(__xludf.DUMMYFUNCTION("GOOGLETRANSLATE(English!A4431, ""en"", ""bg"")"),"hw_00359")</f>
        <v>hw_00359</v>
      </c>
      <c r="B4431" s="1" t="str">
        <f ca="1">IFERROR(__xludf.DUMMYFUNCTION("GOOGLETRANSLATE(English!B4431, ""en"", ""bg"")"),"биология")</f>
        <v>биология</v>
      </c>
      <c r="C4431" s="1" t="str">
        <f ca="1">IFERROR(__xludf.DUMMYFUNCTION("GOOGLETRANSLATE(English!C4431, ""en"", ""bg"")"),"елементарен")</f>
        <v>елементарен</v>
      </c>
      <c r="D4431" s="1" t="str">
        <f ca="1">IFERROR(__xludf.DUMMYFUNCTION("GOOGLETRANSLATE(English!D4431, ""en"", ""bg"")"),"хранителни вериги")</f>
        <v>хранителни вериги</v>
      </c>
      <c r="E4431" s="1" t="str">
        <f ca="1">IFERROR(__xludf.DUMMYFUNCTION("GOOGLETRANSLATE(English!E4431, ""en"", ""bg"")"),"Утре имам тест по хранителни вериги. Помогни ми да уча!")</f>
        <v>Утре имам тест по хранителни вериги. Помогни ми да уча!</v>
      </c>
      <c r="F4431" s="1" t="str">
        <f ca="1">IFERROR(__xludf.DUMMYFUNCTION("GOOGLETRANSLATE(English!F4431,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4431" s="1" t="str">
        <f ca="1">IFERROR(__xludf.DUMMYFUNCTION("GOOGLETRANSLATE(English!G4431, ""en"", ""bg"")"),"помощ_за_домашно_изпълнение")</f>
        <v>помощ_за_домашно_изпълнение</v>
      </c>
      <c r="H4431" s="1" t="str">
        <f ca="1">IFERROR(__xludf.DUMMYFUNCTION("GOOGLETRANSLATE(English!H4431, ""en"", ""bg"")"),"помощ_за_домашно_задаване")</f>
        <v>помощ_за_домашно_задаване</v>
      </c>
    </row>
    <row r="4432" spans="1:8" ht="13.2" x14ac:dyDescent="0.25">
      <c r="A4432" s="1" t="str">
        <f ca="1">IFERROR(__xludf.DUMMYFUNCTION("GOOGLETRANSLATE(English!A4432, ""en"", ""bg"")"),"conv_03397")</f>
        <v>conv_03397</v>
      </c>
      <c r="B4432" s="1" t="str">
        <f ca="1">IFERROR(__xludf.DUMMYFUNCTION("GOOGLETRANSLATE(English!B4432, ""en"", ""bg"")"),"физика")</f>
        <v>физика</v>
      </c>
      <c r="C4432" s="1" t="str">
        <f ca="1">IFERROR(__xludf.DUMMYFUNCTION("GOOGLETRANSLATE(English!C4432, ""en"", ""bg"")"),"елементарен")</f>
        <v>елементарен</v>
      </c>
      <c r="D4432" s="1" t="str">
        <f ca="1">IFERROR(__xludf.DUMMYFUNCTION("GOOGLETRANSLATE(English!D4432, ""en"", ""bg"")"),"прости машини")</f>
        <v>прости машини</v>
      </c>
      <c r="E4432" s="1" t="str">
        <f ca="1">IFERROR(__xludf.DUMMYFUNCTION("GOOGLETRANSLATE(English!E4432, ""en"", ""bg"")"),"Здравей, преподавателю! Защо простите машини са важни?")</f>
        <v>Здравей, преподавателю! Защо простите машини са важни?</v>
      </c>
      <c r="F4432" s="1" t="str">
        <f ca="1">IFERROR(__xludf.DUMMYFUNCTION("GOOGLETRANSLATE(English!F4432,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4432" s="1" t="str">
        <f ca="1">IFERROR(__xludf.DUMMYFUNCTION("GOOGLETRANSLATE(English!G4432, ""en"", ""bg"")"),"разговор")</f>
        <v>разговор</v>
      </c>
      <c r="H4432" s="1" t="str">
        <f ca="1">IFERROR(__xludf.DUMMYFUNCTION("GOOGLETRANSLATE(English!H4432, ""en"", ""bg"")"),"образователна_помощ")</f>
        <v>образователна_помощ</v>
      </c>
    </row>
    <row r="4433" spans="1:8" ht="13.2" x14ac:dyDescent="0.25">
      <c r="A4433" s="1" t="str">
        <f ca="1">IFERROR(__xludf.DUMMYFUNCTION("GOOGLETRANSLATE(English!A4433, ""en"", ""bg"")"),"conv_13170")</f>
        <v>conv_13170</v>
      </c>
      <c r="B4433" s="1" t="str">
        <f ca="1">IFERROR(__xludf.DUMMYFUNCTION("GOOGLETRANSLATE(English!B4433, ""en"", ""bg"")"),"химия")</f>
        <v>химия</v>
      </c>
      <c r="C4433" s="1" t="str">
        <f ca="1">IFERROR(__xludf.DUMMYFUNCTION("GOOGLETRANSLATE(English!C4433, ""en"", ""bg"")"),"средата")</f>
        <v>средата</v>
      </c>
      <c r="D4433" s="1" t="str">
        <f ca="1">IFERROR(__xludf.DUMMYFUNCTION("GOOGLETRANSLATE(English!D4433, ""en"", ""bg"")"),"химични реакции")</f>
        <v>химични реакции</v>
      </c>
      <c r="E4433" s="1" t="str">
        <f ca="1">IFERROR(__xludf.DUMMYFUNCTION("GOOGLETRANSLATE(English!E4433, ""en"", ""bg"")"),"Здравей, преподавателю! Какво е химична реакция?")</f>
        <v>Здравей, преподавателю! Какво е химична реакция?</v>
      </c>
      <c r="F4433" s="1" t="str">
        <f ca="1">IFERROR(__xludf.DUMMYFUNCTION("GOOGLETRANSLATE(English!F4433,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4433" s="1" t="str">
        <f ca="1">IFERROR(__xludf.DUMMYFUNCTION("GOOGLETRANSLATE(English!G4433, ""en"", ""bg"")"),"разговор")</f>
        <v>разговор</v>
      </c>
      <c r="H4433" s="1" t="str">
        <f ca="1">IFERROR(__xludf.DUMMYFUNCTION("GOOGLETRANSLATE(English!H4433, ""en"", ""bg"")"),"образователна_помощ")</f>
        <v>образователна_помощ</v>
      </c>
    </row>
    <row r="4434" spans="1:8" ht="13.2" x14ac:dyDescent="0.25">
      <c r="A4434" s="1" t="str">
        <f ca="1">IFERROR(__xludf.DUMMYFUNCTION("GOOGLETRANSLATE(English!A4434, ""en"", ""bg"")"),"conv_18962")</f>
        <v>conv_18962</v>
      </c>
      <c r="B4434" s="1" t="str">
        <f ca="1">IFERROR(__xludf.DUMMYFUNCTION("GOOGLETRANSLATE(English!B4434, ""en"", ""bg"")"),"физика")</f>
        <v>физика</v>
      </c>
      <c r="C4434" s="1" t="str">
        <f ca="1">IFERROR(__xludf.DUMMYFUNCTION("GOOGLETRANSLATE(English!C4434, ""en"", ""bg"")"),"средата")</f>
        <v>средата</v>
      </c>
      <c r="D4434" s="1" t="str">
        <f ca="1">IFERROR(__xludf.DUMMYFUNCTION("GOOGLETRANSLATE(English!D4434, ""en"", ""bg"")"),"вълни")</f>
        <v>вълни</v>
      </c>
      <c r="E4434" s="1" t="str">
        <f ca="1">IFERROR(__xludf.DUMMYFUNCTION("GOOGLETRANSLATE(English!E4434, ""en"", ""bg"")"),"Имам нужда от помощ с домашното. Можете ли да ми обясните вълните?")</f>
        <v>Имам нужда от помощ с домашното. Можете ли да ми обясните вълните?</v>
      </c>
      <c r="F4434" s="1" t="str">
        <f ca="1">IFERROR(__xludf.DUMMYFUNCTION("GOOGLETRANSLATE(English!F4434,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4434" s="1" t="str">
        <f ca="1">IFERROR(__xludf.DUMMYFUNCTION("GOOGLETRANSLATE(English!G4434, ""en"", ""bg"")"),"разговор")</f>
        <v>разговор</v>
      </c>
      <c r="H4434" s="1" t="str">
        <f ca="1">IFERROR(__xludf.DUMMYFUNCTION("GOOGLETRANSLATE(English!H4434, ""en"", ""bg"")"),"образователна_помощ")</f>
        <v>образователна_помощ</v>
      </c>
    </row>
    <row r="4435" spans="1:8" ht="13.2" x14ac:dyDescent="0.25">
      <c r="A4435" s="1" t="str">
        <f ca="1">IFERROR(__xludf.DUMMYFUNCTION("GOOGLETRANSLATE(English!A4435, ""en"", ""bg"")"),"qa_03884")</f>
        <v>qa_03884</v>
      </c>
      <c r="B4435" s="1" t="str">
        <f ca="1">IFERROR(__xludf.DUMMYFUNCTION("GOOGLETRANSLATE(English!B4435, ""en"", ""bg"")"),"химия")</f>
        <v>химия</v>
      </c>
      <c r="C4435" s="1" t="str">
        <f ca="1">IFERROR(__xludf.DUMMYFUNCTION("GOOGLETRANSLATE(English!C4435, ""en"", ""bg"")"),"елементарен")</f>
        <v>елементарен</v>
      </c>
      <c r="D4435" s="1" t="str">
        <f ca="1">IFERROR(__xludf.DUMMYFUNCTION("GOOGLETRANSLATE(English!D4435, ""en"", ""bg"")"),"смесване на материали")</f>
        <v>смесване на материали</v>
      </c>
      <c r="E4435" s="1" t="str">
        <f ca="1">IFERROR(__xludf.DUMMYFUNCTION("GOOGLETRANSLATE(English!E4435, ""en"", ""bg"")"),"Какво се случва, когато смесите масло и вода?")</f>
        <v>Какво се случва, когато смесите масло и вода?</v>
      </c>
      <c r="F4435" s="1" t="str">
        <f ca="1">IFERROR(__xludf.DUMMYFUNCTION("GOOGLETRANSLATE(English!F4435, ""en"", ""bg"")"),"Маслото и водата не се смесват, защото молекулите на маслото не обичат да са около молекулите на водата - те се разделят на слоеве!")</f>
        <v>Маслото и водата не се смесват, защото молекулите на маслото не обичат да са около молекулите на водата - те се разделят на слоеве!</v>
      </c>
      <c r="G4435" s="1" t="str">
        <f ca="1">IFERROR(__xludf.DUMMYFUNCTION("GOOGLETRANSLATE(English!G4435, ""en"", ""bg"")"),"direct_qa")</f>
        <v>direct_qa</v>
      </c>
      <c r="H4435" s="1" t="str">
        <f ca="1">IFERROR(__xludf.DUMMYFUNCTION("GOOGLETRANSLATE(English!H4435, ""en"", ""bg"")"),"заявка_за_знание")</f>
        <v>заявка_за_знание</v>
      </c>
    </row>
    <row r="4436" spans="1:8" ht="13.2" x14ac:dyDescent="0.25">
      <c r="A4436" s="1" t="str">
        <f ca="1">IFERROR(__xludf.DUMMYFUNCTION("GOOGLETRANSLATE(English!A4436, ""en"", ""bg"")"),"hw_09511")</f>
        <v>hw_09511</v>
      </c>
      <c r="B4436" s="1" t="str">
        <f ca="1">IFERROR(__xludf.DUMMYFUNCTION("GOOGLETRANSLATE(English!B4436, ""en"", ""bg"")"),"физика")</f>
        <v>физика</v>
      </c>
      <c r="C4436" s="1" t="str">
        <f ca="1">IFERROR(__xludf.DUMMYFUNCTION("GOOGLETRANSLATE(English!C4436, ""en"", ""bg"")"),"средата")</f>
        <v>средата</v>
      </c>
      <c r="D4436" s="1" t="str">
        <f ca="1">IFERROR(__xludf.DUMMYFUNCTION("GOOGLETRANSLATE(English!D4436, ""en"", ""bg"")"),"плътност")</f>
        <v>плътност</v>
      </c>
      <c r="E4436" s="1" t="str">
        <f ca="1">IFERROR(__xludf.DUMMYFUNCTION("GOOGLETRANSLATE(English!E4436, ""en"", ""bg"")"),"Трябва да разбера плътността за изпита си.")</f>
        <v>Трябва да разбера плътността за изпита си.</v>
      </c>
      <c r="F4436" s="1" t="str">
        <f ca="1">IFERROR(__xludf.DUMMYFUNCTION("GOOGLETRANSLATE(English!F4436,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4436" s="1" t="str">
        <f ca="1">IFERROR(__xludf.DUMMYFUNCTION("GOOGLETRANSLATE(English!G4436, ""en"", ""bg"")"),"помощ_за_домашно_изпълнение")</f>
        <v>помощ_за_домашно_изпълнение</v>
      </c>
      <c r="H4436" s="1" t="str">
        <f ca="1">IFERROR(__xludf.DUMMYFUNCTION("GOOGLETRANSLATE(English!H4436, ""en"", ""bg"")"),"помощ_за_домашно_задаване")</f>
        <v>помощ_за_домашно_задаване</v>
      </c>
    </row>
    <row r="4437" spans="1:8" ht="13.2" x14ac:dyDescent="0.25">
      <c r="A4437" s="1" t="str">
        <f ca="1">IFERROR(__xludf.DUMMYFUNCTION("GOOGLETRANSLATE(English!A4437, ""en"", ""bg"")"),"conv_07292")</f>
        <v>conv_07292</v>
      </c>
      <c r="B4437" s="1" t="str">
        <f ca="1">IFERROR(__xludf.DUMMYFUNCTION("GOOGLETRANSLATE(English!B4437, ""en"", ""bg"")"),"физика")</f>
        <v>физика</v>
      </c>
      <c r="C4437" s="1" t="str">
        <f ca="1">IFERROR(__xludf.DUMMYFUNCTION("GOOGLETRANSLATE(English!C4437, ""en"", ""bg"")"),"средата")</f>
        <v>средата</v>
      </c>
      <c r="D4437" s="1" t="str">
        <f ca="1">IFERROR(__xludf.DUMMYFUNCTION("GOOGLETRANSLATE(English!D4437, ""en"", ""bg"")"),"сили и движение")</f>
        <v>сили и движение</v>
      </c>
      <c r="E4437" s="1" t="str">
        <f ca="1">IFERROR(__xludf.DUMMYFUNCTION("GOOGLETRANSLATE(English!E4437, ""en"", ""bg"")"),"Здравей, преподавателю! Какво е ускорение?")</f>
        <v>Здравей, преподавателю! Какво е ускорение?</v>
      </c>
      <c r="F4437" s="1" t="str">
        <f ca="1">IFERROR(__xludf.DUMMYFUNCTION("GOOGLETRANSLATE(English!F4437,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4437" s="1" t="str">
        <f ca="1">IFERROR(__xludf.DUMMYFUNCTION("GOOGLETRANSLATE(English!G4437, ""en"", ""bg"")"),"разговор")</f>
        <v>разговор</v>
      </c>
      <c r="H4437" s="1" t="str">
        <f ca="1">IFERROR(__xludf.DUMMYFUNCTION("GOOGLETRANSLATE(English!H4437, ""en"", ""bg"")"),"образователна_помощ")</f>
        <v>образователна_помощ</v>
      </c>
    </row>
    <row r="4438" spans="1:8" ht="13.2" x14ac:dyDescent="0.25">
      <c r="A4438" s="1" t="str">
        <f ca="1">IFERROR(__xludf.DUMMYFUNCTION("GOOGLETRANSLATE(English!A4438, ""en"", ""bg"")"),"qa_11512")</f>
        <v>qa_11512</v>
      </c>
      <c r="B4438" s="1" t="str">
        <f ca="1">IFERROR(__xludf.DUMMYFUNCTION("GOOGLETRANSLATE(English!B4438, ""en"", ""bg"")"),"физика")</f>
        <v>физика</v>
      </c>
      <c r="C4438" s="1" t="str">
        <f ca="1">IFERROR(__xludf.DUMMYFUNCTION("GOOGLETRANSLATE(English!C4438, ""en"", ""bg"")"),"средата")</f>
        <v>средата</v>
      </c>
      <c r="D4438" s="1" t="str">
        <f ca="1">IFERROR(__xludf.DUMMYFUNCTION("GOOGLETRANSLATE(English!D4438, ""en"", ""bg"")"),"видове енергия")</f>
        <v>видове енергия</v>
      </c>
      <c r="E4438" s="1" t="str">
        <f ca="1">IFERROR(__xludf.DUMMYFUNCTION("GOOGLETRANSLATE(English!E4438, ""en"", ""bg"")"),"Какви са различните видове енергия?")</f>
        <v>Какви са различните видове енергия?</v>
      </c>
      <c r="F4438" s="1" t="str">
        <f ca="1">IFERROR(__xludf.DUMMYFUNCTION("GOOGLETRANSLATE(English!F4438,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4438" s="1" t="str">
        <f ca="1">IFERROR(__xludf.DUMMYFUNCTION("GOOGLETRANSLATE(English!G4438, ""en"", ""bg"")"),"direct_qa")</f>
        <v>direct_qa</v>
      </c>
      <c r="H4438" s="1" t="str">
        <f ca="1">IFERROR(__xludf.DUMMYFUNCTION("GOOGLETRANSLATE(English!H4438, ""en"", ""bg"")"),"заявка_за_знание")</f>
        <v>заявка_за_знание</v>
      </c>
    </row>
    <row r="4439" spans="1:8" ht="13.2" x14ac:dyDescent="0.25">
      <c r="A4439" s="1" t="str">
        <f ca="1">IFERROR(__xludf.DUMMYFUNCTION("GOOGLETRANSLATE(English!A4439, ""en"", ""bg"")"),"hw_07886")</f>
        <v>hw_07886</v>
      </c>
      <c r="B4439" s="1" t="str">
        <f ca="1">IFERROR(__xludf.DUMMYFUNCTION("GOOGLETRANSLATE(English!B4439, ""en"", ""bg"")"),"химия")</f>
        <v>химия</v>
      </c>
      <c r="C4439" s="1" t="str">
        <f ca="1">IFERROR(__xludf.DUMMYFUNCTION("GOOGLETRANSLATE(English!C4439, ""en"", ""bg"")"),"средата")</f>
        <v>средата</v>
      </c>
      <c r="D4439" s="1" t="str">
        <f ca="1">IFERROR(__xludf.DUMMYFUNCTION("GOOGLETRANSLATE(English!D4439, ""en"", ""bg"")"),"атоми и молекули")</f>
        <v>атоми и молекули</v>
      </c>
      <c r="E4439" s="1" t="str">
        <f ca="1">IFERROR(__xludf.DUMMYFUNCTION("GOOGLETRANSLATE(English!E4439,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4439" s="1" t="str">
        <f ca="1">IFERROR(__xludf.DUMMYFUNCTION("GOOGLETRANSLATE(English!F4439,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439" s="1" t="str">
        <f ca="1">IFERROR(__xludf.DUMMYFUNCTION("GOOGLETRANSLATE(English!G4439, ""en"", ""bg"")"),"помощ_за_домашно_изпълнение")</f>
        <v>помощ_за_домашно_изпълнение</v>
      </c>
      <c r="H4439" s="1" t="str">
        <f ca="1">IFERROR(__xludf.DUMMYFUNCTION("GOOGLETRANSLATE(English!H4439, ""en"", ""bg"")"),"помощ_за_домашно_задаване")</f>
        <v>помощ_за_домашно_задаване</v>
      </c>
    </row>
    <row r="4440" spans="1:8" ht="13.2" x14ac:dyDescent="0.25">
      <c r="A4440" s="1" t="str">
        <f ca="1">IFERROR(__xludf.DUMMYFUNCTION("GOOGLETRANSLATE(English!A4440, ""en"", ""bg"")"),"qa_05062")</f>
        <v>qa_05062</v>
      </c>
      <c r="B4440" s="1" t="str">
        <f ca="1">IFERROR(__xludf.DUMMYFUNCTION("GOOGLETRANSLATE(English!B4440, ""en"", ""bg"")"),"физика")</f>
        <v>физика</v>
      </c>
      <c r="C4440" s="1" t="str">
        <f ca="1">IFERROR(__xludf.DUMMYFUNCTION("GOOGLETRANSLATE(English!C4440, ""en"", ""bg"")"),"елементарен")</f>
        <v>елементарен</v>
      </c>
      <c r="D4440" s="1" t="str">
        <f ca="1">IFERROR(__xludf.DUMMYFUNCTION("GOOGLETRANSLATE(English!D4440, ""en"", ""bg"")"),"бутане и дърпане")</f>
        <v>бутане и дърпане</v>
      </c>
      <c r="E4440" s="1" t="str">
        <f ca="1">IFERROR(__xludf.DUMMYFUNCTION("GOOGLETRANSLATE(English!E4440, ""en"", ""bg"")"),"Можете ли да ми обясните как се прави бутане и дърпане?")</f>
        <v>Можете ли да ми обясните как се прави бутане и дърпане?</v>
      </c>
      <c r="F4440" s="1" t="str">
        <f ca="1">IFERROR(__xludf.DUMMYFUNCTION("GOOGLETRANSLATE(English!F4440, ""en"", ""bg"")"),"Бутането и дърпането е интересна физическа концепция, която ни помага да разберем как работят нещата в нашия свят!")</f>
        <v>Бутането и дърпането е интересна физическа концепция, която ни помага да разберем как работят нещата в нашия свят!</v>
      </c>
      <c r="G4440" s="1" t="str">
        <f ca="1">IFERROR(__xludf.DUMMYFUNCTION("GOOGLETRANSLATE(English!G4440, ""en"", ""bg"")"),"direct_qa")</f>
        <v>direct_qa</v>
      </c>
      <c r="H4440" s="1" t="str">
        <f ca="1">IFERROR(__xludf.DUMMYFUNCTION("GOOGLETRANSLATE(English!H4440, ""en"", ""bg"")"),"заявка_за_знание")</f>
        <v>заявка_за_знание</v>
      </c>
    </row>
    <row r="4441" spans="1:8" ht="13.2" x14ac:dyDescent="0.25">
      <c r="A4441" s="1" t="str">
        <f ca="1">IFERROR(__xludf.DUMMYFUNCTION("GOOGLETRANSLATE(English!A4441, ""en"", ""bg"")"),"hw_05747")</f>
        <v>hw_05747</v>
      </c>
      <c r="B4441" s="1" t="str">
        <f ca="1">IFERROR(__xludf.DUMMYFUNCTION("GOOGLETRANSLATE(English!B4441, ""en"", ""bg"")"),"физика")</f>
        <v>физика</v>
      </c>
      <c r="C4441" s="1" t="str">
        <f ca="1">IFERROR(__xludf.DUMMYFUNCTION("GOOGLETRANSLATE(English!C4441, ""en"", ""bg"")"),"средата")</f>
        <v>средата</v>
      </c>
      <c r="D4441" s="1" t="str">
        <f ca="1">IFERROR(__xludf.DUMMYFUNCTION("GOOGLETRANSLATE(English!D4441, ""en"", ""bg"")"),"плътност")</f>
        <v>плътност</v>
      </c>
      <c r="E4441" s="1" t="str">
        <f ca="1">IFERROR(__xludf.DUMMYFUNCTION("GOOGLETRANSLATE(English!E4441, ""en"", ""bg"")"),"Можете ли да решите тази задача за плътност с мен?")</f>
        <v>Можете ли да решите тази задача за плътност с мен?</v>
      </c>
      <c r="F4441" s="1" t="str">
        <f ca="1">IFERROR(__xludf.DUMMYFUNCTION("GOOGLETRANSLATE(English!F4441,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4441" s="1" t="str">
        <f ca="1">IFERROR(__xludf.DUMMYFUNCTION("GOOGLETRANSLATE(English!G4441, ""en"", ""bg"")"),"помощ_за_домашно_изпълнение")</f>
        <v>помощ_за_домашно_изпълнение</v>
      </c>
      <c r="H4441" s="1" t="str">
        <f ca="1">IFERROR(__xludf.DUMMYFUNCTION("GOOGLETRANSLATE(English!H4441, ""en"", ""bg"")"),"помощ_за_домашно_задаване")</f>
        <v>помощ_за_домашно_задаване</v>
      </c>
    </row>
    <row r="4442" spans="1:8" ht="13.2" x14ac:dyDescent="0.25">
      <c r="A4442" s="1" t="str">
        <f ca="1">IFERROR(__xludf.DUMMYFUNCTION("GOOGLETRANSLATE(English!A4442, ""en"", ""bg"")"),"conv_01041")</f>
        <v>conv_01041</v>
      </c>
      <c r="B4442" s="1" t="str">
        <f ca="1">IFERROR(__xludf.DUMMYFUNCTION("GOOGLETRANSLATE(English!B4442, ""en"", ""bg"")"),"биология")</f>
        <v>биология</v>
      </c>
      <c r="C4442" s="1" t="str">
        <f ca="1">IFERROR(__xludf.DUMMYFUNCTION("GOOGLETRANSLATE(English!C4442, ""en"", ""bg"")"),"високо")</f>
        <v>високо</v>
      </c>
      <c r="D4442" s="1" t="str">
        <f ca="1">IFERROR(__xludf.DUMMYFUNCTION("GOOGLETRANSLATE(English!D4442, ""en"", ""bg"")"),"Структура на ДНК")</f>
        <v>Структура на ДНК</v>
      </c>
      <c r="E4442" s="1" t="str">
        <f ca="1">IFERROR(__xludf.DUMMYFUNCTION("GOOGLETRANSLATE(English!E4442, ""en"", ""bg"")"),"Можете ли да ми обясните това? Как работи структурата на ДНК?")</f>
        <v>Можете ли да ми обясните това? Как работи структурата на ДНК?</v>
      </c>
      <c r="F4442" s="1" t="str">
        <f ca="1">IFERROR(__xludf.DUMMYFUNCTION("GOOGLETRANSLATE(English!F4442, ""en"", ""bg"")"),"Структурата на ДНК работи чрез естествени процеси, които учените изучават в продължение на много години.")</f>
        <v>Структурата на ДНК работи чрез естествени процеси, които учените изучават в продължение на много години.</v>
      </c>
      <c r="G4442" s="1" t="str">
        <f ca="1">IFERROR(__xludf.DUMMYFUNCTION("GOOGLETRANSLATE(English!G4442, ""en"", ""bg"")"),"разговор")</f>
        <v>разговор</v>
      </c>
      <c r="H4442" s="1" t="str">
        <f ca="1">IFERROR(__xludf.DUMMYFUNCTION("GOOGLETRANSLATE(English!H4442, ""en"", ""bg"")"),"образователна_помощ")</f>
        <v>образователна_помощ</v>
      </c>
    </row>
    <row r="4443" spans="1:8" ht="13.2" x14ac:dyDescent="0.25">
      <c r="A4443" s="1" t="str">
        <f ca="1">IFERROR(__xludf.DUMMYFUNCTION("GOOGLETRANSLATE(English!A4443, ""en"", ""bg"")"),"hw_14175")</f>
        <v>hw_14175</v>
      </c>
      <c r="B4443" s="1" t="str">
        <f ca="1">IFERROR(__xludf.DUMMYFUNCTION("GOOGLETRANSLATE(English!B4443, ""en"", ""bg"")"),"химия")</f>
        <v>химия</v>
      </c>
      <c r="C4443" s="1" t="str">
        <f ca="1">IFERROR(__xludf.DUMMYFUNCTION("GOOGLETRANSLATE(English!C4443, ""en"", ""bg"")"),"високо")</f>
        <v>високо</v>
      </c>
      <c r="D4443" s="1" t="str">
        <f ca="1">IFERROR(__xludf.DUMMYFUNCTION("GOOGLETRANSLATE(English!D4443, ""en"", ""bg"")"),"електрохимия")</f>
        <v>електрохимия</v>
      </c>
      <c r="E4443" s="1" t="str">
        <f ca="1">IFERROR(__xludf.DUMMYFUNCTION("GOOGLETRANSLATE(English!E4443, ""en"", ""bg"")"),"Имам затруднения с електрохимията в домашното си.")</f>
        <v>Имам затруднения с електрохимията в домашното си.</v>
      </c>
      <c r="F4443" s="1" t="str">
        <f ca="1">IFERROR(__xludf.DUMMYFUNCTION("GOOGLETRANSLATE(English!F4443,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443" s="1" t="str">
        <f ca="1">IFERROR(__xludf.DUMMYFUNCTION("GOOGLETRANSLATE(English!G4443, ""en"", ""bg"")"),"помощ_за_домашно_изпълнение")</f>
        <v>помощ_за_домашно_изпълнение</v>
      </c>
      <c r="H4443" s="1" t="str">
        <f ca="1">IFERROR(__xludf.DUMMYFUNCTION("GOOGLETRANSLATE(English!H4443, ""en"", ""bg"")"),"помощ_за_домашно_задаване")</f>
        <v>помощ_за_домашно_задаване</v>
      </c>
    </row>
    <row r="4444" spans="1:8" ht="13.2" x14ac:dyDescent="0.25">
      <c r="A4444" s="1" t="str">
        <f ca="1">IFERROR(__xludf.DUMMYFUNCTION("GOOGLETRANSLATE(English!A4444, ""en"", ""bg"")"),"qa_14389")</f>
        <v>qa_14389</v>
      </c>
      <c r="B4444" s="1" t="str">
        <f ca="1">IFERROR(__xludf.DUMMYFUNCTION("GOOGLETRANSLATE(English!B4444, ""en"", ""bg"")"),"химия")</f>
        <v>химия</v>
      </c>
      <c r="C4444" s="1" t="str">
        <f ca="1">IFERROR(__xludf.DUMMYFUNCTION("GOOGLETRANSLATE(English!C4444, ""en"", ""bg"")"),"високо")</f>
        <v>високо</v>
      </c>
      <c r="D4444" s="1" t="str">
        <f ca="1">IFERROR(__xludf.DUMMYFUNCTION("GOOGLETRANSLATE(English!D4444, ""en"", ""bg"")"),"стехиометрия")</f>
        <v>стехиометрия</v>
      </c>
      <c r="E4444" s="1" t="str">
        <f ca="1">IFERROR(__xludf.DUMMYFUNCTION("GOOGLETRANSLATE(English!E4444, ""en"", ""bg"")"),"Можете ли да ми помогнете да разбера стехиометрията?")</f>
        <v>Можете ли да ми помогнете да разбера стехиометрията?</v>
      </c>
      <c r="F4444" s="1" t="str">
        <f ca="1">IFERROR(__xludf.DUMMYFUNCTION("GOOGLETRANSLATE(English!F4444,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4444" s="1" t="str">
        <f ca="1">IFERROR(__xludf.DUMMYFUNCTION("GOOGLETRANSLATE(English!G4444, ""en"", ""bg"")"),"direct_qa")</f>
        <v>direct_qa</v>
      </c>
      <c r="H4444" s="1" t="str">
        <f ca="1">IFERROR(__xludf.DUMMYFUNCTION("GOOGLETRANSLATE(English!H4444, ""en"", ""bg"")"),"заявка_за_знание")</f>
        <v>заявка_за_знание</v>
      </c>
    </row>
    <row r="4445" spans="1:8" ht="13.2" x14ac:dyDescent="0.25">
      <c r="A4445" s="1" t="str">
        <f ca="1">IFERROR(__xludf.DUMMYFUNCTION("GOOGLETRANSLATE(English!A4445, ""en"", ""bg"")"),"hw_13641")</f>
        <v>hw_13641</v>
      </c>
      <c r="B4445" s="1" t="str">
        <f ca="1">IFERROR(__xludf.DUMMYFUNCTION("GOOGLETRANSLATE(English!B4445, ""en"", ""bg"")"),"физика")</f>
        <v>физика</v>
      </c>
      <c r="C4445" s="1" t="str">
        <f ca="1">IFERROR(__xludf.DUMMYFUNCTION("GOOGLETRANSLATE(English!C4445, ""en"", ""bg"")"),"високо")</f>
        <v>високо</v>
      </c>
      <c r="D4445" s="1" t="str">
        <f ca="1">IFERROR(__xludf.DUMMYFUNCTION("GOOGLETRANSLATE(English!D4445, ""en"", ""bg"")"),"атомна структура")</f>
        <v>атомна структура</v>
      </c>
      <c r="E4445" s="1" t="str">
        <f ca="1">IFERROR(__xludf.DUMMYFUNCTION("GOOGLETRANSLATE(English!E4445, ""en"", ""bg"")"),"Заседнал съм с този проблем със структурата на атома. Можете ли да помогнете?")</f>
        <v>Заседнал съм с този проблем със структурата на атома. Можете ли да помогнете?</v>
      </c>
      <c r="F4445" s="1" t="str">
        <f ca="1">IFERROR(__xludf.DUMMYFUNCTION("GOOGLETRANSLATE(English!F4445, ""en"", ""bg"")"),"Ще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да"&amp;" започнете?")</f>
        <v>Ще се радвам да ви помогна с атомната структура! Нека разделя това на прости стъпки. Първо, нека обясня какво означава атомната структура и защо е важна във физиката. След това можем да разгледаме заедно някои примери. С коя конкретна част бихте искали да започнете?</v>
      </c>
      <c r="G4445" s="1" t="str">
        <f ca="1">IFERROR(__xludf.DUMMYFUNCTION("GOOGLETRANSLATE(English!G4445, ""en"", ""bg"")"),"помощ_за_домашно_изпълнение")</f>
        <v>помощ_за_домашно_изпълнение</v>
      </c>
      <c r="H4445" s="1" t="str">
        <f ca="1">IFERROR(__xludf.DUMMYFUNCTION("GOOGLETRANSLATE(English!H4445, ""en"", ""bg"")"),"помощ_за_домашно_задаване")</f>
        <v>помощ_за_домашно_задаване</v>
      </c>
    </row>
    <row r="4446" spans="1:8" ht="13.2" x14ac:dyDescent="0.25">
      <c r="A4446" s="1" t="str">
        <f ca="1">IFERROR(__xludf.DUMMYFUNCTION("GOOGLETRANSLATE(English!A4446, ""en"", ""bg"")"),"qa_05071")</f>
        <v>qa_05071</v>
      </c>
      <c r="B4446" s="1" t="str">
        <f ca="1">IFERROR(__xludf.DUMMYFUNCTION("GOOGLETRANSLATE(English!B4446, ""en"", ""bg"")"),"биология")</f>
        <v>биология</v>
      </c>
      <c r="C4446" s="1" t="str">
        <f ca="1">IFERROR(__xludf.DUMMYFUNCTION("GOOGLETRANSLATE(English!C4446, ""en"", ""bg"")"),"високо")</f>
        <v>високо</v>
      </c>
      <c r="D4446" s="1" t="str">
        <f ca="1">IFERROR(__xludf.DUMMYFUNCTION("GOOGLETRANSLATE(English!D4446, ""en"", ""bg"")"),"Структура на ДНК")</f>
        <v>Структура на ДНК</v>
      </c>
      <c r="E4446" s="1" t="str">
        <f ca="1">IFERROR(__xludf.DUMMYFUNCTION("GOOGLETRANSLATE(English!E4446, ""en"", ""bg"")"),"Какво е важно да знаем за структурата на ДНК?")</f>
        <v>Какво е важно да знаем за структурата на ДНК?</v>
      </c>
      <c r="F4446" s="1" t="str">
        <f ca="1">IFERROR(__xludf.DUMMYFUNCTION("GOOGLETRANSLATE(English!F4446,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4446" s="1" t="str">
        <f ca="1">IFERROR(__xludf.DUMMYFUNCTION("GOOGLETRANSLATE(English!G4446, ""en"", ""bg"")"),"direct_qa")</f>
        <v>direct_qa</v>
      </c>
      <c r="H4446" s="1" t="str">
        <f ca="1">IFERROR(__xludf.DUMMYFUNCTION("GOOGLETRANSLATE(English!H4446, ""en"", ""bg"")"),"заявка_за_знание")</f>
        <v>заявка_за_знание</v>
      </c>
    </row>
    <row r="4447" spans="1:8" ht="13.2" x14ac:dyDescent="0.25">
      <c r="A4447" s="1" t="str">
        <f ca="1">IFERROR(__xludf.DUMMYFUNCTION("GOOGLETRANSLATE(English!A4447, ""en"", ""bg"")"),"hw_14379")</f>
        <v>hw_14379</v>
      </c>
      <c r="B4447" s="1" t="str">
        <f ca="1">IFERROR(__xludf.DUMMYFUNCTION("GOOGLETRANSLATE(English!B4447, ""en"", ""bg"")"),"химия")</f>
        <v>химия</v>
      </c>
      <c r="C4447" s="1" t="str">
        <f ca="1">IFERROR(__xludf.DUMMYFUNCTION("GOOGLETRANSLATE(English!C4447, ""en"", ""bg"")"),"средата")</f>
        <v>средата</v>
      </c>
      <c r="D4447" s="1" t="str">
        <f ca="1">IFERROR(__xludf.DUMMYFUNCTION("GOOGLETRANSLATE(English!D4447, ""en"", ""bg"")"),"съединения срещу елементи")</f>
        <v>съединения срещу елементи</v>
      </c>
      <c r="E4447" s="1" t="str">
        <f ca="1">IFERROR(__xludf.DUMMYFUNCTION("GOOGLETRANSLATE(English!E4447,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4447" s="1" t="str">
        <f ca="1">IFERROR(__xludf.DUMMYFUNCTION("GOOGLETRANSLATE(English!F4447,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4447" s="1" t="str">
        <f ca="1">IFERROR(__xludf.DUMMYFUNCTION("GOOGLETRANSLATE(English!G4447, ""en"", ""bg"")"),"помощ_за_домашно_изпълнение")</f>
        <v>помощ_за_домашно_изпълнение</v>
      </c>
      <c r="H4447" s="1" t="str">
        <f ca="1">IFERROR(__xludf.DUMMYFUNCTION("GOOGLETRANSLATE(English!H4447, ""en"", ""bg"")"),"помощ_за_домашно_задаване")</f>
        <v>помощ_за_домашно_задаване</v>
      </c>
    </row>
    <row r="4448" spans="1:8" ht="13.2" x14ac:dyDescent="0.25">
      <c r="A4448" s="1" t="str">
        <f ca="1">IFERROR(__xludf.DUMMYFUNCTION("GOOGLETRANSLATE(English!A4448, ""en"", ""bg"")"),"hw_07238")</f>
        <v>hw_07238</v>
      </c>
      <c r="B4448" s="1" t="str">
        <f ca="1">IFERROR(__xludf.DUMMYFUNCTION("GOOGLETRANSLATE(English!B4448, ""en"", ""bg"")"),"физика")</f>
        <v>физика</v>
      </c>
      <c r="C4448" s="1" t="str">
        <f ca="1">IFERROR(__xludf.DUMMYFUNCTION("GOOGLETRANSLATE(English!C4448, ""en"", ""bg"")"),"високо")</f>
        <v>високо</v>
      </c>
      <c r="D4448" s="1" t="str">
        <f ca="1">IFERROR(__xludf.DUMMYFUNCTION("GOOGLETRANSLATE(English!D4448, ""en"", ""bg"")"),"радиоактивност")</f>
        <v>радиоактивност</v>
      </c>
      <c r="E4448" s="1" t="str">
        <f ca="1">IFERROR(__xludf.DUMMYFUNCTION("GOOGLETRANSLATE(English!E4448, ""en"", ""bg"")"),"Трябва да разбера радиоактивността за изпита си.")</f>
        <v>Трябва да разбера радиоактивността за изпита си.</v>
      </c>
      <c r="F4448" s="1" t="str">
        <f ca="1">IFERROR(__xludf.DUMMYFUNCTION("GOOGLETRANSLATE(English!F4448,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4448" s="1" t="str">
        <f ca="1">IFERROR(__xludf.DUMMYFUNCTION("GOOGLETRANSLATE(English!G4448, ""en"", ""bg"")"),"помощ_за_домашно_изпълнение")</f>
        <v>помощ_за_домашно_изпълнение</v>
      </c>
      <c r="H4448" s="1" t="str">
        <f ca="1">IFERROR(__xludf.DUMMYFUNCTION("GOOGLETRANSLATE(English!H4448, ""en"", ""bg"")"),"помощ_за_домашно_задаване")</f>
        <v>помощ_за_домашно_задаване</v>
      </c>
    </row>
    <row r="4449" spans="1:8" ht="13.2" x14ac:dyDescent="0.25">
      <c r="A4449" s="1" t="str">
        <f ca="1">IFERROR(__xludf.DUMMYFUNCTION("GOOGLETRANSLATE(English!A4449, ""en"", ""bg"")"),"hw_05231")</f>
        <v>hw_05231</v>
      </c>
      <c r="B4449" s="1" t="str">
        <f ca="1">IFERROR(__xludf.DUMMYFUNCTION("GOOGLETRANSLATE(English!B4449, ""en"", ""bg"")"),"биология")</f>
        <v>биология</v>
      </c>
      <c r="C4449" s="1" t="str">
        <f ca="1">IFERROR(__xludf.DUMMYFUNCTION("GOOGLETRANSLATE(English!C4449, ""en"", ""bg"")"),"елементарен")</f>
        <v>елементарен</v>
      </c>
      <c r="D4449" s="1" t="str">
        <f ca="1">IFERROR(__xludf.DUMMYFUNCTION("GOOGLETRANSLATE(English!D4449, ""en"", ""bg"")"),"животни")</f>
        <v>животни</v>
      </c>
      <c r="E4449" s="1" t="str">
        <f ca="1">IFERROR(__xludf.DUMMYFUNCTION("GOOGLETRANSLATE(English!E4449, ""en"", ""bg"")"),"Домашното ми пита за животни. Не го разбирам.")</f>
        <v>Домашното ми пита за животни. Не го разбирам.</v>
      </c>
      <c r="F4449" s="1" t="str">
        <f ca="1">IFERROR(__xludf.DUMMYFUNCTION("GOOGLETRANSLATE(English!F4449,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4449" s="1" t="str">
        <f ca="1">IFERROR(__xludf.DUMMYFUNCTION("GOOGLETRANSLATE(English!G4449, ""en"", ""bg"")"),"помощ_за_домашно_изпълнение")</f>
        <v>помощ_за_домашно_изпълнение</v>
      </c>
      <c r="H4449" s="1" t="str">
        <f ca="1">IFERROR(__xludf.DUMMYFUNCTION("GOOGLETRANSLATE(English!H4449, ""en"", ""bg"")"),"помощ_за_домашно_задаване")</f>
        <v>помощ_за_домашно_задаване</v>
      </c>
    </row>
    <row r="4450" spans="1:8" ht="13.2" x14ac:dyDescent="0.25">
      <c r="A4450" s="1" t="str">
        <f ca="1">IFERROR(__xludf.DUMMYFUNCTION("GOOGLETRANSLATE(English!A4450, ""en"", ""bg"")"),"conv_11474")</f>
        <v>conv_11474</v>
      </c>
      <c r="B4450" s="1" t="str">
        <f ca="1">IFERROR(__xludf.DUMMYFUNCTION("GOOGLETRANSLATE(English!B4450, ""en"", ""bg"")"),"биология")</f>
        <v>биология</v>
      </c>
      <c r="C4450" s="1" t="str">
        <f ca="1">IFERROR(__xludf.DUMMYFUNCTION("GOOGLETRANSLATE(English!C4450, ""en"", ""bg"")"),"средата")</f>
        <v>средата</v>
      </c>
      <c r="D4450" s="1" t="str">
        <f ca="1">IFERROR(__xludf.DUMMYFUNCTION("GOOGLETRANSLATE(English!D4450, ""en"", ""bg"")"),"размножаване")</f>
        <v>размножаване</v>
      </c>
      <c r="E4450" s="1" t="str">
        <f ca="1">IFERROR(__xludf.DUMMYFUNCTION("GOOGLETRANSLATE(English!E4450, ""en"", ""bg"")"),"Имам научен въпрос. Какво е важно да знаем за размножаването?")</f>
        <v>Имам научен въпрос. Какво е важно да знаем за размножаването?</v>
      </c>
      <c r="F4450" s="1" t="str">
        <f ca="1">IFERROR(__xludf.DUMMYFUNCTION("GOOGLETRANSLATE(English!F4450,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4450" s="1" t="str">
        <f ca="1">IFERROR(__xludf.DUMMYFUNCTION("GOOGLETRANSLATE(English!G4450, ""en"", ""bg"")"),"разговор")</f>
        <v>разговор</v>
      </c>
      <c r="H4450" s="1" t="str">
        <f ca="1">IFERROR(__xludf.DUMMYFUNCTION("GOOGLETRANSLATE(English!H4450, ""en"", ""bg"")"),"образователна_помощ")</f>
        <v>образователна_помощ</v>
      </c>
    </row>
    <row r="4451" spans="1:8" ht="13.2" x14ac:dyDescent="0.25">
      <c r="A4451" s="1" t="str">
        <f ca="1">IFERROR(__xludf.DUMMYFUNCTION("GOOGLETRANSLATE(English!A4451, ""en"", ""bg"")"),"hw_07380")</f>
        <v>hw_07380</v>
      </c>
      <c r="B4451" s="1" t="str">
        <f ca="1">IFERROR(__xludf.DUMMYFUNCTION("GOOGLETRANSLATE(English!B4451, ""en"", ""bg"")"),"химия")</f>
        <v>химия</v>
      </c>
      <c r="C4451" s="1" t="str">
        <f ca="1">IFERROR(__xludf.DUMMYFUNCTION("GOOGLETRANSLATE(English!C4451, ""en"", ""bg"")"),"високо")</f>
        <v>високо</v>
      </c>
      <c r="D4451" s="1" t="str">
        <f ca="1">IFERROR(__xludf.DUMMYFUNCTION("GOOGLETRANSLATE(English!D4451, ""en"", ""bg"")"),"електрохимия")</f>
        <v>електрохимия</v>
      </c>
      <c r="E4451" s="1" t="str">
        <f ca="1">IFERROR(__xludf.DUMMYFUNCTION("GOOGLETRANSLATE(English!E4451,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4451" s="1" t="str">
        <f ca="1">IFERROR(__xludf.DUMMYFUNCTION("GOOGLETRANSLATE(English!F4451,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451" s="1" t="str">
        <f ca="1">IFERROR(__xludf.DUMMYFUNCTION("GOOGLETRANSLATE(English!G4451, ""en"", ""bg"")"),"помощ_за_домашно_изпълнение")</f>
        <v>помощ_за_домашно_изпълнение</v>
      </c>
      <c r="H4451" s="1" t="str">
        <f ca="1">IFERROR(__xludf.DUMMYFUNCTION("GOOGLETRANSLATE(English!H4451, ""en"", ""bg"")"),"помощ_за_домашно_задаване")</f>
        <v>помощ_за_домашно_задаване</v>
      </c>
    </row>
    <row r="4452" spans="1:8" ht="13.2" x14ac:dyDescent="0.25">
      <c r="A4452" s="1" t="str">
        <f ca="1">IFERROR(__xludf.DUMMYFUNCTION("GOOGLETRANSLATE(English!A4452, ""en"", ""bg"")"),"hw_08879")</f>
        <v>hw_08879</v>
      </c>
      <c r="B4452" s="1" t="str">
        <f ca="1">IFERROR(__xludf.DUMMYFUNCTION("GOOGLETRANSLATE(English!B4452, ""en"", ""bg"")"),"биология")</f>
        <v>биология</v>
      </c>
      <c r="C4452" s="1" t="str">
        <f ca="1">IFERROR(__xludf.DUMMYFUNCTION("GOOGLETRANSLATE(English!C4452, ""en"", ""bg"")"),"високо")</f>
        <v>високо</v>
      </c>
      <c r="D4452" s="1" t="str">
        <f ca="1">IFERROR(__xludf.DUMMYFUNCTION("GOOGLETRANSLATE(English!D4452, ""en"", ""bg"")"),"модели на наследяване")</f>
        <v>модели на наследяване</v>
      </c>
      <c r="E4452" s="1" t="str">
        <f ca="1">IFERROR(__xludf.DUMMYFUNCTION("GOOGLETRANSLATE(English!E4452,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4452" s="1" t="str">
        <f ca="1">IFERROR(__xludf.DUMMYFUNCTION("GOOGLETRANSLATE(English!F4452,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4452" s="1" t="str">
        <f ca="1">IFERROR(__xludf.DUMMYFUNCTION("GOOGLETRANSLATE(English!G4452, ""en"", ""bg"")"),"помощ_за_домашно_изпълнение")</f>
        <v>помощ_за_домашно_изпълнение</v>
      </c>
      <c r="H4452" s="1" t="str">
        <f ca="1">IFERROR(__xludf.DUMMYFUNCTION("GOOGLETRANSLATE(English!H4452, ""en"", ""bg"")"),"помощ_за_домашно_задаване")</f>
        <v>помощ_за_домашно_задаване</v>
      </c>
    </row>
    <row r="4453" spans="1:8" ht="13.2" x14ac:dyDescent="0.25">
      <c r="A4453" s="1" t="str">
        <f ca="1">IFERROR(__xludf.DUMMYFUNCTION("GOOGLETRANSLATE(English!A4453, ""en"", ""bg"")"),"qa_08383")</f>
        <v>qa_08383</v>
      </c>
      <c r="B4453" s="1" t="str">
        <f ca="1">IFERROR(__xludf.DUMMYFUNCTION("GOOGLETRANSLATE(English!B4453, ""en"", ""bg"")"),"физика")</f>
        <v>физика</v>
      </c>
      <c r="C4453" s="1" t="str">
        <f ca="1">IFERROR(__xludf.DUMMYFUNCTION("GOOGLETRANSLATE(English!C4453, ""en"", ""bg"")"),"високо")</f>
        <v>високо</v>
      </c>
      <c r="D4453" s="1" t="str">
        <f ca="1">IFERROR(__xludf.DUMMYFUNCTION("GOOGLETRANSLATE(English!D4453, ""en"", ""bg"")"),"радиоактивност")</f>
        <v>радиоактивност</v>
      </c>
      <c r="E4453" s="1" t="str">
        <f ca="1">IFERROR(__xludf.DUMMYFUNCTION("GOOGLETRANSLATE(English!E4453, ""en"", ""bg"")"),"Защо радиоактивността е важна?")</f>
        <v>Защо радиоактивността е важна?</v>
      </c>
      <c r="F4453" s="1" t="str">
        <f ca="1">IFERROR(__xludf.DUMMYFUNCTION("GOOGLETRANSLATE(English!F4453,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4453" s="1" t="str">
        <f ca="1">IFERROR(__xludf.DUMMYFUNCTION("GOOGLETRANSLATE(English!G4453, ""en"", ""bg"")"),"direct_qa")</f>
        <v>direct_qa</v>
      </c>
      <c r="H4453" s="1" t="str">
        <f ca="1">IFERROR(__xludf.DUMMYFUNCTION("GOOGLETRANSLATE(English!H4453, ""en"", ""bg"")"),"заявка_за_знание")</f>
        <v>заявка_за_знание</v>
      </c>
    </row>
    <row r="4454" spans="1:8" ht="13.2" x14ac:dyDescent="0.25">
      <c r="A4454" s="1" t="str">
        <f ca="1">IFERROR(__xludf.DUMMYFUNCTION("GOOGLETRANSLATE(English!A4454, ""en"", ""bg"")"),"qa_02312")</f>
        <v>qa_02312</v>
      </c>
      <c r="B4454" s="1" t="str">
        <f ca="1">IFERROR(__xludf.DUMMYFUNCTION("GOOGLETRANSLATE(English!B4454, ""en"", ""bg"")"),"биология")</f>
        <v>биология</v>
      </c>
      <c r="C4454" s="1" t="str">
        <f ca="1">IFERROR(__xludf.DUMMYFUNCTION("GOOGLETRANSLATE(English!C4454, ""en"", ""bg"")"),"високо")</f>
        <v>високо</v>
      </c>
      <c r="D4454" s="1" t="str">
        <f ca="1">IFERROR(__xludf.DUMMYFUNCTION("GOOGLETRANSLATE(English!D4454, ""en"", ""bg"")"),"модели на наследяване")</f>
        <v>модели на наследяване</v>
      </c>
      <c r="E4454" s="1" t="str">
        <f ca="1">IFERROR(__xludf.DUMMYFUNCTION("GOOGLETRANSLATE(English!E4454, ""en"", ""bg"")"),"Защо моделите на наследяване са важни в биологията?")</f>
        <v>Защо моделите на наследяване са важни в биологията?</v>
      </c>
      <c r="F4454" s="1" t="str">
        <f ca="1">IFERROR(__xludf.DUMMYFUNCTION("GOOGLETRANSLATE(English!F4454,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4454" s="1" t="str">
        <f ca="1">IFERROR(__xludf.DUMMYFUNCTION("GOOGLETRANSLATE(English!G4454, ""en"", ""bg"")"),"direct_qa")</f>
        <v>direct_qa</v>
      </c>
      <c r="H4454" s="1" t="str">
        <f ca="1">IFERROR(__xludf.DUMMYFUNCTION("GOOGLETRANSLATE(English!H4454, ""en"", ""bg"")"),"заявка_за_знание")</f>
        <v>заявка_за_знание</v>
      </c>
    </row>
    <row r="4455" spans="1:8" ht="13.2" x14ac:dyDescent="0.25">
      <c r="A4455" s="1" t="str">
        <f ca="1">IFERROR(__xludf.DUMMYFUNCTION("GOOGLETRANSLATE(English!A4455, ""en"", ""bg"")"),"conv_08721")</f>
        <v>conv_08721</v>
      </c>
      <c r="B4455" s="1" t="str">
        <f ca="1">IFERROR(__xludf.DUMMYFUNCTION("GOOGLETRANSLATE(English!B4455, ""en"", ""bg"")"),"биология")</f>
        <v>биология</v>
      </c>
      <c r="C4455" s="1" t="str">
        <f ca="1">IFERROR(__xludf.DUMMYFUNCTION("GOOGLETRANSLATE(English!C4455, ""en"", ""bg"")"),"елементарен")</f>
        <v>елементарен</v>
      </c>
      <c r="D4455" s="1" t="str">
        <f ca="1">IFERROR(__xludf.DUMMYFUNCTION("GOOGLETRANSLATE(English!D4455, ""en"", ""bg"")"),"човешкото тяло")</f>
        <v>човешкото тяло</v>
      </c>
      <c r="E4455" s="1" t="str">
        <f ca="1">IFERROR(__xludf.DUMMYFUNCTION("GOOGLETRANSLATE(English!E4455, ""en"", ""bg"")"),"Имам научен въпрос. Защо човешкото тяло е важно в биологията?")</f>
        <v>Имам научен въпрос. Защо човешкото тяло е важно в биологията?</v>
      </c>
      <c r="F4455" s="1" t="str">
        <f ca="1">IFERROR(__xludf.DUMMYFUNCTION("GOOGLETRANSLATE(English!F4455,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4455" s="1" t="str">
        <f ca="1">IFERROR(__xludf.DUMMYFUNCTION("GOOGLETRANSLATE(English!G4455, ""en"", ""bg"")"),"разговор")</f>
        <v>разговор</v>
      </c>
      <c r="H4455" s="1" t="str">
        <f ca="1">IFERROR(__xludf.DUMMYFUNCTION("GOOGLETRANSLATE(English!H4455, ""en"", ""bg"")"),"образователна_помощ")</f>
        <v>образователна_помощ</v>
      </c>
    </row>
    <row r="4456" spans="1:8" ht="13.2" x14ac:dyDescent="0.25">
      <c r="A4456" s="1" t="str">
        <f ca="1">IFERROR(__xludf.DUMMYFUNCTION("GOOGLETRANSLATE(English!A4456, ""en"", ""bg"")"),"conv_10972")</f>
        <v>conv_10972</v>
      </c>
      <c r="B4456" s="1" t="str">
        <f ca="1">IFERROR(__xludf.DUMMYFUNCTION("GOOGLETRANSLATE(English!B4456, ""en"", ""bg"")"),"физика")</f>
        <v>физика</v>
      </c>
      <c r="C4456" s="1" t="str">
        <f ca="1">IFERROR(__xludf.DUMMYFUNCTION("GOOGLETRANSLATE(English!C4456, ""en"", ""bg"")"),"високо")</f>
        <v>високо</v>
      </c>
      <c r="D4456" s="1" t="str">
        <f ca="1">IFERROR(__xludf.DUMMYFUNCTION("GOOGLETRANSLATE(English!D4456, ""en"", ""bg"")"),"електромагнетизъм")</f>
        <v>електромагнетизъм</v>
      </c>
      <c r="E4456" s="1" t="str">
        <f ca="1">IFERROR(__xludf.DUMMYFUNCTION("GOOGLETRANSLATE(English!E4456, ""en"", ""bg"")"),"Имам нужда от помощ с домашното си. Как работи електромагнетизмът във физиката?")</f>
        <v>Имам нужда от помощ с домашното си. Как работи електромагнетизмът във физиката?</v>
      </c>
      <c r="F4456" s="1" t="str">
        <f ca="1">IFERROR(__xludf.DUMMYFUNCTION("GOOGLETRANSLATE(English!F4456, ""en"", ""bg"")"),"Електромагнетизмът работи според научни принципи, които можем да наблюдаваме и измерваме.")</f>
        <v>Електромагнетизмът работи според научни принципи, които можем да наблюдаваме и измерваме.</v>
      </c>
      <c r="G4456" s="1" t="str">
        <f ca="1">IFERROR(__xludf.DUMMYFUNCTION("GOOGLETRANSLATE(English!G4456, ""en"", ""bg"")"),"разговор")</f>
        <v>разговор</v>
      </c>
      <c r="H4456" s="1" t="str">
        <f ca="1">IFERROR(__xludf.DUMMYFUNCTION("GOOGLETRANSLATE(English!H4456, ""en"", ""bg"")"),"образователна_помощ")</f>
        <v>образователна_помощ</v>
      </c>
    </row>
    <row r="4457" spans="1:8" ht="13.2" x14ac:dyDescent="0.25">
      <c r="A4457" s="1" t="str">
        <f ca="1">IFERROR(__xludf.DUMMYFUNCTION("GOOGLETRANSLATE(English!A4457, ""en"", ""bg"")"),"conv_16170")</f>
        <v>conv_16170</v>
      </c>
      <c r="B4457" s="1" t="str">
        <f ca="1">IFERROR(__xludf.DUMMYFUNCTION("GOOGLETRANSLATE(English!B4457, ""en"", ""bg"")"),"биология")</f>
        <v>биология</v>
      </c>
      <c r="C4457" s="1" t="str">
        <f ca="1">IFERROR(__xludf.DUMMYFUNCTION("GOOGLETRANSLATE(English!C4457, ""en"", ""bg"")"),"високо")</f>
        <v>високо</v>
      </c>
      <c r="D4457" s="1" t="str">
        <f ca="1">IFERROR(__xludf.DUMMYFUNCTION("GOOGLETRANSLATE(English!D4457, ""en"", ""bg"")"),"клетъчно дишане")</f>
        <v>клетъчно дишане</v>
      </c>
      <c r="E4457" s="1" t="str">
        <f ca="1">IFERROR(__xludf.DUMMYFUNCTION("GOOGLETRANSLATE(English!E4457, ""en"", ""bg"")"),"Имам нужда от помощ с домашното. Можете ли да ми разкажете за клетъчното дишане?")</f>
        <v>Имам нужда от помощ с домашното. Можете ли да ми разкажете за клетъчното дишане?</v>
      </c>
      <c r="F4457" s="1" t="str">
        <f ca="1">IFERROR(__xludf.DUMMYFUNCTION("GOOGLETRANSLATE(English!F4457,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4457" s="1" t="str">
        <f ca="1">IFERROR(__xludf.DUMMYFUNCTION("GOOGLETRANSLATE(English!G4457, ""en"", ""bg"")"),"разговор")</f>
        <v>разговор</v>
      </c>
      <c r="H4457" s="1" t="str">
        <f ca="1">IFERROR(__xludf.DUMMYFUNCTION("GOOGLETRANSLATE(English!H4457, ""en"", ""bg"")"),"образователна_помощ")</f>
        <v>образователна_помощ</v>
      </c>
    </row>
    <row r="4458" spans="1:8" ht="13.2" x14ac:dyDescent="0.25">
      <c r="A4458" s="1" t="str">
        <f ca="1">IFERROR(__xludf.DUMMYFUNCTION("GOOGLETRANSLATE(English!A4458, ""en"", ""bg"")"),"conv_09924")</f>
        <v>conv_09924</v>
      </c>
      <c r="B4458" s="1" t="str">
        <f ca="1">IFERROR(__xludf.DUMMYFUNCTION("GOOGLETRANSLATE(English!B4458, ""en"", ""bg"")"),"физика")</f>
        <v>физика</v>
      </c>
      <c r="C4458" s="1" t="str">
        <f ca="1">IFERROR(__xludf.DUMMYFUNCTION("GOOGLETRANSLATE(English!C4458, ""en"", ""bg"")"),"средата")</f>
        <v>средата</v>
      </c>
      <c r="D4458" s="1" t="str">
        <f ca="1">IFERROR(__xludf.DUMMYFUNCTION("GOOGLETRANSLATE(English!D4458, ""en"", ""bg"")"),"състояния на материята")</f>
        <v>състояния на материята</v>
      </c>
      <c r="E4458" s="1" t="str">
        <f ca="1">IFERROR(__xludf.DUMMYFUNCTION("GOOGLETRANSLATE(English!E4458, ""en"", ""bg"")"),"Можете ли да ми помогнете? Какво трябва да знам за състоянията на материята?")</f>
        <v>Можете ли да ми помогнете? Какво трябва да знам за състоянията на материята?</v>
      </c>
      <c r="F4458" s="1" t="str">
        <f ca="1">IFERROR(__xludf.DUMMYFUNCTION("GOOGLETRANSLATE(English!F4458,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4458" s="1" t="str">
        <f ca="1">IFERROR(__xludf.DUMMYFUNCTION("GOOGLETRANSLATE(English!G4458, ""en"", ""bg"")"),"разговор")</f>
        <v>разговор</v>
      </c>
      <c r="H4458" s="1" t="str">
        <f ca="1">IFERROR(__xludf.DUMMYFUNCTION("GOOGLETRANSLATE(English!H4458, ""en"", ""bg"")"),"образователна_помощ")</f>
        <v>образователна_помощ</v>
      </c>
    </row>
    <row r="4459" spans="1:8" ht="13.2" x14ac:dyDescent="0.25">
      <c r="A4459" s="1" t="str">
        <f ca="1">IFERROR(__xludf.DUMMYFUNCTION("GOOGLETRANSLATE(English!A4459, ""en"", ""bg"")"),"hw_01686")</f>
        <v>hw_01686</v>
      </c>
      <c r="B4459" s="1" t="str">
        <f ca="1">IFERROR(__xludf.DUMMYFUNCTION("GOOGLETRANSLATE(English!B4459, ""en"", ""bg"")"),"химия")</f>
        <v>химия</v>
      </c>
      <c r="C4459" s="1" t="str">
        <f ca="1">IFERROR(__xludf.DUMMYFUNCTION("GOOGLETRANSLATE(English!C4459, ""en"", ""bg"")"),"високо")</f>
        <v>високо</v>
      </c>
      <c r="D4459" s="1" t="str">
        <f ca="1">IFERROR(__xludf.DUMMYFUNCTION("GOOGLETRANSLATE(English!D4459, ""en"", ""bg"")"),"стехиометрия")</f>
        <v>стехиометрия</v>
      </c>
      <c r="E4459" s="1" t="str">
        <f ca="1">IFERROR(__xludf.DUMMYFUNCTION("GOOGLETRANSLATE(English!E4459, ""en"", ""bg"")"),"Докладът ми по химия е за стехиометрията. Помогнете ми да разбера.")</f>
        <v>Докладът ми по химия е за стехиометрията. Помогнете ми да разбера.</v>
      </c>
      <c r="F4459" s="1" t="str">
        <f ca="1">IFERROR(__xludf.DUMMYFUNCTION("GOOGLETRANSLATE(English!F4459,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4459" s="1" t="str">
        <f ca="1">IFERROR(__xludf.DUMMYFUNCTION("GOOGLETRANSLATE(English!G4459, ""en"", ""bg"")"),"помощ_за_домашно_изпълнение")</f>
        <v>помощ_за_домашно_изпълнение</v>
      </c>
      <c r="H4459" s="1" t="str">
        <f ca="1">IFERROR(__xludf.DUMMYFUNCTION("GOOGLETRANSLATE(English!H4459, ""en"", ""bg"")"),"помощ_за_домашно_задаване")</f>
        <v>помощ_за_домашно_задаване</v>
      </c>
    </row>
    <row r="4460" spans="1:8" ht="13.2" x14ac:dyDescent="0.25">
      <c r="A4460" s="1" t="str">
        <f ca="1">IFERROR(__xludf.DUMMYFUNCTION("GOOGLETRANSLATE(English!A4460, ""en"", ""bg"")"),"qa_09904")</f>
        <v>qa_09904</v>
      </c>
      <c r="B4460" s="1" t="str">
        <f ca="1">IFERROR(__xludf.DUMMYFUNCTION("GOOGLETRANSLATE(English!B4460, ""en"", ""bg"")"),"химия")</f>
        <v>химия</v>
      </c>
      <c r="C4460" s="1" t="str">
        <f ca="1">IFERROR(__xludf.DUMMYFUNCTION("GOOGLETRANSLATE(English!C4460, ""en"", ""bg"")"),"елементарен")</f>
        <v>елементарен</v>
      </c>
      <c r="D4460" s="1" t="str">
        <f ca="1">IFERROR(__xludf.DUMMYFUNCTION("GOOGLETRANSLATE(English!D4460, ""en"", ""bg"")"),"смесване на материали")</f>
        <v>смесване на материали</v>
      </c>
      <c r="E4460" s="1" t="str">
        <f ca="1">IFERROR(__xludf.DUMMYFUNCTION("GOOGLETRANSLATE(English!E4460, ""en"", ""bg"")"),"Какво е решение?")</f>
        <v>Какво е решение?</v>
      </c>
      <c r="F4460" s="1" t="str">
        <f ca="1">IFERROR(__xludf.DUMMYFUNCTION("GOOGLETRANSLATE(English!F4460,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4460" s="1" t="str">
        <f ca="1">IFERROR(__xludf.DUMMYFUNCTION("GOOGLETRANSLATE(English!G4460, ""en"", ""bg"")"),"direct_qa")</f>
        <v>direct_qa</v>
      </c>
      <c r="H4460" s="1" t="str">
        <f ca="1">IFERROR(__xludf.DUMMYFUNCTION("GOOGLETRANSLATE(English!H4460, ""en"", ""bg"")"),"заявка_за_знание")</f>
        <v>заявка_за_знание</v>
      </c>
    </row>
    <row r="4461" spans="1:8" ht="13.2" x14ac:dyDescent="0.25">
      <c r="A4461" s="1" t="str">
        <f ca="1">IFERROR(__xludf.DUMMYFUNCTION("GOOGLETRANSLATE(English!A4461, ""en"", ""bg"")"),"qa_02758")</f>
        <v>qa_02758</v>
      </c>
      <c r="B4461" s="1" t="str">
        <f ca="1">IFERROR(__xludf.DUMMYFUNCTION("GOOGLETRANSLATE(English!B4461, ""en"", ""bg"")"),"физика")</f>
        <v>физика</v>
      </c>
      <c r="C4461" s="1" t="str">
        <f ca="1">IFERROR(__xludf.DUMMYFUNCTION("GOOGLETRANSLATE(English!C4461, ""en"", ""bg"")"),"елементарен")</f>
        <v>елементарен</v>
      </c>
      <c r="D4461" s="1" t="str">
        <f ca="1">IFERROR(__xludf.DUMMYFUNCTION("GOOGLETRANSLATE(English!D4461, ""en"", ""bg"")"),"бутане и дърпане")</f>
        <v>бутане и дърпане</v>
      </c>
      <c r="E4461" s="1" t="str">
        <f ca="1">IFERROR(__xludf.DUMMYFUNCTION("GOOGLETRANSLATE(English!E4461, ""en"", ""bg"")"),"Защо е важно бутането и дърпането?")</f>
        <v>Защо е важно бутането и дърпането?</v>
      </c>
      <c r="F4461" s="1" t="str">
        <f ca="1">IFERROR(__xludf.DUMMYFUNCTION("GOOGLETRANSLATE(English!F4461,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4461" s="1" t="str">
        <f ca="1">IFERROR(__xludf.DUMMYFUNCTION("GOOGLETRANSLATE(English!G4461, ""en"", ""bg"")"),"direct_qa")</f>
        <v>direct_qa</v>
      </c>
      <c r="H4461" s="1" t="str">
        <f ca="1">IFERROR(__xludf.DUMMYFUNCTION("GOOGLETRANSLATE(English!H4461, ""en"", ""bg"")"),"заявка_за_знание")</f>
        <v>заявка_за_знание</v>
      </c>
    </row>
    <row r="4462" spans="1:8" ht="13.2" x14ac:dyDescent="0.25">
      <c r="A4462" s="1" t="str">
        <f ca="1">IFERROR(__xludf.DUMMYFUNCTION("GOOGLETRANSLATE(English!A4462, ""en"", ""bg"")"),"qa_01951")</f>
        <v>qa_01951</v>
      </c>
      <c r="B4462" s="1" t="str">
        <f ca="1">IFERROR(__xludf.DUMMYFUNCTION("GOOGLETRANSLATE(English!B4462, ""en"", ""bg"")"),"физика")</f>
        <v>физика</v>
      </c>
      <c r="C4462" s="1" t="str">
        <f ca="1">IFERROR(__xludf.DUMMYFUNCTION("GOOGLETRANSLATE(English!C4462, ""en"", ""bg"")"),"средата")</f>
        <v>средата</v>
      </c>
      <c r="D4462" s="1" t="str">
        <f ca="1">IFERROR(__xludf.DUMMYFUNCTION("GOOGLETRANSLATE(English!D4462, ""en"", ""bg"")"),"състояния на материята")</f>
        <v>състояния на материята</v>
      </c>
      <c r="E4462" s="1" t="str">
        <f ca="1">IFERROR(__xludf.DUMMYFUNCTION("GOOGLETRANSLATE(English!E4462, ""en"", ""bg"")"),"Как функционират състоянията на материята във физиката?")</f>
        <v>Как функционират състоянията на материята във физиката?</v>
      </c>
      <c r="F4462" s="1" t="str">
        <f ca="1">IFERROR(__xludf.DUMMYFUNCTION("GOOGLETRANSLATE(English!F4462, ""en"", ""bg"")"),"Състоянията на материята функционират според научни принципи, които можем да наблюдаваме и измерваме.")</f>
        <v>Състоянията на материята функционират според научни принципи, които можем да наблюдаваме и измерваме.</v>
      </c>
      <c r="G4462" s="1" t="str">
        <f ca="1">IFERROR(__xludf.DUMMYFUNCTION("GOOGLETRANSLATE(English!G4462, ""en"", ""bg"")"),"direct_qa")</f>
        <v>direct_qa</v>
      </c>
      <c r="H4462" s="1" t="str">
        <f ca="1">IFERROR(__xludf.DUMMYFUNCTION("GOOGLETRANSLATE(English!H4462, ""en"", ""bg"")"),"заявка_за_знание")</f>
        <v>заявка_за_знание</v>
      </c>
    </row>
    <row r="4463" spans="1:8" ht="13.2" x14ac:dyDescent="0.25">
      <c r="A4463" s="1" t="str">
        <f ca="1">IFERROR(__xludf.DUMMYFUNCTION("GOOGLETRANSLATE(English!A4463, ""en"", ""bg"")"),"qa_02920")</f>
        <v>qa_02920</v>
      </c>
      <c r="B4463" s="1" t="str">
        <f ca="1">IFERROR(__xludf.DUMMYFUNCTION("GOOGLETRANSLATE(English!B4463, ""en"", ""bg"")"),"биология")</f>
        <v>биология</v>
      </c>
      <c r="C4463" s="1" t="str">
        <f ca="1">IFERROR(__xludf.DUMMYFUNCTION("GOOGLETRANSLATE(English!C4463, ""en"", ""bg"")"),"елементарен")</f>
        <v>елементарен</v>
      </c>
      <c r="D4463" s="1" t="str">
        <f ca="1">IFERROR(__xludf.DUMMYFUNCTION("GOOGLETRANSLATE(English!D4463, ""en"", ""bg"")"),"човешкото тяло")</f>
        <v>човешкото тяло</v>
      </c>
      <c r="E4463" s="1" t="str">
        <f ca="1">IFERROR(__xludf.DUMMYFUNCTION("GOOGLETRANSLATE(English!E4463, ""en"", ""bg"")"),"Как работи човешкото тяло?")</f>
        <v>Как работи човешкото тяло?</v>
      </c>
      <c r="F4463" s="1" t="str">
        <f ca="1">IFERROR(__xludf.DUMMYFUNCTION("GOOGLETRANSLATE(English!F4463,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4463" s="1" t="str">
        <f ca="1">IFERROR(__xludf.DUMMYFUNCTION("GOOGLETRANSLATE(English!G4463, ""en"", ""bg"")"),"direct_qa")</f>
        <v>direct_qa</v>
      </c>
      <c r="H4463" s="1" t="str">
        <f ca="1">IFERROR(__xludf.DUMMYFUNCTION("GOOGLETRANSLATE(English!H4463, ""en"", ""bg"")"),"заявка_за_знание")</f>
        <v>заявка_за_знание</v>
      </c>
    </row>
    <row r="4464" spans="1:8" ht="13.2" x14ac:dyDescent="0.25">
      <c r="A4464" s="1" t="str">
        <f ca="1">IFERROR(__xludf.DUMMYFUNCTION("GOOGLETRANSLATE(English!A4464, ""en"", ""bg"")"),"qa_12229")</f>
        <v>qa_12229</v>
      </c>
      <c r="B4464" s="1" t="str">
        <f ca="1">IFERROR(__xludf.DUMMYFUNCTION("GOOGLETRANSLATE(English!B4464, ""en"", ""bg"")"),"физика")</f>
        <v>физика</v>
      </c>
      <c r="C4464" s="1" t="str">
        <f ca="1">IFERROR(__xludf.DUMMYFUNCTION("GOOGLETRANSLATE(English!C4464, ""en"", ""bg"")"),"средата")</f>
        <v>средата</v>
      </c>
      <c r="D4464" s="1" t="str">
        <f ca="1">IFERROR(__xludf.DUMMYFUNCTION("GOOGLETRANSLATE(English!D4464, ""en"", ""bg"")"),"прости схеми")</f>
        <v>прости схеми</v>
      </c>
      <c r="E4464" s="1" t="str">
        <f ca="1">IFERROR(__xludf.DUMMYFUNCTION("GOOGLETRANSLATE(English!E4464, ""en"", ""bg"")"),"Как работят прости електрически вериги във физиката?")</f>
        <v>Как работят прости електрически вериги във физиката?</v>
      </c>
      <c r="F4464" s="1" t="str">
        <f ca="1">IFERROR(__xludf.DUMMYFUNCTION("GOOGLETRANSLATE(English!F4464,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4464" s="1" t="str">
        <f ca="1">IFERROR(__xludf.DUMMYFUNCTION("GOOGLETRANSLATE(English!G4464, ""en"", ""bg"")"),"direct_qa")</f>
        <v>direct_qa</v>
      </c>
      <c r="H4464" s="1" t="str">
        <f ca="1">IFERROR(__xludf.DUMMYFUNCTION("GOOGLETRANSLATE(English!H4464, ""en"", ""bg"")"),"заявка_за_знание")</f>
        <v>заявка_за_знание</v>
      </c>
    </row>
    <row r="4465" spans="1:8" ht="13.2" x14ac:dyDescent="0.25">
      <c r="A4465" s="1" t="str">
        <f ca="1">IFERROR(__xludf.DUMMYFUNCTION("GOOGLETRANSLATE(English!A4465, ""en"", ""bg"")"),"qa_03209")</f>
        <v>qa_03209</v>
      </c>
      <c r="B4465" s="1" t="str">
        <f ca="1">IFERROR(__xludf.DUMMYFUNCTION("GOOGLETRANSLATE(English!B4465, ""en"", ""bg"")"),"физика")</f>
        <v>физика</v>
      </c>
      <c r="C4465" s="1" t="str">
        <f ca="1">IFERROR(__xludf.DUMMYFUNCTION("GOOGLETRANSLATE(English!C4465, ""en"", ""bg"")"),"средата")</f>
        <v>средата</v>
      </c>
      <c r="D4465" s="1" t="str">
        <f ca="1">IFERROR(__xludf.DUMMYFUNCTION("GOOGLETRANSLATE(English!D4465, ""en"", ""bg"")"),"вълни")</f>
        <v>вълни</v>
      </c>
      <c r="E4465" s="1" t="str">
        <f ca="1">IFERROR(__xludf.DUMMYFUNCTION("GOOGLETRANSLATE(English!E4465, ""en"", ""bg"")"),"Какво трябва да знам за вълните?")</f>
        <v>Какво трябва да знам за вълните?</v>
      </c>
      <c r="F4465" s="1" t="str">
        <f ca="1">IFERROR(__xludf.DUMMYFUNCTION("GOOGLETRANSLATE(English!F4465,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4465" s="1" t="str">
        <f ca="1">IFERROR(__xludf.DUMMYFUNCTION("GOOGLETRANSLATE(English!G4465, ""en"", ""bg"")"),"direct_qa")</f>
        <v>direct_qa</v>
      </c>
      <c r="H4465" s="1" t="str">
        <f ca="1">IFERROR(__xludf.DUMMYFUNCTION("GOOGLETRANSLATE(English!H4465, ""en"", ""bg"")"),"заявка_за_знание")</f>
        <v>заявка_за_знание</v>
      </c>
    </row>
    <row r="4466" spans="1:8" ht="13.2" x14ac:dyDescent="0.25">
      <c r="A4466" s="1" t="str">
        <f ca="1">IFERROR(__xludf.DUMMYFUNCTION("GOOGLETRANSLATE(English!A4466, ""en"", ""bg"")"),"qa_04944")</f>
        <v>qa_04944</v>
      </c>
      <c r="B4466" s="1" t="str">
        <f ca="1">IFERROR(__xludf.DUMMYFUNCTION("GOOGLETRANSLATE(English!B4466, ""en"", ""bg"")"),"биология")</f>
        <v>биология</v>
      </c>
      <c r="C4466" s="1" t="str">
        <f ca="1">IFERROR(__xludf.DUMMYFUNCTION("GOOGLETRANSLATE(English!C4466, ""en"", ""bg"")"),"средата")</f>
        <v>средата</v>
      </c>
      <c r="D4466" s="1" t="str">
        <f ca="1">IFERROR(__xludf.DUMMYFUNCTION("GOOGLETRANSLATE(English!D4466, ""en"", ""bg"")"),"класификация")</f>
        <v>класификация</v>
      </c>
      <c r="E4466" s="1" t="str">
        <f ca="1">IFERROR(__xludf.DUMMYFUNCTION("GOOGLETRANSLATE(English!E4466, ""en"", ""bg"")"),"Защо класификацията е важна в биологията?")</f>
        <v>Защо класификацията е важна в биологията?</v>
      </c>
      <c r="F4466" s="1" t="str">
        <f ca="1">IFERROR(__xludf.DUMMYFUNCTION("GOOGLETRANSLATE(English!F4466,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4466" s="1" t="str">
        <f ca="1">IFERROR(__xludf.DUMMYFUNCTION("GOOGLETRANSLATE(English!G4466, ""en"", ""bg"")"),"direct_qa")</f>
        <v>direct_qa</v>
      </c>
      <c r="H4466" s="1" t="str">
        <f ca="1">IFERROR(__xludf.DUMMYFUNCTION("GOOGLETRANSLATE(English!H4466, ""en"", ""bg"")"),"заявка_за_знание")</f>
        <v>заявка_за_знание</v>
      </c>
    </row>
    <row r="4467" spans="1:8" ht="13.2" x14ac:dyDescent="0.25">
      <c r="A4467" s="1" t="str">
        <f ca="1">IFERROR(__xludf.DUMMYFUNCTION("GOOGLETRANSLATE(English!A4467, ""en"", ""bg"")"),"hw_13177")</f>
        <v>hw_13177</v>
      </c>
      <c r="B4467" s="1" t="str">
        <f ca="1">IFERROR(__xludf.DUMMYFUNCTION("GOOGLETRANSLATE(English!B4467, ""en"", ""bg"")"),"физика")</f>
        <v>физика</v>
      </c>
      <c r="C4467" s="1" t="str">
        <f ca="1">IFERROR(__xludf.DUMMYFUNCTION("GOOGLETRANSLATE(English!C4467, ""en"", ""bg"")"),"високо")</f>
        <v>високо</v>
      </c>
      <c r="D4467" s="1" t="str">
        <f ca="1">IFERROR(__xludf.DUMMYFUNCTION("GOOGLETRANSLATE(English!D4467, ""en"", ""bg"")"),"механика")</f>
        <v>механика</v>
      </c>
      <c r="E4467" s="1" t="str">
        <f ca="1">IFERROR(__xludf.DUMMYFUNCTION("GOOGLETRANSLATE(English!E4467, ""en"", ""bg"")"),"Домашното ми по физика е за механика. Объркващо е!")</f>
        <v>Домашното ми по физика е за механика. Объркващо е!</v>
      </c>
      <c r="F4467" s="1" t="str">
        <f ca="1">IFERROR(__xludf.DUMMYFUNCTION("GOOGLETRANSLATE(English!F4467,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4467" s="1" t="str">
        <f ca="1">IFERROR(__xludf.DUMMYFUNCTION("GOOGLETRANSLATE(English!G4467, ""en"", ""bg"")"),"помощ_за_домашно_изпълнение")</f>
        <v>помощ_за_домашно_изпълнение</v>
      </c>
      <c r="H4467" s="1" t="str">
        <f ca="1">IFERROR(__xludf.DUMMYFUNCTION("GOOGLETRANSLATE(English!H4467, ""en"", ""bg"")"),"помощ_за_домашно_задаване")</f>
        <v>помощ_за_домашно_задаване</v>
      </c>
    </row>
    <row r="4468" spans="1:8" ht="13.2" x14ac:dyDescent="0.25">
      <c r="A4468" s="1" t="str">
        <f ca="1">IFERROR(__xludf.DUMMYFUNCTION("GOOGLETRANSLATE(English!A4468, ""en"", ""bg"")"),"qa_04778")</f>
        <v>qa_04778</v>
      </c>
      <c r="B4468" s="1" t="str">
        <f ca="1">IFERROR(__xludf.DUMMYFUNCTION("GOOGLETRANSLATE(English!B4468, ""en"", ""bg"")"),"биология")</f>
        <v>биология</v>
      </c>
      <c r="C4468" s="1" t="str">
        <f ca="1">IFERROR(__xludf.DUMMYFUNCTION("GOOGLETRANSLATE(English!C4468, ""en"", ""bg"")"),"елементарен")</f>
        <v>елементарен</v>
      </c>
      <c r="D4468" s="1" t="str">
        <f ca="1">IFERROR(__xludf.DUMMYFUNCTION("GOOGLETRANSLATE(English!D4468, ""en"", ""bg"")"),"животни")</f>
        <v>животни</v>
      </c>
      <c r="E4468" s="1" t="str">
        <f ca="1">IFERROR(__xludf.DUMMYFUNCTION("GOOGLETRANSLATE(English!E4468, ""en"", ""bg"")"),"Защо някои животни живеят на групи?")</f>
        <v>Защо някои животни живеят на групи?</v>
      </c>
      <c r="F4468" s="1" t="str">
        <f ca="1">IFERROR(__xludf.DUMMYFUNCTION("GOOGLETRANSLATE(English!F4468, ""en"", ""bg"")"),"Животните живеят на групи за защита, за да намират храна по-лесно и за да отглеждат малките си заедно.")</f>
        <v>Животните живеят на групи за защита, за да намират храна по-лесно и за да отглеждат малките си заедно.</v>
      </c>
      <c r="G4468" s="1" t="str">
        <f ca="1">IFERROR(__xludf.DUMMYFUNCTION("GOOGLETRANSLATE(English!G4468, ""en"", ""bg"")"),"direct_qa")</f>
        <v>direct_qa</v>
      </c>
      <c r="H4468" s="1" t="str">
        <f ca="1">IFERROR(__xludf.DUMMYFUNCTION("GOOGLETRANSLATE(English!H4468, ""en"", ""bg"")"),"заявка_за_знание")</f>
        <v>заявка_за_знание</v>
      </c>
    </row>
    <row r="4469" spans="1:8" ht="13.2" x14ac:dyDescent="0.25">
      <c r="A4469" s="1" t="str">
        <f ca="1">IFERROR(__xludf.DUMMYFUNCTION("GOOGLETRANSLATE(English!A4469, ""en"", ""bg"")"),"hw_12505")</f>
        <v>hw_12505</v>
      </c>
      <c r="B4469" s="1" t="str">
        <f ca="1">IFERROR(__xludf.DUMMYFUNCTION("GOOGLETRANSLATE(English!B4469, ""en"", ""bg"")"),"биология")</f>
        <v>биология</v>
      </c>
      <c r="C4469" s="1" t="str">
        <f ca="1">IFERROR(__xludf.DUMMYFUNCTION("GOOGLETRANSLATE(English!C4469, ""en"", ""bg"")"),"средата")</f>
        <v>средата</v>
      </c>
      <c r="D4469" s="1" t="str">
        <f ca="1">IFERROR(__xludf.DUMMYFUNCTION("GOOGLETRANSLATE(English!D4469, ""en"", ""bg"")"),"клетки")</f>
        <v>клетки</v>
      </c>
      <c r="E4469" s="1" t="str">
        <f ca="1">IFERROR(__xludf.DUMMYFUNCTION("GOOGLETRANSLATE(English!E4469, ""en"", ""bg"")"),"Трябва да напиша доклад за клетките. Можете ли да ми помогнете да започна?")</f>
        <v>Трябва да напиша доклад за клетките. Можете ли да ми помогнете да започна?</v>
      </c>
      <c r="F4469" s="1" t="str">
        <f ca="1">IFERROR(__xludf.DUMMYFUNCTION("GOOGLETRANSLATE(English!F4469,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4469" s="1" t="str">
        <f ca="1">IFERROR(__xludf.DUMMYFUNCTION("GOOGLETRANSLATE(English!G4469, ""en"", ""bg"")"),"помощ_за_домашно_изпълнение")</f>
        <v>помощ_за_домашно_изпълнение</v>
      </c>
      <c r="H4469" s="1" t="str">
        <f ca="1">IFERROR(__xludf.DUMMYFUNCTION("GOOGLETRANSLATE(English!H4469, ""en"", ""bg"")"),"помощ_за_домашно_задаване")</f>
        <v>помощ_за_домашно_задаване</v>
      </c>
    </row>
    <row r="4470" spans="1:8" ht="13.2" x14ac:dyDescent="0.25">
      <c r="A4470" s="1" t="str">
        <f ca="1">IFERROR(__xludf.DUMMYFUNCTION("GOOGLETRANSLATE(English!A4470, ""en"", ""bg"")"),"conv_11789")</f>
        <v>conv_11789</v>
      </c>
      <c r="B4470" s="1" t="str">
        <f ca="1">IFERROR(__xludf.DUMMYFUNCTION("GOOGLETRANSLATE(English!B4470, ""en"", ""bg"")"),"физика")</f>
        <v>физика</v>
      </c>
      <c r="C4470" s="1" t="str">
        <f ca="1">IFERROR(__xludf.DUMMYFUNCTION("GOOGLETRANSLATE(English!C4470, ""en"", ""bg"")"),"елементарен")</f>
        <v>елементарен</v>
      </c>
      <c r="D4470" s="1" t="str">
        <f ca="1">IFERROR(__xludf.DUMMYFUNCTION("GOOGLETRANSLATE(English!D4470, ""en"", ""bg"")"),"светлина и сянка")</f>
        <v>светлина и сянка</v>
      </c>
      <c r="E4470" s="1" t="str">
        <f ca="1">IFERROR(__xludf.DUMMYFUNCTION("GOOGLETRANSLATE(English!E4470, ""en"", ""bg"")"),"Не разбирам тази тема. Какво е светлина?")</f>
        <v>Не разбирам тази тема. Какво е светлина?</v>
      </c>
      <c r="F4470" s="1" t="str">
        <f ca="1">IFERROR(__xludf.DUMMYFUNCTION("GOOGLETRANSLATE(English!F4470,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4470" s="1" t="str">
        <f ca="1">IFERROR(__xludf.DUMMYFUNCTION("GOOGLETRANSLATE(English!G4470, ""en"", ""bg"")"),"разговор")</f>
        <v>разговор</v>
      </c>
      <c r="H4470" s="1" t="str">
        <f ca="1">IFERROR(__xludf.DUMMYFUNCTION("GOOGLETRANSLATE(English!H4470, ""en"", ""bg"")"),"образователна_помощ")</f>
        <v>образователна_помощ</v>
      </c>
    </row>
    <row r="4471" spans="1:8" ht="13.2" x14ac:dyDescent="0.25">
      <c r="A4471" s="1" t="str">
        <f ca="1">IFERROR(__xludf.DUMMYFUNCTION("GOOGLETRANSLATE(English!A4471, ""en"", ""bg"")"),"hw_10508")</f>
        <v>hw_10508</v>
      </c>
      <c r="B4471" s="1" t="str">
        <f ca="1">IFERROR(__xludf.DUMMYFUNCTION("GOOGLETRANSLATE(English!B4471, ""en"", ""bg"")"),"биология")</f>
        <v>биология</v>
      </c>
      <c r="C4471" s="1" t="str">
        <f ca="1">IFERROR(__xludf.DUMMYFUNCTION("GOOGLETRANSLATE(English!C4471, ""en"", ""bg"")"),"високо")</f>
        <v>високо</v>
      </c>
      <c r="D4471" s="1" t="str">
        <f ca="1">IFERROR(__xludf.DUMMYFUNCTION("GOOGLETRANSLATE(English!D4471, ""en"", ""bg"")"),"синтез на протеини")</f>
        <v>синтез на протеини</v>
      </c>
      <c r="E4471" s="1" t="str">
        <f ca="1">IFERROR(__xludf.DUMMYFUNCTION("GOOGLETRANSLATE(English!E4471,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4471" s="1" t="str">
        <f ca="1">IFERROR(__xludf.DUMMYFUNCTION("GOOGLETRANSLATE(English!F4471,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4471" s="1" t="str">
        <f ca="1">IFERROR(__xludf.DUMMYFUNCTION("GOOGLETRANSLATE(English!G4471, ""en"", ""bg"")"),"помощ_за_домашно_изпълнение")</f>
        <v>помощ_за_домашно_изпълнение</v>
      </c>
      <c r="H4471" s="1" t="str">
        <f ca="1">IFERROR(__xludf.DUMMYFUNCTION("GOOGLETRANSLATE(English!H4471, ""en"", ""bg"")"),"помощ_за_домашно_задаване")</f>
        <v>помощ_за_домашно_задаване</v>
      </c>
    </row>
    <row r="4472" spans="1:8" ht="13.2" x14ac:dyDescent="0.25">
      <c r="A4472" s="1" t="str">
        <f ca="1">IFERROR(__xludf.DUMMYFUNCTION("GOOGLETRANSLATE(English!A4472, ""en"", ""bg"")"),"conv_17950")</f>
        <v>conv_17950</v>
      </c>
      <c r="B4472" s="1" t="str">
        <f ca="1">IFERROR(__xludf.DUMMYFUNCTION("GOOGLETRANSLATE(English!B4472, ""en"", ""bg"")"),"химия")</f>
        <v>химия</v>
      </c>
      <c r="C4472" s="1" t="str">
        <f ca="1">IFERROR(__xludf.DUMMYFUNCTION("GOOGLETRANSLATE(English!C4472, ""en"", ""bg"")"),"елементарен")</f>
        <v>елементарен</v>
      </c>
      <c r="D4472" s="1" t="str">
        <f ca="1">IFERROR(__xludf.DUMMYFUNCTION("GOOGLETRANSLATE(English!D4472, ""en"", ""bg"")"),"разтваряне")</f>
        <v>разтваряне</v>
      </c>
      <c r="E4472" s="1" t="str">
        <f ca="1">IFERROR(__xludf.DUMMYFUNCTION("GOOGLETRANSLATE(English!E4472, ""en"", ""bg"")"),"Можете ли да ми помогнете? Какво е разтваряне?")</f>
        <v>Можете ли да ми помогнете? Какво е разтваряне?</v>
      </c>
      <c r="F4472" s="1" t="str">
        <f ca="1">IFERROR(__xludf.DUMMYFUNCTION("GOOGLETRANSLATE(English!F4472,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4472" s="1" t="str">
        <f ca="1">IFERROR(__xludf.DUMMYFUNCTION("GOOGLETRANSLATE(English!G4472, ""en"", ""bg"")"),"разговор")</f>
        <v>разговор</v>
      </c>
      <c r="H4472" s="1" t="str">
        <f ca="1">IFERROR(__xludf.DUMMYFUNCTION("GOOGLETRANSLATE(English!H4472, ""en"", ""bg"")"),"образователна_помощ")</f>
        <v>образователна_помощ</v>
      </c>
    </row>
    <row r="4473" spans="1:8" ht="13.2" x14ac:dyDescent="0.25">
      <c r="A4473" s="1" t="str">
        <f ca="1">IFERROR(__xludf.DUMMYFUNCTION("GOOGLETRANSLATE(English!A4473, ""en"", ""bg"")"),"qa_00499")</f>
        <v>qa_00499</v>
      </c>
      <c r="B4473" s="1" t="str">
        <f ca="1">IFERROR(__xludf.DUMMYFUNCTION("GOOGLETRANSLATE(English!B4473, ""en"", ""bg"")"),"физика")</f>
        <v>физика</v>
      </c>
      <c r="C4473" s="1" t="str">
        <f ca="1">IFERROR(__xludf.DUMMYFUNCTION("GOOGLETRANSLATE(English!C4473, ""en"", ""bg"")"),"високо")</f>
        <v>високо</v>
      </c>
      <c r="D4473" s="1" t="str">
        <f ca="1">IFERROR(__xludf.DUMMYFUNCTION("GOOGLETRANSLATE(English!D4473, ""en"", ""bg"")"),"оптика")</f>
        <v>оптика</v>
      </c>
      <c r="E4473" s="1" t="str">
        <f ca="1">IFERROR(__xludf.DUMMYFUNCTION("GOOGLETRANSLATE(English!E4473, ""en"", ""bg"")"),"Какво трябва да знам за оптиката?")</f>
        <v>Какво трябва да знам за оптиката?</v>
      </c>
      <c r="F4473" s="1" t="str">
        <f ca="1">IFERROR(__xludf.DUMMYFUNCTION("GOOGLETRANSLATE(English!F4473, ""en"", ""bg"")"),"Ключовото нещо за оптиката е как тя следва законите на физиката, които управляват нашата вселена.")</f>
        <v>Ключовото нещо за оптиката е как тя следва законите на физиката, които управляват нашата вселена.</v>
      </c>
      <c r="G4473" s="1" t="str">
        <f ca="1">IFERROR(__xludf.DUMMYFUNCTION("GOOGLETRANSLATE(English!G4473, ""en"", ""bg"")"),"direct_qa")</f>
        <v>direct_qa</v>
      </c>
      <c r="H4473" s="1" t="str">
        <f ca="1">IFERROR(__xludf.DUMMYFUNCTION("GOOGLETRANSLATE(English!H4473, ""en"", ""bg"")"),"заявка_за_знание")</f>
        <v>заявка_за_знание</v>
      </c>
    </row>
    <row r="4474" spans="1:8" ht="13.2" x14ac:dyDescent="0.25">
      <c r="A4474" s="1" t="str">
        <f ca="1">IFERROR(__xludf.DUMMYFUNCTION("GOOGLETRANSLATE(English!A4474, ""en"", ""bg"")"),"hw_13862")</f>
        <v>hw_13862</v>
      </c>
      <c r="B4474" s="1" t="str">
        <f ca="1">IFERROR(__xludf.DUMMYFUNCTION("GOOGLETRANSLATE(English!B4474, ""en"", ""bg"")"),"биология")</f>
        <v>биология</v>
      </c>
      <c r="C4474" s="1" t="str">
        <f ca="1">IFERROR(__xludf.DUMMYFUNCTION("GOOGLETRANSLATE(English!C4474, ""en"", ""bg"")"),"високо")</f>
        <v>високо</v>
      </c>
      <c r="D4474" s="1" t="str">
        <f ca="1">IFERROR(__xludf.DUMMYFUNCTION("GOOGLETRANSLATE(English!D4474, ""en"", ""bg"")"),"митоза и мейоза")</f>
        <v>митоза и мейоза</v>
      </c>
      <c r="E4474" s="1" t="str">
        <f ca="1">IFERROR(__xludf.DUMMYFUNCTION("GOOGLETRANSLATE(English!E4474, ""en"", ""bg"")"),"Можете ли да обясните митозата и мейозата за моя научен проект?")</f>
        <v>Можете ли да обясните митозата и мейозата за моя научен проект?</v>
      </c>
      <c r="F4474" s="1" t="str">
        <f ca="1">IFERROR(__xludf.DUMMYFUNCTION("GOOGLETRANSLATE(English!F4474,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4474" s="1" t="str">
        <f ca="1">IFERROR(__xludf.DUMMYFUNCTION("GOOGLETRANSLATE(English!G4474, ""en"", ""bg"")"),"помощ_за_домашно_изпълнение")</f>
        <v>помощ_за_домашно_изпълнение</v>
      </c>
      <c r="H4474" s="1" t="str">
        <f ca="1">IFERROR(__xludf.DUMMYFUNCTION("GOOGLETRANSLATE(English!H4474, ""en"", ""bg"")"),"помощ_за_домашно_задаване")</f>
        <v>помощ_за_домашно_задаване</v>
      </c>
    </row>
    <row r="4475" spans="1:8" ht="13.2" x14ac:dyDescent="0.25">
      <c r="A4475" s="1" t="str">
        <f ca="1">IFERROR(__xludf.DUMMYFUNCTION("GOOGLETRANSLATE(English!A4475, ""en"", ""bg"")"),"conv_10830")</f>
        <v>conv_10830</v>
      </c>
      <c r="B4475" s="1" t="str">
        <f ca="1">IFERROR(__xludf.DUMMYFUNCTION("GOOGLETRANSLATE(English!B4475, ""en"", ""bg"")"),"биология")</f>
        <v>биология</v>
      </c>
      <c r="C4475" s="1" t="str">
        <f ca="1">IFERROR(__xludf.DUMMYFUNCTION("GOOGLETRANSLATE(English!C4475, ""en"", ""bg"")"),"елементарен")</f>
        <v>елементарен</v>
      </c>
      <c r="D4475" s="1" t="str">
        <f ca="1">IFERROR(__xludf.DUMMYFUNCTION("GOOGLETRANSLATE(English!D4475, ""en"", ""bg"")"),"човешкото тяло")</f>
        <v>човешкото тяло</v>
      </c>
      <c r="E4475" s="1" t="str">
        <f ca="1">IFERROR(__xludf.DUMMYFUNCTION("GOOGLETRANSLATE(English!E4475, ""en"", ""bg"")"),"Имам нужда от помощ с домашното. Как работи човешкото тяло?")</f>
        <v>Имам нужда от помощ с домашното. Как работи човешкото тяло?</v>
      </c>
      <c r="F4475" s="1" t="str">
        <f ca="1">IFERROR(__xludf.DUMMYFUNCTION("GOOGLETRANSLATE(English!F4475, ""en"", ""bg"")"),"Човешкото тяло функционира чрез естествени процеси, които учените изучават от много години.")</f>
        <v>Човешкото тяло функционира чрез естествени процеси, които учените изучават от много години.</v>
      </c>
      <c r="G4475" s="1" t="str">
        <f ca="1">IFERROR(__xludf.DUMMYFUNCTION("GOOGLETRANSLATE(English!G4475, ""en"", ""bg"")"),"разговор")</f>
        <v>разговор</v>
      </c>
      <c r="H4475" s="1" t="str">
        <f ca="1">IFERROR(__xludf.DUMMYFUNCTION("GOOGLETRANSLATE(English!H4475, ""en"", ""bg"")"),"образователна_помощ")</f>
        <v>образователна_помощ</v>
      </c>
    </row>
    <row r="4476" spans="1:8" ht="13.2" x14ac:dyDescent="0.25">
      <c r="A4476" s="1" t="str">
        <f ca="1">IFERROR(__xludf.DUMMYFUNCTION("GOOGLETRANSLATE(English!A4476, ""en"", ""bg"")"),"conv_19700")</f>
        <v>conv_19700</v>
      </c>
      <c r="B4476" s="1" t="str">
        <f ca="1">IFERROR(__xludf.DUMMYFUNCTION("GOOGLETRANSLATE(English!B4476, ""en"", ""bg"")"),"биология")</f>
        <v>биология</v>
      </c>
      <c r="C4476" s="1" t="str">
        <f ca="1">IFERROR(__xludf.DUMMYFUNCTION("GOOGLETRANSLATE(English!C4476, ""en"", ""bg"")"),"средата")</f>
        <v>средата</v>
      </c>
      <c r="D4476" s="1" t="str">
        <f ca="1">IFERROR(__xludf.DUMMYFUNCTION("GOOGLETRANSLATE(English!D4476, ""en"", ""bg"")"),"размножаване")</f>
        <v>размножаване</v>
      </c>
      <c r="E4476" s="1" t="str">
        <f ca="1">IFERROR(__xludf.DUMMYFUNCTION("GOOGLETRANSLATE(English!E4476, ""en"", ""bg"")"),"Можете ли да ми обясните това? Как работи размножаването?")</f>
        <v>Можете ли да ми обясните това? Как работи размножаването?</v>
      </c>
      <c r="F4476" s="1" t="str">
        <f ca="1">IFERROR(__xludf.DUMMYFUNCTION("GOOGLETRANSLATE(English!F4476, ""en"", ""bg"")"),"Размножаването протича чрез естествени процеси, които учените изучават от много години.")</f>
        <v>Размножаването протича чрез естествени процеси, които учените изучават от много години.</v>
      </c>
      <c r="G4476" s="1" t="str">
        <f ca="1">IFERROR(__xludf.DUMMYFUNCTION("GOOGLETRANSLATE(English!G4476, ""en"", ""bg"")"),"разговор")</f>
        <v>разговор</v>
      </c>
      <c r="H4476" s="1" t="str">
        <f ca="1">IFERROR(__xludf.DUMMYFUNCTION("GOOGLETRANSLATE(English!H4476, ""en"", ""bg"")"),"образователна_помощ")</f>
        <v>образователна_помощ</v>
      </c>
    </row>
    <row r="4477" spans="1:8" ht="13.2" x14ac:dyDescent="0.25">
      <c r="A4477" s="1" t="str">
        <f ca="1">IFERROR(__xludf.DUMMYFUNCTION("GOOGLETRANSLATE(English!A4477, ""en"", ""bg"")"),"hw_03510")</f>
        <v>hw_03510</v>
      </c>
      <c r="B4477" s="1" t="str">
        <f ca="1">IFERROR(__xludf.DUMMYFUNCTION("GOOGLETRANSLATE(English!B4477, ""en"", ""bg"")"),"биология")</f>
        <v>биология</v>
      </c>
      <c r="C4477" s="1" t="str">
        <f ca="1">IFERROR(__xludf.DUMMYFUNCTION("GOOGLETRANSLATE(English!C4477, ""en"", ""bg"")"),"елементарен")</f>
        <v>елементарен</v>
      </c>
      <c r="D4477" s="1" t="str">
        <f ca="1">IFERROR(__xludf.DUMMYFUNCTION("GOOGLETRANSLATE(English!D4477, ""en"", ""bg"")"),"жизнени цикли")</f>
        <v>жизнени цикли</v>
      </c>
      <c r="E4477" s="1" t="str">
        <f ca="1">IFERROR(__xludf.DUMMYFUNCTION("GOOGLETRANSLATE(English!E4477, ""en"", ""bg"")"),"Трябва да напиша доклад за жизнените цикли. Можете ли да ми помогнете да започна?")</f>
        <v>Трябва да напиша доклад за жизнените цикли. Можете ли да ми помогнете да започна?</v>
      </c>
      <c r="F4477" s="1" t="str">
        <f ca="1">IFERROR(__xludf.DUMMYFUNCTION("GOOGLETRANSLATE(English!F4477, ""en"", ""bg"")"),"Ще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започнет"&amp;"е?")</f>
        <v>Ще се радвам да ви помогна с жизнените цикли! Нека разделя това на прости стъпки. Първо, нека обясня какво означава жизнен цикъл и защо е важен в биологията. След това можем да разгледаме заедно някои примери. С коя конкретна част бихте искали да започнете?</v>
      </c>
      <c r="G4477" s="1" t="str">
        <f ca="1">IFERROR(__xludf.DUMMYFUNCTION("GOOGLETRANSLATE(English!G4477, ""en"", ""bg"")"),"помощ_за_домашно_изпълнение")</f>
        <v>помощ_за_домашно_изпълнение</v>
      </c>
      <c r="H4477" s="1" t="str">
        <f ca="1">IFERROR(__xludf.DUMMYFUNCTION("GOOGLETRANSLATE(English!H4477, ""en"", ""bg"")"),"помощ_за_домашно_задаване")</f>
        <v>помощ_за_домашно_задаване</v>
      </c>
    </row>
    <row r="4478" spans="1:8" ht="13.2" x14ac:dyDescent="0.25">
      <c r="A4478" s="1" t="str">
        <f ca="1">IFERROR(__xludf.DUMMYFUNCTION("GOOGLETRANSLATE(English!A4478, ""en"", ""bg"")"),"conv_17588")</f>
        <v>conv_17588</v>
      </c>
      <c r="B4478" s="1" t="str">
        <f ca="1">IFERROR(__xludf.DUMMYFUNCTION("GOOGLETRANSLATE(English!B4478, ""en"", ""bg"")"),"химия")</f>
        <v>химия</v>
      </c>
      <c r="C4478" s="1" t="str">
        <f ca="1">IFERROR(__xludf.DUMMYFUNCTION("GOOGLETRANSLATE(English!C4478, ""en"", ""bg"")"),"елементарен")</f>
        <v>елементарен</v>
      </c>
      <c r="D4478" s="1" t="str">
        <f ca="1">IFERROR(__xludf.DUMMYFUNCTION("GOOGLETRANSLATE(English!D4478, ""en"", ""bg"")"),"промени в материалите")</f>
        <v>промени в материалите</v>
      </c>
      <c r="E4478" s="1" t="str">
        <f ca="1">IFERROR(__xludf.DUMMYFUNCTION("GOOGLETRANSLATE(English!E4478, ""en"", ""bg"")"),"Можете ли да ми помогнете? Какво представляват промените в материалите?")</f>
        <v>Можете ли да ми помогнете? Какво представляват промените в материалите?</v>
      </c>
      <c r="F4478" s="1" t="str">
        <f ca="1">IFERROR(__xludf.DUMMYFUNCTION("GOOGLETRANSLATE(English!F4478,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4478" s="1" t="str">
        <f ca="1">IFERROR(__xludf.DUMMYFUNCTION("GOOGLETRANSLATE(English!G4478, ""en"", ""bg"")"),"разговор")</f>
        <v>разговор</v>
      </c>
      <c r="H4478" s="1" t="str">
        <f ca="1">IFERROR(__xludf.DUMMYFUNCTION("GOOGLETRANSLATE(English!H4478, ""en"", ""bg"")"),"образователна_помощ")</f>
        <v>образователна_помощ</v>
      </c>
    </row>
    <row r="4479" spans="1:8" ht="13.2" x14ac:dyDescent="0.25">
      <c r="A4479" s="1" t="str">
        <f ca="1">IFERROR(__xludf.DUMMYFUNCTION("GOOGLETRANSLATE(English!A4479, ""en"", ""bg"")"),"qa_07227")</f>
        <v>qa_07227</v>
      </c>
      <c r="B4479" s="1" t="str">
        <f ca="1">IFERROR(__xludf.DUMMYFUNCTION("GOOGLETRANSLATE(English!B4479, ""en"", ""bg"")"),"химия")</f>
        <v>химия</v>
      </c>
      <c r="C4479" s="1" t="str">
        <f ca="1">IFERROR(__xludf.DUMMYFUNCTION("GOOGLETRANSLATE(English!C4479, ""en"", ""bg"")"),"високо")</f>
        <v>високо</v>
      </c>
      <c r="D4479" s="1" t="str">
        <f ca="1">IFERROR(__xludf.DUMMYFUNCTION("GOOGLETRANSLATE(English!D4479, ""en"", ""bg"")"),"стехиометрия")</f>
        <v>стехиометрия</v>
      </c>
      <c r="E4479" s="1" t="str">
        <f ca="1">IFERROR(__xludf.DUMMYFUNCTION("GOOGLETRANSLATE(English!E4479, ""en"", ""bg"")"),"Защо е важно да се учи стехиометрията?")</f>
        <v>Защо е важно да се учи стехиометрията?</v>
      </c>
      <c r="F4479" s="1" t="str">
        <f ca="1">IFERROR(__xludf.DUMMYFUNCTION("GOOGLETRANSLATE(English!F4479, ""en"", ""bg"")"),"Изучаването на стехиометрията ни помага да разберем света около нас и как протичат химичните процеси в природата и технологиите.")</f>
        <v>Изучаването на стехиометрията ни помага да разберем света около нас и как протичат химичните процеси в природата и технологиите.</v>
      </c>
      <c r="G4479" s="1" t="str">
        <f ca="1">IFERROR(__xludf.DUMMYFUNCTION("GOOGLETRANSLATE(English!G4479, ""en"", ""bg"")"),"direct_qa")</f>
        <v>direct_qa</v>
      </c>
      <c r="H4479" s="1" t="str">
        <f ca="1">IFERROR(__xludf.DUMMYFUNCTION("GOOGLETRANSLATE(English!H4479, ""en"", ""bg"")"),"заявка_за_знание")</f>
        <v>заявка_за_знание</v>
      </c>
    </row>
    <row r="4480" spans="1:8" ht="13.2" x14ac:dyDescent="0.25">
      <c r="A4480" s="1" t="str">
        <f ca="1">IFERROR(__xludf.DUMMYFUNCTION("GOOGLETRANSLATE(English!A4480, ""en"", ""bg"")"),"hw_07517")</f>
        <v>hw_07517</v>
      </c>
      <c r="B4480" s="1" t="str">
        <f ca="1">IFERROR(__xludf.DUMMYFUNCTION("GOOGLETRANSLATE(English!B4480, ""en"", ""bg"")"),"химия")</f>
        <v>химия</v>
      </c>
      <c r="C4480" s="1" t="str">
        <f ca="1">IFERROR(__xludf.DUMMYFUNCTION("GOOGLETRANSLATE(English!C4480, ""en"", ""bg"")"),"средата")</f>
        <v>средата</v>
      </c>
      <c r="D4480" s="1" t="str">
        <f ca="1">IFERROR(__xludf.DUMMYFUNCTION("GOOGLETRANSLATE(English!D4480, ""en"", ""bg"")"),"химични промени")</f>
        <v>химични промени</v>
      </c>
      <c r="E4480" s="1" t="str">
        <f ca="1">IFERROR(__xludf.DUMMYFUNCTION("GOOGLETRANSLATE(English!E4480, ""en"", ""bg"")"),"Не разбирам тази концепция за химични промени. Моля, обяснете!")</f>
        <v>Не разбирам тази концепция за химични промени. Моля, обяснете!</v>
      </c>
      <c r="F4480" s="1" t="str">
        <f ca="1">IFERROR(__xludf.DUMMYFUNCTION("GOOGLETRANSLATE(English!F4480,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480" s="1" t="str">
        <f ca="1">IFERROR(__xludf.DUMMYFUNCTION("GOOGLETRANSLATE(English!G4480, ""en"", ""bg"")"),"помощ_за_домашно_изпълнение")</f>
        <v>помощ_за_домашно_изпълнение</v>
      </c>
      <c r="H4480" s="1" t="str">
        <f ca="1">IFERROR(__xludf.DUMMYFUNCTION("GOOGLETRANSLATE(English!H4480, ""en"", ""bg"")"),"помощ_за_домашно_задаване")</f>
        <v>помощ_за_домашно_задаване</v>
      </c>
    </row>
    <row r="4481" spans="1:8" ht="13.2" x14ac:dyDescent="0.25">
      <c r="A4481" s="1" t="str">
        <f ca="1">IFERROR(__xludf.DUMMYFUNCTION("GOOGLETRANSLATE(English!A4481, ""en"", ""bg"")"),"hw_07830")</f>
        <v>hw_07830</v>
      </c>
      <c r="B4481" s="1" t="str">
        <f ca="1">IFERROR(__xludf.DUMMYFUNCTION("GOOGLETRANSLATE(English!B4481, ""en"", ""bg"")"),"биология")</f>
        <v>биология</v>
      </c>
      <c r="C4481" s="1" t="str">
        <f ca="1">IFERROR(__xludf.DUMMYFUNCTION("GOOGLETRANSLATE(English!C4481, ""en"", ""bg"")"),"елементарен")</f>
        <v>елементарен</v>
      </c>
      <c r="D4481" s="1" t="str">
        <f ca="1">IFERROR(__xludf.DUMMYFUNCTION("GOOGLETRANSLATE(English!D4481, ""en"", ""bg"")"),"растения")</f>
        <v>растения</v>
      </c>
      <c r="E4481" s="1" t="str">
        <f ca="1">IFERROR(__xludf.DUMMYFUNCTION("GOOGLETRANSLATE(English!E4481, ""en"", ""bg"")"),"Трябва да напиша доклад за растенията. Можете ли да ми помогнете да започна?")</f>
        <v>Трябва да напиша доклад за растенията. Можете ли да ми помогнете да започна?</v>
      </c>
      <c r="F4481" s="1" t="str">
        <f ca="1">IFERROR(__xludf.DUMMYFUNCTION("GOOGLETRANSLATE(English!F4481,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481" s="1" t="str">
        <f ca="1">IFERROR(__xludf.DUMMYFUNCTION("GOOGLETRANSLATE(English!G4481, ""en"", ""bg"")"),"помощ_за_домашно_изпълнение")</f>
        <v>помощ_за_домашно_изпълнение</v>
      </c>
      <c r="H4481" s="1" t="str">
        <f ca="1">IFERROR(__xludf.DUMMYFUNCTION("GOOGLETRANSLATE(English!H4481, ""en"", ""bg"")"),"помощ_за_домашно_задаване")</f>
        <v>помощ_за_домашно_задаване</v>
      </c>
    </row>
    <row r="4482" spans="1:8" ht="13.2" x14ac:dyDescent="0.25">
      <c r="A4482" s="1" t="str">
        <f ca="1">IFERROR(__xludf.DUMMYFUNCTION("GOOGLETRANSLATE(English!A4482, ""en"", ""bg"")"),"conv_18570")</f>
        <v>conv_18570</v>
      </c>
      <c r="B4482" s="1" t="str">
        <f ca="1">IFERROR(__xludf.DUMMYFUNCTION("GOOGLETRANSLATE(English!B4482, ""en"", ""bg"")"),"физика")</f>
        <v>физика</v>
      </c>
      <c r="C4482" s="1" t="str">
        <f ca="1">IFERROR(__xludf.DUMMYFUNCTION("GOOGLETRANSLATE(English!C4482, ""en"", ""bg"")"),"средата")</f>
        <v>средата</v>
      </c>
      <c r="D4482" s="1" t="str">
        <f ca="1">IFERROR(__xludf.DUMMYFUNCTION("GOOGLETRANSLATE(English!D4482, ""en"", ""bg"")"),"сили и движение")</f>
        <v>сили и движение</v>
      </c>
      <c r="E4482" s="1" t="str">
        <f ca="1">IFERROR(__xludf.DUMMYFUNCTION("GOOGLETRANSLATE(English!E4482, ""en"", ""bg"")"),"Помогнете ми да уча за теста. Какво е ускорение?")</f>
        <v>Помогнете ми да уча за теста. Какво е ускорение?</v>
      </c>
      <c r="F4482" s="1" t="str">
        <f ca="1">IFERROR(__xludf.DUMMYFUNCTION("GOOGLETRANSLATE(English!F4482,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4482" s="1" t="str">
        <f ca="1">IFERROR(__xludf.DUMMYFUNCTION("GOOGLETRANSLATE(English!G4482, ""en"", ""bg"")"),"разговор")</f>
        <v>разговор</v>
      </c>
      <c r="H4482" s="1" t="str">
        <f ca="1">IFERROR(__xludf.DUMMYFUNCTION("GOOGLETRANSLATE(English!H4482, ""en"", ""bg"")"),"образователна_помощ")</f>
        <v>образователна_помощ</v>
      </c>
    </row>
    <row r="4483" spans="1:8" ht="13.2" x14ac:dyDescent="0.25">
      <c r="A4483" s="1" t="str">
        <f ca="1">IFERROR(__xludf.DUMMYFUNCTION("GOOGLETRANSLATE(English!A4483, ""en"", ""bg"")"),"hw_11203")</f>
        <v>hw_11203</v>
      </c>
      <c r="B4483" s="1" t="str">
        <f ca="1">IFERROR(__xludf.DUMMYFUNCTION("GOOGLETRANSLATE(English!B4483, ""en"", ""bg"")"),"физика")</f>
        <v>физика</v>
      </c>
      <c r="C4483" s="1" t="str">
        <f ca="1">IFERROR(__xludf.DUMMYFUNCTION("GOOGLETRANSLATE(English!C4483, ""en"", ""bg"")"),"високо")</f>
        <v>високо</v>
      </c>
      <c r="D4483" s="1" t="str">
        <f ca="1">IFERROR(__xludf.DUMMYFUNCTION("GOOGLETRANSLATE(English!D4483, ""en"", ""bg"")"),"механика")</f>
        <v>механика</v>
      </c>
      <c r="E4483" s="1" t="str">
        <f ca="1">IFERROR(__xludf.DUMMYFUNCTION("GOOGLETRANSLATE(English!E4483, ""en"", ""bg"")"),"Заседнал съм с този механичен проблем. Можете ли да помогнете?")</f>
        <v>Заседнал съм с този механичен проблем. Можете ли да помогнете?</v>
      </c>
      <c r="F4483" s="1" t="str">
        <f ca="1">IFERROR(__xludf.DUMMYFUNCTION("GOOGLETRANSLATE(English!F4483,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4483" s="1" t="str">
        <f ca="1">IFERROR(__xludf.DUMMYFUNCTION("GOOGLETRANSLATE(English!G4483, ""en"", ""bg"")"),"помощ_за_домашно_изпълнение")</f>
        <v>помощ_за_домашно_изпълнение</v>
      </c>
      <c r="H4483" s="1" t="str">
        <f ca="1">IFERROR(__xludf.DUMMYFUNCTION("GOOGLETRANSLATE(English!H4483, ""en"", ""bg"")"),"помощ_за_домашно_задаване")</f>
        <v>помощ_за_домашно_задаване</v>
      </c>
    </row>
    <row r="4484" spans="1:8" ht="13.2" x14ac:dyDescent="0.25">
      <c r="A4484" s="1" t="str">
        <f ca="1">IFERROR(__xludf.DUMMYFUNCTION("GOOGLETRANSLATE(English!A4484, ""en"", ""bg"")"),"hw_00412")</f>
        <v>hw_00412</v>
      </c>
      <c r="B4484" s="1" t="str">
        <f ca="1">IFERROR(__xludf.DUMMYFUNCTION("GOOGLETRANSLATE(English!B4484, ""en"", ""bg"")"),"биология")</f>
        <v>биология</v>
      </c>
      <c r="C4484" s="1" t="str">
        <f ca="1">IFERROR(__xludf.DUMMYFUNCTION("GOOGLETRANSLATE(English!C4484, ""en"", ""bg"")"),"средата")</f>
        <v>средата</v>
      </c>
      <c r="D4484" s="1" t="str">
        <f ca="1">IFERROR(__xludf.DUMMYFUNCTION("GOOGLETRANSLATE(English!D4484, ""en"", ""bg"")"),"основи на генетиката")</f>
        <v>основи на генетиката</v>
      </c>
      <c r="E4484" s="1" t="str">
        <f ca="1">IFERROR(__xludf.DUMMYFUNCTION("GOOGLETRANSLATE(English!E4484, ""en"", ""bg"")"),"Трябва да напиша доклад за основите на генетиката. Можете ли да ми помогнете да започна?")</f>
        <v>Трябва да напиша доклад за основите на генетиката. Можете ли да ми помогнете да започна?</v>
      </c>
      <c r="F4484" s="1" t="str">
        <f ca="1">IFERROR(__xludf.DUMMYFUNCTION("GOOGLETRANSLATE(English!F4484,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484" s="1" t="str">
        <f ca="1">IFERROR(__xludf.DUMMYFUNCTION("GOOGLETRANSLATE(English!G4484, ""en"", ""bg"")"),"помощ_за_домашно_изпълнение")</f>
        <v>помощ_за_домашно_изпълнение</v>
      </c>
      <c r="H4484" s="1" t="str">
        <f ca="1">IFERROR(__xludf.DUMMYFUNCTION("GOOGLETRANSLATE(English!H4484, ""en"", ""bg"")"),"помощ_за_домашно_задаване")</f>
        <v>помощ_за_домашно_задаване</v>
      </c>
    </row>
    <row r="4485" spans="1:8" ht="13.2" x14ac:dyDescent="0.25">
      <c r="A4485" s="1" t="str">
        <f ca="1">IFERROR(__xludf.DUMMYFUNCTION("GOOGLETRANSLATE(English!A4485, ""en"", ""bg"")"),"hw_02119")</f>
        <v>hw_02119</v>
      </c>
      <c r="B4485" s="1" t="str">
        <f ca="1">IFERROR(__xludf.DUMMYFUNCTION("GOOGLETRANSLATE(English!B4485, ""en"", ""bg"")"),"биология")</f>
        <v>биология</v>
      </c>
      <c r="C4485" s="1" t="str">
        <f ca="1">IFERROR(__xludf.DUMMYFUNCTION("GOOGLETRANSLATE(English!C4485, ""en"", ""bg"")"),"елементарен")</f>
        <v>елементарен</v>
      </c>
      <c r="D4485" s="1" t="str">
        <f ca="1">IFERROR(__xludf.DUMMYFUNCTION("GOOGLETRANSLATE(English!D4485, ""en"", ""bg"")"),"домашни любимци срещу диви животни")</f>
        <v>домашни любимци срещу диви животни</v>
      </c>
      <c r="E4485" s="1" t="str">
        <f ca="1">IFERROR(__xludf.DUMMYFUNCTION("GOOGLETRANSLATE(English!E4485, ""en"", ""bg"")"),"Домашното ми пита за домашни любимци срещу диви животни. Не го разбирам.")</f>
        <v>Домашното ми пита за домашни любимци срещу диви животни. Не го разбирам.</v>
      </c>
      <c r="F4485" s="1" t="str">
        <f ca="1">IFERROR(__xludf.DUMMYFUNCTION("GOOGLETRANSLATE(English!F4485, ""en"", ""bg"")"),"Ще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"&amp;"С коя конкретна част бихте искали да започнете?")</f>
        <v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v>
      </c>
      <c r="G4485" s="1" t="str">
        <f ca="1">IFERROR(__xludf.DUMMYFUNCTION("GOOGLETRANSLATE(English!G4485, ""en"", ""bg"")"),"помощ_за_домашно_изпълнение")</f>
        <v>помощ_за_домашно_изпълнение</v>
      </c>
      <c r="H4485" s="1" t="str">
        <f ca="1">IFERROR(__xludf.DUMMYFUNCTION("GOOGLETRANSLATE(English!H4485, ""en"", ""bg"")"),"помощ_за_домашно_задаване")</f>
        <v>помощ_за_домашно_задаване</v>
      </c>
    </row>
    <row r="4486" spans="1:8" ht="13.2" x14ac:dyDescent="0.25">
      <c r="A4486" s="1" t="str">
        <f ca="1">IFERROR(__xludf.DUMMYFUNCTION("GOOGLETRANSLATE(English!A4486, ""en"", ""bg"")"),"hw_12774")</f>
        <v>hw_12774</v>
      </c>
      <c r="B4486" s="1" t="str">
        <f ca="1">IFERROR(__xludf.DUMMYFUNCTION("GOOGLETRANSLATE(English!B4486, ""en"", ""bg"")"),"физика")</f>
        <v>физика</v>
      </c>
      <c r="C4486" s="1" t="str">
        <f ca="1">IFERROR(__xludf.DUMMYFUNCTION("GOOGLETRANSLATE(English!C4486, ""en"", ""bg"")"),"високо")</f>
        <v>високо</v>
      </c>
      <c r="D4486" s="1" t="str">
        <f ca="1">IFERROR(__xludf.DUMMYFUNCTION("GOOGLETRANSLATE(English!D4486, ""en"", ""bg"")"),"електромагнетизъм")</f>
        <v>електромагнетизъм</v>
      </c>
      <c r="E4486" s="1" t="str">
        <f ca="1">IFERROR(__xludf.DUMMYFUNCTION("GOOGLETRANSLATE(English!E4486, ""en"", ""bg"")"),"Заседнал съм с този проблем с електромагнетизма. Можете ли да помогнете?")</f>
        <v>Заседнал съм с този проблем с електромагнетизма. Можете ли да помогнете?</v>
      </c>
      <c r="F4486" s="1" t="str">
        <f ca="1">IFERROR(__xludf.DUMMYFUNCTION("GOOGLETRANSLATE(English!F4486,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4486" s="1" t="str">
        <f ca="1">IFERROR(__xludf.DUMMYFUNCTION("GOOGLETRANSLATE(English!G4486, ""en"", ""bg"")"),"помощ_за_домашно_изпълнение")</f>
        <v>помощ_за_домашно_изпълнение</v>
      </c>
      <c r="H4486" s="1" t="str">
        <f ca="1">IFERROR(__xludf.DUMMYFUNCTION("GOOGLETRANSLATE(English!H4486, ""en"", ""bg"")"),"помощ_за_домашно_задаване")</f>
        <v>помощ_за_домашно_задаване</v>
      </c>
    </row>
    <row r="4487" spans="1:8" ht="13.2" x14ac:dyDescent="0.25">
      <c r="A4487" s="1" t="str">
        <f ca="1">IFERROR(__xludf.DUMMYFUNCTION("GOOGLETRANSLATE(English!A4487, ""en"", ""bg"")"),"conv_08320")</f>
        <v>conv_08320</v>
      </c>
      <c r="B4487" s="1" t="str">
        <f ca="1">IFERROR(__xludf.DUMMYFUNCTION("GOOGLETRANSLATE(English!B4487, ""en"", ""bg"")"),"химия")</f>
        <v>химия</v>
      </c>
      <c r="C4487" s="1" t="str">
        <f ca="1">IFERROR(__xludf.DUMMYFUNCTION("GOOGLETRANSLATE(English!C4487, ""en"", ""bg"")"),"елементарен")</f>
        <v>елементарен</v>
      </c>
      <c r="D4487" s="1" t="str">
        <f ca="1">IFERROR(__xludf.DUMMYFUNCTION("GOOGLETRANSLATE(English!D4487, ""en"", ""bg"")"),"ежедневни химикали")</f>
        <v>ежедневни химикали</v>
      </c>
      <c r="E4487" s="1" t="str">
        <f ca="1">IFERROR(__xludf.DUMMYFUNCTION("GOOGLETRANSLATE(English!E4487, ""en"", ""bg"")"),"Можете ли да ми обясните това? Защо е важно да се изучават ежедневните химикали?")</f>
        <v>Можете ли да ми обясните това? Защо е важно да се изучават ежедневните химикали?</v>
      </c>
      <c r="F4487" s="1" t="str">
        <f ca="1">IFERROR(__xludf.DUMMYFUNCTION("GOOGLETRANSLATE(English!F4487,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4487" s="1" t="str">
        <f ca="1">IFERROR(__xludf.DUMMYFUNCTION("GOOGLETRANSLATE(English!G4487, ""en"", ""bg"")"),"разговор")</f>
        <v>разговор</v>
      </c>
      <c r="H4487" s="1" t="str">
        <f ca="1">IFERROR(__xludf.DUMMYFUNCTION("GOOGLETRANSLATE(English!H4487, ""en"", ""bg"")"),"образователна_помощ")</f>
        <v>образователна_помощ</v>
      </c>
    </row>
    <row r="4488" spans="1:8" ht="13.2" x14ac:dyDescent="0.25">
      <c r="A4488" s="1" t="str">
        <f ca="1">IFERROR(__xludf.DUMMYFUNCTION("GOOGLETRANSLATE(English!A4488, ""en"", ""bg"")"),"qa_04040")</f>
        <v>qa_04040</v>
      </c>
      <c r="B4488" s="1" t="str">
        <f ca="1">IFERROR(__xludf.DUMMYFUNCTION("GOOGLETRANSLATE(English!B4488, ""en"", ""bg"")"),"химия")</f>
        <v>химия</v>
      </c>
      <c r="C4488" s="1" t="str">
        <f ca="1">IFERROR(__xludf.DUMMYFUNCTION("GOOGLETRANSLATE(English!C4488, ""en"", ""bg"")"),"средата")</f>
        <v>средата</v>
      </c>
      <c r="D4488" s="1" t="str">
        <f ca="1">IFERROR(__xludf.DUMMYFUNCTION("GOOGLETRANSLATE(English!D4488, ""en"", ""bg"")"),"химични реакции")</f>
        <v>химични реакции</v>
      </c>
      <c r="E4488" s="1" t="str">
        <f ca="1">IFERROR(__xludf.DUMMYFUNCTION("GOOGLETRANSLATE(English!E4488, ""en"", ""bg"")"),"Какво представляват реагентите и продуктите?")</f>
        <v>Какво представляват реагентите и продуктите?</v>
      </c>
      <c r="F4488" s="1" t="str">
        <f ca="1">IFERROR(__xludf.DUMMYFUNCTION("GOOGLETRANSLATE(English!F4488,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4488" s="1" t="str">
        <f ca="1">IFERROR(__xludf.DUMMYFUNCTION("GOOGLETRANSLATE(English!G4488, ""en"", ""bg"")"),"direct_qa")</f>
        <v>direct_qa</v>
      </c>
      <c r="H4488" s="1" t="str">
        <f ca="1">IFERROR(__xludf.DUMMYFUNCTION("GOOGLETRANSLATE(English!H4488, ""en"", ""bg"")"),"заявка_за_знание")</f>
        <v>заявка_за_знание</v>
      </c>
    </row>
    <row r="4489" spans="1:8" ht="13.2" x14ac:dyDescent="0.25">
      <c r="A4489" s="1" t="str">
        <f ca="1">IFERROR(__xludf.DUMMYFUNCTION("GOOGLETRANSLATE(English!A4489, ""en"", ""bg"")"),"hw_13352")</f>
        <v>hw_13352</v>
      </c>
      <c r="B4489" s="1" t="str">
        <f ca="1">IFERROR(__xludf.DUMMYFUNCTION("GOOGLETRANSLATE(English!B4489, ""en"", ""bg"")"),"биология")</f>
        <v>биология</v>
      </c>
      <c r="C4489" s="1" t="str">
        <f ca="1">IFERROR(__xludf.DUMMYFUNCTION("GOOGLETRANSLATE(English!C4489, ""en"", ""bg"")"),"високо")</f>
        <v>високо</v>
      </c>
      <c r="D4489" s="1" t="str">
        <f ca="1">IFERROR(__xludf.DUMMYFUNCTION("GOOGLETRANSLATE(English!D4489, ""en"", ""bg"")"),"клетъчно дишане")</f>
        <v>клетъчно дишане</v>
      </c>
      <c r="E4489" s="1" t="str">
        <f ca="1">IFERROR(__xludf.DUMMYFUNCTION("GOOGLETRANSLATE(English!E4489, ""en"", ""bg"")"),"Домашното ми пита за клетъчното дишане. Не го разбирам.")</f>
        <v>Домашното ми пита за клетъчното дишане. Не го разбирам.</v>
      </c>
      <c r="F4489" s="1" t="str">
        <f ca="1">IFERROR(__xludf.DUMMYFUNCTION("GOOGLETRANSLATE(English!F4489,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4489" s="1" t="str">
        <f ca="1">IFERROR(__xludf.DUMMYFUNCTION("GOOGLETRANSLATE(English!G4489, ""en"", ""bg"")"),"помощ_за_домашно_изпълнение")</f>
        <v>помощ_за_домашно_изпълнение</v>
      </c>
      <c r="H4489" s="1" t="str">
        <f ca="1">IFERROR(__xludf.DUMMYFUNCTION("GOOGLETRANSLATE(English!H4489, ""en"", ""bg"")"),"помощ_за_домашно_задаване")</f>
        <v>помощ_за_домашно_задаване</v>
      </c>
    </row>
    <row r="4490" spans="1:8" ht="13.2" x14ac:dyDescent="0.25">
      <c r="A4490" s="1" t="str">
        <f ca="1">IFERROR(__xludf.DUMMYFUNCTION("GOOGLETRANSLATE(English!A4490, ""en"", ""bg"")"),"hw_07207")</f>
        <v>hw_07207</v>
      </c>
      <c r="B4490" s="1" t="str">
        <f ca="1">IFERROR(__xludf.DUMMYFUNCTION("GOOGLETRANSLATE(English!B4490, ""en"", ""bg"")"),"химия")</f>
        <v>химия</v>
      </c>
      <c r="C4490" s="1" t="str">
        <f ca="1">IFERROR(__xludf.DUMMYFUNCTION("GOOGLETRANSLATE(English!C4490, ""en"", ""bg"")"),"средата")</f>
        <v>средата</v>
      </c>
      <c r="D4490" s="1" t="str">
        <f ca="1">IFERROR(__xludf.DUMMYFUNCTION("GOOGLETRANSLATE(English!D4490, ""en"", ""bg"")"),"химични промени")</f>
        <v>химични промени</v>
      </c>
      <c r="E4490" s="1" t="str">
        <f ca="1">IFERROR(__xludf.DUMMYFUNCTION("GOOGLETRANSLATE(English!E4490,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4490" s="1" t="str">
        <f ca="1">IFERROR(__xludf.DUMMYFUNCTION("GOOGLETRANSLATE(English!F4490,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490" s="1" t="str">
        <f ca="1">IFERROR(__xludf.DUMMYFUNCTION("GOOGLETRANSLATE(English!G4490, ""en"", ""bg"")"),"помощ_за_домашно_изпълнение")</f>
        <v>помощ_за_домашно_изпълнение</v>
      </c>
      <c r="H4490" s="1" t="str">
        <f ca="1">IFERROR(__xludf.DUMMYFUNCTION("GOOGLETRANSLATE(English!H4490, ""en"", ""bg"")"),"помощ_за_домашно_задаване")</f>
        <v>помощ_за_домашно_задаване</v>
      </c>
    </row>
    <row r="4491" spans="1:8" ht="13.2" x14ac:dyDescent="0.25">
      <c r="A4491" s="1" t="str">
        <f ca="1">IFERROR(__xludf.DUMMYFUNCTION("GOOGLETRANSLATE(English!A4491, ""en"", ""bg"")"),"conv_04821")</f>
        <v>conv_04821</v>
      </c>
      <c r="B4491" s="1" t="str">
        <f ca="1">IFERROR(__xludf.DUMMYFUNCTION("GOOGLETRANSLATE(English!B4491, ""en"", ""bg"")"),"биология")</f>
        <v>биология</v>
      </c>
      <c r="C4491" s="1" t="str">
        <f ca="1">IFERROR(__xludf.DUMMYFUNCTION("GOOGLETRANSLATE(English!C4491, ""en"", ""bg"")"),"елементарен")</f>
        <v>елементарен</v>
      </c>
      <c r="D4491" s="1" t="str">
        <f ca="1">IFERROR(__xludf.DUMMYFUNCTION("GOOGLETRANSLATE(English!D4491, ""en"", ""bg"")"),"растения")</f>
        <v>растения</v>
      </c>
      <c r="E4491" s="1" t="str">
        <f ca="1">IFERROR(__xludf.DUMMYFUNCTION("GOOGLETRANSLATE(English!E4491, ""en"", ""bg"")"),"Не разбирам тази тема. Как растенията си произвеждат сами храната?")</f>
        <v>Не разбирам тази тема. Как растенията си произвеждат сами храната?</v>
      </c>
      <c r="F4491" s="1" t="str">
        <f ca="1">IFERROR(__xludf.DUMMYFUNCTION("GOOGLETRANSLATE(English!F4491, ""en"", ""bg"")"),"Растенията произвеждат храна чрез фотосинтеза - те използват слънчева светлина, вода и въздух, за да създадат захар за енергия.")</f>
        <v>Растенията произвеждат храна чрез фотосинтеза - те използват слънчева светлина, вода и въздух, за да създадат захар за енергия.</v>
      </c>
      <c r="G4491" s="1" t="str">
        <f ca="1">IFERROR(__xludf.DUMMYFUNCTION("GOOGLETRANSLATE(English!G4491, ""en"", ""bg"")"),"разговор")</f>
        <v>разговор</v>
      </c>
      <c r="H4491" s="1" t="str">
        <f ca="1">IFERROR(__xludf.DUMMYFUNCTION("GOOGLETRANSLATE(English!H4491, ""en"", ""bg"")"),"образователна_помощ")</f>
        <v>образователна_помощ</v>
      </c>
    </row>
    <row r="4492" spans="1:8" ht="13.2" x14ac:dyDescent="0.25">
      <c r="A4492" s="1" t="str">
        <f ca="1">IFERROR(__xludf.DUMMYFUNCTION("GOOGLETRANSLATE(English!A4492, ""en"", ""bg"")"),"conv_08086")</f>
        <v>conv_08086</v>
      </c>
      <c r="B4492" s="1" t="str">
        <f ca="1">IFERROR(__xludf.DUMMYFUNCTION("GOOGLETRANSLATE(English!B4492, ""en"", ""bg"")"),"биология")</f>
        <v>биология</v>
      </c>
      <c r="C4492" s="1" t="str">
        <f ca="1">IFERROR(__xludf.DUMMYFUNCTION("GOOGLETRANSLATE(English!C4492, ""en"", ""bg"")"),"високо")</f>
        <v>високо</v>
      </c>
      <c r="D4492" s="1" t="str">
        <f ca="1">IFERROR(__xludf.DUMMYFUNCTION("GOOGLETRANSLATE(English!D4492, ""en"", ""bg"")"),"Структура на ДНК")</f>
        <v>Структура на ДНК</v>
      </c>
      <c r="E4492" s="1" t="str">
        <f ca="1">IFERROR(__xludf.DUMMYFUNCTION("GOOGLETRANSLATE(English!E4492, ""en"", ""bg"")"),"Помогнете ми да уча за теста си. Защо структурата на ДНК е важна в биологията?")</f>
        <v>Помогнете ми да уча за теста си. Защо структурата на ДНК е важна в биологията?</v>
      </c>
      <c r="F4492" s="1" t="str">
        <f ca="1">IFERROR(__xludf.DUMMYFUNCTION("GOOGLETRANSLATE(English!F4492,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4492" s="1" t="str">
        <f ca="1">IFERROR(__xludf.DUMMYFUNCTION("GOOGLETRANSLATE(English!G4492, ""en"", ""bg"")"),"разговор")</f>
        <v>разговор</v>
      </c>
      <c r="H4492" s="1" t="str">
        <f ca="1">IFERROR(__xludf.DUMMYFUNCTION("GOOGLETRANSLATE(English!H4492, ""en"", ""bg"")"),"образователна_помощ")</f>
        <v>образователна_помощ</v>
      </c>
    </row>
    <row r="4493" spans="1:8" ht="13.2" x14ac:dyDescent="0.25">
      <c r="A4493" s="1" t="str">
        <f ca="1">IFERROR(__xludf.DUMMYFUNCTION("GOOGLETRANSLATE(English!A4493, ""en"", ""bg"")"),"conv_12019")</f>
        <v>conv_12019</v>
      </c>
      <c r="B4493" s="1" t="str">
        <f ca="1">IFERROR(__xludf.DUMMYFUNCTION("GOOGLETRANSLATE(English!B4493, ""en"", ""bg"")"),"химия")</f>
        <v>химия</v>
      </c>
      <c r="C4493" s="1" t="str">
        <f ca="1">IFERROR(__xludf.DUMMYFUNCTION("GOOGLETRANSLATE(English!C4493, ""en"", ""bg"")"),"високо")</f>
        <v>високо</v>
      </c>
      <c r="D4493" s="1" t="str">
        <f ca="1">IFERROR(__xludf.DUMMYFUNCTION("GOOGLETRANSLATE(English!D4493, ""en"", ""bg"")"),"химическо свързване")</f>
        <v>химическо свързване</v>
      </c>
      <c r="E4493" s="1" t="str">
        <f ca="1">IFERROR(__xludf.DUMMYFUNCTION("GOOGLETRANSLATE(English!E4493, ""en"", ""bg"")"),"Не разбирам тази тема. Можете ли да ми помогнете да разбера химическото свързване?")</f>
        <v>Не разбирам тази тема. Можете ли да ми помогнете да разбера химическото свързване?</v>
      </c>
      <c r="F4493" s="1" t="str">
        <f ca="1">IFERROR(__xludf.DUMMYFUNCTION("GOOGLETRANSLATE(English!F4493,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4493" s="1" t="str">
        <f ca="1">IFERROR(__xludf.DUMMYFUNCTION("GOOGLETRANSLATE(English!G4493, ""en"", ""bg"")"),"разговор")</f>
        <v>разговор</v>
      </c>
      <c r="H4493" s="1" t="str">
        <f ca="1">IFERROR(__xludf.DUMMYFUNCTION("GOOGLETRANSLATE(English!H4493, ""en"", ""bg"")"),"образователна_помощ")</f>
        <v>образователна_помощ</v>
      </c>
    </row>
    <row r="4494" spans="1:8" ht="13.2" x14ac:dyDescent="0.25">
      <c r="A4494" s="1" t="str">
        <f ca="1">IFERROR(__xludf.DUMMYFUNCTION("GOOGLETRANSLATE(English!A4494, ""en"", ""bg"")"),"conv_08102")</f>
        <v>conv_08102</v>
      </c>
      <c r="B4494" s="1" t="str">
        <f ca="1">IFERROR(__xludf.DUMMYFUNCTION("GOOGLETRANSLATE(English!B4494, ""en"", ""bg"")"),"физика")</f>
        <v>физика</v>
      </c>
      <c r="C4494" s="1" t="str">
        <f ca="1">IFERROR(__xludf.DUMMYFUNCTION("GOOGLETRANSLATE(English!C4494, ""en"", ""bg"")"),"елементарен")</f>
        <v>елементарен</v>
      </c>
      <c r="D4494" s="1" t="str">
        <f ca="1">IFERROR(__xludf.DUMMYFUNCTION("GOOGLETRANSLATE(English!D4494, ""en"", ""bg"")"),"плаващ и потъващ")</f>
        <v>плаващ и потъващ</v>
      </c>
      <c r="E4494" s="1" t="str">
        <f ca="1">IFERROR(__xludf.DUMMYFUNCTION("GOOGLETRANSLATE(English!E4494, ""en"", ""bg"")"),"Помогни ми да уча за теста. Можеш ли да ми обясниш какво е плаване и потъване?")</f>
        <v>Помогни ми да уча за теста. Можеш ли да ми обясниш какво е плаване и потъване?</v>
      </c>
      <c r="F4494" s="1" t="str">
        <f ca="1">IFERROR(__xludf.DUMMYFUNCTION("GOOGLETRANSLATE(English!F4494,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4494" s="1" t="str">
        <f ca="1">IFERROR(__xludf.DUMMYFUNCTION("GOOGLETRANSLATE(English!G4494, ""en"", ""bg"")"),"разговор")</f>
        <v>разговор</v>
      </c>
      <c r="H4494" s="1" t="str">
        <f ca="1">IFERROR(__xludf.DUMMYFUNCTION("GOOGLETRANSLATE(English!H4494, ""en"", ""bg"")"),"образователна_помощ")</f>
        <v>образователна_помощ</v>
      </c>
    </row>
    <row r="4495" spans="1:8" ht="13.2" x14ac:dyDescent="0.25">
      <c r="A4495" s="1" t="str">
        <f ca="1">IFERROR(__xludf.DUMMYFUNCTION("GOOGLETRANSLATE(English!A4495, ""en"", ""bg"")"),"hw_05470")</f>
        <v>hw_05470</v>
      </c>
      <c r="B4495" s="1" t="str">
        <f ca="1">IFERROR(__xludf.DUMMYFUNCTION("GOOGLETRANSLATE(English!B4495, ""en"", ""bg"")"),"химия")</f>
        <v>химия</v>
      </c>
      <c r="C4495" s="1" t="str">
        <f ca="1">IFERROR(__xludf.DUMMYFUNCTION("GOOGLETRANSLATE(English!C4495, ""en"", ""bg"")"),"високо")</f>
        <v>високо</v>
      </c>
      <c r="D4495" s="1" t="str">
        <f ca="1">IFERROR(__xludf.DUMMYFUNCTION("GOOGLETRANSLATE(English!D4495, ""en"", ""bg"")"),"скорости на реакция")</f>
        <v>скорости на реакция</v>
      </c>
      <c r="E4495" s="1" t="str">
        <f ca="1">IFERROR(__xludf.DUMMYFUNCTION("GOOGLETRANSLATE(English!E4495, ""en"", ""bg"")"),"Имам проблеми с темпото на реакция в домашните си.")</f>
        <v>Имам проблеми с темпото на реакция в домашните си.</v>
      </c>
      <c r="F4495" s="1" t="str">
        <f ca="1">IFERROR(__xludf.DUMMYFUNCTION("GOOGLETRANSLATE(English!F4495,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4495" s="1" t="str">
        <f ca="1">IFERROR(__xludf.DUMMYFUNCTION("GOOGLETRANSLATE(English!G4495, ""en"", ""bg"")"),"помощ_за_домашно_изпълнение")</f>
        <v>помощ_за_домашно_изпълнение</v>
      </c>
      <c r="H4495" s="1" t="str">
        <f ca="1">IFERROR(__xludf.DUMMYFUNCTION("GOOGLETRANSLATE(English!H4495, ""en"", ""bg"")"),"помощ_за_домашно_задаване")</f>
        <v>помощ_за_домашно_задаване</v>
      </c>
    </row>
    <row r="4496" spans="1:8" ht="13.2" x14ac:dyDescent="0.25">
      <c r="A4496" s="1" t="str">
        <f ca="1">IFERROR(__xludf.DUMMYFUNCTION("GOOGLETRANSLATE(English!A4496, ""en"", ""bg"")"),"conv_18038")</f>
        <v>conv_18038</v>
      </c>
      <c r="B4496" s="1" t="str">
        <f ca="1">IFERROR(__xludf.DUMMYFUNCTION("GOOGLETRANSLATE(English!B4496, ""en"", ""bg"")"),"химия")</f>
        <v>химия</v>
      </c>
      <c r="C4496" s="1" t="str">
        <f ca="1">IFERROR(__xludf.DUMMYFUNCTION("GOOGLETRANSLATE(English!C4496, ""en"", ""bg"")"),"елементарен")</f>
        <v>елементарен</v>
      </c>
      <c r="D4496" s="1" t="str">
        <f ca="1">IFERROR(__xludf.DUMMYFUNCTION("GOOGLETRANSLATE(English!D4496, ""en"", ""bg"")"),"твърди вещества, течности, газове")</f>
        <v>твърди вещества, течности, газове</v>
      </c>
      <c r="E4496" s="1" t="str">
        <f ca="1">IFERROR(__xludf.DUMMYFUNCTION("GOOGLETRANSLATE(English!E4496, ""en"", ""bg"")"),"Не разбирам тази тема. Защо ледът плава по водата?")</f>
        <v>Не разбирам тази тема. Защо ледът плава по водата?</v>
      </c>
      <c r="F4496" s="1" t="str">
        <f ca="1">IFERROR(__xludf.DUMMYFUNCTION("GOOGLETRANSLATE(English!F4496,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4496" s="1" t="str">
        <f ca="1">IFERROR(__xludf.DUMMYFUNCTION("GOOGLETRANSLATE(English!G4496, ""en"", ""bg"")"),"разговор")</f>
        <v>разговор</v>
      </c>
      <c r="H4496" s="1" t="str">
        <f ca="1">IFERROR(__xludf.DUMMYFUNCTION("GOOGLETRANSLATE(English!H4496, ""en"", ""bg"")"),"образователна_помощ")</f>
        <v>образователна_помощ</v>
      </c>
    </row>
    <row r="4497" spans="1:8" ht="13.2" x14ac:dyDescent="0.25">
      <c r="A4497" s="1" t="str">
        <f ca="1">IFERROR(__xludf.DUMMYFUNCTION("GOOGLETRANSLATE(English!A4497, ""en"", ""bg"")"),"hw_12676")</f>
        <v>hw_12676</v>
      </c>
      <c r="B4497" s="1" t="str">
        <f ca="1">IFERROR(__xludf.DUMMYFUNCTION("GOOGLETRANSLATE(English!B4497, ""en"", ""bg"")"),"физика")</f>
        <v>физика</v>
      </c>
      <c r="C4497" s="1" t="str">
        <f ca="1">IFERROR(__xludf.DUMMYFUNCTION("GOOGLETRANSLATE(English!C4497, ""en"", ""bg"")"),"елементарен")</f>
        <v>елементарен</v>
      </c>
      <c r="D4497" s="1" t="str">
        <f ca="1">IFERROR(__xludf.DUMMYFUNCTION("GOOGLETRANSLATE(English!D4497, ""en"", ""bg"")"),"звук")</f>
        <v>звук</v>
      </c>
      <c r="E4497" s="1" t="str">
        <f ca="1">IFERROR(__xludf.DUMMYFUNCTION("GOOGLETRANSLATE(English!E4497, ""en"", ""bg"")"),"Заседнал съм с този проблем със звука. Можете ли да помогнете?")</f>
        <v>Заседнал съм с този проблем със звука. Можете ли да помогнете?</v>
      </c>
      <c r="F4497" s="1" t="str">
        <f ca="1">IFERROR(__xludf.DUMMYFUNCTION("GOOGLETRANSLATE(English!F4497,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4497" s="1" t="str">
        <f ca="1">IFERROR(__xludf.DUMMYFUNCTION("GOOGLETRANSLATE(English!G4497, ""en"", ""bg"")"),"помощ_за_домашно_изпълнение")</f>
        <v>помощ_за_домашно_изпълнение</v>
      </c>
      <c r="H4497" s="1" t="str">
        <f ca="1">IFERROR(__xludf.DUMMYFUNCTION("GOOGLETRANSLATE(English!H4497, ""en"", ""bg"")"),"помощ_за_домашно_задаване")</f>
        <v>помощ_за_домашно_задаване</v>
      </c>
    </row>
    <row r="4498" spans="1:8" ht="13.2" x14ac:dyDescent="0.25">
      <c r="A4498" s="1" t="str">
        <f ca="1">IFERROR(__xludf.DUMMYFUNCTION("GOOGLETRANSLATE(English!A4498, ""en"", ""bg"")"),"qa_08253")</f>
        <v>qa_08253</v>
      </c>
      <c r="B4498" s="1" t="str">
        <f ca="1">IFERROR(__xludf.DUMMYFUNCTION("GOOGLETRANSLATE(English!B4498, ""en"", ""bg"")"),"химия")</f>
        <v>химия</v>
      </c>
      <c r="C4498" s="1" t="str">
        <f ca="1">IFERROR(__xludf.DUMMYFUNCTION("GOOGLETRANSLATE(English!C4498, ""en"", ""bg"")"),"средата")</f>
        <v>средата</v>
      </c>
      <c r="D4498" s="1" t="str">
        <f ca="1">IFERROR(__xludf.DUMMYFUNCTION("GOOGLETRANSLATE(English!D4498, ""en"", ""bg"")"),"основи на периодичната таблица")</f>
        <v>основи на периодичната таблица</v>
      </c>
      <c r="E4498" s="1" t="str">
        <f ca="1">IFERROR(__xludf.DUMMYFUNCTION("GOOGLETRANSLATE(English!E4498, ""en"", ""bg"")"),"Какво представляват основите на периодичната таблица?")</f>
        <v>Какво представляват основите на периодичната таблица?</v>
      </c>
      <c r="F4498" s="1" t="str">
        <f ca="1">IFERROR(__xludf.DUMMYFUNCTION("GOOGLETRANSLATE(English!F4498,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4498" s="1" t="str">
        <f ca="1">IFERROR(__xludf.DUMMYFUNCTION("GOOGLETRANSLATE(English!G4498, ""en"", ""bg"")"),"direct_qa")</f>
        <v>direct_qa</v>
      </c>
      <c r="H4498" s="1" t="str">
        <f ca="1">IFERROR(__xludf.DUMMYFUNCTION("GOOGLETRANSLATE(English!H4498, ""en"", ""bg"")"),"заявка_за_знание")</f>
        <v>заявка_за_знание</v>
      </c>
    </row>
    <row r="4499" spans="1:8" ht="13.2" x14ac:dyDescent="0.25">
      <c r="A4499" s="1" t="str">
        <f ca="1">IFERROR(__xludf.DUMMYFUNCTION("GOOGLETRANSLATE(English!A4499, ""en"", ""bg"")"),"conv_06680")</f>
        <v>conv_06680</v>
      </c>
      <c r="B4499" s="1" t="str">
        <f ca="1">IFERROR(__xludf.DUMMYFUNCTION("GOOGLETRANSLATE(English!B4499, ""en"", ""bg"")"),"физика")</f>
        <v>физика</v>
      </c>
      <c r="C4499" s="1" t="str">
        <f ca="1">IFERROR(__xludf.DUMMYFUNCTION("GOOGLETRANSLATE(English!C4499, ""en"", ""bg"")"),"средата")</f>
        <v>средата</v>
      </c>
      <c r="D4499" s="1" t="str">
        <f ca="1">IFERROR(__xludf.DUMMYFUNCTION("GOOGLETRANSLATE(English!D4499, ""en"", ""bg"")"),"вълни")</f>
        <v>вълни</v>
      </c>
      <c r="E4499" s="1" t="str">
        <f ca="1">IFERROR(__xludf.DUMMYFUNCTION("GOOGLETRANSLATE(English!E4499, ""en"", ""bg"")"),"Здравей, преподавателю! Какво трябва да знам за вълните?")</f>
        <v>Здравей, преподавателю! Какво трябва да знам за вълните?</v>
      </c>
      <c r="F4499" s="1" t="str">
        <f ca="1">IFERROR(__xludf.DUMMYFUNCTION("GOOGLETRANSLATE(English!F4499,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4499" s="1" t="str">
        <f ca="1">IFERROR(__xludf.DUMMYFUNCTION("GOOGLETRANSLATE(English!G4499, ""en"", ""bg"")"),"разговор")</f>
        <v>разговор</v>
      </c>
      <c r="H4499" s="1" t="str">
        <f ca="1">IFERROR(__xludf.DUMMYFUNCTION("GOOGLETRANSLATE(English!H4499, ""en"", ""bg"")"),"образователна_помощ")</f>
        <v>образователна_помощ</v>
      </c>
    </row>
    <row r="4500" spans="1:8" ht="13.2" x14ac:dyDescent="0.25">
      <c r="A4500" s="1" t="str">
        <f ca="1">IFERROR(__xludf.DUMMYFUNCTION("GOOGLETRANSLATE(English!A4500, ""en"", ""bg"")"),"hw_14809")</f>
        <v>hw_14809</v>
      </c>
      <c r="B4500" s="1" t="str">
        <f ca="1">IFERROR(__xludf.DUMMYFUNCTION("GOOGLETRANSLATE(English!B4500, ""en"", ""bg"")"),"биология")</f>
        <v>биология</v>
      </c>
      <c r="C4500" s="1" t="str">
        <f ca="1">IFERROR(__xludf.DUMMYFUNCTION("GOOGLETRANSLATE(English!C4500, ""en"", ""bg"")"),"средата")</f>
        <v>средата</v>
      </c>
      <c r="D4500" s="1" t="str">
        <f ca="1">IFERROR(__xludf.DUMMYFUNCTION("GOOGLETRANSLATE(English!D4500, ""en"", ""bg"")"),"дишане")</f>
        <v>дишане</v>
      </c>
      <c r="E4500" s="1" t="str">
        <f ca="1">IFERROR(__xludf.DUMMYFUNCTION("GOOGLETRANSLATE(English!E4500, ""en"", ""bg"")"),"Утре имам тест по дишане. Помогни ми да уча!")</f>
        <v>Утре имам тест по дишане. Помогни ми да уча!</v>
      </c>
      <c r="F4500" s="1" t="str">
        <f ca="1">IFERROR(__xludf.DUMMYFUNCTION("GOOGLETRANSLATE(English!F4500,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500" s="1" t="str">
        <f ca="1">IFERROR(__xludf.DUMMYFUNCTION("GOOGLETRANSLATE(English!G4500, ""en"", ""bg"")"),"помощ_за_домашно_изпълнение")</f>
        <v>помощ_за_домашно_изпълнение</v>
      </c>
      <c r="H4500" s="1" t="str">
        <f ca="1">IFERROR(__xludf.DUMMYFUNCTION("GOOGLETRANSLATE(English!H4500, ""en"", ""bg"")"),"помощ_за_домашно_задаване")</f>
        <v>помощ_за_домашно_задаване</v>
      </c>
    </row>
    <row r="4501" spans="1:8" ht="13.2" x14ac:dyDescent="0.25">
      <c r="A4501" s="1" t="str">
        <f ca="1">IFERROR(__xludf.DUMMYFUNCTION("GOOGLETRANSLATE(English!A4501, ""en"", ""bg"")"),"conv_04662")</f>
        <v>conv_04662</v>
      </c>
      <c r="B4501" s="1" t="str">
        <f ca="1">IFERROR(__xludf.DUMMYFUNCTION("GOOGLETRANSLATE(English!B4501, ""en"", ""bg"")"),"биология")</f>
        <v>биология</v>
      </c>
      <c r="C4501" s="1" t="str">
        <f ca="1">IFERROR(__xludf.DUMMYFUNCTION("GOOGLETRANSLATE(English!C4501, ""en"", ""bg"")"),"средата")</f>
        <v>средата</v>
      </c>
      <c r="D4501" s="1" t="str">
        <f ca="1">IFERROR(__xludf.DUMMYFUNCTION("GOOGLETRANSLATE(English!D4501, ""en"", ""bg"")"),"основи на еволюцията")</f>
        <v>основи на еволюцията</v>
      </c>
      <c r="E4501" s="1" t="str">
        <f ca="1">IFERROR(__xludf.DUMMYFUNCTION("GOOGLETRANSLATE(English!E4501, ""en"", ""bg"")"),"Здравей, преподавателю! Как работят основите на еволюцията?")</f>
        <v>Здравей, преподавателю! Как работят основите на еволюцията?</v>
      </c>
      <c r="F4501" s="1" t="str">
        <f ca="1">IFERROR(__xludf.DUMMYFUNCTION("GOOGLETRANSLATE(English!F4501, ""en"", ""bg"")"),"Основите на еволюцията работят чрез естествени процеси, които учените изучават в продължение на много години.")</f>
        <v>Основите на еволюцията работят чрез естествени процеси, които учените изучават в продължение на много години.</v>
      </c>
      <c r="G4501" s="1" t="str">
        <f ca="1">IFERROR(__xludf.DUMMYFUNCTION("GOOGLETRANSLATE(English!G4501, ""en"", ""bg"")"),"разговор")</f>
        <v>разговор</v>
      </c>
      <c r="H4501" s="1" t="str">
        <f ca="1">IFERROR(__xludf.DUMMYFUNCTION("GOOGLETRANSLATE(English!H4501, ""en"", ""bg"")"),"образователна_помощ")</f>
        <v>образователна_помощ</v>
      </c>
    </row>
    <row r="4502" spans="1:8" ht="13.2" x14ac:dyDescent="0.25">
      <c r="A4502" s="1" t="str">
        <f ca="1">IFERROR(__xludf.DUMMYFUNCTION("GOOGLETRANSLATE(English!A4502, ""en"", ""bg"")"),"conv_06672")</f>
        <v>conv_06672</v>
      </c>
      <c r="B4502" s="1" t="str">
        <f ca="1">IFERROR(__xludf.DUMMYFUNCTION("GOOGLETRANSLATE(English!B4502, ""en"", ""bg"")"),"химия")</f>
        <v>химия</v>
      </c>
      <c r="C4502" s="1" t="str">
        <f ca="1">IFERROR(__xludf.DUMMYFUNCTION("GOOGLETRANSLATE(English!C4502, ""en"", ""bg"")"),"елементарен")</f>
        <v>елементарен</v>
      </c>
      <c r="D4502" s="1" t="str">
        <f ca="1">IFERROR(__xludf.DUMMYFUNCTION("GOOGLETRANSLATE(English!D4502, ""en"", ""bg"")"),"безопасност")</f>
        <v>безопасност</v>
      </c>
      <c r="E4502" s="1" t="str">
        <f ca="1">IFERROR(__xludf.DUMMYFUNCTION("GOOGLETRANSLATE(English!E4502, ""en"", ""bg"")"),"Имам научен въпрос. Защо е важно да се учим за безопасността?")</f>
        <v>Имам научен въпрос. Защо е важно да се учим за безопасността?</v>
      </c>
      <c r="F4502" s="1" t="str">
        <f ca="1">IFERROR(__xludf.DUMMYFUNCTION("GOOGLETRANSLATE(English!F4502, ""en"", ""bg"")"),"Изучаването на безопасността ни помага да разберем света около нас и как протичат химичните процеси в природата и технологиите.")</f>
        <v>Изучаването на безопасността ни помага да разберем света около нас и как протичат химичните процеси в природата и технологиите.</v>
      </c>
      <c r="G4502" s="1" t="str">
        <f ca="1">IFERROR(__xludf.DUMMYFUNCTION("GOOGLETRANSLATE(English!G4502, ""en"", ""bg"")"),"разговор")</f>
        <v>разговор</v>
      </c>
      <c r="H4502" s="1" t="str">
        <f ca="1">IFERROR(__xludf.DUMMYFUNCTION("GOOGLETRANSLATE(English!H4502, ""en"", ""bg"")"),"образователна_помощ")</f>
        <v>образователна_помощ</v>
      </c>
    </row>
    <row r="4503" spans="1:8" ht="13.2" x14ac:dyDescent="0.25">
      <c r="A4503" s="1" t="str">
        <f ca="1">IFERROR(__xludf.DUMMYFUNCTION("GOOGLETRANSLATE(English!A4503, ""en"", ""bg"")"),"conv_15455")</f>
        <v>conv_15455</v>
      </c>
      <c r="B4503" s="1" t="str">
        <f ca="1">IFERROR(__xludf.DUMMYFUNCTION("GOOGLETRANSLATE(English!B4503, ""en"", ""bg"")"),"физика")</f>
        <v>физика</v>
      </c>
      <c r="C4503" s="1" t="str">
        <f ca="1">IFERROR(__xludf.DUMMYFUNCTION("GOOGLETRANSLATE(English!C4503, ""en"", ""bg"")"),"средата")</f>
        <v>средата</v>
      </c>
      <c r="D4503" s="1" t="str">
        <f ca="1">IFERROR(__xludf.DUMMYFUNCTION("GOOGLETRANSLATE(English!D4503, ""en"", ""bg"")"),"основи на електричеството")</f>
        <v>основи на електричеството</v>
      </c>
      <c r="E4503" s="1" t="str">
        <f ca="1">IFERROR(__xludf.DUMMYFUNCTION("GOOGLETRANSLATE(English!E4503, ""en"", ""bg"")"),"Помогнете ми да уча за теста си. Как работят основите на електричеството във физиката?")</f>
        <v>Помогнете ми да уча за теста си. Как работят основите на електричеството във физиката?</v>
      </c>
      <c r="F4503" s="1" t="str">
        <f ca="1">IFERROR(__xludf.DUMMYFUNCTION("GOOGLETRANSLATE(English!F4503,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4503" s="1" t="str">
        <f ca="1">IFERROR(__xludf.DUMMYFUNCTION("GOOGLETRANSLATE(English!G4503, ""en"", ""bg"")"),"разговор")</f>
        <v>разговор</v>
      </c>
      <c r="H4503" s="1" t="str">
        <f ca="1">IFERROR(__xludf.DUMMYFUNCTION("GOOGLETRANSLATE(English!H4503, ""en"", ""bg"")"),"образователна_помощ")</f>
        <v>образователна_помощ</v>
      </c>
    </row>
    <row r="4504" spans="1:8" ht="13.2" x14ac:dyDescent="0.25">
      <c r="A4504" s="1" t="str">
        <f ca="1">IFERROR(__xludf.DUMMYFUNCTION("GOOGLETRANSLATE(English!A4504, ""en"", ""bg"")"),"conv_13694")</f>
        <v>conv_13694</v>
      </c>
      <c r="B4504" s="1" t="str">
        <f ca="1">IFERROR(__xludf.DUMMYFUNCTION("GOOGLETRANSLATE(English!B4504, ""en"", ""bg"")"),"физика")</f>
        <v>физика</v>
      </c>
      <c r="C4504" s="1" t="str">
        <f ca="1">IFERROR(__xludf.DUMMYFUNCTION("GOOGLETRANSLATE(English!C4504, ""en"", ""bg"")"),"високо")</f>
        <v>високо</v>
      </c>
      <c r="D4504" s="1" t="str">
        <f ca="1">IFERROR(__xludf.DUMMYFUNCTION("GOOGLETRANSLATE(English!D4504, ""en"", ""bg"")"),"термодинамика")</f>
        <v>термодинамика</v>
      </c>
      <c r="E4504" s="1" t="str">
        <f ca="1">IFERROR(__xludf.DUMMYFUNCTION("GOOGLETRANSLATE(English!E4504, ""en"", ""bg"")"),"Не разбирам тази тема. Защо термодинамиката е важна?")</f>
        <v>Не разбирам тази тема. Защо термодинамиката е важна?</v>
      </c>
      <c r="F4504" s="1" t="str">
        <f ca="1">IFERROR(__xludf.DUMMYFUNCTION("GOOGLETRANSLATE(English!F4504, ""en"", ""bg"")"),"Термодинамиката е важна, защото ни помага да разберем физическия свят около нас.")</f>
        <v>Термодинамиката е важна, защото ни помага да разберем физическия свят около нас.</v>
      </c>
      <c r="G4504" s="1" t="str">
        <f ca="1">IFERROR(__xludf.DUMMYFUNCTION("GOOGLETRANSLATE(English!G4504, ""en"", ""bg"")"),"разговор")</f>
        <v>разговор</v>
      </c>
      <c r="H4504" s="1" t="str">
        <f ca="1">IFERROR(__xludf.DUMMYFUNCTION("GOOGLETRANSLATE(English!H4504, ""en"", ""bg"")"),"образователна_помощ")</f>
        <v>образователна_помощ</v>
      </c>
    </row>
    <row r="4505" spans="1:8" ht="13.2" x14ac:dyDescent="0.25">
      <c r="A4505" s="1" t="str">
        <f ca="1">IFERROR(__xludf.DUMMYFUNCTION("GOOGLETRANSLATE(English!A4505, ""en"", ""bg"")"),"hw_10203")</f>
        <v>hw_10203</v>
      </c>
      <c r="B4505" s="1" t="str">
        <f ca="1">IFERROR(__xludf.DUMMYFUNCTION("GOOGLETRANSLATE(English!B4505, ""en"", ""bg"")"),"биология")</f>
        <v>биология</v>
      </c>
      <c r="C4505" s="1" t="str">
        <f ca="1">IFERROR(__xludf.DUMMYFUNCTION("GOOGLETRANSLATE(English!C4505, ""en"", ""bg"")"),"средата")</f>
        <v>средата</v>
      </c>
      <c r="D4505" s="1" t="str">
        <f ca="1">IFERROR(__xludf.DUMMYFUNCTION("GOOGLETRANSLATE(English!D4505, ""en"", ""bg"")"),"класификация")</f>
        <v>класификация</v>
      </c>
      <c r="E4505" s="1" t="str">
        <f ca="1">IFERROR(__xludf.DUMMYFUNCTION("GOOGLETRANSLATE(English!E4505, ""en"", ""bg"")"),"Можете ли да обясните класификацията за моя научен проект?")</f>
        <v>Можете ли да обясните класификацията за моя научен проект?</v>
      </c>
      <c r="F4505" s="1" t="str">
        <f ca="1">IFERROR(__xludf.DUMMYFUNCTION("GOOGLETRANSLATE(English!F4505,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4505" s="1" t="str">
        <f ca="1">IFERROR(__xludf.DUMMYFUNCTION("GOOGLETRANSLATE(English!G4505, ""en"", ""bg"")"),"помощ_за_домашно_изпълнение")</f>
        <v>помощ_за_домашно_изпълнение</v>
      </c>
      <c r="H4505" s="1" t="str">
        <f ca="1">IFERROR(__xludf.DUMMYFUNCTION("GOOGLETRANSLATE(English!H4505, ""en"", ""bg"")"),"помощ_за_домашно_задаване")</f>
        <v>помощ_за_домашно_задаване</v>
      </c>
    </row>
    <row r="4506" spans="1:8" ht="13.2" x14ac:dyDescent="0.25">
      <c r="A4506" s="1" t="str">
        <f ca="1">IFERROR(__xludf.DUMMYFUNCTION("GOOGLETRANSLATE(English!A4506, ""en"", ""bg"")"),"conv_17104")</f>
        <v>conv_17104</v>
      </c>
      <c r="B4506" s="1" t="str">
        <f ca="1">IFERROR(__xludf.DUMMYFUNCTION("GOOGLETRANSLATE(English!B4506, ""en"", ""bg"")"),"химия")</f>
        <v>химия</v>
      </c>
      <c r="C4506" s="1" t="str">
        <f ca="1">IFERROR(__xludf.DUMMYFUNCTION("GOOGLETRANSLATE(English!C4506, ""en"", ""bg"")"),"средата")</f>
        <v>средата</v>
      </c>
      <c r="D4506" s="1" t="str">
        <f ca="1">IFERROR(__xludf.DUMMYFUNCTION("GOOGLETRANSLATE(English!D4506, ""en"", ""bg"")"),"атоми и молекули")</f>
        <v>атоми и молекули</v>
      </c>
      <c r="E4506" s="1" t="str">
        <f ca="1">IFERROR(__xludf.DUMMYFUNCTION("GOOGLETRANSLATE(English!E4506, ""en"", ""bg"")"),"Можете ли да ми помогнете? Какво е атом?")</f>
        <v>Можете ли да ми помогнете? Какво е атом?</v>
      </c>
      <c r="F4506" s="1" t="str">
        <f ca="1">IFERROR(__xludf.DUMMYFUNCTION("GOOGLETRANSLATE(English!F4506,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4506" s="1" t="str">
        <f ca="1">IFERROR(__xludf.DUMMYFUNCTION("GOOGLETRANSLATE(English!G4506, ""en"", ""bg"")"),"разговор")</f>
        <v>разговор</v>
      </c>
      <c r="H4506" s="1" t="str">
        <f ca="1">IFERROR(__xludf.DUMMYFUNCTION("GOOGLETRANSLATE(English!H4506, ""en"", ""bg"")"),"образователна_помощ")</f>
        <v>образователна_помощ</v>
      </c>
    </row>
    <row r="4507" spans="1:8" ht="13.2" x14ac:dyDescent="0.25">
      <c r="A4507" s="1" t="str">
        <f ca="1">IFERROR(__xludf.DUMMYFUNCTION("GOOGLETRANSLATE(English!A4507, ""en"", ""bg"")"),"conv_11496")</f>
        <v>conv_11496</v>
      </c>
      <c r="B4507" s="1" t="str">
        <f ca="1">IFERROR(__xludf.DUMMYFUNCTION("GOOGLETRANSLATE(English!B4507, ""en"", ""bg"")"),"химия")</f>
        <v>химия</v>
      </c>
      <c r="C4507" s="1" t="str">
        <f ca="1">IFERROR(__xludf.DUMMYFUNCTION("GOOGLETRANSLATE(English!C4507, ""en"", ""bg"")"),"високо")</f>
        <v>високо</v>
      </c>
      <c r="D4507" s="1" t="str">
        <f ca="1">IFERROR(__xludf.DUMMYFUNCTION("GOOGLETRANSLATE(English!D4507, ""en"", ""bg"")"),"стехиометрия")</f>
        <v>стехиометрия</v>
      </c>
      <c r="E4507" s="1" t="str">
        <f ca="1">IFERROR(__xludf.DUMMYFUNCTION("GOOGLETRANSLATE(English!E4507, ""en"", ""bg"")"),"Имам нужда от помощ с домашното си. Как работи стехиометрията в химията?")</f>
        <v>Имам нужда от помощ с домашното си. Как работи стехиометрията в химията?</v>
      </c>
      <c r="F4507" s="1" t="str">
        <f ca="1">IFERROR(__xludf.DUMMYFUNCTION("GOOGLETRANSLATE(English!F4507,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4507" s="1" t="str">
        <f ca="1">IFERROR(__xludf.DUMMYFUNCTION("GOOGLETRANSLATE(English!G4507, ""en"", ""bg"")"),"разговор")</f>
        <v>разговор</v>
      </c>
      <c r="H4507" s="1" t="str">
        <f ca="1">IFERROR(__xludf.DUMMYFUNCTION("GOOGLETRANSLATE(English!H4507, ""en"", ""bg"")"),"образователна_помощ")</f>
        <v>образователна_помощ</v>
      </c>
    </row>
    <row r="4508" spans="1:8" ht="13.2" x14ac:dyDescent="0.25">
      <c r="A4508" s="1" t="str">
        <f ca="1">IFERROR(__xludf.DUMMYFUNCTION("GOOGLETRANSLATE(English!A4508, ""en"", ""bg"")"),"hw_12765")</f>
        <v>hw_12765</v>
      </c>
      <c r="B4508" s="1" t="str">
        <f ca="1">IFERROR(__xludf.DUMMYFUNCTION("GOOGLETRANSLATE(English!B4508, ""en"", ""bg"")"),"химия")</f>
        <v>химия</v>
      </c>
      <c r="C4508" s="1" t="str">
        <f ca="1">IFERROR(__xludf.DUMMYFUNCTION("GOOGLETRANSLATE(English!C4508, ""en"", ""bg"")"),"елементарен")</f>
        <v>елементарен</v>
      </c>
      <c r="D4508" s="1" t="str">
        <f ca="1">IFERROR(__xludf.DUMMYFUNCTION("GOOGLETRANSLATE(English!D4508, ""en"", ""bg"")"),"твърди вещества, течности, газове")</f>
        <v>твърди вещества, течности, газове</v>
      </c>
      <c r="E4508" s="1" t="str">
        <f ca="1">IFERROR(__xludf.DUMMYFUNCTION("GOOGLETRANSLATE(English!E4508,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4508" s="1" t="str">
        <f ca="1">IFERROR(__xludf.DUMMYFUNCTION("GOOGLETRANSLATE(English!F4508,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4508" s="1" t="str">
        <f ca="1">IFERROR(__xludf.DUMMYFUNCTION("GOOGLETRANSLATE(English!G4508, ""en"", ""bg"")"),"помощ_за_домашно_изпълнение")</f>
        <v>помощ_за_домашно_изпълнение</v>
      </c>
      <c r="H4508" s="1" t="str">
        <f ca="1">IFERROR(__xludf.DUMMYFUNCTION("GOOGLETRANSLATE(English!H4508, ""en"", ""bg"")"),"помощ_за_домашно_задаване")</f>
        <v>помощ_за_домашно_задаване</v>
      </c>
    </row>
    <row r="4509" spans="1:8" ht="13.2" x14ac:dyDescent="0.25">
      <c r="A4509" s="1" t="str">
        <f ca="1">IFERROR(__xludf.DUMMYFUNCTION("GOOGLETRANSLATE(English!A4509, ""en"", ""bg"")"),"conv_07310")</f>
        <v>conv_07310</v>
      </c>
      <c r="B4509" s="1" t="str">
        <f ca="1">IFERROR(__xludf.DUMMYFUNCTION("GOOGLETRANSLATE(English!B4509, ""en"", ""bg"")"),"химия")</f>
        <v>химия</v>
      </c>
      <c r="C4509" s="1" t="str">
        <f ca="1">IFERROR(__xludf.DUMMYFUNCTION("GOOGLETRANSLATE(English!C4509, ""en"", ""bg"")"),"средата")</f>
        <v>средата</v>
      </c>
      <c r="D4509" s="1" t="str">
        <f ca="1">IFERROR(__xludf.DUMMYFUNCTION("GOOGLETRANSLATE(English!D4509, ""en"", ""bg"")"),"химични реакции")</f>
        <v>химични реакции</v>
      </c>
      <c r="E4509" s="1" t="str">
        <f ca="1">IFERROR(__xludf.DUMMYFUNCTION("GOOGLETRANSLATE(English!E4509, ""en"", ""bg"")"),"Не разбирам тази тема. Какво представляват реагентите и продуктите?")</f>
        <v>Не разбирам тази тема. Какво представляват реагентите и продуктите?</v>
      </c>
      <c r="F4509" s="1" t="str">
        <f ca="1">IFERROR(__xludf.DUMMYFUNCTION("GOOGLETRANSLATE(English!F4509, ""en"", ""bg"")"),"Реагентите са изходните вещества, които реагират помежду си, а продуктите са образуваните нови вещества.")</f>
        <v>Реагентите са изходните вещества, които реагират помежду си, а продуктите са образуваните нови вещества.</v>
      </c>
      <c r="G4509" s="1" t="str">
        <f ca="1">IFERROR(__xludf.DUMMYFUNCTION("GOOGLETRANSLATE(English!G4509, ""en"", ""bg"")"),"разговор")</f>
        <v>разговор</v>
      </c>
      <c r="H4509" s="1" t="str">
        <f ca="1">IFERROR(__xludf.DUMMYFUNCTION("GOOGLETRANSLATE(English!H4509, ""en"", ""bg"")"),"образователна_помощ")</f>
        <v>образователна_помощ</v>
      </c>
    </row>
    <row r="4510" spans="1:8" ht="13.2" x14ac:dyDescent="0.25">
      <c r="A4510" s="1" t="str">
        <f ca="1">IFERROR(__xludf.DUMMYFUNCTION("GOOGLETRANSLATE(English!A4510, ""en"", ""bg"")"),"hw_07934")</f>
        <v>hw_07934</v>
      </c>
      <c r="B4510" s="1" t="str">
        <f ca="1">IFERROR(__xludf.DUMMYFUNCTION("GOOGLETRANSLATE(English!B4510, ""en"", ""bg"")"),"биология")</f>
        <v>биология</v>
      </c>
      <c r="C4510" s="1" t="str">
        <f ca="1">IFERROR(__xludf.DUMMYFUNCTION("GOOGLETRANSLATE(English!C4510, ""en"", ""bg"")"),"средата")</f>
        <v>средата</v>
      </c>
      <c r="D4510" s="1" t="str">
        <f ca="1">IFERROR(__xludf.DUMMYFUNCTION("GOOGLETRANSLATE(English!D4510, ""en"", ""bg"")"),"основи на генетиката")</f>
        <v>основи на генетиката</v>
      </c>
      <c r="E4510" s="1" t="str">
        <f ca="1">IFERROR(__xludf.DUMMYFUNCTION("GOOGLETRANSLATE(English!E4510, ""en"", ""bg"")"),"Утре имам тест по основи на генетиката. Помогни ми да уча!")</f>
        <v>Утре имам тест по основи на генетиката. Помогни ми да уча!</v>
      </c>
      <c r="F4510" s="1" t="str">
        <f ca="1">IFERROR(__xludf.DUMMYFUNCTION("GOOGLETRANSLATE(English!F4510,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510" s="1" t="str">
        <f ca="1">IFERROR(__xludf.DUMMYFUNCTION("GOOGLETRANSLATE(English!G4510, ""en"", ""bg"")"),"помощ_за_домашно_изпълнение")</f>
        <v>помощ_за_домашно_изпълнение</v>
      </c>
      <c r="H4510" s="1" t="str">
        <f ca="1">IFERROR(__xludf.DUMMYFUNCTION("GOOGLETRANSLATE(English!H4510, ""en"", ""bg"")"),"помощ_за_домашно_задаване")</f>
        <v>помощ_за_домашно_задаване</v>
      </c>
    </row>
    <row r="4511" spans="1:8" ht="13.2" x14ac:dyDescent="0.25">
      <c r="A4511" s="1" t="str">
        <f ca="1">IFERROR(__xludf.DUMMYFUNCTION("GOOGLETRANSLATE(English!A4511, ""en"", ""bg"")"),"conv_00297")</f>
        <v>conv_00297</v>
      </c>
      <c r="B4511" s="1" t="str">
        <f ca="1">IFERROR(__xludf.DUMMYFUNCTION("GOOGLETRANSLATE(English!B4511, ""en"", ""bg"")"),"биология")</f>
        <v>биология</v>
      </c>
      <c r="C4511" s="1" t="str">
        <f ca="1">IFERROR(__xludf.DUMMYFUNCTION("GOOGLETRANSLATE(English!C4511, ""en"", ""bg"")"),"елементарен")</f>
        <v>елементарен</v>
      </c>
      <c r="D4511" s="1" t="str">
        <f ca="1">IFERROR(__xludf.DUMMYFUNCTION("GOOGLETRANSLATE(English!D4511, ""en"", ""bg"")"),"животни")</f>
        <v>животни</v>
      </c>
      <c r="E4511" s="1" t="str">
        <f ca="1">IFERROR(__xludf.DUMMYFUNCTION("GOOGLETRANSLATE(English!E4511, ""en"", ""bg"")"),"Можете ли да ми помогнете? Защо птиците мигрират?")</f>
        <v>Можете ли да ми помогнете? Защо птиците мигрират?</v>
      </c>
      <c r="F4511" s="1" t="str">
        <f ca="1">IFERROR(__xludf.DUMMYFUNCTION("GOOGLETRANSLATE(English!F4511, ""en"", ""bg"")"),"Птиците мигрират, за да намерят храна, по-добро време и безопасни места за раждане на малките си.")</f>
        <v>Птиците мигрират, за да намерят храна, по-добро време и безопасни места за раждане на малките си.</v>
      </c>
      <c r="G4511" s="1" t="str">
        <f ca="1">IFERROR(__xludf.DUMMYFUNCTION("GOOGLETRANSLATE(English!G4511, ""en"", ""bg"")"),"разговор")</f>
        <v>разговор</v>
      </c>
      <c r="H4511" s="1" t="str">
        <f ca="1">IFERROR(__xludf.DUMMYFUNCTION("GOOGLETRANSLATE(English!H4511, ""en"", ""bg"")"),"образователна_помощ")</f>
        <v>образователна_помощ</v>
      </c>
    </row>
    <row r="4512" spans="1:8" ht="13.2" x14ac:dyDescent="0.25">
      <c r="A4512" s="1" t="str">
        <f ca="1">IFERROR(__xludf.DUMMYFUNCTION("GOOGLETRANSLATE(English!A4512, ""en"", ""bg"")"),"hw_01157")</f>
        <v>hw_01157</v>
      </c>
      <c r="B4512" s="1" t="str">
        <f ca="1">IFERROR(__xludf.DUMMYFUNCTION("GOOGLETRANSLATE(English!B4512, ""en"", ""bg"")"),"физика")</f>
        <v>физика</v>
      </c>
      <c r="C4512" s="1" t="str">
        <f ca="1">IFERROR(__xludf.DUMMYFUNCTION("GOOGLETRANSLATE(English!C4512, ""en"", ""bg"")"),"средата")</f>
        <v>средата</v>
      </c>
      <c r="D4512" s="1" t="str">
        <f ca="1">IFERROR(__xludf.DUMMYFUNCTION("GOOGLETRANSLATE(English!D4512, ""en"", ""bg"")"),"видове енергия")</f>
        <v>видове енергия</v>
      </c>
      <c r="E4512" s="1" t="str">
        <f ca="1">IFERROR(__xludf.DUMMYFUNCTION("GOOGLETRANSLATE(English!E4512, ""en"", ""bg"")"),"Можете ли да решите този въпрос за видовете енергия с мен?")</f>
        <v>Можете ли да решите този въпрос за видовете енергия с мен?</v>
      </c>
      <c r="F4512" s="1" t="str">
        <f ca="1">IFERROR(__xludf.DUMMYFUNCTION("GOOGLETRANSLATE(English!F4512,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4512" s="1" t="str">
        <f ca="1">IFERROR(__xludf.DUMMYFUNCTION("GOOGLETRANSLATE(English!G4512, ""en"", ""bg"")"),"помощ_за_домашно_изпълнение")</f>
        <v>помощ_за_домашно_изпълнение</v>
      </c>
      <c r="H4512" s="1" t="str">
        <f ca="1">IFERROR(__xludf.DUMMYFUNCTION("GOOGLETRANSLATE(English!H4512, ""en"", ""bg"")"),"помощ_за_домашно_задаване")</f>
        <v>помощ_за_домашно_задаване</v>
      </c>
    </row>
    <row r="4513" spans="1:8" ht="13.2" x14ac:dyDescent="0.25">
      <c r="A4513" s="1" t="str">
        <f ca="1">IFERROR(__xludf.DUMMYFUNCTION("GOOGLETRANSLATE(English!A4513, ""en"", ""bg"")"),"hw_05226")</f>
        <v>hw_05226</v>
      </c>
      <c r="B4513" s="1" t="str">
        <f ca="1">IFERROR(__xludf.DUMMYFUNCTION("GOOGLETRANSLATE(English!B4513, ""en"", ""bg"")"),"химия")</f>
        <v>химия</v>
      </c>
      <c r="C4513" s="1" t="str">
        <f ca="1">IFERROR(__xludf.DUMMYFUNCTION("GOOGLETRANSLATE(English!C4513, ""en"", ""bg"")"),"високо")</f>
        <v>високо</v>
      </c>
      <c r="D4513" s="1" t="str">
        <f ca="1">IFERROR(__xludf.DUMMYFUNCTION("GOOGLETRANSLATE(English!D4513, ""en"", ""bg"")"),"органична химия")</f>
        <v>органична химия</v>
      </c>
      <c r="E4513" s="1" t="str">
        <f ca="1">IFERROR(__xludf.DUMMYFUNCTION("GOOGLETRANSLATE(English!E4513,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4513" s="1" t="str">
        <f ca="1">IFERROR(__xludf.DUMMYFUNCTION("GOOGLETRANSLATE(English!F4513,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513" s="1" t="str">
        <f ca="1">IFERROR(__xludf.DUMMYFUNCTION("GOOGLETRANSLATE(English!G4513, ""en"", ""bg"")"),"помощ_за_домашно_изпълнение")</f>
        <v>помощ_за_домашно_изпълнение</v>
      </c>
      <c r="H4513" s="1" t="str">
        <f ca="1">IFERROR(__xludf.DUMMYFUNCTION("GOOGLETRANSLATE(English!H4513, ""en"", ""bg"")"),"помощ_за_домашно_задаване")</f>
        <v>помощ_за_домашно_задаване</v>
      </c>
    </row>
    <row r="4514" spans="1:8" ht="13.2" x14ac:dyDescent="0.25">
      <c r="A4514" s="1" t="str">
        <f ca="1">IFERROR(__xludf.DUMMYFUNCTION("GOOGLETRANSLATE(English!A4514, ""en"", ""bg"")"),"hw_03822")</f>
        <v>hw_03822</v>
      </c>
      <c r="B4514" s="1" t="str">
        <f ca="1">IFERROR(__xludf.DUMMYFUNCTION("GOOGLETRANSLATE(English!B4514, ""en"", ""bg"")"),"биология")</f>
        <v>биология</v>
      </c>
      <c r="C4514" s="1" t="str">
        <f ca="1">IFERROR(__xludf.DUMMYFUNCTION("GOOGLETRANSLATE(English!C4514, ""en"", ""bg"")"),"елементарен")</f>
        <v>елементарен</v>
      </c>
      <c r="D4514" s="1" t="str">
        <f ca="1">IFERROR(__xludf.DUMMYFUNCTION("GOOGLETRANSLATE(English!D4514, ""en"", ""bg"")"),"растения")</f>
        <v>растения</v>
      </c>
      <c r="E4514" s="1" t="str">
        <f ca="1">IFERROR(__xludf.DUMMYFUNCTION("GOOGLETRANSLATE(English!E4514, ""en"", ""bg"")"),"Утре имам тест по растения. Помогни ми да уча!")</f>
        <v>Утре имам тест по растения. Помогни ми да уча!</v>
      </c>
      <c r="F4514" s="1" t="str">
        <f ca="1">IFERROR(__xludf.DUMMYFUNCTION("GOOGLETRANSLATE(English!F4514,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514" s="1" t="str">
        <f ca="1">IFERROR(__xludf.DUMMYFUNCTION("GOOGLETRANSLATE(English!G4514, ""en"", ""bg"")"),"помощ_за_домашно_изпълнение")</f>
        <v>помощ_за_домашно_изпълнение</v>
      </c>
      <c r="H4514" s="1" t="str">
        <f ca="1">IFERROR(__xludf.DUMMYFUNCTION("GOOGLETRANSLATE(English!H4514, ""en"", ""bg"")"),"помощ_за_домашно_задаване")</f>
        <v>помощ_за_домашно_задаване</v>
      </c>
    </row>
    <row r="4515" spans="1:8" ht="13.2" x14ac:dyDescent="0.25">
      <c r="A4515" s="1" t="str">
        <f ca="1">IFERROR(__xludf.DUMMYFUNCTION("GOOGLETRANSLATE(English!A4515, ""en"", ""bg"")"),"conv_06199")</f>
        <v>conv_06199</v>
      </c>
      <c r="B4515" s="1" t="str">
        <f ca="1">IFERROR(__xludf.DUMMYFUNCTION("GOOGLETRANSLATE(English!B4515, ""en"", ""bg"")"),"биология")</f>
        <v>биология</v>
      </c>
      <c r="C4515" s="1" t="str">
        <f ca="1">IFERROR(__xludf.DUMMYFUNCTION("GOOGLETRANSLATE(English!C4515, ""en"", ""bg"")"),"високо")</f>
        <v>високо</v>
      </c>
      <c r="D4515" s="1" t="str">
        <f ca="1">IFERROR(__xludf.DUMMYFUNCTION("GOOGLETRANSLATE(English!D4515, ""en"", ""bg"")"),"клетъчно дишане")</f>
        <v>клетъчно дишане</v>
      </c>
      <c r="E4515" s="1" t="str">
        <f ca="1">IFERROR(__xludf.DUMMYFUNCTION("GOOGLETRANSLATE(English!E4515, ""en"", ""bg"")"),"Не разбирам тази тема. Защо клетъчното дишане е важно в биологията?")</f>
        <v>Не разбирам тази тема. Защо клетъчното дишане е важно в биологията?</v>
      </c>
      <c r="F4515" s="1" t="str">
        <f ca="1">IFERROR(__xludf.DUMMYFUNCTION("GOOGLETRANSLATE(English!F4515, ""en"", ""bg"")"),"Клетъчното дишане е важно, защото ни помага да разберем живота и как живите същества оцеляват.")</f>
        <v>Клетъчното дишане е важно, защото ни помага да разберем живота и как живите същества оцеляват.</v>
      </c>
      <c r="G4515" s="1" t="str">
        <f ca="1">IFERROR(__xludf.DUMMYFUNCTION("GOOGLETRANSLATE(English!G4515, ""en"", ""bg"")"),"разговор")</f>
        <v>разговор</v>
      </c>
      <c r="H4515" s="1" t="str">
        <f ca="1">IFERROR(__xludf.DUMMYFUNCTION("GOOGLETRANSLATE(English!H4515, ""en"", ""bg"")"),"образователна_помощ")</f>
        <v>образователна_помощ</v>
      </c>
    </row>
    <row r="4516" spans="1:8" ht="13.2" x14ac:dyDescent="0.25">
      <c r="A4516" s="1" t="str">
        <f ca="1">IFERROR(__xludf.DUMMYFUNCTION("GOOGLETRANSLATE(English!A4516, ""en"", ""bg"")"),"conv_12076")</f>
        <v>conv_12076</v>
      </c>
      <c r="B4516" s="1" t="str">
        <f ca="1">IFERROR(__xludf.DUMMYFUNCTION("GOOGLETRANSLATE(English!B4516, ""en"", ""bg"")"),"физика")</f>
        <v>физика</v>
      </c>
      <c r="C4516" s="1" t="str">
        <f ca="1">IFERROR(__xludf.DUMMYFUNCTION("GOOGLETRANSLATE(English!C4516, ""en"", ""bg"")"),"средата")</f>
        <v>средата</v>
      </c>
      <c r="D4516" s="1" t="str">
        <f ca="1">IFERROR(__xludf.DUMMYFUNCTION("GOOGLETRANSLATE(English!D4516, ""en"", ""bg"")"),"прости схеми")</f>
        <v>прости схеми</v>
      </c>
      <c r="E4516" s="1" t="str">
        <f ca="1">IFERROR(__xludf.DUMMYFUNCTION("GOOGLETRANSLATE(English!E4516, ""en"", ""bg"")"),"Помогнете ми да уча за теста си. Как работят прости електрически вериги във физиката?")</f>
        <v>Помогнете ми да уча за теста си. Как работят прости електрически вериги във физиката?</v>
      </c>
      <c r="F4516" s="1" t="str">
        <f ca="1">IFERROR(__xludf.DUMMYFUNCTION("GOOGLETRANSLATE(English!F4516, ""en"", ""bg"")"),"Простите електрически вериги работят според научни принципи, които можем да наблюдаваме и измерваме.")</f>
        <v>Простите електрически вериги работят според научни принципи, които можем да наблюдаваме и измерваме.</v>
      </c>
      <c r="G4516" s="1" t="str">
        <f ca="1">IFERROR(__xludf.DUMMYFUNCTION("GOOGLETRANSLATE(English!G4516, ""en"", ""bg"")"),"разговор")</f>
        <v>разговор</v>
      </c>
      <c r="H4516" s="1" t="str">
        <f ca="1">IFERROR(__xludf.DUMMYFUNCTION("GOOGLETRANSLATE(English!H4516, ""en"", ""bg"")"),"образователна_помощ")</f>
        <v>образователна_помощ</v>
      </c>
    </row>
    <row r="4517" spans="1:8" ht="13.2" x14ac:dyDescent="0.25">
      <c r="A4517" s="1" t="str">
        <f ca="1">IFERROR(__xludf.DUMMYFUNCTION("GOOGLETRANSLATE(English!A4517, ""en"", ""bg"")"),"qa_12387")</f>
        <v>qa_12387</v>
      </c>
      <c r="B4517" s="1" t="str">
        <f ca="1">IFERROR(__xludf.DUMMYFUNCTION("GOOGLETRANSLATE(English!B4517, ""en"", ""bg"")"),"биология")</f>
        <v>биология</v>
      </c>
      <c r="C4517" s="1" t="str">
        <f ca="1">IFERROR(__xludf.DUMMYFUNCTION("GOOGLETRANSLATE(English!C4517, ""en"", ""bg"")"),"високо")</f>
        <v>високо</v>
      </c>
      <c r="D4517" s="1" t="str">
        <f ca="1">IFERROR(__xludf.DUMMYFUNCTION("GOOGLETRANSLATE(English!D4517, ""en"", ""bg"")"),"модели на наследяване")</f>
        <v>модели на наследяване</v>
      </c>
      <c r="E4517" s="1" t="str">
        <f ca="1">IFERROR(__xludf.DUMMYFUNCTION("GOOGLETRANSLATE(English!E4517, ""en"", ""bg"")"),"Защо моделите на наследяване са важни в биологията?")</f>
        <v>Защо моделите на наследяване са важни в биологията?</v>
      </c>
      <c r="F4517" s="1" t="str">
        <f ca="1">IFERROR(__xludf.DUMMYFUNCTION("GOOGLETRANSLATE(English!F4517,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4517" s="1" t="str">
        <f ca="1">IFERROR(__xludf.DUMMYFUNCTION("GOOGLETRANSLATE(English!G4517, ""en"", ""bg"")"),"direct_qa")</f>
        <v>direct_qa</v>
      </c>
      <c r="H4517" s="1" t="str">
        <f ca="1">IFERROR(__xludf.DUMMYFUNCTION("GOOGLETRANSLATE(English!H4517, ""en"", ""bg"")"),"заявка_за_знание")</f>
        <v>заявка_за_знание</v>
      </c>
    </row>
    <row r="4518" spans="1:8" ht="13.2" x14ac:dyDescent="0.25">
      <c r="A4518" s="1" t="str">
        <f ca="1">IFERROR(__xludf.DUMMYFUNCTION("GOOGLETRANSLATE(English!A4518, ""en"", ""bg"")"),"hw_05224")</f>
        <v>hw_05224</v>
      </c>
      <c r="B4518" s="1" t="str">
        <f ca="1">IFERROR(__xludf.DUMMYFUNCTION("GOOGLETRANSLATE(English!B4518, ""en"", ""bg"")"),"биология")</f>
        <v>биология</v>
      </c>
      <c r="C4518" s="1" t="str">
        <f ca="1">IFERROR(__xludf.DUMMYFUNCTION("GOOGLETRANSLATE(English!C4518, ""en"", ""bg"")"),"високо")</f>
        <v>високо</v>
      </c>
      <c r="D4518" s="1" t="str">
        <f ca="1">IFERROR(__xludf.DUMMYFUNCTION("GOOGLETRANSLATE(English!D4518, ""en"", ""bg"")"),"митоза и мейоза")</f>
        <v>митоза и мейоза</v>
      </c>
      <c r="E4518" s="1" t="str">
        <f ca="1">IFERROR(__xludf.DUMMYFUNCTION("GOOGLETRANSLATE(English!E4518, ""en"", ""bg"")"),"Утре имам тест по митоза и мейоза. Помогни ми да уча!")</f>
        <v>Утре имам тест по митоза и мейоза. Помогни ми да уча!</v>
      </c>
      <c r="F4518" s="1" t="str">
        <f ca="1">IFERROR(__xludf.DUMMYFUNCTION("GOOGLETRANSLATE(English!F4518, ""en"", ""bg"")"),"Ще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митозата и мейозата! Нека разделя това на прости стъпки. Първо, нека обясня какво означават митозата и мейозата и защо са важни в биологията. След това можем да разгледаме заедно някои примери. С коя конкретна част бихте искали да започнете?</v>
      </c>
      <c r="G4518" s="1" t="str">
        <f ca="1">IFERROR(__xludf.DUMMYFUNCTION("GOOGLETRANSLATE(English!G4518, ""en"", ""bg"")"),"помощ_за_домашно_изпълнение")</f>
        <v>помощ_за_домашно_изпълнение</v>
      </c>
      <c r="H4518" s="1" t="str">
        <f ca="1">IFERROR(__xludf.DUMMYFUNCTION("GOOGLETRANSLATE(English!H4518, ""en"", ""bg"")"),"помощ_за_домашно_задаване")</f>
        <v>помощ_за_домашно_задаване</v>
      </c>
    </row>
    <row r="4519" spans="1:8" ht="13.2" x14ac:dyDescent="0.25">
      <c r="A4519" s="1" t="str">
        <f ca="1">IFERROR(__xludf.DUMMYFUNCTION("GOOGLETRANSLATE(English!A4519, ""en"", ""bg"")"),"conv_07859")</f>
        <v>conv_07859</v>
      </c>
      <c r="B4519" s="1" t="str">
        <f ca="1">IFERROR(__xludf.DUMMYFUNCTION("GOOGLETRANSLATE(English!B4519, ""en"", ""bg"")"),"биология")</f>
        <v>биология</v>
      </c>
      <c r="C4519" s="1" t="str">
        <f ca="1">IFERROR(__xludf.DUMMYFUNCTION("GOOGLETRANSLATE(English!C4519, ""en"", ""bg"")"),"средата")</f>
        <v>средата</v>
      </c>
      <c r="D4519" s="1" t="str">
        <f ca="1">IFERROR(__xludf.DUMMYFUNCTION("GOOGLETRANSLATE(English!D4519, ""en"", ""bg"")"),"дишане")</f>
        <v>дишане</v>
      </c>
      <c r="E4519" s="1" t="str">
        <f ca="1">IFERROR(__xludf.DUMMYFUNCTION("GOOGLETRANSLATE(English!E4519, ""en"", ""bg"")"),"Имам научен въпрос. Защо дишането е важно в биологията?")</f>
        <v>Имам научен въпрос. Защо дишането е важно в биологията?</v>
      </c>
      <c r="F4519" s="1" t="str">
        <f ca="1">IFERROR(__xludf.DUMMYFUNCTION("GOOGLETRANSLATE(English!F4519, ""en"", ""bg"")"),"Дишането е важно, защото ни помага да разберем живота и как живите същества оцеляват.")</f>
        <v>Дишането е важно, защото ни помага да разберем живота и как живите същества оцеляват.</v>
      </c>
      <c r="G4519" s="1" t="str">
        <f ca="1">IFERROR(__xludf.DUMMYFUNCTION("GOOGLETRANSLATE(English!G4519, ""en"", ""bg"")"),"разговор")</f>
        <v>разговор</v>
      </c>
      <c r="H4519" s="1" t="str">
        <f ca="1">IFERROR(__xludf.DUMMYFUNCTION("GOOGLETRANSLATE(English!H4519, ""en"", ""bg"")"),"образователна_помощ")</f>
        <v>образователна_помощ</v>
      </c>
    </row>
    <row r="4520" spans="1:8" ht="13.2" x14ac:dyDescent="0.25">
      <c r="A4520" s="1" t="str">
        <f ca="1">IFERROR(__xludf.DUMMYFUNCTION("GOOGLETRANSLATE(English!A4520, ""en"", ""bg"")"),"conv_19064")</f>
        <v>conv_19064</v>
      </c>
      <c r="B4520" s="1" t="str">
        <f ca="1">IFERROR(__xludf.DUMMYFUNCTION("GOOGLETRANSLATE(English!B4520, ""en"", ""bg"")"),"физика")</f>
        <v>физика</v>
      </c>
      <c r="C4520" s="1" t="str">
        <f ca="1">IFERROR(__xludf.DUMMYFUNCTION("GOOGLETRANSLATE(English!C4520, ""en"", ""bg"")"),"високо")</f>
        <v>високо</v>
      </c>
      <c r="D4520" s="1" t="str">
        <f ca="1">IFERROR(__xludf.DUMMYFUNCTION("GOOGLETRANSLATE(English!D4520, ""en"", ""bg"")"),"термодинамика")</f>
        <v>термодинамика</v>
      </c>
      <c r="E4520" s="1" t="str">
        <f ca="1">IFERROR(__xludf.DUMMYFUNCTION("GOOGLETRANSLATE(English!E4520, ""en"", ""bg"")"),"Можете ли да ми обясните това? Можете ли да ми обясните термодинамиката?")</f>
        <v>Можете ли да ми обясните това? Можете ли да ми обясните термодинамиката?</v>
      </c>
      <c r="F4520" s="1" t="str">
        <f ca="1">IFERROR(__xludf.DUMMYFUNCTION("GOOGLETRANSLATE(English!F4520,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4520" s="1" t="str">
        <f ca="1">IFERROR(__xludf.DUMMYFUNCTION("GOOGLETRANSLATE(English!G4520, ""en"", ""bg"")"),"разговор")</f>
        <v>разговор</v>
      </c>
      <c r="H4520" s="1" t="str">
        <f ca="1">IFERROR(__xludf.DUMMYFUNCTION("GOOGLETRANSLATE(English!H4520, ""en"", ""bg"")"),"образователна_помощ")</f>
        <v>образователна_помощ</v>
      </c>
    </row>
    <row r="4521" spans="1:8" ht="13.2" x14ac:dyDescent="0.25">
      <c r="A4521" s="1" t="str">
        <f ca="1">IFERROR(__xludf.DUMMYFUNCTION("GOOGLETRANSLATE(English!A4521, ""en"", ""bg"")"),"conv_10519")</f>
        <v>conv_10519</v>
      </c>
      <c r="B4521" s="1" t="str">
        <f ca="1">IFERROR(__xludf.DUMMYFUNCTION("GOOGLETRANSLATE(English!B4521, ""en"", ""bg"")"),"физика")</f>
        <v>физика</v>
      </c>
      <c r="C4521" s="1" t="str">
        <f ca="1">IFERROR(__xludf.DUMMYFUNCTION("GOOGLETRANSLATE(English!C4521, ""en"", ""bg"")"),"високо")</f>
        <v>високо</v>
      </c>
      <c r="D4521" s="1" t="str">
        <f ca="1">IFERROR(__xludf.DUMMYFUNCTION("GOOGLETRANSLATE(English!D4521, ""en"", ""bg"")"),"радиоактивност")</f>
        <v>радиоактивност</v>
      </c>
      <c r="E4521" s="1" t="str">
        <f ca="1">IFERROR(__xludf.DUMMYFUNCTION("GOOGLETRANSLATE(English!E4521, ""en"", ""bg"")"),"Имам научен въпрос. Какво трябва да знам за радиоактивността?")</f>
        <v>Имам научен въпрос. Какво трябва да знам за радиоактивността?</v>
      </c>
      <c r="F4521" s="1" t="str">
        <f ca="1">IFERROR(__xludf.DUMMYFUNCTION("GOOGLETRANSLATE(English!F4521,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4521" s="1" t="str">
        <f ca="1">IFERROR(__xludf.DUMMYFUNCTION("GOOGLETRANSLATE(English!G4521, ""en"", ""bg"")"),"разговор")</f>
        <v>разговор</v>
      </c>
      <c r="H4521" s="1" t="str">
        <f ca="1">IFERROR(__xludf.DUMMYFUNCTION("GOOGLETRANSLATE(English!H4521, ""en"", ""bg"")"),"образователна_помощ")</f>
        <v>образователна_помощ</v>
      </c>
    </row>
    <row r="4522" spans="1:8" ht="13.2" x14ac:dyDescent="0.25">
      <c r="A4522" s="1" t="str">
        <f ca="1">IFERROR(__xludf.DUMMYFUNCTION("GOOGLETRANSLATE(English!A4522, ""en"", ""bg"")"),"conv_00063")</f>
        <v>conv_00063</v>
      </c>
      <c r="B4522" s="1" t="str">
        <f ca="1">IFERROR(__xludf.DUMMYFUNCTION("GOOGLETRANSLATE(English!B4522, ""en"", ""bg"")"),"физика")</f>
        <v>физика</v>
      </c>
      <c r="C4522" s="1" t="str">
        <f ca="1">IFERROR(__xludf.DUMMYFUNCTION("GOOGLETRANSLATE(English!C4522, ""en"", ""bg"")"),"средата")</f>
        <v>средата</v>
      </c>
      <c r="D4522" s="1" t="str">
        <f ca="1">IFERROR(__xludf.DUMMYFUNCTION("GOOGLETRANSLATE(English!D4522, ""en"", ""bg"")"),"видове енергия")</f>
        <v>видове енергия</v>
      </c>
      <c r="E4522" s="1" t="str">
        <f ca="1">IFERROR(__xludf.DUMMYFUNCTION("GOOGLETRANSLATE(English!E4522, ""en"", ""bg"")"),"Имам нужда от помощ с домашното си. Какво е кинетична енергия?")</f>
        <v>Имам нужда от помощ с домашното си. Какво е кинетична енергия?</v>
      </c>
      <c r="F4522" s="1" t="str">
        <f ca="1">IFERROR(__xludf.DUMMYFUNCTION("GOOGLETRANSLATE(English!F4522,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4522" s="1" t="str">
        <f ca="1">IFERROR(__xludf.DUMMYFUNCTION("GOOGLETRANSLATE(English!G4522, ""en"", ""bg"")"),"разговор")</f>
        <v>разговор</v>
      </c>
      <c r="H4522" s="1" t="str">
        <f ca="1">IFERROR(__xludf.DUMMYFUNCTION("GOOGLETRANSLATE(English!H4522, ""en"", ""bg"")"),"образователна_помощ")</f>
        <v>образователна_помощ</v>
      </c>
    </row>
    <row r="4523" spans="1:8" ht="13.2" x14ac:dyDescent="0.25">
      <c r="A4523" s="1" t="str">
        <f ca="1">IFERROR(__xludf.DUMMYFUNCTION("GOOGLETRANSLATE(English!A4523, ""en"", ""bg"")"),"hw_03239")</f>
        <v>hw_03239</v>
      </c>
      <c r="B4523" s="1" t="str">
        <f ca="1">IFERROR(__xludf.DUMMYFUNCTION("GOOGLETRANSLATE(English!B4523, ""en"", ""bg"")"),"химия")</f>
        <v>химия</v>
      </c>
      <c r="C4523" s="1" t="str">
        <f ca="1">IFERROR(__xludf.DUMMYFUNCTION("GOOGLETRANSLATE(English!C4523, ""en"", ""bg"")"),"средата")</f>
        <v>средата</v>
      </c>
      <c r="D4523" s="1" t="str">
        <f ca="1">IFERROR(__xludf.DUMMYFUNCTION("GOOGLETRANSLATE(English!D4523, ""en"", ""bg"")"),"химични промени")</f>
        <v>химични промени</v>
      </c>
      <c r="E4523" s="1" t="str">
        <f ca="1">IFERROR(__xludf.DUMMYFUNCTION("GOOGLETRANSLATE(English!E4523, ""en"", ""bg"")"),"Можете ли да ми помогнете с изчисленията на химичните промени?")</f>
        <v>Можете ли да ми помогнете с изчисленията на химичните промени?</v>
      </c>
      <c r="F4523" s="1" t="str">
        <f ca="1">IFERROR(__xludf.DUMMYFUNCTION("GOOGLETRANSLATE(English!F4523,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523" s="1" t="str">
        <f ca="1">IFERROR(__xludf.DUMMYFUNCTION("GOOGLETRANSLATE(English!G4523, ""en"", ""bg"")"),"помощ_за_домашно_изпълнение")</f>
        <v>помощ_за_домашно_изпълнение</v>
      </c>
      <c r="H4523" s="1" t="str">
        <f ca="1">IFERROR(__xludf.DUMMYFUNCTION("GOOGLETRANSLATE(English!H4523, ""en"", ""bg"")"),"помощ_за_домашно_задаване")</f>
        <v>помощ_за_домашно_задаване</v>
      </c>
    </row>
    <row r="4524" spans="1:8" ht="13.2" x14ac:dyDescent="0.25">
      <c r="A4524" s="1" t="str">
        <f ca="1">IFERROR(__xludf.DUMMYFUNCTION("GOOGLETRANSLATE(English!A4524, ""en"", ""bg"")"),"qa_04951")</f>
        <v>qa_04951</v>
      </c>
      <c r="B4524" s="1" t="str">
        <f ca="1">IFERROR(__xludf.DUMMYFUNCTION("GOOGLETRANSLATE(English!B4524, ""en"", ""bg"")"),"химия")</f>
        <v>химия</v>
      </c>
      <c r="C4524" s="1" t="str">
        <f ca="1">IFERROR(__xludf.DUMMYFUNCTION("GOOGLETRANSLATE(English!C4524, ""en"", ""bg"")"),"средата")</f>
        <v>средата</v>
      </c>
      <c r="D4524" s="1" t="str">
        <f ca="1">IFERROR(__xludf.DUMMYFUNCTION("GOOGLETRANSLATE(English!D4524, ""en"", ""bg"")"),"съединения срещу елементи")</f>
        <v>съединения срещу елементи</v>
      </c>
      <c r="E4524" s="1" t="str">
        <f ca="1">IFERROR(__xludf.DUMMYFUNCTION("GOOGLETRANSLATE(English!E4524, ""en"", ""bg"")"),"Какво представляват съединенията срещу елементите?")</f>
        <v>Какво представляват съединенията срещу елементите?</v>
      </c>
      <c r="F4524" s="1" t="str">
        <f ca="1">IFERROR(__xludf.DUMMYFUNCTION("GOOGLETRANSLATE(English!F4524,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4524" s="1" t="str">
        <f ca="1">IFERROR(__xludf.DUMMYFUNCTION("GOOGLETRANSLATE(English!G4524, ""en"", ""bg"")"),"direct_qa")</f>
        <v>direct_qa</v>
      </c>
      <c r="H4524" s="1" t="str">
        <f ca="1">IFERROR(__xludf.DUMMYFUNCTION("GOOGLETRANSLATE(English!H4524, ""en"", ""bg"")"),"заявка_за_знание")</f>
        <v>заявка_за_знание</v>
      </c>
    </row>
    <row r="4525" spans="1:8" ht="13.2" x14ac:dyDescent="0.25">
      <c r="A4525" s="1" t="str">
        <f ca="1">IFERROR(__xludf.DUMMYFUNCTION("GOOGLETRANSLATE(English!A4525, ""en"", ""bg"")"),"qa_03653")</f>
        <v>qa_03653</v>
      </c>
      <c r="B4525" s="1" t="str">
        <f ca="1">IFERROR(__xludf.DUMMYFUNCTION("GOOGLETRANSLATE(English!B4525, ""en"", ""bg"")"),"химия")</f>
        <v>химия</v>
      </c>
      <c r="C4525" s="1" t="str">
        <f ca="1">IFERROR(__xludf.DUMMYFUNCTION("GOOGLETRANSLATE(English!C4525, ""en"", ""bg"")"),"средата")</f>
        <v>средата</v>
      </c>
      <c r="D4525" s="1" t="str">
        <f ca="1">IFERROR(__xludf.DUMMYFUNCTION("GOOGLETRANSLATE(English!D4525, ""en"", ""bg"")"),"основи на периодичната таблица")</f>
        <v>основи на периодичната таблица</v>
      </c>
      <c r="E4525" s="1" t="str">
        <f ca="1">IFERROR(__xludf.DUMMYFUNCTION("GOOGLETRANSLATE(English!E4525, ""en"", ""bg"")"),"Можете ли да ми помогнете да разбера основите на периодичната таблица?")</f>
        <v>Можете ли да ми помогнете да разбера основите на периодичната таблица?</v>
      </c>
      <c r="F4525" s="1" t="str">
        <f ca="1">IFERROR(__xludf.DUMMYFUNCTION("GOOGLETRANSLATE(English!F4525,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4525" s="1" t="str">
        <f ca="1">IFERROR(__xludf.DUMMYFUNCTION("GOOGLETRANSLATE(English!G4525, ""en"", ""bg"")"),"direct_qa")</f>
        <v>direct_qa</v>
      </c>
      <c r="H4525" s="1" t="str">
        <f ca="1">IFERROR(__xludf.DUMMYFUNCTION("GOOGLETRANSLATE(English!H4525, ""en"", ""bg"")"),"заявка_за_знание")</f>
        <v>заявка_за_знание</v>
      </c>
    </row>
    <row r="4526" spans="1:8" ht="13.2" x14ac:dyDescent="0.25">
      <c r="A4526" s="1" t="str">
        <f ca="1">IFERROR(__xludf.DUMMYFUNCTION("GOOGLETRANSLATE(English!A4526, ""en"", ""bg"")"),"conv_14075")</f>
        <v>conv_14075</v>
      </c>
      <c r="B4526" s="1" t="str">
        <f ca="1">IFERROR(__xludf.DUMMYFUNCTION("GOOGLETRANSLATE(English!B4526, ""en"", ""bg"")"),"биология")</f>
        <v>биология</v>
      </c>
      <c r="C4526" s="1" t="str">
        <f ca="1">IFERROR(__xludf.DUMMYFUNCTION("GOOGLETRANSLATE(English!C4526, ""en"", ""bg"")"),"средата")</f>
        <v>средата</v>
      </c>
      <c r="D4526" s="1" t="str">
        <f ca="1">IFERROR(__xludf.DUMMYFUNCTION("GOOGLETRANSLATE(English!D4526, ""en"", ""bg"")"),"размножаване")</f>
        <v>размножаване</v>
      </c>
      <c r="E4526" s="1" t="str">
        <f ca="1">IFERROR(__xludf.DUMMYFUNCTION("GOOGLETRANSLATE(English!E4526, ""en"", ""bg"")"),"Не разбирам тази тема. Какво е важно да се знае за размножаването?")</f>
        <v>Не разбирам тази тема. Какво е важно да се знае за размножаването?</v>
      </c>
      <c r="F4526" s="1" t="str">
        <f ca="1">IFERROR(__xludf.DUMMYFUNCTION("GOOGLETRANSLATE(English!F4526, ""en"", ""bg"")"),"Най-важното нещо за размножаването е как то се свързва с други части на живота и природата.")</f>
        <v>Най-важното нещо за размножаването е как то се свързва с други части на живота и природата.</v>
      </c>
      <c r="G4526" s="1" t="str">
        <f ca="1">IFERROR(__xludf.DUMMYFUNCTION("GOOGLETRANSLATE(English!G4526, ""en"", ""bg"")"),"разговор")</f>
        <v>разговор</v>
      </c>
      <c r="H4526" s="1" t="str">
        <f ca="1">IFERROR(__xludf.DUMMYFUNCTION("GOOGLETRANSLATE(English!H4526, ""en"", ""bg"")"),"образователна_помощ")</f>
        <v>образователна_помощ</v>
      </c>
    </row>
    <row r="4527" spans="1:8" ht="13.2" x14ac:dyDescent="0.25">
      <c r="A4527" s="1" t="str">
        <f ca="1">IFERROR(__xludf.DUMMYFUNCTION("GOOGLETRANSLATE(English!A4527, ""en"", ""bg"")"),"conv_09544")</f>
        <v>conv_09544</v>
      </c>
      <c r="B4527" s="1" t="str">
        <f ca="1">IFERROR(__xludf.DUMMYFUNCTION("GOOGLETRANSLATE(English!B4527, ""en"", ""bg"")"),"биология")</f>
        <v>биология</v>
      </c>
      <c r="C4527" s="1" t="str">
        <f ca="1">IFERROR(__xludf.DUMMYFUNCTION("GOOGLETRANSLATE(English!C4527, ""en"", ""bg"")"),"елементарен")</f>
        <v>елементарен</v>
      </c>
      <c r="D4527" s="1" t="str">
        <f ca="1">IFERROR(__xludf.DUMMYFUNCTION("GOOGLETRANSLATE(English!D4527, ""en"", ""bg"")"),"човешкото тяло")</f>
        <v>човешкото тяло</v>
      </c>
      <c r="E4527" s="1" t="str">
        <f ca="1">IFERROR(__xludf.DUMMYFUNCTION("GOOGLETRANSLATE(English!E4527, ""en"", ""bg"")"),"Имам нужда от помощ с домашното. Защо човешкото тяло е важно в биологията?")</f>
        <v>Имам нужда от помощ с домашното. Защо човешкото тяло е важно в биологията?</v>
      </c>
      <c r="F4527" s="1" t="str">
        <f ca="1">IFERROR(__xludf.DUMMYFUNCTION("GOOGLETRANSLATE(English!F4527,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4527" s="1" t="str">
        <f ca="1">IFERROR(__xludf.DUMMYFUNCTION("GOOGLETRANSLATE(English!G4527, ""en"", ""bg"")"),"разговор")</f>
        <v>разговор</v>
      </c>
      <c r="H4527" s="1" t="str">
        <f ca="1">IFERROR(__xludf.DUMMYFUNCTION("GOOGLETRANSLATE(English!H4527, ""en"", ""bg"")"),"образователна_помощ")</f>
        <v>образователна_помощ</v>
      </c>
    </row>
    <row r="4528" spans="1:8" ht="13.2" x14ac:dyDescent="0.25">
      <c r="A4528" s="1" t="str">
        <f ca="1">IFERROR(__xludf.DUMMYFUNCTION("GOOGLETRANSLATE(English!A4528, ""en"", ""bg"")"),"qa_03161")</f>
        <v>qa_03161</v>
      </c>
      <c r="B4528" s="1" t="str">
        <f ca="1">IFERROR(__xludf.DUMMYFUNCTION("GOOGLETRANSLATE(English!B4528, ""en"", ""bg"")"),"биология")</f>
        <v>биология</v>
      </c>
      <c r="C4528" s="1" t="str">
        <f ca="1">IFERROR(__xludf.DUMMYFUNCTION("GOOGLETRANSLATE(English!C4528, ""en"", ""bg"")"),"средата")</f>
        <v>средата</v>
      </c>
      <c r="D4528" s="1" t="str">
        <f ca="1">IFERROR(__xludf.DUMMYFUNCTION("GOOGLETRANSLATE(English!D4528, ""en"", ""bg"")"),"екосистеми")</f>
        <v>екосистеми</v>
      </c>
      <c r="E4528" s="1" t="str">
        <f ca="1">IFERROR(__xludf.DUMMYFUNCTION("GOOGLETRANSLATE(English!E4528, ""en"", ""bg"")"),"Защо екосистемите са важни в биологията?")</f>
        <v>Защо екосистемите са важни в биологията?</v>
      </c>
      <c r="F4528" s="1" t="str">
        <f ca="1">IFERROR(__xludf.DUMMYFUNCTION("GOOGLETRANSLATE(English!F4528,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4528" s="1" t="str">
        <f ca="1">IFERROR(__xludf.DUMMYFUNCTION("GOOGLETRANSLATE(English!G4528, ""en"", ""bg"")"),"direct_qa")</f>
        <v>direct_qa</v>
      </c>
      <c r="H4528" s="1" t="str">
        <f ca="1">IFERROR(__xludf.DUMMYFUNCTION("GOOGLETRANSLATE(English!H4528, ""en"", ""bg"")"),"заявка_за_знание")</f>
        <v>заявка_за_знание</v>
      </c>
    </row>
    <row r="4529" spans="1:8" ht="13.2" x14ac:dyDescent="0.25">
      <c r="A4529" s="1" t="str">
        <f ca="1">IFERROR(__xludf.DUMMYFUNCTION("GOOGLETRANSLATE(English!A4529, ""en"", ""bg"")"),"conv_18073")</f>
        <v>conv_18073</v>
      </c>
      <c r="B4529" s="1" t="str">
        <f ca="1">IFERROR(__xludf.DUMMYFUNCTION("GOOGLETRANSLATE(English!B4529, ""en"", ""bg"")"),"физика")</f>
        <v>физика</v>
      </c>
      <c r="C4529" s="1" t="str">
        <f ca="1">IFERROR(__xludf.DUMMYFUNCTION("GOOGLETRANSLATE(English!C4529, ""en"", ""bg"")"),"високо")</f>
        <v>високо</v>
      </c>
      <c r="D4529" s="1" t="str">
        <f ca="1">IFERROR(__xludf.DUMMYFUNCTION("GOOGLETRANSLATE(English!D4529, ""en"", ""bg"")"),"електромагнетизъм")</f>
        <v>електромагнетизъм</v>
      </c>
      <c r="E4529" s="1" t="str">
        <f ca="1">IFERROR(__xludf.DUMMYFUNCTION("GOOGLETRANSLATE(English!E4529, ""en"", ""bg"")"),"Помогнете ми да уча за теста. Можете ли да ми обясните електромагнетизма?")</f>
        <v>Помогнете ми да уча за теста. Можете ли да ми обясните електромагнетизма?</v>
      </c>
      <c r="F4529" s="1" t="str">
        <f ca="1">IFERROR(__xludf.DUMMYFUNCTION("GOOGLETRANSLATE(English!F4529,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4529" s="1" t="str">
        <f ca="1">IFERROR(__xludf.DUMMYFUNCTION("GOOGLETRANSLATE(English!G4529, ""en"", ""bg"")"),"разговор")</f>
        <v>разговор</v>
      </c>
      <c r="H4529" s="1" t="str">
        <f ca="1">IFERROR(__xludf.DUMMYFUNCTION("GOOGLETRANSLATE(English!H4529, ""en"", ""bg"")"),"образователна_помощ")</f>
        <v>образователна_помощ</v>
      </c>
    </row>
    <row r="4530" spans="1:8" ht="13.2" x14ac:dyDescent="0.25">
      <c r="A4530" s="1" t="str">
        <f ca="1">IFERROR(__xludf.DUMMYFUNCTION("GOOGLETRANSLATE(English!A4530, ""en"", ""bg"")"),"conv_00789")</f>
        <v>conv_00789</v>
      </c>
      <c r="B4530" s="1" t="str">
        <f ca="1">IFERROR(__xludf.DUMMYFUNCTION("GOOGLETRANSLATE(English!B4530, ""en"", ""bg"")"),"химия")</f>
        <v>химия</v>
      </c>
      <c r="C4530" s="1" t="str">
        <f ca="1">IFERROR(__xludf.DUMMYFUNCTION("GOOGLETRANSLATE(English!C4530, ""en"", ""bg"")"),"високо")</f>
        <v>високо</v>
      </c>
      <c r="D4530" s="1" t="str">
        <f ca="1">IFERROR(__xludf.DUMMYFUNCTION("GOOGLETRANSLATE(English!D4530, ""en"", ""bg"")"),"скорости на реакция")</f>
        <v>скорости на реакция</v>
      </c>
      <c r="E4530" s="1" t="str">
        <f ca="1">IFERROR(__xludf.DUMMYFUNCTION("GOOGLETRANSLATE(English!E4530, ""en"", ""bg"")"),"Можете ли да ми помогнете? Как работят скоростите на реакциите в химията?")</f>
        <v>Можете ли да ми помогнете? Как работят скоростите на реакциите в химията?</v>
      </c>
      <c r="F4530" s="1" t="str">
        <f ca="1">IFERROR(__xludf.DUMMYFUNCTION("GOOGLETRANSLATE(English!F4530,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4530" s="1" t="str">
        <f ca="1">IFERROR(__xludf.DUMMYFUNCTION("GOOGLETRANSLATE(English!G4530, ""en"", ""bg"")"),"разговор")</f>
        <v>разговор</v>
      </c>
      <c r="H4530" s="1" t="str">
        <f ca="1">IFERROR(__xludf.DUMMYFUNCTION("GOOGLETRANSLATE(English!H4530, ""en"", ""bg"")"),"образователна_помощ")</f>
        <v>образователна_помощ</v>
      </c>
    </row>
    <row r="4531" spans="1:8" ht="13.2" x14ac:dyDescent="0.25">
      <c r="A4531" s="1" t="str">
        <f ca="1">IFERROR(__xludf.DUMMYFUNCTION("GOOGLETRANSLATE(English!A4531, ""en"", ""bg"")"),"hw_10914")</f>
        <v>hw_10914</v>
      </c>
      <c r="B4531" s="1" t="str">
        <f ca="1">IFERROR(__xludf.DUMMYFUNCTION("GOOGLETRANSLATE(English!B4531, ""en"", ""bg"")"),"физика")</f>
        <v>физика</v>
      </c>
      <c r="C4531" s="1" t="str">
        <f ca="1">IFERROR(__xludf.DUMMYFUNCTION("GOOGLETRANSLATE(English!C4531, ""en"", ""bg"")"),"средата")</f>
        <v>средата</v>
      </c>
      <c r="D4531" s="1" t="str">
        <f ca="1">IFERROR(__xludf.DUMMYFUNCTION("GOOGLETRANSLATE(English!D4531, ""en"", ""bg"")"),"сили и движение")</f>
        <v>сили и движение</v>
      </c>
      <c r="E4531" s="1" t="str">
        <f ca="1">IFERROR(__xludf.DUMMYFUNCTION("GOOGLETRANSLATE(English!E4531,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4531" s="1" t="str">
        <f ca="1">IFERROR(__xludf.DUMMYFUNCTION("GOOGLETRANSLATE(English!F4531,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4531" s="1" t="str">
        <f ca="1">IFERROR(__xludf.DUMMYFUNCTION("GOOGLETRANSLATE(English!G4531, ""en"", ""bg"")"),"помощ_за_домашно_изпълнение")</f>
        <v>помощ_за_домашно_изпълнение</v>
      </c>
      <c r="H4531" s="1" t="str">
        <f ca="1">IFERROR(__xludf.DUMMYFUNCTION("GOOGLETRANSLATE(English!H4531, ""en"", ""bg"")"),"помощ_за_домашно_задаване")</f>
        <v>помощ_за_домашно_задаване</v>
      </c>
    </row>
    <row r="4532" spans="1:8" ht="13.2" x14ac:dyDescent="0.25">
      <c r="A4532" s="1" t="str">
        <f ca="1">IFERROR(__xludf.DUMMYFUNCTION("GOOGLETRANSLATE(English!A4532, ""en"", ""bg"")"),"conv_16436")</f>
        <v>conv_16436</v>
      </c>
      <c r="B4532" s="1" t="str">
        <f ca="1">IFERROR(__xludf.DUMMYFUNCTION("GOOGLETRANSLATE(English!B4532, ""en"", ""bg"")"),"биология")</f>
        <v>биология</v>
      </c>
      <c r="C4532" s="1" t="str">
        <f ca="1">IFERROR(__xludf.DUMMYFUNCTION("GOOGLETRANSLATE(English!C4532, ""en"", ""bg"")"),"средата")</f>
        <v>средата</v>
      </c>
      <c r="D4532" s="1" t="str">
        <f ca="1">IFERROR(__xludf.DUMMYFUNCTION("GOOGLETRANSLATE(English!D4532, ""en"", ""bg"")"),"фотосинтеза")</f>
        <v>фотосинтеза</v>
      </c>
      <c r="E4532" s="1" t="str">
        <f ca="1">IFERROR(__xludf.DUMMYFUNCTION("GOOGLETRANSLATE(English!E4532, ""en"", ""bg"")"),"Можете ли да ми помогнете? Можете ли да ми разкажете за фотосинтезата?")</f>
        <v>Можете ли да ми помогнете? Можете ли да ми разкажете за фотосинтезата?</v>
      </c>
      <c r="F4532" s="1" t="str">
        <f ca="1">IFERROR(__xludf.DUMMYFUNCTION("GOOGLETRANSLATE(English!F4532, ""en"", ""bg"")"),"Фотосинтезата е завладяваща част от биологията! Тя ни помага да разберем как функционират живите организми.")</f>
        <v>Фотосинтезата е завладяваща част от биологията! Тя ни помага да разберем как функционират живите организми.</v>
      </c>
      <c r="G4532" s="1" t="str">
        <f ca="1">IFERROR(__xludf.DUMMYFUNCTION("GOOGLETRANSLATE(English!G4532, ""en"", ""bg"")"),"разговор")</f>
        <v>разговор</v>
      </c>
      <c r="H4532" s="1" t="str">
        <f ca="1">IFERROR(__xludf.DUMMYFUNCTION("GOOGLETRANSLATE(English!H4532, ""en"", ""bg"")"),"образователна_помощ")</f>
        <v>образователна_помощ</v>
      </c>
    </row>
    <row r="4533" spans="1:8" ht="13.2" x14ac:dyDescent="0.25">
      <c r="A4533" s="1" t="str">
        <f ca="1">IFERROR(__xludf.DUMMYFUNCTION("GOOGLETRANSLATE(English!A4533, ""en"", ""bg"")"),"conv_15937")</f>
        <v>conv_15937</v>
      </c>
      <c r="B4533" s="1" t="str">
        <f ca="1">IFERROR(__xludf.DUMMYFUNCTION("GOOGLETRANSLATE(English!B4533, ""en"", ""bg"")"),"физика")</f>
        <v>физика</v>
      </c>
      <c r="C4533" s="1" t="str">
        <f ca="1">IFERROR(__xludf.DUMMYFUNCTION("GOOGLETRANSLATE(English!C4533, ""en"", ""bg"")"),"високо")</f>
        <v>високо</v>
      </c>
      <c r="D4533" s="1" t="str">
        <f ca="1">IFERROR(__xludf.DUMMYFUNCTION("GOOGLETRANSLATE(English!D4533, ""en"", ""bg"")"),"термодинамика")</f>
        <v>термодинамика</v>
      </c>
      <c r="E4533" s="1" t="str">
        <f ca="1">IFERROR(__xludf.DUMMYFUNCTION("GOOGLETRANSLATE(English!E4533, ""en"", ""bg"")"),"Имам нужда от помощ с домашното си. Можете ли да ми обясните термодинамиката?")</f>
        <v>Имам нужда от помощ с домашното си. Можете ли да ми обясните термодинамиката?</v>
      </c>
      <c r="F4533" s="1" t="str">
        <f ca="1">IFERROR(__xludf.DUMMYFUNCTION("GOOGLETRANSLATE(English!F4533,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4533" s="1" t="str">
        <f ca="1">IFERROR(__xludf.DUMMYFUNCTION("GOOGLETRANSLATE(English!G4533, ""en"", ""bg"")"),"разговор")</f>
        <v>разговор</v>
      </c>
      <c r="H4533" s="1" t="str">
        <f ca="1">IFERROR(__xludf.DUMMYFUNCTION("GOOGLETRANSLATE(English!H4533, ""en"", ""bg"")"),"образователна_помощ")</f>
        <v>образователна_помощ</v>
      </c>
    </row>
    <row r="4534" spans="1:8" ht="13.2" x14ac:dyDescent="0.25">
      <c r="A4534" s="1" t="str">
        <f ca="1">IFERROR(__xludf.DUMMYFUNCTION("GOOGLETRANSLATE(English!A4534, ""en"", ""bg"")"),"hw_01856")</f>
        <v>hw_01856</v>
      </c>
      <c r="B4534" s="1" t="str">
        <f ca="1">IFERROR(__xludf.DUMMYFUNCTION("GOOGLETRANSLATE(English!B4534, ""en"", ""bg"")"),"физика")</f>
        <v>физика</v>
      </c>
      <c r="C4534" s="1" t="str">
        <f ca="1">IFERROR(__xludf.DUMMYFUNCTION("GOOGLETRANSLATE(English!C4534, ""en"", ""bg"")"),"високо")</f>
        <v>високо</v>
      </c>
      <c r="D4534" s="1" t="str">
        <f ca="1">IFERROR(__xludf.DUMMYFUNCTION("GOOGLETRANSLATE(English!D4534, ""en"", ""bg"")"),"оптика")</f>
        <v>оптика</v>
      </c>
      <c r="E4534" s="1" t="str">
        <f ca="1">IFERROR(__xludf.DUMMYFUNCTION("GOOGLETRANSLATE(English!E4534, ""en"", ""bg"")"),"Заседнал съм с този проблем с оптиката. Можете ли да помогнете?")</f>
        <v>Заседнал съм с този проблем с оптиката. Можете ли да помогнете?</v>
      </c>
      <c r="F4534" s="1" t="str">
        <f ca="1">IFERROR(__xludf.DUMMYFUNCTION("GOOGLETRANSLATE(English!F4534,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4534" s="1" t="str">
        <f ca="1">IFERROR(__xludf.DUMMYFUNCTION("GOOGLETRANSLATE(English!G4534, ""en"", ""bg"")"),"помощ_за_домашно_изпълнение")</f>
        <v>помощ_за_домашно_изпълнение</v>
      </c>
      <c r="H4534" s="1" t="str">
        <f ca="1">IFERROR(__xludf.DUMMYFUNCTION("GOOGLETRANSLATE(English!H4534, ""en"", ""bg"")"),"помощ_за_домашно_задаване")</f>
        <v>помощ_за_домашно_задаване</v>
      </c>
    </row>
    <row r="4535" spans="1:8" ht="13.2" x14ac:dyDescent="0.25">
      <c r="A4535" s="1" t="str">
        <f ca="1">IFERROR(__xludf.DUMMYFUNCTION("GOOGLETRANSLATE(English!A4535, ""en"", ""bg"")"),"hw_11983")</f>
        <v>hw_11983</v>
      </c>
      <c r="B4535" s="1" t="str">
        <f ca="1">IFERROR(__xludf.DUMMYFUNCTION("GOOGLETRANSLATE(English!B4535, ""en"", ""bg"")"),"биология")</f>
        <v>биология</v>
      </c>
      <c r="C4535" s="1" t="str">
        <f ca="1">IFERROR(__xludf.DUMMYFUNCTION("GOOGLETRANSLATE(English!C4535, ""en"", ""bg"")"),"високо")</f>
        <v>високо</v>
      </c>
      <c r="D4535" s="1" t="str">
        <f ca="1">IFERROR(__xludf.DUMMYFUNCTION("GOOGLETRANSLATE(English!D4535, ""en"", ""bg"")"),"клетъчно дишане")</f>
        <v>клетъчно дишане</v>
      </c>
      <c r="E4535" s="1" t="str">
        <f ca="1">IFERROR(__xludf.DUMMYFUNCTION("GOOGLETRANSLATE(English!E4535, ""en"", ""bg"")"),"Утре имам тест по клетъчно дишане. Помогни ми да уча!")</f>
        <v>Утре имам тест по клетъчно дишане. Помогни ми да уча!</v>
      </c>
      <c r="F4535" s="1" t="str">
        <f ca="1">IFERROR(__xludf.DUMMYFUNCTION("GOOGLETRANSLATE(English!F4535,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4535" s="1" t="str">
        <f ca="1">IFERROR(__xludf.DUMMYFUNCTION("GOOGLETRANSLATE(English!G4535, ""en"", ""bg"")"),"помощ_за_домашно_изпълнение")</f>
        <v>помощ_за_домашно_изпълнение</v>
      </c>
      <c r="H4535" s="1" t="str">
        <f ca="1">IFERROR(__xludf.DUMMYFUNCTION("GOOGLETRANSLATE(English!H4535, ""en"", ""bg"")"),"помощ_за_домашно_задаване")</f>
        <v>помощ_за_домашно_задаване</v>
      </c>
    </row>
    <row r="4536" spans="1:8" ht="13.2" x14ac:dyDescent="0.25">
      <c r="A4536" s="1" t="str">
        <f ca="1">IFERROR(__xludf.DUMMYFUNCTION("GOOGLETRANSLATE(English!A4536, ""en"", ""bg"")"),"hw_08362")</f>
        <v>hw_08362</v>
      </c>
      <c r="B4536" s="1" t="str">
        <f ca="1">IFERROR(__xludf.DUMMYFUNCTION("GOOGLETRANSLATE(English!B4536, ""en"", ""bg"")"),"химия")</f>
        <v>химия</v>
      </c>
      <c r="C4536" s="1" t="str">
        <f ca="1">IFERROR(__xludf.DUMMYFUNCTION("GOOGLETRANSLATE(English!C4536, ""en"", ""bg"")"),"елементарен")</f>
        <v>елементарен</v>
      </c>
      <c r="D4536" s="1" t="str">
        <f ca="1">IFERROR(__xludf.DUMMYFUNCTION("GOOGLETRANSLATE(English!D4536, ""en"", ""bg"")"),"смесване на материали")</f>
        <v>смесване на материали</v>
      </c>
      <c r="E4536" s="1" t="str">
        <f ca="1">IFERROR(__xludf.DUMMYFUNCTION("GOOGLETRANSLATE(English!E4536, ""en"", ""bg"")"),"Можете ли да ми помогнете с изчисленията за смесване на материали?")</f>
        <v>Можете ли да ми помогнете с изчисленията за смесване на материали?</v>
      </c>
      <c r="F4536" s="1" t="str">
        <f ca="1">IFERROR(__xludf.DUMMYFUNCTION("GOOGLETRANSLATE(English!F4536,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4536" s="1" t="str">
        <f ca="1">IFERROR(__xludf.DUMMYFUNCTION("GOOGLETRANSLATE(English!G4536, ""en"", ""bg"")"),"помощ_за_домашно_изпълнение")</f>
        <v>помощ_за_домашно_изпълнение</v>
      </c>
      <c r="H4536" s="1" t="str">
        <f ca="1">IFERROR(__xludf.DUMMYFUNCTION("GOOGLETRANSLATE(English!H4536, ""en"", ""bg"")"),"помощ_за_домашно_задаване")</f>
        <v>помощ_за_домашно_задаване</v>
      </c>
    </row>
    <row r="4537" spans="1:8" ht="13.2" x14ac:dyDescent="0.25">
      <c r="A4537" s="1" t="str">
        <f ca="1">IFERROR(__xludf.DUMMYFUNCTION("GOOGLETRANSLATE(English!A4537, ""en"", ""bg"")"),"hw_10907")</f>
        <v>hw_10907</v>
      </c>
      <c r="B4537" s="1" t="str">
        <f ca="1">IFERROR(__xludf.DUMMYFUNCTION("GOOGLETRANSLATE(English!B4537, ""en"", ""bg"")"),"биология")</f>
        <v>биология</v>
      </c>
      <c r="C4537" s="1" t="str">
        <f ca="1">IFERROR(__xludf.DUMMYFUNCTION("GOOGLETRANSLATE(English!C4537, ""en"", ""bg"")"),"средата")</f>
        <v>средата</v>
      </c>
      <c r="D4537" s="1" t="str">
        <f ca="1">IFERROR(__xludf.DUMMYFUNCTION("GOOGLETRANSLATE(English!D4537, ""en"", ""bg"")"),"дишане")</f>
        <v>дишане</v>
      </c>
      <c r="E4537" s="1" t="str">
        <f ca="1">IFERROR(__xludf.DUMMYFUNCTION("GOOGLETRANSLATE(English!E4537, ""en"", ""bg"")"),"Можете ли да обясните дишането за моя научен проект?")</f>
        <v>Можете ли да обясните дишането за моя научен проект?</v>
      </c>
      <c r="F4537" s="1" t="str">
        <f ca="1">IFERROR(__xludf.DUMMYFUNCTION("GOOGLETRANSLATE(English!F4537,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537" s="1" t="str">
        <f ca="1">IFERROR(__xludf.DUMMYFUNCTION("GOOGLETRANSLATE(English!G4537, ""en"", ""bg"")"),"помощ_за_домашно_изпълнение")</f>
        <v>помощ_за_домашно_изпълнение</v>
      </c>
      <c r="H4537" s="1" t="str">
        <f ca="1">IFERROR(__xludf.DUMMYFUNCTION("GOOGLETRANSLATE(English!H4537, ""en"", ""bg"")"),"помощ_за_домашно_задаване")</f>
        <v>помощ_за_домашно_задаване</v>
      </c>
    </row>
    <row r="4538" spans="1:8" ht="13.2" x14ac:dyDescent="0.25">
      <c r="A4538" s="1" t="str">
        <f ca="1">IFERROR(__xludf.DUMMYFUNCTION("GOOGLETRANSLATE(English!A4538, ""en"", ""bg"")"),"hw_07879")</f>
        <v>hw_07879</v>
      </c>
      <c r="B4538" s="1" t="str">
        <f ca="1">IFERROR(__xludf.DUMMYFUNCTION("GOOGLETRANSLATE(English!B4538, ""en"", ""bg"")"),"физика")</f>
        <v>физика</v>
      </c>
      <c r="C4538" s="1" t="str">
        <f ca="1">IFERROR(__xludf.DUMMYFUNCTION("GOOGLETRANSLATE(English!C4538, ""en"", ""bg"")"),"високо")</f>
        <v>високо</v>
      </c>
      <c r="D4538" s="1" t="str">
        <f ca="1">IFERROR(__xludf.DUMMYFUNCTION("GOOGLETRANSLATE(English!D4538, ""en"", ""bg"")"),"оптика")</f>
        <v>оптика</v>
      </c>
      <c r="E4538" s="1" t="str">
        <f ca="1">IFERROR(__xludf.DUMMYFUNCTION("GOOGLETRANSLATE(English!E4538, ""en"", ""bg"")"),"Трябва да разбирам оптиката за изпита си.")</f>
        <v>Трябва да разбирам оптиката за изпита си.</v>
      </c>
      <c r="F4538" s="1" t="str">
        <f ca="1">IFERROR(__xludf.DUMMYFUNCTION("GOOGLETRANSLATE(English!F4538,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4538" s="1" t="str">
        <f ca="1">IFERROR(__xludf.DUMMYFUNCTION("GOOGLETRANSLATE(English!G4538, ""en"", ""bg"")"),"помощ_за_домашно_изпълнение")</f>
        <v>помощ_за_домашно_изпълнение</v>
      </c>
      <c r="H4538" s="1" t="str">
        <f ca="1">IFERROR(__xludf.DUMMYFUNCTION("GOOGLETRANSLATE(English!H4538, ""en"", ""bg"")"),"помощ_за_домашно_задаване")</f>
        <v>помощ_за_домашно_задаване</v>
      </c>
    </row>
    <row r="4539" spans="1:8" ht="13.2" x14ac:dyDescent="0.25">
      <c r="A4539" s="1" t="str">
        <f ca="1">IFERROR(__xludf.DUMMYFUNCTION("GOOGLETRANSLATE(English!A4539, ""en"", ""bg"")"),"conv_06343")</f>
        <v>conv_06343</v>
      </c>
      <c r="B4539" s="1" t="str">
        <f ca="1">IFERROR(__xludf.DUMMYFUNCTION("GOOGLETRANSLATE(English!B4539, ""en"", ""bg"")"),"биология")</f>
        <v>биология</v>
      </c>
      <c r="C4539" s="1" t="str">
        <f ca="1">IFERROR(__xludf.DUMMYFUNCTION("GOOGLETRANSLATE(English!C4539, ""en"", ""bg"")"),"елементарен")</f>
        <v>елементарен</v>
      </c>
      <c r="D4539" s="1" t="str">
        <f ca="1">IFERROR(__xludf.DUMMYFUNCTION("GOOGLETRANSLATE(English!D4539, ""en"", ""bg"")"),"животни")</f>
        <v>животни</v>
      </c>
      <c r="E4539" s="1" t="str">
        <f ca="1">IFERROR(__xludf.DUMMYFUNCTION("GOOGLETRANSLATE(English!E4539, ""en"", ""bg"")"),"Имам нужда от помощ с домашното. Как кучетата се грижат за бебетата си?")</f>
        <v>Имам нужда от помощ с домашното. Как кучетата се грижат за бебетата си?</v>
      </c>
      <c r="F4539" s="1" t="str">
        <f ca="1">IFERROR(__xludf.DUMMYFUNCTION("GOOGLETRANSLATE(English!F4539, ""en"", ""bg"")"),"Родителите на животни се грижат за своите бебета, като ги хранят, държат ги топли и ги учат на важни умения за оцеляване.")</f>
        <v>Родителите на животни се грижат за своите бебета, като ги хранят, държат ги топли и ги учат на важни умения за оцеляване.</v>
      </c>
      <c r="G4539" s="1" t="str">
        <f ca="1">IFERROR(__xludf.DUMMYFUNCTION("GOOGLETRANSLATE(English!G4539, ""en"", ""bg"")"),"разговор")</f>
        <v>разговор</v>
      </c>
      <c r="H4539" s="1" t="str">
        <f ca="1">IFERROR(__xludf.DUMMYFUNCTION("GOOGLETRANSLATE(English!H4539, ""en"", ""bg"")"),"образователна_помощ")</f>
        <v>образователна_помощ</v>
      </c>
    </row>
    <row r="4540" spans="1:8" ht="13.2" x14ac:dyDescent="0.25">
      <c r="A4540" s="1" t="str">
        <f ca="1">IFERROR(__xludf.DUMMYFUNCTION("GOOGLETRANSLATE(English!A4540, ""en"", ""bg"")"),"qa_09110")</f>
        <v>qa_09110</v>
      </c>
      <c r="B4540" s="1" t="str">
        <f ca="1">IFERROR(__xludf.DUMMYFUNCTION("GOOGLETRANSLATE(English!B4540, ""en"", ""bg"")"),"биология")</f>
        <v>биология</v>
      </c>
      <c r="C4540" s="1" t="str">
        <f ca="1">IFERROR(__xludf.DUMMYFUNCTION("GOOGLETRANSLATE(English!C4540, ""en"", ""bg"")"),"елементарен")</f>
        <v>елементарен</v>
      </c>
      <c r="D4540" s="1" t="str">
        <f ca="1">IFERROR(__xludf.DUMMYFUNCTION("GOOGLETRANSLATE(English!D4540, ""en"", ""bg"")"),"жизнени цикли")</f>
        <v>жизнени цикли</v>
      </c>
      <c r="E4540" s="1" t="str">
        <f ca="1">IFERROR(__xludf.DUMMYFUNCTION("GOOGLETRANSLATE(English!E4540, ""en"", ""bg"")"),"Можете ли да ми разкажете за жизнените цикли?")</f>
        <v>Можете ли да ми разкажете за жизнените цикли?</v>
      </c>
      <c r="F4540" s="1" t="str">
        <f ca="1">IFERROR(__xludf.DUMMYFUNCTION("GOOGLETRANSLATE(English!F4540,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4540" s="1" t="str">
        <f ca="1">IFERROR(__xludf.DUMMYFUNCTION("GOOGLETRANSLATE(English!G4540, ""en"", ""bg"")"),"direct_qa")</f>
        <v>direct_qa</v>
      </c>
      <c r="H4540" s="1" t="str">
        <f ca="1">IFERROR(__xludf.DUMMYFUNCTION("GOOGLETRANSLATE(English!H4540, ""en"", ""bg"")"),"заявка_за_знание")</f>
        <v>заявка_за_знание</v>
      </c>
    </row>
    <row r="4541" spans="1:8" ht="13.2" x14ac:dyDescent="0.25">
      <c r="A4541" s="1" t="str">
        <f ca="1">IFERROR(__xludf.DUMMYFUNCTION("GOOGLETRANSLATE(English!A4541, ""en"", ""bg"")"),"qa_09138")</f>
        <v>qa_09138</v>
      </c>
      <c r="B4541" s="1" t="str">
        <f ca="1">IFERROR(__xludf.DUMMYFUNCTION("GOOGLETRANSLATE(English!B4541, ""en"", ""bg"")"),"химия")</f>
        <v>химия</v>
      </c>
      <c r="C4541" s="1" t="str">
        <f ca="1">IFERROR(__xludf.DUMMYFUNCTION("GOOGLETRANSLATE(English!C4541, ""en"", ""bg"")"),"средата")</f>
        <v>средата</v>
      </c>
      <c r="D4541" s="1" t="str">
        <f ca="1">IFERROR(__xludf.DUMMYFUNCTION("GOOGLETRANSLATE(English!D4541, ""en"", ""bg"")"),"основи на периодичната таблица")</f>
        <v>основи на периодичната таблица</v>
      </c>
      <c r="E4541" s="1" t="str">
        <f ca="1">IFERROR(__xludf.DUMMYFUNCTION("GOOGLETRANSLATE(English!E4541, ""en"", ""bg"")"),"Какво представляват основите на периодичната таблица?")</f>
        <v>Какво представляват основите на периодичната таблица?</v>
      </c>
      <c r="F4541" s="1" t="str">
        <f ca="1">IFERROR(__xludf.DUMMYFUNCTION("GOOGLETRANSLATE(English!F4541,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4541" s="1" t="str">
        <f ca="1">IFERROR(__xludf.DUMMYFUNCTION("GOOGLETRANSLATE(English!G4541, ""en"", ""bg"")"),"direct_qa")</f>
        <v>direct_qa</v>
      </c>
      <c r="H4541" s="1" t="str">
        <f ca="1">IFERROR(__xludf.DUMMYFUNCTION("GOOGLETRANSLATE(English!H4541, ""en"", ""bg"")"),"заявка_за_знание")</f>
        <v>заявка_за_знание</v>
      </c>
    </row>
    <row r="4542" spans="1:8" ht="13.2" x14ac:dyDescent="0.25">
      <c r="A4542" s="1" t="str">
        <f ca="1">IFERROR(__xludf.DUMMYFUNCTION("GOOGLETRANSLATE(English!A4542, ""en"", ""bg"")"),"conv_09110")</f>
        <v>conv_09110</v>
      </c>
      <c r="B4542" s="1" t="str">
        <f ca="1">IFERROR(__xludf.DUMMYFUNCTION("GOOGLETRANSLATE(English!B4542, ""en"", ""bg"")"),"биология")</f>
        <v>биология</v>
      </c>
      <c r="C4542" s="1" t="str">
        <f ca="1">IFERROR(__xludf.DUMMYFUNCTION("GOOGLETRANSLATE(English!C4542, ""en"", ""bg"")"),"елементарен")</f>
        <v>елементарен</v>
      </c>
      <c r="D4542" s="1" t="str">
        <f ca="1">IFERROR(__xludf.DUMMYFUNCTION("GOOGLETRANSLATE(English!D4542, ""en"", ""bg"")"),"хранителни вериги")</f>
        <v>хранителни вериги</v>
      </c>
      <c r="E4542" s="1" t="str">
        <f ca="1">IFERROR(__xludf.DUMMYFUNCTION("GOOGLETRANSLATE(English!E4542, ""en"", ""bg"")"),"Помогнете ми да уча за теста си. Какво е важно да знаем за хранителните вериги?")</f>
        <v>Помогнете ми да уча за теста си. Какво е важно да знаем за хранителните вериги?</v>
      </c>
      <c r="F4542" s="1" t="str">
        <f ca="1">IFERROR(__xludf.DUMMYFUNCTION("GOOGLETRANSLATE(English!F4542,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4542" s="1" t="str">
        <f ca="1">IFERROR(__xludf.DUMMYFUNCTION("GOOGLETRANSLATE(English!G4542, ""en"", ""bg"")"),"разговор")</f>
        <v>разговор</v>
      </c>
      <c r="H4542" s="1" t="str">
        <f ca="1">IFERROR(__xludf.DUMMYFUNCTION("GOOGLETRANSLATE(English!H4542, ""en"", ""bg"")"),"образователна_помощ")</f>
        <v>образователна_помощ</v>
      </c>
    </row>
    <row r="4543" spans="1:8" ht="13.2" x14ac:dyDescent="0.25">
      <c r="A4543" s="1" t="str">
        <f ca="1">IFERROR(__xludf.DUMMYFUNCTION("GOOGLETRANSLATE(English!A4543, ""en"", ""bg"")"),"hw_04121")</f>
        <v>hw_04121</v>
      </c>
      <c r="B4543" s="1" t="str">
        <f ca="1">IFERROR(__xludf.DUMMYFUNCTION("GOOGLETRANSLATE(English!B4543, ""en"", ""bg"")"),"биология")</f>
        <v>биология</v>
      </c>
      <c r="C4543" s="1" t="str">
        <f ca="1">IFERROR(__xludf.DUMMYFUNCTION("GOOGLETRANSLATE(English!C4543, ""en"", ""bg"")"),"елементарен")</f>
        <v>елементарен</v>
      </c>
      <c r="D4543" s="1" t="str">
        <f ca="1">IFERROR(__xludf.DUMMYFUNCTION("GOOGLETRANSLATE(English!D4543, ""en"", ""bg"")"),"животни")</f>
        <v>животни</v>
      </c>
      <c r="E4543" s="1" t="str">
        <f ca="1">IFERROR(__xludf.DUMMYFUNCTION("GOOGLETRANSLATE(English!E4543, ""en"", ""bg"")"),"Утре имам тест върху животни. Помогни ми да уча!")</f>
        <v>Утре имам тест върху животни. Помогни ми да уча!</v>
      </c>
      <c r="F4543" s="1" t="str">
        <f ca="1">IFERROR(__xludf.DUMMYFUNCTION("GOOGLETRANSLATE(English!F4543, ""en"", ""bg"")"),"Ще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животните! Нека разделя това на прости стъпки. Първо, нека обясня какво означава думата „животни“ и защо е важна в биологията. След това можем да разгледаме заедно някои примери. С коя конкретна част бихте искали да започнете?</v>
      </c>
      <c r="G4543" s="1" t="str">
        <f ca="1">IFERROR(__xludf.DUMMYFUNCTION("GOOGLETRANSLATE(English!G4543, ""en"", ""bg"")"),"помощ_за_домашно_изпълнение")</f>
        <v>помощ_за_домашно_изпълнение</v>
      </c>
      <c r="H4543" s="1" t="str">
        <f ca="1">IFERROR(__xludf.DUMMYFUNCTION("GOOGLETRANSLATE(English!H4543, ""en"", ""bg"")"),"помощ_за_домашно_задаване")</f>
        <v>помощ_за_домашно_задаване</v>
      </c>
    </row>
    <row r="4544" spans="1:8" ht="13.2" x14ac:dyDescent="0.25">
      <c r="A4544" s="1" t="str">
        <f ca="1">IFERROR(__xludf.DUMMYFUNCTION("GOOGLETRANSLATE(English!A4544, ""en"", ""bg"")"),"conv_12412")</f>
        <v>conv_12412</v>
      </c>
      <c r="B4544" s="1" t="str">
        <f ca="1">IFERROR(__xludf.DUMMYFUNCTION("GOOGLETRANSLATE(English!B4544, ""en"", ""bg"")"),"химия")</f>
        <v>химия</v>
      </c>
      <c r="C4544" s="1" t="str">
        <f ca="1">IFERROR(__xludf.DUMMYFUNCTION("GOOGLETRANSLATE(English!C4544, ""en"", ""bg"")"),"средата")</f>
        <v>средата</v>
      </c>
      <c r="D4544" s="1" t="str">
        <f ca="1">IFERROR(__xludf.DUMMYFUNCTION("GOOGLETRANSLATE(English!D4544, ""en"", ""bg"")"),"киселини и основи")</f>
        <v>киселини и основи</v>
      </c>
      <c r="E4544" s="1" t="str">
        <f ca="1">IFERROR(__xludf.DUMMYFUNCTION("GOOGLETRANSLATE(English!E4544, ""en"", ""bg"")"),"Можете ли да ми обясните това? Защо е важно да се изучават киселини и основи?")</f>
        <v>Можете ли да ми обясните това? Защо е важно да се изучават киселини и основи?</v>
      </c>
      <c r="F4544" s="1" t="str">
        <f ca="1">IFERROR(__xludf.DUMMYFUNCTION("GOOGLETRANSLATE(English!F4544,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4544" s="1" t="str">
        <f ca="1">IFERROR(__xludf.DUMMYFUNCTION("GOOGLETRANSLATE(English!G4544, ""en"", ""bg"")"),"разговор")</f>
        <v>разговор</v>
      </c>
      <c r="H4544" s="1" t="str">
        <f ca="1">IFERROR(__xludf.DUMMYFUNCTION("GOOGLETRANSLATE(English!H4544, ""en"", ""bg"")"),"образователна_помощ")</f>
        <v>образователна_помощ</v>
      </c>
    </row>
    <row r="4545" spans="1:8" ht="13.2" x14ac:dyDescent="0.25">
      <c r="A4545" s="1" t="str">
        <f ca="1">IFERROR(__xludf.DUMMYFUNCTION("GOOGLETRANSLATE(English!A4545, ""en"", ""bg"")"),"conv_13967")</f>
        <v>conv_13967</v>
      </c>
      <c r="B4545" s="1" t="str">
        <f ca="1">IFERROR(__xludf.DUMMYFUNCTION("GOOGLETRANSLATE(English!B4545, ""en"", ""bg"")"),"химия")</f>
        <v>химия</v>
      </c>
      <c r="C4545" s="1" t="str">
        <f ca="1">IFERROR(__xludf.DUMMYFUNCTION("GOOGLETRANSLATE(English!C4545, ""en"", ""bg"")"),"елементарен")</f>
        <v>елементарен</v>
      </c>
      <c r="D4545" s="1" t="str">
        <f ca="1">IFERROR(__xludf.DUMMYFUNCTION("GOOGLETRANSLATE(English!D4545, ""en"", ""bg"")"),"безопасност")</f>
        <v>безопасност</v>
      </c>
      <c r="E4545" s="1" t="str">
        <f ca="1">IFERROR(__xludf.DUMMYFUNCTION("GOOGLETRANSLATE(English!E4545, ""en"", ""bg"")"),"Имам научен въпрос. Какво е безопасността?")</f>
        <v>Имам научен въпрос. Какво е безопасността?</v>
      </c>
      <c r="F4545" s="1" t="str">
        <f ca="1">IFERROR(__xludf.DUMMYFUNCTION("GOOGLETRANSLATE(English!F4545, ""en"", ""bg"")"),"Безопасността е свързана с взаимодействията между различните видове материя и енергия.")</f>
        <v>Безопасността е свързана с взаимодействията между различните видове материя и енергия.</v>
      </c>
      <c r="G4545" s="1" t="str">
        <f ca="1">IFERROR(__xludf.DUMMYFUNCTION("GOOGLETRANSLATE(English!G4545, ""en"", ""bg"")"),"разговор")</f>
        <v>разговор</v>
      </c>
      <c r="H4545" s="1" t="str">
        <f ca="1">IFERROR(__xludf.DUMMYFUNCTION("GOOGLETRANSLATE(English!H4545, ""en"", ""bg"")"),"образователна_помощ")</f>
        <v>образователна_помощ</v>
      </c>
    </row>
    <row r="4546" spans="1:8" ht="13.2" x14ac:dyDescent="0.25">
      <c r="A4546" s="1" t="str">
        <f ca="1">IFERROR(__xludf.DUMMYFUNCTION("GOOGLETRANSLATE(English!A4546, ""en"", ""bg"")"),"hw_05920")</f>
        <v>hw_05920</v>
      </c>
      <c r="B4546" s="1" t="str">
        <f ca="1">IFERROR(__xludf.DUMMYFUNCTION("GOOGLETRANSLATE(English!B4546, ""en"", ""bg"")"),"физика")</f>
        <v>физика</v>
      </c>
      <c r="C4546" s="1" t="str">
        <f ca="1">IFERROR(__xludf.DUMMYFUNCTION("GOOGLETRANSLATE(English!C4546, ""en"", ""bg"")"),"високо")</f>
        <v>високо</v>
      </c>
      <c r="D4546" s="1" t="str">
        <f ca="1">IFERROR(__xludf.DUMMYFUNCTION("GOOGLETRANSLATE(English!D4546, ""en"", ""bg"")"),"термодинамика")</f>
        <v>термодинамика</v>
      </c>
      <c r="E4546" s="1" t="str">
        <f ca="1">IFERROR(__xludf.DUMMYFUNCTION("GOOGLETRANSLATE(English!E4546, ""en"", ""bg"")"),"Можете ли да решите тази задача по термодинамика с мен?")</f>
        <v>Можете ли да решите тази задача по термодинамика с мен?</v>
      </c>
      <c r="F4546" s="1" t="str">
        <f ca="1">IFERROR(__xludf.DUMMYFUNCTION("GOOGLETRANSLATE(English!F4546,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4546" s="1" t="str">
        <f ca="1">IFERROR(__xludf.DUMMYFUNCTION("GOOGLETRANSLATE(English!G4546, ""en"", ""bg"")"),"помощ_за_домашно_изпълнение")</f>
        <v>помощ_за_домашно_изпълнение</v>
      </c>
      <c r="H4546" s="1" t="str">
        <f ca="1">IFERROR(__xludf.DUMMYFUNCTION("GOOGLETRANSLATE(English!H4546, ""en"", ""bg"")"),"помощ_за_домашно_задаване")</f>
        <v>помощ_за_домашно_задаване</v>
      </c>
    </row>
    <row r="4547" spans="1:8" ht="13.2" x14ac:dyDescent="0.25">
      <c r="A4547" s="1" t="str">
        <f ca="1">IFERROR(__xludf.DUMMYFUNCTION("GOOGLETRANSLATE(English!A4547, ""en"", ""bg"")"),"qa_14805")</f>
        <v>qa_14805</v>
      </c>
      <c r="B4547" s="1" t="str">
        <f ca="1">IFERROR(__xludf.DUMMYFUNCTION("GOOGLETRANSLATE(English!B4547, ""en"", ""bg"")"),"химия")</f>
        <v>химия</v>
      </c>
      <c r="C4547" s="1" t="str">
        <f ca="1">IFERROR(__xludf.DUMMYFUNCTION("GOOGLETRANSLATE(English!C4547, ""en"", ""bg"")"),"средата")</f>
        <v>средата</v>
      </c>
      <c r="D4547" s="1" t="str">
        <f ca="1">IFERROR(__xludf.DUMMYFUNCTION("GOOGLETRANSLATE(English!D4547, ""en"", ""bg"")"),"киселини и основи")</f>
        <v>киселини и основи</v>
      </c>
      <c r="E4547" s="1" t="str">
        <f ca="1">IFERROR(__xludf.DUMMYFUNCTION("GOOGLETRANSLATE(English!E4547, ""en"", ""bg"")"),"Какво представляват киселините и основите?")</f>
        <v>Какво представляват киселините и основите?</v>
      </c>
      <c r="F4547" s="1" t="str">
        <f ca="1">IFERROR(__xludf.DUMMYFUNCTION("GOOGLETRANSLATE(English!F4547,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4547" s="1" t="str">
        <f ca="1">IFERROR(__xludf.DUMMYFUNCTION("GOOGLETRANSLATE(English!G4547, ""en"", ""bg"")"),"direct_qa")</f>
        <v>direct_qa</v>
      </c>
      <c r="H4547" s="1" t="str">
        <f ca="1">IFERROR(__xludf.DUMMYFUNCTION("GOOGLETRANSLATE(English!H4547, ""en"", ""bg"")"),"заявка_за_знание")</f>
        <v>заявка_за_знание</v>
      </c>
    </row>
    <row r="4548" spans="1:8" ht="13.2" x14ac:dyDescent="0.25">
      <c r="A4548" s="1" t="str">
        <f ca="1">IFERROR(__xludf.DUMMYFUNCTION("GOOGLETRANSLATE(English!A4548, ""en"", ""bg"")"),"hw_07945")</f>
        <v>hw_07945</v>
      </c>
      <c r="B4548" s="1" t="str">
        <f ca="1">IFERROR(__xludf.DUMMYFUNCTION("GOOGLETRANSLATE(English!B4548, ""en"", ""bg"")"),"химия")</f>
        <v>химия</v>
      </c>
      <c r="C4548" s="1" t="str">
        <f ca="1">IFERROR(__xludf.DUMMYFUNCTION("GOOGLETRANSLATE(English!C4548, ""en"", ""bg"")"),"средата")</f>
        <v>средата</v>
      </c>
      <c r="D4548" s="1" t="str">
        <f ca="1">IFERROR(__xludf.DUMMYFUNCTION("GOOGLETRANSLATE(English!D4548, ""en"", ""bg"")"),"киселини и основи")</f>
        <v>киселини и основи</v>
      </c>
      <c r="E4548" s="1" t="str">
        <f ca="1">IFERROR(__xludf.DUMMYFUNCTION("GOOGLETRANSLATE(English!E4548, ""en"", ""bg"")"),"Не разбирам тази концепция за киселини и основи. Моля, обяснете!")</f>
        <v>Не разбирам тази концепция за киселини и основи. Моля, обяснете!</v>
      </c>
      <c r="F4548" s="1" t="str">
        <f ca="1">IFERROR(__xludf.DUMMYFUNCTION("GOOGLETRANSLATE(English!F4548,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548" s="1" t="str">
        <f ca="1">IFERROR(__xludf.DUMMYFUNCTION("GOOGLETRANSLATE(English!G4548, ""en"", ""bg"")"),"помощ_за_домашно_изпълнение")</f>
        <v>помощ_за_домашно_изпълнение</v>
      </c>
      <c r="H4548" s="1" t="str">
        <f ca="1">IFERROR(__xludf.DUMMYFUNCTION("GOOGLETRANSLATE(English!H4548, ""en"", ""bg"")"),"помощ_за_домашно_задаване")</f>
        <v>помощ_за_домашно_задаване</v>
      </c>
    </row>
    <row r="4549" spans="1:8" ht="13.2" x14ac:dyDescent="0.25">
      <c r="A4549" s="1" t="str">
        <f ca="1">IFERROR(__xludf.DUMMYFUNCTION("GOOGLETRANSLATE(English!A4549, ""en"", ""bg"")"),"hw_13685")</f>
        <v>hw_13685</v>
      </c>
      <c r="B4549" s="1" t="str">
        <f ca="1">IFERROR(__xludf.DUMMYFUNCTION("GOOGLETRANSLATE(English!B4549, ""en"", ""bg"")"),"физика")</f>
        <v>физика</v>
      </c>
      <c r="C4549" s="1" t="str">
        <f ca="1">IFERROR(__xludf.DUMMYFUNCTION("GOOGLETRANSLATE(English!C4549, ""en"", ""bg"")"),"високо")</f>
        <v>високо</v>
      </c>
      <c r="D4549" s="1" t="str">
        <f ca="1">IFERROR(__xludf.DUMMYFUNCTION("GOOGLETRANSLATE(English!D4549, ""en"", ""bg"")"),"оптика")</f>
        <v>оптика</v>
      </c>
      <c r="E4549" s="1" t="str">
        <f ca="1">IFERROR(__xludf.DUMMYFUNCTION("GOOGLETRANSLATE(English!E4549, ""en"", ""bg"")"),"Трябва да разбирам оптиката за изпита си.")</f>
        <v>Трябва да разбирам оптиката за изпита си.</v>
      </c>
      <c r="F4549" s="1" t="str">
        <f ca="1">IFERROR(__xludf.DUMMYFUNCTION("GOOGLETRANSLATE(English!F4549, ""en"", ""bg"")"),"Ще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v>
      </c>
      <c r="G4549" s="1" t="str">
        <f ca="1">IFERROR(__xludf.DUMMYFUNCTION("GOOGLETRANSLATE(English!G4549, ""en"", ""bg"")"),"помощ_за_домашно_изпълнение")</f>
        <v>помощ_за_домашно_изпълнение</v>
      </c>
      <c r="H4549" s="1" t="str">
        <f ca="1">IFERROR(__xludf.DUMMYFUNCTION("GOOGLETRANSLATE(English!H4549, ""en"", ""bg"")"),"помощ_за_домашно_задаване")</f>
        <v>помощ_за_домашно_задаване</v>
      </c>
    </row>
    <row r="4550" spans="1:8" ht="13.2" x14ac:dyDescent="0.25">
      <c r="A4550" s="1" t="str">
        <f ca="1">IFERROR(__xludf.DUMMYFUNCTION("GOOGLETRANSLATE(English!A4550, ""en"", ""bg"")"),"qa_11094")</f>
        <v>qa_11094</v>
      </c>
      <c r="B4550" s="1" t="str">
        <f ca="1">IFERROR(__xludf.DUMMYFUNCTION("GOOGLETRANSLATE(English!B4550, ""en"", ""bg"")"),"химия")</f>
        <v>химия</v>
      </c>
      <c r="C4550" s="1" t="str">
        <f ca="1">IFERROR(__xludf.DUMMYFUNCTION("GOOGLETRANSLATE(English!C4550, ""en"", ""bg"")"),"високо")</f>
        <v>високо</v>
      </c>
      <c r="D4550" s="1" t="str">
        <f ca="1">IFERROR(__xludf.DUMMYFUNCTION("GOOGLETRANSLATE(English!D4550, ""en"", ""bg"")"),"органична химия")</f>
        <v>органична химия</v>
      </c>
      <c r="E4550" s="1" t="str">
        <f ca="1">IFERROR(__xludf.DUMMYFUNCTION("GOOGLETRANSLATE(English!E4550, ""en"", ""bg"")"),"Защо е важно да се учи органична химия?")</f>
        <v>Защо е важно да се учи органична химия?</v>
      </c>
      <c r="F4550" s="1" t="str">
        <f ca="1">IFERROR(__xludf.DUMMYFUNCTION("GOOGLETRANSLATE(English!F4550,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4550" s="1" t="str">
        <f ca="1">IFERROR(__xludf.DUMMYFUNCTION("GOOGLETRANSLATE(English!G4550, ""en"", ""bg"")"),"direct_qa")</f>
        <v>direct_qa</v>
      </c>
      <c r="H4550" s="1" t="str">
        <f ca="1">IFERROR(__xludf.DUMMYFUNCTION("GOOGLETRANSLATE(English!H4550, ""en"", ""bg"")"),"заявка_за_знание")</f>
        <v>заявка_за_знание</v>
      </c>
    </row>
    <row r="4551" spans="1:8" ht="13.2" x14ac:dyDescent="0.25">
      <c r="A4551" s="1" t="str">
        <f ca="1">IFERROR(__xludf.DUMMYFUNCTION("GOOGLETRANSLATE(English!A4551, ""en"", ""bg"")"),"conv_14292")</f>
        <v>conv_14292</v>
      </c>
      <c r="B4551" s="1" t="str">
        <f ca="1">IFERROR(__xludf.DUMMYFUNCTION("GOOGLETRANSLATE(English!B4551, ""en"", ""bg"")"),"физика")</f>
        <v>физика</v>
      </c>
      <c r="C4551" s="1" t="str">
        <f ca="1">IFERROR(__xludf.DUMMYFUNCTION("GOOGLETRANSLATE(English!C4551, ""en"", ""bg"")"),"високо")</f>
        <v>високо</v>
      </c>
      <c r="D4551" s="1" t="str">
        <f ca="1">IFERROR(__xludf.DUMMYFUNCTION("GOOGLETRANSLATE(English!D4551, ""en"", ""bg"")"),"атомна структура")</f>
        <v>атомна структура</v>
      </c>
      <c r="E4551" s="1" t="str">
        <f ca="1">IFERROR(__xludf.DUMMYFUNCTION("GOOGLETRANSLATE(English!E4551, ""en"", ""bg"")"),"Имам научен въпрос. Можете ли да ми обясните структурата на атома?")</f>
        <v>Имам научен въпрос. Можете ли да ми обясните структурата на атома?</v>
      </c>
      <c r="F4551" s="1" t="str">
        <f ca="1">IFERROR(__xludf.DUMMYFUNCTION("GOOGLETRANSLATE(English!F4551,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551" s="1" t="str">
        <f ca="1">IFERROR(__xludf.DUMMYFUNCTION("GOOGLETRANSLATE(English!G4551, ""en"", ""bg"")"),"разговор")</f>
        <v>разговор</v>
      </c>
      <c r="H4551" s="1" t="str">
        <f ca="1">IFERROR(__xludf.DUMMYFUNCTION("GOOGLETRANSLATE(English!H4551, ""en"", ""bg"")"),"образователна_помощ")</f>
        <v>образователна_помощ</v>
      </c>
    </row>
    <row r="4552" spans="1:8" ht="13.2" x14ac:dyDescent="0.25">
      <c r="A4552" s="1" t="str">
        <f ca="1">IFERROR(__xludf.DUMMYFUNCTION("GOOGLETRANSLATE(English!A4552, ""en"", ""bg"")"),"qa_02115")</f>
        <v>qa_02115</v>
      </c>
      <c r="B4552" s="1" t="str">
        <f ca="1">IFERROR(__xludf.DUMMYFUNCTION("GOOGLETRANSLATE(English!B4552, ""en"", ""bg"")"),"физика")</f>
        <v>физика</v>
      </c>
      <c r="C4552" s="1" t="str">
        <f ca="1">IFERROR(__xludf.DUMMYFUNCTION("GOOGLETRANSLATE(English!C4552, ""en"", ""bg"")"),"средата")</f>
        <v>средата</v>
      </c>
      <c r="D4552" s="1" t="str">
        <f ca="1">IFERROR(__xludf.DUMMYFUNCTION("GOOGLETRANSLATE(English!D4552, ""en"", ""bg"")"),"прости схеми")</f>
        <v>прости схеми</v>
      </c>
      <c r="E4552" s="1" t="str">
        <f ca="1">IFERROR(__xludf.DUMMYFUNCTION("GOOGLETRANSLATE(English!E4552, ""en"", ""bg"")"),"Защо простите електрически вериги са важни?")</f>
        <v>Защо простите електрически вериги са важни?</v>
      </c>
      <c r="F4552" s="1" t="str">
        <f ca="1">IFERROR(__xludf.DUMMYFUNCTION("GOOGLETRANSLATE(English!F4552,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4552" s="1" t="str">
        <f ca="1">IFERROR(__xludf.DUMMYFUNCTION("GOOGLETRANSLATE(English!G4552, ""en"", ""bg"")"),"direct_qa")</f>
        <v>direct_qa</v>
      </c>
      <c r="H4552" s="1" t="str">
        <f ca="1">IFERROR(__xludf.DUMMYFUNCTION("GOOGLETRANSLATE(English!H4552, ""en"", ""bg"")"),"заявка_за_знание")</f>
        <v>заявка_за_знание</v>
      </c>
    </row>
    <row r="4553" spans="1:8" ht="13.2" x14ac:dyDescent="0.25">
      <c r="A4553" s="1" t="str">
        <f ca="1">IFERROR(__xludf.DUMMYFUNCTION("GOOGLETRANSLATE(English!A4553, ""en"", ""bg"")"),"qa_12433")</f>
        <v>qa_12433</v>
      </c>
      <c r="B4553" s="1" t="str">
        <f ca="1">IFERROR(__xludf.DUMMYFUNCTION("GOOGLETRANSLATE(English!B4553, ""en"", ""bg"")"),"физика")</f>
        <v>физика</v>
      </c>
      <c r="C4553" s="1" t="str">
        <f ca="1">IFERROR(__xludf.DUMMYFUNCTION("GOOGLETRANSLATE(English!C4553, ""en"", ""bg"")"),"средата")</f>
        <v>средата</v>
      </c>
      <c r="D4553" s="1" t="str">
        <f ca="1">IFERROR(__xludf.DUMMYFUNCTION("GOOGLETRANSLATE(English!D4553, ""en"", ""bg"")"),"вълни")</f>
        <v>вълни</v>
      </c>
      <c r="E4553" s="1" t="str">
        <f ca="1">IFERROR(__xludf.DUMMYFUNCTION("GOOGLETRANSLATE(English!E4553, ""en"", ""bg"")"),"Как работят вълните във физиката?")</f>
        <v>Как работят вълните във физиката?</v>
      </c>
      <c r="F4553" s="1" t="str">
        <f ca="1">IFERROR(__xludf.DUMMYFUNCTION("GOOGLETRANSLATE(English!F4553,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4553" s="1" t="str">
        <f ca="1">IFERROR(__xludf.DUMMYFUNCTION("GOOGLETRANSLATE(English!G4553, ""en"", ""bg"")"),"direct_qa")</f>
        <v>direct_qa</v>
      </c>
      <c r="H4553" s="1" t="str">
        <f ca="1">IFERROR(__xludf.DUMMYFUNCTION("GOOGLETRANSLATE(English!H4553, ""en"", ""bg"")"),"заявка_за_знание")</f>
        <v>заявка_за_знание</v>
      </c>
    </row>
    <row r="4554" spans="1:8" ht="13.2" x14ac:dyDescent="0.25">
      <c r="A4554" s="1" t="str">
        <f ca="1">IFERROR(__xludf.DUMMYFUNCTION("GOOGLETRANSLATE(English!A4554, ""en"", ""bg"")"),"conv_02167")</f>
        <v>conv_02167</v>
      </c>
      <c r="B4554" s="1" t="str">
        <f ca="1">IFERROR(__xludf.DUMMYFUNCTION("GOOGLETRANSLATE(English!B4554, ""en"", ""bg"")"),"физика")</f>
        <v>физика</v>
      </c>
      <c r="C4554" s="1" t="str">
        <f ca="1">IFERROR(__xludf.DUMMYFUNCTION("GOOGLETRANSLATE(English!C4554, ""en"", ""bg"")"),"елементарен")</f>
        <v>елементарен</v>
      </c>
      <c r="D4554" s="1" t="str">
        <f ca="1">IFERROR(__xludf.DUMMYFUNCTION("GOOGLETRANSLATE(English!D4554, ""en"", ""bg"")"),"плаващ и потъващ")</f>
        <v>плаващ и потъващ</v>
      </c>
      <c r="E4554" s="1" t="str">
        <f ca="1">IFERROR(__xludf.DUMMYFUNCTION("GOOGLETRANSLATE(English!E4554, ""en"", ""bg"")"),"Здравей, преподавателю! Защо е важно да се носиш и да потъваш?")</f>
        <v>Здравей, преподавателю! Защо е важно да се носиш и да потъваш?</v>
      </c>
      <c r="F4554" s="1" t="str">
        <f ca="1">IFERROR(__xludf.DUMMYFUNCTION("GOOGLETRANSLATE(English!F4554,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4554" s="1" t="str">
        <f ca="1">IFERROR(__xludf.DUMMYFUNCTION("GOOGLETRANSLATE(English!G4554, ""en"", ""bg"")"),"разговор")</f>
        <v>разговор</v>
      </c>
      <c r="H4554" s="1" t="str">
        <f ca="1">IFERROR(__xludf.DUMMYFUNCTION("GOOGLETRANSLATE(English!H4554, ""en"", ""bg"")"),"образователна_помощ")</f>
        <v>образователна_помощ</v>
      </c>
    </row>
    <row r="4555" spans="1:8" ht="13.2" x14ac:dyDescent="0.25">
      <c r="A4555" s="1" t="str">
        <f ca="1">IFERROR(__xludf.DUMMYFUNCTION("GOOGLETRANSLATE(English!A4555, ""en"", ""bg"")"),"hw_14703")</f>
        <v>hw_14703</v>
      </c>
      <c r="B4555" s="1" t="str">
        <f ca="1">IFERROR(__xludf.DUMMYFUNCTION("GOOGLETRANSLATE(English!B4555, ""en"", ""bg"")"),"физика")</f>
        <v>физика</v>
      </c>
      <c r="C4555" s="1" t="str">
        <f ca="1">IFERROR(__xludf.DUMMYFUNCTION("GOOGLETRANSLATE(English!C4555, ""en"", ""bg"")"),"високо")</f>
        <v>високо</v>
      </c>
      <c r="D4555" s="1" t="str">
        <f ca="1">IFERROR(__xludf.DUMMYFUNCTION("GOOGLETRANSLATE(English!D4555, ""en"", ""bg"")"),"електромагнетизъм")</f>
        <v>електромагнетизъм</v>
      </c>
      <c r="E4555" s="1" t="str">
        <f ca="1">IFERROR(__xludf.DUMMYFUNCTION("GOOGLETRANSLATE(English!E4555, ""en"", ""bg"")"),"Можете ли да решите този въпрос по електромагнетизъм с мен?")</f>
        <v>Можете ли да решите този въпрос по електромагнетизъм с мен?</v>
      </c>
      <c r="F4555" s="1" t="str">
        <f ca="1">IFERROR(__xludf.DUMMYFUNCTION("GOOGLETRANSLATE(English!F4555,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4555" s="1" t="str">
        <f ca="1">IFERROR(__xludf.DUMMYFUNCTION("GOOGLETRANSLATE(English!G4555, ""en"", ""bg"")"),"помощ_за_домашно_изпълнение")</f>
        <v>помощ_за_домашно_изпълнение</v>
      </c>
      <c r="H4555" s="1" t="str">
        <f ca="1">IFERROR(__xludf.DUMMYFUNCTION("GOOGLETRANSLATE(English!H4555, ""en"", ""bg"")"),"помощ_за_домашно_задаване")</f>
        <v>помощ_за_домашно_задаване</v>
      </c>
    </row>
    <row r="4556" spans="1:8" ht="13.2" x14ac:dyDescent="0.25">
      <c r="A4556" s="1" t="str">
        <f ca="1">IFERROR(__xludf.DUMMYFUNCTION("GOOGLETRANSLATE(English!A4556, ""en"", ""bg"")"),"hw_05430")</f>
        <v>hw_05430</v>
      </c>
      <c r="B4556" s="1" t="str">
        <f ca="1">IFERROR(__xludf.DUMMYFUNCTION("GOOGLETRANSLATE(English!B4556, ""en"", ""bg"")"),"биология")</f>
        <v>биология</v>
      </c>
      <c r="C4556" s="1" t="str">
        <f ca="1">IFERROR(__xludf.DUMMYFUNCTION("GOOGLETRANSLATE(English!C4556, ""en"", ""bg"")"),"средата")</f>
        <v>средата</v>
      </c>
      <c r="D4556" s="1" t="str">
        <f ca="1">IFERROR(__xludf.DUMMYFUNCTION("GOOGLETRANSLATE(English!D4556, ""en"", ""bg"")"),"екосистеми")</f>
        <v>екосистеми</v>
      </c>
      <c r="E4556" s="1" t="str">
        <f ca="1">IFERROR(__xludf.DUMMYFUNCTION("GOOGLETRANSLATE(English!E4556, ""en"", ""bg"")"),"Можете ли да обясните екосистемите за моя научен проект?")</f>
        <v>Можете ли да обясните екосистемите за моя научен проект?</v>
      </c>
      <c r="F4556" s="1" t="str">
        <f ca="1">IFERROR(__xludf.DUMMYFUNCTION("GOOGLETRANSLATE(English!F4556,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4556" s="1" t="str">
        <f ca="1">IFERROR(__xludf.DUMMYFUNCTION("GOOGLETRANSLATE(English!G4556, ""en"", ""bg"")"),"помощ_за_домашно_изпълнение")</f>
        <v>помощ_за_домашно_изпълнение</v>
      </c>
      <c r="H4556" s="1" t="str">
        <f ca="1">IFERROR(__xludf.DUMMYFUNCTION("GOOGLETRANSLATE(English!H4556, ""en"", ""bg"")"),"помощ_за_домашно_задаване")</f>
        <v>помощ_за_домашно_задаване</v>
      </c>
    </row>
    <row r="4557" spans="1:8" ht="13.2" x14ac:dyDescent="0.25">
      <c r="A4557" s="1" t="str">
        <f ca="1">IFERROR(__xludf.DUMMYFUNCTION("GOOGLETRANSLATE(English!A4557, ""en"", ""bg"")"),"hw_01249")</f>
        <v>hw_01249</v>
      </c>
      <c r="B4557" s="1" t="str">
        <f ca="1">IFERROR(__xludf.DUMMYFUNCTION("GOOGLETRANSLATE(English!B4557, ""en"", ""bg"")"),"физика")</f>
        <v>физика</v>
      </c>
      <c r="C4557" s="1" t="str">
        <f ca="1">IFERROR(__xludf.DUMMYFUNCTION("GOOGLETRANSLATE(English!C4557, ""en"", ""bg"")"),"елементарен")</f>
        <v>елементарен</v>
      </c>
      <c r="D4557" s="1" t="str">
        <f ca="1">IFERROR(__xludf.DUMMYFUNCTION("GOOGLETRANSLATE(English!D4557, ""en"", ""bg"")"),"прости машини")</f>
        <v>прости машини</v>
      </c>
      <c r="E4557" s="1" t="str">
        <f ca="1">IFERROR(__xludf.DUMMYFUNCTION("GOOGLETRANSLATE(English!E4557, ""en"", ""bg"")"),"Заседнал съм с този прост проблем с машината. Можете ли да помогнете?")</f>
        <v>Заседнал съм с този прост проблем с машината. Можете ли да помогнете?</v>
      </c>
      <c r="F4557" s="1" t="str">
        <f ca="1">IFERROR(__xludf.DUMMYFUNCTION("GOOGLETRANSLATE(English!F4557,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4557" s="1" t="str">
        <f ca="1">IFERROR(__xludf.DUMMYFUNCTION("GOOGLETRANSLATE(English!G4557, ""en"", ""bg"")"),"помощ_за_домашно_изпълнение")</f>
        <v>помощ_за_домашно_изпълнение</v>
      </c>
      <c r="H4557" s="1" t="str">
        <f ca="1">IFERROR(__xludf.DUMMYFUNCTION("GOOGLETRANSLATE(English!H4557, ""en"", ""bg"")"),"помощ_за_домашно_задаване")</f>
        <v>помощ_за_домашно_задаване</v>
      </c>
    </row>
    <row r="4558" spans="1:8" ht="13.2" x14ac:dyDescent="0.25">
      <c r="A4558" s="1" t="str">
        <f ca="1">IFERROR(__xludf.DUMMYFUNCTION("GOOGLETRANSLATE(English!A4558, ""en"", ""bg"")"),"qa_10099")</f>
        <v>qa_10099</v>
      </c>
      <c r="B4558" s="1" t="str">
        <f ca="1">IFERROR(__xludf.DUMMYFUNCTION("GOOGLETRANSLATE(English!B4558, ""en"", ""bg"")"),"физика")</f>
        <v>физика</v>
      </c>
      <c r="C4558" s="1" t="str">
        <f ca="1">IFERROR(__xludf.DUMMYFUNCTION("GOOGLETRANSLATE(English!C4558, ""en"", ""bg"")"),"елементарен")</f>
        <v>елементарен</v>
      </c>
      <c r="D4558" s="1" t="str">
        <f ca="1">IFERROR(__xludf.DUMMYFUNCTION("GOOGLETRANSLATE(English!D4558, ""en"", ""bg"")"),"звук")</f>
        <v>звук</v>
      </c>
      <c r="E4558" s="1" t="str">
        <f ca="1">IFERROR(__xludf.DUMMYFUNCTION("GOOGLETRANSLATE(English!E4558, ""en"", ""bg"")"),"Защо звукът е важен?")</f>
        <v>Защо звукът е важен?</v>
      </c>
      <c r="F4558" s="1" t="str">
        <f ca="1">IFERROR(__xludf.DUMMYFUNCTION("GOOGLETRANSLATE(English!F4558, ""en"", ""bg"")"),"Звукът е важен, защото ни помага да разберем физическия свят около нас.")</f>
        <v>Звукът е важен, защото ни помага да разберем физическия свят около нас.</v>
      </c>
      <c r="G4558" s="1" t="str">
        <f ca="1">IFERROR(__xludf.DUMMYFUNCTION("GOOGLETRANSLATE(English!G4558, ""en"", ""bg"")"),"direct_qa")</f>
        <v>direct_qa</v>
      </c>
      <c r="H4558" s="1" t="str">
        <f ca="1">IFERROR(__xludf.DUMMYFUNCTION("GOOGLETRANSLATE(English!H4558, ""en"", ""bg"")"),"заявка_за_знание")</f>
        <v>заявка_за_знание</v>
      </c>
    </row>
    <row r="4559" spans="1:8" ht="13.2" x14ac:dyDescent="0.25">
      <c r="A4559" s="1" t="str">
        <f ca="1">IFERROR(__xludf.DUMMYFUNCTION("GOOGLETRANSLATE(English!A4559, ""en"", ""bg"")"),"qa_00677")</f>
        <v>qa_00677</v>
      </c>
      <c r="B4559" s="1" t="str">
        <f ca="1">IFERROR(__xludf.DUMMYFUNCTION("GOOGLETRANSLATE(English!B4559, ""en"", ""bg"")"),"физика")</f>
        <v>физика</v>
      </c>
      <c r="C4559" s="1" t="str">
        <f ca="1">IFERROR(__xludf.DUMMYFUNCTION("GOOGLETRANSLATE(English!C4559, ""en"", ""bg"")"),"високо")</f>
        <v>високо</v>
      </c>
      <c r="D4559" s="1" t="str">
        <f ca="1">IFERROR(__xludf.DUMMYFUNCTION("GOOGLETRANSLATE(English!D4559, ""en"", ""bg"")"),"електромагнетизъм")</f>
        <v>електромагнетизъм</v>
      </c>
      <c r="E4559" s="1" t="str">
        <f ca="1">IFERROR(__xludf.DUMMYFUNCTION("GOOGLETRANSLATE(English!E4559, ""en"", ""bg"")"),"Защо електромагнетизмът е важен?")</f>
        <v>Защо електромагнетизмът е важен?</v>
      </c>
      <c r="F4559" s="1" t="str">
        <f ca="1">IFERROR(__xludf.DUMMYFUNCTION("GOOGLETRANSLATE(English!F4559,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4559" s="1" t="str">
        <f ca="1">IFERROR(__xludf.DUMMYFUNCTION("GOOGLETRANSLATE(English!G4559, ""en"", ""bg"")"),"direct_qa")</f>
        <v>direct_qa</v>
      </c>
      <c r="H4559" s="1" t="str">
        <f ca="1">IFERROR(__xludf.DUMMYFUNCTION("GOOGLETRANSLATE(English!H4559, ""en"", ""bg"")"),"заявка_за_знание")</f>
        <v>заявка_за_знание</v>
      </c>
    </row>
    <row r="4560" spans="1:8" ht="13.2" x14ac:dyDescent="0.25">
      <c r="A4560" s="1" t="str">
        <f ca="1">IFERROR(__xludf.DUMMYFUNCTION("GOOGLETRANSLATE(English!A4560, ""en"", ""bg"")"),"hw_13043")</f>
        <v>hw_13043</v>
      </c>
      <c r="B4560" s="1" t="str">
        <f ca="1">IFERROR(__xludf.DUMMYFUNCTION("GOOGLETRANSLATE(English!B4560, ""en"", ""bg"")"),"биология")</f>
        <v>биология</v>
      </c>
      <c r="C4560" s="1" t="str">
        <f ca="1">IFERROR(__xludf.DUMMYFUNCTION("GOOGLETRANSLATE(English!C4560, ""en"", ""bg"")"),"елементарен")</f>
        <v>елементарен</v>
      </c>
      <c r="D4560" s="1" t="str">
        <f ca="1">IFERROR(__xludf.DUMMYFUNCTION("GOOGLETRANSLATE(English!D4560, ""en"", ""bg"")"),"хранителни вериги")</f>
        <v>хранителни вериги</v>
      </c>
      <c r="E4560" s="1" t="str">
        <f ca="1">IFERROR(__xludf.DUMMYFUNCTION("GOOGLETRANSLATE(English!E4560, ""en"", ""bg"")"),"Можете ли да обясните хранителните вериги за моя научен проект?")</f>
        <v>Можете ли да обясните хранителните вериги за моя научен проект?</v>
      </c>
      <c r="F4560" s="1" t="str">
        <f ca="1">IFERROR(__xludf.DUMMYFUNCTION("GOOGLETRANSLATE(English!F4560, ""en"", ""bg"")"),"Ще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искал"&amp;"и да започнете?")</f>
        <v>Ще се радвам да ви помогна с хранителните вериги! Нека разделя това на прости стъпки. Първо, нека обясня какво означават хранителните вериги и защо са важни в биологията. След това можем да разгледаме заедно някои примери. С коя конкретна част бихте искали да започнете?</v>
      </c>
      <c r="G4560" s="1" t="str">
        <f ca="1">IFERROR(__xludf.DUMMYFUNCTION("GOOGLETRANSLATE(English!G4560, ""en"", ""bg"")"),"помощ_за_домашно_изпълнение")</f>
        <v>помощ_за_домашно_изпълнение</v>
      </c>
      <c r="H4560" s="1" t="str">
        <f ca="1">IFERROR(__xludf.DUMMYFUNCTION("GOOGLETRANSLATE(English!H4560, ""en"", ""bg"")"),"помощ_за_домашно_задаване")</f>
        <v>помощ_за_домашно_задаване</v>
      </c>
    </row>
    <row r="4561" spans="1:8" ht="13.2" x14ac:dyDescent="0.25">
      <c r="A4561" s="1" t="str">
        <f ca="1">IFERROR(__xludf.DUMMYFUNCTION("GOOGLETRANSLATE(English!A4561, ""en"", ""bg"")"),"conv_19222")</f>
        <v>conv_19222</v>
      </c>
      <c r="B4561" s="1" t="str">
        <f ca="1">IFERROR(__xludf.DUMMYFUNCTION("GOOGLETRANSLATE(English!B4561, ""en"", ""bg"")"),"биология")</f>
        <v>биология</v>
      </c>
      <c r="C4561" s="1" t="str">
        <f ca="1">IFERROR(__xludf.DUMMYFUNCTION("GOOGLETRANSLATE(English!C4561, ""en"", ""bg"")"),"елементарен")</f>
        <v>елементарен</v>
      </c>
      <c r="D4561" s="1" t="str">
        <f ca="1">IFERROR(__xludf.DUMMYFUNCTION("GOOGLETRANSLATE(English!D4561, ""en"", ""bg"")"),"сетива")</f>
        <v>сетива</v>
      </c>
      <c r="E4561" s="1" t="str">
        <f ca="1">IFERROR(__xludf.DUMMYFUNCTION("GOOGLETRANSLATE(English!E4561, ""en"", ""bg"")"),"Не разбирам тази тема. Можете ли да ми разкажете за сетивата?")</f>
        <v>Не разбирам тази тема. Можете ли да ми разкажете за сетивата?</v>
      </c>
      <c r="F4561" s="1" t="str">
        <f ca="1">IFERROR(__xludf.DUMMYFUNCTION("GOOGLETRANSLATE(English!F4561,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4561" s="1" t="str">
        <f ca="1">IFERROR(__xludf.DUMMYFUNCTION("GOOGLETRANSLATE(English!G4561, ""en"", ""bg"")"),"разговор")</f>
        <v>разговор</v>
      </c>
      <c r="H4561" s="1" t="str">
        <f ca="1">IFERROR(__xludf.DUMMYFUNCTION("GOOGLETRANSLATE(English!H4561, ""en"", ""bg"")"),"образователна_помощ")</f>
        <v>образователна_помощ</v>
      </c>
    </row>
    <row r="4562" spans="1:8" ht="13.2" x14ac:dyDescent="0.25">
      <c r="A4562" s="1" t="str">
        <f ca="1">IFERROR(__xludf.DUMMYFUNCTION("GOOGLETRANSLATE(English!A4562, ""en"", ""bg"")"),"hw_05395")</f>
        <v>hw_05395</v>
      </c>
      <c r="B4562" s="1" t="str">
        <f ca="1">IFERROR(__xludf.DUMMYFUNCTION("GOOGLETRANSLATE(English!B4562, ""en"", ""bg"")"),"химия")</f>
        <v>химия</v>
      </c>
      <c r="C4562" s="1" t="str">
        <f ca="1">IFERROR(__xludf.DUMMYFUNCTION("GOOGLETRANSLATE(English!C4562, ""en"", ""bg"")"),"средата")</f>
        <v>средата</v>
      </c>
      <c r="D4562" s="1" t="str">
        <f ca="1">IFERROR(__xludf.DUMMYFUNCTION("GOOGLETRANSLATE(English!D4562, ""en"", ""bg"")"),"химични реакции")</f>
        <v>химични реакции</v>
      </c>
      <c r="E4562" s="1" t="str">
        <f ca="1">IFERROR(__xludf.DUMMYFUNCTION("GOOGLETRANSLATE(English!E4562, ""en"", ""bg"")"),"Моят доклад по химия е за химични реакции. Помогнете ми да разбера.")</f>
        <v>Моят доклад по химия е за химични реакции. Помогнете ми да разбера.</v>
      </c>
      <c r="F4562" s="1" t="str">
        <f ca="1">IFERROR(__xludf.DUMMYFUNCTION("GOOGLETRANSLATE(English!F4562,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4562" s="1" t="str">
        <f ca="1">IFERROR(__xludf.DUMMYFUNCTION("GOOGLETRANSLATE(English!G4562, ""en"", ""bg"")"),"помощ_за_домашно_изпълнение")</f>
        <v>помощ_за_домашно_изпълнение</v>
      </c>
      <c r="H4562" s="1" t="str">
        <f ca="1">IFERROR(__xludf.DUMMYFUNCTION("GOOGLETRANSLATE(English!H4562, ""en"", ""bg"")"),"помощ_за_домашно_задаване")</f>
        <v>помощ_за_домашно_задаване</v>
      </c>
    </row>
    <row r="4563" spans="1:8" ht="13.2" x14ac:dyDescent="0.25">
      <c r="A4563" s="1" t="str">
        <f ca="1">IFERROR(__xludf.DUMMYFUNCTION("GOOGLETRANSLATE(English!A4563, ""en"", ""bg"")"),"conv_15926")</f>
        <v>conv_15926</v>
      </c>
      <c r="B4563" s="1" t="str">
        <f ca="1">IFERROR(__xludf.DUMMYFUNCTION("GOOGLETRANSLATE(English!B4563, ""en"", ""bg"")"),"физика")</f>
        <v>физика</v>
      </c>
      <c r="C4563" s="1" t="str">
        <f ca="1">IFERROR(__xludf.DUMMYFUNCTION("GOOGLETRANSLATE(English!C4563, ""en"", ""bg"")"),"високо")</f>
        <v>високо</v>
      </c>
      <c r="D4563" s="1" t="str">
        <f ca="1">IFERROR(__xludf.DUMMYFUNCTION("GOOGLETRANSLATE(English!D4563, ""en"", ""bg"")"),"термодинамика")</f>
        <v>термодинамика</v>
      </c>
      <c r="E4563" s="1" t="str">
        <f ca="1">IFERROR(__xludf.DUMMYFUNCTION("GOOGLETRANSLATE(English!E4563, ""en"", ""bg"")"),"Можете ли да ми помогнете? Как работи термодинамиката във физиката?")</f>
        <v>Можете ли да ми помогнете? Как работи термодинамиката във физиката?</v>
      </c>
      <c r="F4563" s="1" t="str">
        <f ca="1">IFERROR(__xludf.DUMMYFUNCTION("GOOGLETRANSLATE(English!F4563,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4563" s="1" t="str">
        <f ca="1">IFERROR(__xludf.DUMMYFUNCTION("GOOGLETRANSLATE(English!G4563, ""en"", ""bg"")"),"разговор")</f>
        <v>разговор</v>
      </c>
      <c r="H4563" s="1" t="str">
        <f ca="1">IFERROR(__xludf.DUMMYFUNCTION("GOOGLETRANSLATE(English!H4563, ""en"", ""bg"")"),"образователна_помощ")</f>
        <v>образователна_помощ</v>
      </c>
    </row>
    <row r="4564" spans="1:8" ht="13.2" x14ac:dyDescent="0.25">
      <c r="A4564" s="1" t="str">
        <f ca="1">IFERROR(__xludf.DUMMYFUNCTION("GOOGLETRANSLATE(English!A4564, ""en"", ""bg"")"),"conv_04997")</f>
        <v>conv_04997</v>
      </c>
      <c r="B4564" s="1" t="str">
        <f ca="1">IFERROR(__xludf.DUMMYFUNCTION("GOOGLETRANSLATE(English!B4564, ""en"", ""bg"")"),"биология")</f>
        <v>биология</v>
      </c>
      <c r="C4564" s="1" t="str">
        <f ca="1">IFERROR(__xludf.DUMMYFUNCTION("GOOGLETRANSLATE(English!C4564, ""en"", ""bg"")"),"високо")</f>
        <v>високо</v>
      </c>
      <c r="D4564" s="1" t="str">
        <f ca="1">IFERROR(__xludf.DUMMYFUNCTION("GOOGLETRANSLATE(English!D4564, ""en"", ""bg"")"),"клетъчно дишане")</f>
        <v>клетъчно дишане</v>
      </c>
      <c r="E4564" s="1" t="str">
        <f ca="1">IFERROR(__xludf.DUMMYFUNCTION("GOOGLETRANSLATE(English!E4564, ""en"", ""bg"")"),"Можете ли да ми обясните това? Можете ли да ми разкажете за клетъчното дишане?")</f>
        <v>Можете ли да ми обясните това? Можете ли да ми разкажете за клетъчното дишане?</v>
      </c>
      <c r="F4564" s="1" t="str">
        <f ca="1">IFERROR(__xludf.DUMMYFUNCTION("GOOGLETRANSLATE(English!F4564, ""en"", ""bg"")"),"Клетъчното дишане е завладяваща част от биологията! То ни помага да разберем как функционират живите организми.")</f>
        <v>Клетъчното дишане е завладяваща част от биологията! То ни помага да разберем как функционират живите организми.</v>
      </c>
      <c r="G4564" s="1" t="str">
        <f ca="1">IFERROR(__xludf.DUMMYFUNCTION("GOOGLETRANSLATE(English!G4564, ""en"", ""bg"")"),"разговор")</f>
        <v>разговор</v>
      </c>
      <c r="H4564" s="1" t="str">
        <f ca="1">IFERROR(__xludf.DUMMYFUNCTION("GOOGLETRANSLATE(English!H4564, ""en"", ""bg"")"),"образователна_помощ")</f>
        <v>образователна_помощ</v>
      </c>
    </row>
    <row r="4565" spans="1:8" ht="13.2" x14ac:dyDescent="0.25">
      <c r="A4565" s="1" t="str">
        <f ca="1">IFERROR(__xludf.DUMMYFUNCTION("GOOGLETRANSLATE(English!A4565, ""en"", ""bg"")"),"qa_12579")</f>
        <v>qa_12579</v>
      </c>
      <c r="B4565" s="1" t="str">
        <f ca="1">IFERROR(__xludf.DUMMYFUNCTION("GOOGLETRANSLATE(English!B4565, ""en"", ""bg"")"),"химия")</f>
        <v>химия</v>
      </c>
      <c r="C4565" s="1" t="str">
        <f ca="1">IFERROR(__xludf.DUMMYFUNCTION("GOOGLETRANSLATE(English!C4565, ""en"", ""bg"")"),"елементарен")</f>
        <v>елементарен</v>
      </c>
      <c r="D4565" s="1" t="str">
        <f ca="1">IFERROR(__xludf.DUMMYFUNCTION("GOOGLETRANSLATE(English!D4565, ""en"", ""bg"")"),"промени в материалите")</f>
        <v>промени в материалите</v>
      </c>
      <c r="E4565" s="1" t="str">
        <f ca="1">IFERROR(__xludf.DUMMYFUNCTION("GOOGLETRANSLATE(English!E4565, ""en"", ""bg"")"),"Защо е важно да се изучават промените в материалите?")</f>
        <v>Защо е важно да се изучават промените в материалите?</v>
      </c>
      <c r="F4565" s="1" t="str">
        <f ca="1">IFERROR(__xludf.DUMMYFUNCTION("GOOGLETRANSLATE(English!F4565, ""en"", ""bg"")"),"Изучаването на промените в материалите ни помага да разберем света около нас и как протичат химичните процеси в природата и технологиите.")</f>
        <v>Изучаването на промените в материалите ни помага да разберем света около нас и как протичат химичните процеси в природата и технологиите.</v>
      </c>
      <c r="G4565" s="1" t="str">
        <f ca="1">IFERROR(__xludf.DUMMYFUNCTION("GOOGLETRANSLATE(English!G4565, ""en"", ""bg"")"),"direct_qa")</f>
        <v>direct_qa</v>
      </c>
      <c r="H4565" s="1" t="str">
        <f ca="1">IFERROR(__xludf.DUMMYFUNCTION("GOOGLETRANSLATE(English!H4565, ""en"", ""bg"")"),"заявка_за_знание")</f>
        <v>заявка_за_знание</v>
      </c>
    </row>
    <row r="4566" spans="1:8" ht="13.2" x14ac:dyDescent="0.25">
      <c r="A4566" s="1" t="str">
        <f ca="1">IFERROR(__xludf.DUMMYFUNCTION("GOOGLETRANSLATE(English!A4566, ""en"", ""bg"")"),"qa_03327")</f>
        <v>qa_03327</v>
      </c>
      <c r="B4566" s="1" t="str">
        <f ca="1">IFERROR(__xludf.DUMMYFUNCTION("GOOGLETRANSLATE(English!B4566, ""en"", ""bg"")"),"химия")</f>
        <v>химия</v>
      </c>
      <c r="C4566" s="1" t="str">
        <f ca="1">IFERROR(__xludf.DUMMYFUNCTION("GOOGLETRANSLATE(English!C4566, ""en"", ""bg"")"),"средата")</f>
        <v>средата</v>
      </c>
      <c r="D4566" s="1" t="str">
        <f ca="1">IFERROR(__xludf.DUMMYFUNCTION("GOOGLETRANSLATE(English!D4566, ""en"", ""bg"")"),"киселини и основи")</f>
        <v>киселини и основи</v>
      </c>
      <c r="E4566" s="1" t="str">
        <f ca="1">IFERROR(__xludf.DUMMYFUNCTION("GOOGLETRANSLATE(English!E4566, ""en"", ""bg"")"),"Какво представляват киселините и основите?")</f>
        <v>Какво представляват киселините и основите?</v>
      </c>
      <c r="F4566" s="1" t="str">
        <f ca="1">IFERROR(__xludf.DUMMYFUNCTION("GOOGLETRANSLATE(English!F4566,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4566" s="1" t="str">
        <f ca="1">IFERROR(__xludf.DUMMYFUNCTION("GOOGLETRANSLATE(English!G4566, ""en"", ""bg"")"),"direct_qa")</f>
        <v>direct_qa</v>
      </c>
      <c r="H4566" s="1" t="str">
        <f ca="1">IFERROR(__xludf.DUMMYFUNCTION("GOOGLETRANSLATE(English!H4566, ""en"", ""bg"")"),"заявка_за_знание")</f>
        <v>заявка_за_знание</v>
      </c>
    </row>
    <row r="4567" spans="1:8" ht="13.2" x14ac:dyDescent="0.25">
      <c r="A4567" s="1" t="str">
        <f ca="1">IFERROR(__xludf.DUMMYFUNCTION("GOOGLETRANSLATE(English!A4567, ""en"", ""bg"")"),"conv_02509")</f>
        <v>conv_02509</v>
      </c>
      <c r="B4567" s="1" t="str">
        <f ca="1">IFERROR(__xludf.DUMMYFUNCTION("GOOGLETRANSLATE(English!B4567, ""en"", ""bg"")"),"физика")</f>
        <v>физика</v>
      </c>
      <c r="C4567" s="1" t="str">
        <f ca="1">IFERROR(__xludf.DUMMYFUNCTION("GOOGLETRANSLATE(English!C4567, ""en"", ""bg"")"),"средата")</f>
        <v>средата</v>
      </c>
      <c r="D4567" s="1" t="str">
        <f ca="1">IFERROR(__xludf.DUMMYFUNCTION("GOOGLETRANSLATE(English!D4567, ""en"", ""bg"")"),"плътност")</f>
        <v>плътност</v>
      </c>
      <c r="E4567" s="1" t="str">
        <f ca="1">IFERROR(__xludf.DUMMYFUNCTION("GOOGLETRANSLATE(English!E4567, ""en"", ""bg"")"),"Можете ли да ми помогнете? Защо плътността е важна?")</f>
        <v>Можете ли да ми помогнете? Защо плътността е важна?</v>
      </c>
      <c r="F4567" s="1" t="str">
        <f ca="1">IFERROR(__xludf.DUMMYFUNCTION("GOOGLETRANSLATE(English!F4567, ""en"", ""bg"")"),"Плътността е важна, защото ни помага да разберем физическия свят около нас.")</f>
        <v>Плътността е важна, защото ни помага да разберем физическия свят около нас.</v>
      </c>
      <c r="G4567" s="1" t="str">
        <f ca="1">IFERROR(__xludf.DUMMYFUNCTION("GOOGLETRANSLATE(English!G4567, ""en"", ""bg"")"),"разговор")</f>
        <v>разговор</v>
      </c>
      <c r="H4567" s="1" t="str">
        <f ca="1">IFERROR(__xludf.DUMMYFUNCTION("GOOGLETRANSLATE(English!H4567, ""en"", ""bg"")"),"образователна_помощ")</f>
        <v>образователна_помощ</v>
      </c>
    </row>
    <row r="4568" spans="1:8" ht="13.2" x14ac:dyDescent="0.25">
      <c r="A4568" s="1" t="str">
        <f ca="1">IFERROR(__xludf.DUMMYFUNCTION("GOOGLETRANSLATE(English!A4568, ""en"", ""bg"")"),"qa_07320")</f>
        <v>qa_07320</v>
      </c>
      <c r="B4568" s="1" t="str">
        <f ca="1">IFERROR(__xludf.DUMMYFUNCTION("GOOGLETRANSLATE(English!B4568, ""en"", ""bg"")"),"химия")</f>
        <v>химия</v>
      </c>
      <c r="C4568" s="1" t="str">
        <f ca="1">IFERROR(__xludf.DUMMYFUNCTION("GOOGLETRANSLATE(English!C4568, ""en"", ""bg"")"),"високо")</f>
        <v>високо</v>
      </c>
      <c r="D4568" s="1" t="str">
        <f ca="1">IFERROR(__xludf.DUMMYFUNCTION("GOOGLETRANSLATE(English!D4568, ""en"", ""bg"")"),"скорости на реакция")</f>
        <v>скорости на реакция</v>
      </c>
      <c r="E4568" s="1" t="str">
        <f ca="1">IFERROR(__xludf.DUMMYFUNCTION("GOOGLETRANSLATE(English!E4568,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4568" s="1" t="str">
        <f ca="1">IFERROR(__xludf.DUMMYFUNCTION("GOOGLETRANSLATE(English!F4568,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568" s="1" t="str">
        <f ca="1">IFERROR(__xludf.DUMMYFUNCTION("GOOGLETRANSLATE(English!G4568, ""en"", ""bg"")"),"direct_qa")</f>
        <v>direct_qa</v>
      </c>
      <c r="H4568" s="1" t="str">
        <f ca="1">IFERROR(__xludf.DUMMYFUNCTION("GOOGLETRANSLATE(English!H4568, ""en"", ""bg"")"),"заявка_за_знание")</f>
        <v>заявка_за_знание</v>
      </c>
    </row>
    <row r="4569" spans="1:8" ht="13.2" x14ac:dyDescent="0.25">
      <c r="A4569" s="1" t="str">
        <f ca="1">IFERROR(__xludf.DUMMYFUNCTION("GOOGLETRANSLATE(English!A4569, ""en"", ""bg"")"),"conv_17741")</f>
        <v>conv_17741</v>
      </c>
      <c r="B4569" s="1" t="str">
        <f ca="1">IFERROR(__xludf.DUMMYFUNCTION("GOOGLETRANSLATE(English!B4569, ""en"", ""bg"")"),"физика")</f>
        <v>физика</v>
      </c>
      <c r="C4569" s="1" t="str">
        <f ca="1">IFERROR(__xludf.DUMMYFUNCTION("GOOGLETRANSLATE(English!C4569, ""en"", ""bg"")"),"средата")</f>
        <v>средата</v>
      </c>
      <c r="D4569" s="1" t="str">
        <f ca="1">IFERROR(__xludf.DUMMYFUNCTION("GOOGLETRANSLATE(English!D4569, ""en"", ""bg"")"),"видове енергия")</f>
        <v>видове енергия</v>
      </c>
      <c r="E4569" s="1" t="str">
        <f ca="1">IFERROR(__xludf.DUMMYFUNCTION("GOOGLETRANSLATE(English!E4569, ""en"", ""bg"")"),"Здравей, преподавателю! Какви са различните видове енергия?")</f>
        <v>Здравей, преподавателю! Какви са различните видове енергия?</v>
      </c>
      <c r="F4569" s="1" t="str">
        <f ca="1">IFERROR(__xludf.DUMMYFUNCTION("GOOGLETRANSLATE(English!F4569,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4569" s="1" t="str">
        <f ca="1">IFERROR(__xludf.DUMMYFUNCTION("GOOGLETRANSLATE(English!G4569, ""en"", ""bg"")"),"разговор")</f>
        <v>разговор</v>
      </c>
      <c r="H4569" s="1" t="str">
        <f ca="1">IFERROR(__xludf.DUMMYFUNCTION("GOOGLETRANSLATE(English!H4569, ""en"", ""bg"")"),"образователна_помощ")</f>
        <v>образователна_помощ</v>
      </c>
    </row>
    <row r="4570" spans="1:8" ht="13.2" x14ac:dyDescent="0.25">
      <c r="A4570" s="1" t="str">
        <f ca="1">IFERROR(__xludf.DUMMYFUNCTION("GOOGLETRANSLATE(English!A4570, ""en"", ""bg"")"),"hw_09362")</f>
        <v>hw_09362</v>
      </c>
      <c r="B4570" s="1" t="str">
        <f ca="1">IFERROR(__xludf.DUMMYFUNCTION("GOOGLETRANSLATE(English!B4570, ""en"", ""bg"")"),"биология")</f>
        <v>биология</v>
      </c>
      <c r="C4570" s="1" t="str">
        <f ca="1">IFERROR(__xludf.DUMMYFUNCTION("GOOGLETRANSLATE(English!C4570, ""en"", ""bg"")"),"елементарен")</f>
        <v>елементарен</v>
      </c>
      <c r="D4570" s="1" t="str">
        <f ca="1">IFERROR(__xludf.DUMMYFUNCTION("GOOGLETRANSLATE(English!D4570, ""en"", ""bg"")"),"сетива")</f>
        <v>сетива</v>
      </c>
      <c r="E4570" s="1" t="str">
        <f ca="1">IFERROR(__xludf.DUMMYFUNCTION("GOOGLETRANSLATE(English!E4570, ""en"", ""bg"")"),"Домашното ми пита за сетивата. Не го разбирам.")</f>
        <v>Домашното ми пита за сетивата. Не го разбирам.</v>
      </c>
      <c r="F4570" s="1" t="str">
        <f ca="1">IFERROR(__xludf.DUMMYFUNCTION("GOOGLETRANSLATE(English!F4570,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4570" s="1" t="str">
        <f ca="1">IFERROR(__xludf.DUMMYFUNCTION("GOOGLETRANSLATE(English!G4570, ""en"", ""bg"")"),"помощ_за_домашно_изпълнение")</f>
        <v>помощ_за_домашно_изпълнение</v>
      </c>
      <c r="H4570" s="1" t="str">
        <f ca="1">IFERROR(__xludf.DUMMYFUNCTION("GOOGLETRANSLATE(English!H4570, ""en"", ""bg"")"),"помощ_за_домашно_задаване")</f>
        <v>помощ_за_домашно_задаване</v>
      </c>
    </row>
    <row r="4571" spans="1:8" ht="13.2" x14ac:dyDescent="0.25">
      <c r="A4571" s="1" t="str">
        <f ca="1">IFERROR(__xludf.DUMMYFUNCTION("GOOGLETRANSLATE(English!A4571, ""en"", ""bg"")"),"hw_14195")</f>
        <v>hw_14195</v>
      </c>
      <c r="B4571" s="1" t="str">
        <f ca="1">IFERROR(__xludf.DUMMYFUNCTION("GOOGLETRANSLATE(English!B4571, ""en"", ""bg"")"),"химия")</f>
        <v>химия</v>
      </c>
      <c r="C4571" s="1" t="str">
        <f ca="1">IFERROR(__xludf.DUMMYFUNCTION("GOOGLETRANSLATE(English!C4571, ""en"", ""bg"")"),"елементарен")</f>
        <v>елементарен</v>
      </c>
      <c r="D4571" s="1" t="str">
        <f ca="1">IFERROR(__xludf.DUMMYFUNCTION("GOOGLETRANSLATE(English!D4571, ""en"", ""bg"")"),"разтваряне")</f>
        <v>разтваряне</v>
      </c>
      <c r="E4571" s="1" t="str">
        <f ca="1">IFERROR(__xludf.DUMMYFUNCTION("GOOGLETRANSLATE(English!E4571, ""en"", ""bg"")"),"Не разбирам тази концепция за разтваряне. Моля, обяснете!")</f>
        <v>Не разбирам тази концепция за разтваряне. Моля, обяснете!</v>
      </c>
      <c r="F4571" s="1" t="str">
        <f ca="1">IFERROR(__xludf.DUMMYFUNCTION("GOOGLETRANSLATE(English!F4571,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4571" s="1" t="str">
        <f ca="1">IFERROR(__xludf.DUMMYFUNCTION("GOOGLETRANSLATE(English!G4571, ""en"", ""bg"")"),"помощ_за_домашно_изпълнение")</f>
        <v>помощ_за_домашно_изпълнение</v>
      </c>
      <c r="H4571" s="1" t="str">
        <f ca="1">IFERROR(__xludf.DUMMYFUNCTION("GOOGLETRANSLATE(English!H4571, ""en"", ""bg"")"),"помощ_за_домашно_задаване")</f>
        <v>помощ_за_домашно_задаване</v>
      </c>
    </row>
    <row r="4572" spans="1:8" ht="13.2" x14ac:dyDescent="0.25">
      <c r="A4572" s="1" t="str">
        <f ca="1">IFERROR(__xludf.DUMMYFUNCTION("GOOGLETRANSLATE(English!A4572, ""en"", ""bg"")"),"hw_13384")</f>
        <v>hw_13384</v>
      </c>
      <c r="B4572" s="1" t="str">
        <f ca="1">IFERROR(__xludf.DUMMYFUNCTION("GOOGLETRANSLATE(English!B4572, ""en"", ""bg"")"),"физика")</f>
        <v>физика</v>
      </c>
      <c r="C4572" s="1" t="str">
        <f ca="1">IFERROR(__xludf.DUMMYFUNCTION("GOOGLETRANSLATE(English!C4572, ""en"", ""bg"")"),"елементарен")</f>
        <v>елементарен</v>
      </c>
      <c r="D4572" s="1" t="str">
        <f ca="1">IFERROR(__xludf.DUMMYFUNCTION("GOOGLETRANSLATE(English!D4572, ""en"", ""bg"")"),"бутане и дърпане")</f>
        <v>бутане и дърпане</v>
      </c>
      <c r="E4572" s="1" t="str">
        <f ca="1">IFERROR(__xludf.DUMMYFUNCTION("GOOGLETRANSLATE(English!E4572, ""en"", ""bg"")"),"Можеш ли да решиш тази задача с бутане и дърпане с мен?")</f>
        <v>Можеш ли да решиш тази задача с бутане и дърпане с мен?</v>
      </c>
      <c r="F4572" s="1" t="str">
        <f ca="1">IFERROR(__xludf.DUMMYFUNCTION("GOOGLETRANSLATE(English!F4572,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4572" s="1" t="str">
        <f ca="1">IFERROR(__xludf.DUMMYFUNCTION("GOOGLETRANSLATE(English!G4572, ""en"", ""bg"")"),"помощ_за_домашно_изпълнение")</f>
        <v>помощ_за_домашно_изпълнение</v>
      </c>
      <c r="H4572" s="1" t="str">
        <f ca="1">IFERROR(__xludf.DUMMYFUNCTION("GOOGLETRANSLATE(English!H4572, ""en"", ""bg"")"),"помощ_за_домашно_задаване")</f>
        <v>помощ_за_домашно_задаване</v>
      </c>
    </row>
    <row r="4573" spans="1:8" ht="13.2" x14ac:dyDescent="0.25">
      <c r="A4573" s="1" t="str">
        <f ca="1">IFERROR(__xludf.DUMMYFUNCTION("GOOGLETRANSLATE(English!A4573, ""en"", ""bg"")"),"hw_05237")</f>
        <v>hw_05237</v>
      </c>
      <c r="B4573" s="1" t="str">
        <f ca="1">IFERROR(__xludf.DUMMYFUNCTION("GOOGLETRANSLATE(English!B4573, ""en"", ""bg"")"),"химия")</f>
        <v>химия</v>
      </c>
      <c r="C4573" s="1" t="str">
        <f ca="1">IFERROR(__xludf.DUMMYFUNCTION("GOOGLETRANSLATE(English!C4573, ""en"", ""bg"")"),"средата")</f>
        <v>средата</v>
      </c>
      <c r="D4573" s="1" t="str">
        <f ca="1">IFERROR(__xludf.DUMMYFUNCTION("GOOGLETRANSLATE(English!D4573, ""en"", ""bg"")"),"киселини и основи")</f>
        <v>киселини и основи</v>
      </c>
      <c r="E4573" s="1" t="str">
        <f ca="1">IFERROR(__xludf.DUMMYFUNCTION("GOOGLETRANSLATE(English!E4573,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4573" s="1" t="str">
        <f ca="1">IFERROR(__xludf.DUMMYFUNCTION("GOOGLETRANSLATE(English!F4573,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573" s="1" t="str">
        <f ca="1">IFERROR(__xludf.DUMMYFUNCTION("GOOGLETRANSLATE(English!G4573, ""en"", ""bg"")"),"помощ_за_домашно_изпълнение")</f>
        <v>помощ_за_домашно_изпълнение</v>
      </c>
      <c r="H4573" s="1" t="str">
        <f ca="1">IFERROR(__xludf.DUMMYFUNCTION("GOOGLETRANSLATE(English!H4573, ""en"", ""bg"")"),"помощ_за_домашно_задаване")</f>
        <v>помощ_за_домашно_задаване</v>
      </c>
    </row>
    <row r="4574" spans="1:8" ht="13.2" x14ac:dyDescent="0.25">
      <c r="A4574" s="1" t="str">
        <f ca="1">IFERROR(__xludf.DUMMYFUNCTION("GOOGLETRANSLATE(English!A4574, ""en"", ""bg"")"),"conv_13821")</f>
        <v>conv_13821</v>
      </c>
      <c r="B4574" s="1" t="str">
        <f ca="1">IFERROR(__xludf.DUMMYFUNCTION("GOOGLETRANSLATE(English!B4574, ""en"", ""bg"")"),"биология")</f>
        <v>биология</v>
      </c>
      <c r="C4574" s="1" t="str">
        <f ca="1">IFERROR(__xludf.DUMMYFUNCTION("GOOGLETRANSLATE(English!C4574, ""en"", ""bg"")"),"средата")</f>
        <v>средата</v>
      </c>
      <c r="D4574" s="1" t="str">
        <f ca="1">IFERROR(__xludf.DUMMYFUNCTION("GOOGLETRANSLATE(English!D4574, ""en"", ""bg"")"),"дишане")</f>
        <v>дишане</v>
      </c>
      <c r="E4574" s="1" t="str">
        <f ca="1">IFERROR(__xludf.DUMMYFUNCTION("GOOGLETRANSLATE(English!E4574, ""en"", ""bg"")"),"Не разбирам тази тема. Как работи дишането?")</f>
        <v>Не разбирам тази тема. Как работи дишането?</v>
      </c>
      <c r="F4574" s="1" t="str">
        <f ca="1">IFERROR(__xludf.DUMMYFUNCTION("GOOGLETRANSLATE(English!F4574, ""en"", ""bg"")"),"Дишането протича чрез естествени процеси, които учените изучават в продължение на много години.")</f>
        <v>Дишането протича чрез естествени процеси, които учените изучават в продължение на много години.</v>
      </c>
      <c r="G4574" s="1" t="str">
        <f ca="1">IFERROR(__xludf.DUMMYFUNCTION("GOOGLETRANSLATE(English!G4574, ""en"", ""bg"")"),"разговор")</f>
        <v>разговор</v>
      </c>
      <c r="H4574" s="1" t="str">
        <f ca="1">IFERROR(__xludf.DUMMYFUNCTION("GOOGLETRANSLATE(English!H4574, ""en"", ""bg"")"),"образователна_помощ")</f>
        <v>образователна_помощ</v>
      </c>
    </row>
    <row r="4575" spans="1:8" ht="13.2" x14ac:dyDescent="0.25">
      <c r="A4575" s="1" t="str">
        <f ca="1">IFERROR(__xludf.DUMMYFUNCTION("GOOGLETRANSLATE(English!A4575, ""en"", ""bg"")"),"qa_09332")</f>
        <v>qa_09332</v>
      </c>
      <c r="B4575" s="1" t="str">
        <f ca="1">IFERROR(__xludf.DUMMYFUNCTION("GOOGLETRANSLATE(English!B4575, ""en"", ""bg"")"),"биология")</f>
        <v>биология</v>
      </c>
      <c r="C4575" s="1" t="str">
        <f ca="1">IFERROR(__xludf.DUMMYFUNCTION("GOOGLETRANSLATE(English!C4575, ""en"", ""bg"")"),"високо")</f>
        <v>високо</v>
      </c>
      <c r="D4575" s="1" t="str">
        <f ca="1">IFERROR(__xludf.DUMMYFUNCTION("GOOGLETRANSLATE(English!D4575, ""en"", ""bg"")"),"модели на наследяване")</f>
        <v>модели на наследяване</v>
      </c>
      <c r="E4575" s="1" t="str">
        <f ca="1">IFERROR(__xludf.DUMMYFUNCTION("GOOGLETRANSLATE(English!E4575, ""en"", ""bg"")"),"Можете ли да ми разкажете за моделите на наследяване?")</f>
        <v>Можете ли да ми разкажете за моделите на наследяване?</v>
      </c>
      <c r="F4575" s="1" t="str">
        <f ca="1">IFERROR(__xludf.DUMMYFUNCTION("GOOGLETRANSLATE(English!F4575,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4575" s="1" t="str">
        <f ca="1">IFERROR(__xludf.DUMMYFUNCTION("GOOGLETRANSLATE(English!G4575, ""en"", ""bg"")"),"direct_qa")</f>
        <v>direct_qa</v>
      </c>
      <c r="H4575" s="1" t="str">
        <f ca="1">IFERROR(__xludf.DUMMYFUNCTION("GOOGLETRANSLATE(English!H4575, ""en"", ""bg"")"),"заявка_за_знание")</f>
        <v>заявка_за_знание</v>
      </c>
    </row>
    <row r="4576" spans="1:8" ht="13.2" x14ac:dyDescent="0.25">
      <c r="A4576" s="1" t="str">
        <f ca="1">IFERROR(__xludf.DUMMYFUNCTION("GOOGLETRANSLATE(English!A4576, ""en"", ""bg"")"),"hw_00370")</f>
        <v>hw_00370</v>
      </c>
      <c r="B4576" s="1" t="str">
        <f ca="1">IFERROR(__xludf.DUMMYFUNCTION("GOOGLETRANSLATE(English!B4576, ""en"", ""bg"")"),"биология")</f>
        <v>биология</v>
      </c>
      <c r="C4576" s="1" t="str">
        <f ca="1">IFERROR(__xludf.DUMMYFUNCTION("GOOGLETRANSLATE(English!C4576, ""en"", ""bg"")"),"високо")</f>
        <v>високо</v>
      </c>
      <c r="D4576" s="1" t="str">
        <f ca="1">IFERROR(__xludf.DUMMYFUNCTION("GOOGLETRANSLATE(English!D4576, ""en"", ""bg"")"),"клетъчно дишане")</f>
        <v>клетъчно дишане</v>
      </c>
      <c r="E4576" s="1" t="str">
        <f ca="1">IFERROR(__xludf.DUMMYFUNCTION("GOOGLETRANSLATE(English!E4576, ""en"", ""bg"")"),"Домашното ми пита за клетъчното дишане. Не го разбирам.")</f>
        <v>Домашното ми пита за клетъчното дишане. Не го разбирам.</v>
      </c>
      <c r="F4576" s="1" t="str">
        <f ca="1">IFERROR(__xludf.DUMMYFUNCTION("GOOGLETRANSLATE(English!F4576,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4576" s="1" t="str">
        <f ca="1">IFERROR(__xludf.DUMMYFUNCTION("GOOGLETRANSLATE(English!G4576, ""en"", ""bg"")"),"помощ_за_домашно_изпълнение")</f>
        <v>помощ_за_домашно_изпълнение</v>
      </c>
      <c r="H4576" s="1" t="str">
        <f ca="1">IFERROR(__xludf.DUMMYFUNCTION("GOOGLETRANSLATE(English!H4576, ""en"", ""bg"")"),"помощ_за_домашно_задаване")</f>
        <v>помощ_за_домашно_задаване</v>
      </c>
    </row>
    <row r="4577" spans="1:8" ht="13.2" x14ac:dyDescent="0.25">
      <c r="A4577" s="1" t="str">
        <f ca="1">IFERROR(__xludf.DUMMYFUNCTION("GOOGLETRANSLATE(English!A4577, ""en"", ""bg"")"),"hw_08817")</f>
        <v>hw_08817</v>
      </c>
      <c r="B4577" s="1" t="str">
        <f ca="1">IFERROR(__xludf.DUMMYFUNCTION("GOOGLETRANSLATE(English!B4577, ""en"", ""bg"")"),"биология")</f>
        <v>биология</v>
      </c>
      <c r="C4577" s="1" t="str">
        <f ca="1">IFERROR(__xludf.DUMMYFUNCTION("GOOGLETRANSLATE(English!C4577, ""en"", ""bg"")"),"елементарен")</f>
        <v>елементарен</v>
      </c>
      <c r="D4577" s="1" t="str">
        <f ca="1">IFERROR(__xludf.DUMMYFUNCTION("GOOGLETRANSLATE(English!D4577, ""en"", ""bg"")"),"основни нужди")</f>
        <v>основни нужди</v>
      </c>
      <c r="E4577" s="1" t="str">
        <f ca="1">IFERROR(__xludf.DUMMYFUNCTION("GOOGLETRANSLATE(English!E4577, ""en"", ""bg"")"),"Домашното ми пита за основни нужди. Не го разбирам.")</f>
        <v>Домашното ми пита за основни нужди. Не го разбирам.</v>
      </c>
      <c r="F4577" s="1" t="str">
        <f ca="1">IFERROR(__xludf.DUMMYFUNCTION("GOOGLETRANSLATE(English!F4577,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4577" s="1" t="str">
        <f ca="1">IFERROR(__xludf.DUMMYFUNCTION("GOOGLETRANSLATE(English!G4577, ""en"", ""bg"")"),"помощ_за_домашно_изпълнение")</f>
        <v>помощ_за_домашно_изпълнение</v>
      </c>
      <c r="H4577" s="1" t="str">
        <f ca="1">IFERROR(__xludf.DUMMYFUNCTION("GOOGLETRANSLATE(English!H4577, ""en"", ""bg"")"),"помощ_за_домашно_задаване")</f>
        <v>помощ_за_домашно_задаване</v>
      </c>
    </row>
    <row r="4578" spans="1:8" ht="13.2" x14ac:dyDescent="0.25">
      <c r="A4578" s="1" t="str">
        <f ca="1">IFERROR(__xludf.DUMMYFUNCTION("GOOGLETRANSLATE(English!A4578, ""en"", ""bg"")"),"conv_00397")</f>
        <v>conv_00397</v>
      </c>
      <c r="B4578" s="1" t="str">
        <f ca="1">IFERROR(__xludf.DUMMYFUNCTION("GOOGLETRANSLATE(English!B4578, ""en"", ""bg"")"),"химия")</f>
        <v>химия</v>
      </c>
      <c r="C4578" s="1" t="str">
        <f ca="1">IFERROR(__xludf.DUMMYFUNCTION("GOOGLETRANSLATE(English!C4578, ""en"", ""bg"")"),"елементарен")</f>
        <v>елементарен</v>
      </c>
      <c r="D4578" s="1" t="str">
        <f ca="1">IFERROR(__xludf.DUMMYFUNCTION("GOOGLETRANSLATE(English!D4578, ""en"", ""bg"")"),"промени в материалите")</f>
        <v>промени в материалите</v>
      </c>
      <c r="E4578" s="1" t="str">
        <f ca="1">IFERROR(__xludf.DUMMYFUNCTION("GOOGLETRANSLATE(English!E4578, ""en"", ""bg"")"),"Можете ли да ми помогнете? Можете ли да ми помогнете да разбера промените в материалите?")</f>
        <v>Можете ли да ми помогнете? Можете ли да ми помогнете да разбера промените в материалите?</v>
      </c>
      <c r="F4578" s="1" t="str">
        <f ca="1">IFERROR(__xludf.DUMMYFUNCTION("GOOGLETRANSLATE(English!F4578,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4578" s="1" t="str">
        <f ca="1">IFERROR(__xludf.DUMMYFUNCTION("GOOGLETRANSLATE(English!G4578, ""en"", ""bg"")"),"разговор")</f>
        <v>разговор</v>
      </c>
      <c r="H4578" s="1" t="str">
        <f ca="1">IFERROR(__xludf.DUMMYFUNCTION("GOOGLETRANSLATE(English!H4578, ""en"", ""bg"")"),"образователна_помощ")</f>
        <v>образователна_помощ</v>
      </c>
    </row>
    <row r="4579" spans="1:8" ht="13.2" x14ac:dyDescent="0.25">
      <c r="A4579" s="1" t="str">
        <f ca="1">IFERROR(__xludf.DUMMYFUNCTION("GOOGLETRANSLATE(English!A4579, ""en"", ""bg"")"),"qa_14503")</f>
        <v>qa_14503</v>
      </c>
      <c r="B4579" s="1" t="str">
        <f ca="1">IFERROR(__xludf.DUMMYFUNCTION("GOOGLETRANSLATE(English!B4579, ""en"", ""bg"")"),"физика")</f>
        <v>физика</v>
      </c>
      <c r="C4579" s="1" t="str">
        <f ca="1">IFERROR(__xludf.DUMMYFUNCTION("GOOGLETRANSLATE(English!C4579, ""en"", ""bg"")"),"високо")</f>
        <v>високо</v>
      </c>
      <c r="D4579" s="1" t="str">
        <f ca="1">IFERROR(__xludf.DUMMYFUNCTION("GOOGLETRANSLATE(English!D4579, ""en"", ""bg"")"),"атомна структура")</f>
        <v>атомна структура</v>
      </c>
      <c r="E4579" s="1" t="str">
        <f ca="1">IFERROR(__xludf.DUMMYFUNCTION("GOOGLETRANSLATE(English!E4579, ""en"", ""bg"")"),"Как работи атомната структура във физиката?")</f>
        <v>Как работи атомната структура във физиката?</v>
      </c>
      <c r="F4579" s="1" t="str">
        <f ca="1">IFERROR(__xludf.DUMMYFUNCTION("GOOGLETRANSLATE(English!F4579,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4579" s="1" t="str">
        <f ca="1">IFERROR(__xludf.DUMMYFUNCTION("GOOGLETRANSLATE(English!G4579, ""en"", ""bg"")"),"direct_qa")</f>
        <v>direct_qa</v>
      </c>
      <c r="H4579" s="1" t="str">
        <f ca="1">IFERROR(__xludf.DUMMYFUNCTION("GOOGLETRANSLATE(English!H4579, ""en"", ""bg"")"),"заявка_за_знание")</f>
        <v>заявка_за_знание</v>
      </c>
    </row>
    <row r="4580" spans="1:8" ht="13.2" x14ac:dyDescent="0.25">
      <c r="A4580" s="1" t="str">
        <f ca="1">IFERROR(__xludf.DUMMYFUNCTION("GOOGLETRANSLATE(English!A4580, ""en"", ""bg"")"),"qa_08428")</f>
        <v>qa_08428</v>
      </c>
      <c r="B4580" s="1" t="str">
        <f ca="1">IFERROR(__xludf.DUMMYFUNCTION("GOOGLETRANSLATE(English!B4580, ""en"", ""bg"")"),"физика")</f>
        <v>физика</v>
      </c>
      <c r="C4580" s="1" t="str">
        <f ca="1">IFERROR(__xludf.DUMMYFUNCTION("GOOGLETRANSLATE(English!C4580, ""en"", ""bg"")"),"високо")</f>
        <v>високо</v>
      </c>
      <c r="D4580" s="1" t="str">
        <f ca="1">IFERROR(__xludf.DUMMYFUNCTION("GOOGLETRANSLATE(English!D4580, ""en"", ""bg"")"),"оптика")</f>
        <v>оптика</v>
      </c>
      <c r="E4580" s="1" t="str">
        <f ca="1">IFERROR(__xludf.DUMMYFUNCTION("GOOGLETRANSLATE(English!E4580, ""en"", ""bg"")"),"Как работи оптиката във физиката?")</f>
        <v>Как работи оптиката във физиката?</v>
      </c>
      <c r="F4580" s="1" t="str">
        <f ca="1">IFERROR(__xludf.DUMMYFUNCTION("GOOGLETRANSLATE(English!F4580,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4580" s="1" t="str">
        <f ca="1">IFERROR(__xludf.DUMMYFUNCTION("GOOGLETRANSLATE(English!G4580, ""en"", ""bg"")"),"direct_qa")</f>
        <v>direct_qa</v>
      </c>
      <c r="H4580" s="1" t="str">
        <f ca="1">IFERROR(__xludf.DUMMYFUNCTION("GOOGLETRANSLATE(English!H4580, ""en"", ""bg"")"),"заявка_за_знание")</f>
        <v>заявка_за_знание</v>
      </c>
    </row>
    <row r="4581" spans="1:8" ht="13.2" x14ac:dyDescent="0.25">
      <c r="A4581" s="1" t="str">
        <f ca="1">IFERROR(__xludf.DUMMYFUNCTION("GOOGLETRANSLATE(English!A4581, ""en"", ""bg"")"),"qa_01904")</f>
        <v>qa_01904</v>
      </c>
      <c r="B4581" s="1" t="str">
        <f ca="1">IFERROR(__xludf.DUMMYFUNCTION("GOOGLETRANSLATE(English!B4581, ""en"", ""bg"")"),"физика")</f>
        <v>физика</v>
      </c>
      <c r="C4581" s="1" t="str">
        <f ca="1">IFERROR(__xludf.DUMMYFUNCTION("GOOGLETRANSLATE(English!C4581, ""en"", ""bg"")"),"високо")</f>
        <v>високо</v>
      </c>
      <c r="D4581" s="1" t="str">
        <f ca="1">IFERROR(__xludf.DUMMYFUNCTION("GOOGLETRANSLATE(English!D4581, ""en"", ""bg"")"),"радиоактивност")</f>
        <v>радиоактивност</v>
      </c>
      <c r="E4581" s="1" t="str">
        <f ca="1">IFERROR(__xludf.DUMMYFUNCTION("GOOGLETRANSLATE(English!E4581, ""en"", ""bg"")"),"Защо радиоактивността е важна?")</f>
        <v>Защо радиоактивността е важна?</v>
      </c>
      <c r="F4581" s="1" t="str">
        <f ca="1">IFERROR(__xludf.DUMMYFUNCTION("GOOGLETRANSLATE(English!F4581,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4581" s="1" t="str">
        <f ca="1">IFERROR(__xludf.DUMMYFUNCTION("GOOGLETRANSLATE(English!G4581, ""en"", ""bg"")"),"direct_qa")</f>
        <v>direct_qa</v>
      </c>
      <c r="H4581" s="1" t="str">
        <f ca="1">IFERROR(__xludf.DUMMYFUNCTION("GOOGLETRANSLATE(English!H4581, ""en"", ""bg"")"),"заявка_за_знание")</f>
        <v>заявка_за_знание</v>
      </c>
    </row>
    <row r="4582" spans="1:8" ht="13.2" x14ac:dyDescent="0.25">
      <c r="A4582" s="1" t="str">
        <f ca="1">IFERROR(__xludf.DUMMYFUNCTION("GOOGLETRANSLATE(English!A4582, ""en"", ""bg"")"),"conv_06014")</f>
        <v>conv_06014</v>
      </c>
      <c r="B4582" s="1" t="str">
        <f ca="1">IFERROR(__xludf.DUMMYFUNCTION("GOOGLETRANSLATE(English!B4582, ""en"", ""bg"")"),"химия")</f>
        <v>химия</v>
      </c>
      <c r="C4582" s="1" t="str">
        <f ca="1">IFERROR(__xludf.DUMMYFUNCTION("GOOGLETRANSLATE(English!C4582, ""en"", ""bg"")"),"средата")</f>
        <v>средата</v>
      </c>
      <c r="D4582" s="1" t="str">
        <f ca="1">IFERROR(__xludf.DUMMYFUNCTION("GOOGLETRANSLATE(English!D4582, ""en"", ""bg"")"),"киселини и основи")</f>
        <v>киселини и основи</v>
      </c>
      <c r="E4582" s="1" t="str">
        <f ca="1">IFERROR(__xludf.DUMMYFUNCTION("GOOGLETRANSLATE(English!E4582, ""en"", ""bg"")"),"Здравей, преподавателю! Защо е важно да се изучават киселини и основи?")</f>
        <v>Здравей, преподавателю! Защо е важно да се изучават киселини и основи?</v>
      </c>
      <c r="F4582" s="1" t="str">
        <f ca="1">IFERROR(__xludf.DUMMYFUNCTION("GOOGLETRANSLATE(English!F4582, ""en"", ""bg"")"),"Изучаването на киселините и основите ни помага да разберем света около нас и как протичат химичните процеси в природата и технологиите.")</f>
        <v>Изучаването на киселините и основите ни помага да разберем света около нас и как протичат химичните процеси в природата и технологиите.</v>
      </c>
      <c r="G4582" s="1" t="str">
        <f ca="1">IFERROR(__xludf.DUMMYFUNCTION("GOOGLETRANSLATE(English!G4582, ""en"", ""bg"")"),"разговор")</f>
        <v>разговор</v>
      </c>
      <c r="H4582" s="1" t="str">
        <f ca="1">IFERROR(__xludf.DUMMYFUNCTION("GOOGLETRANSLATE(English!H4582, ""en"", ""bg"")"),"образователна_помощ")</f>
        <v>образователна_помощ</v>
      </c>
    </row>
    <row r="4583" spans="1:8" ht="13.2" x14ac:dyDescent="0.25">
      <c r="A4583" s="1" t="str">
        <f ca="1">IFERROR(__xludf.DUMMYFUNCTION("GOOGLETRANSLATE(English!A4583, ""en"", ""bg"")"),"hw_02173")</f>
        <v>hw_02173</v>
      </c>
      <c r="B4583" s="1" t="str">
        <f ca="1">IFERROR(__xludf.DUMMYFUNCTION("GOOGLETRANSLATE(English!B4583, ""en"", ""bg"")"),"биология")</f>
        <v>биология</v>
      </c>
      <c r="C4583" s="1" t="str">
        <f ca="1">IFERROR(__xludf.DUMMYFUNCTION("GOOGLETRANSLATE(English!C4583, ""en"", ""bg"")"),"високо")</f>
        <v>високо</v>
      </c>
      <c r="D4583" s="1" t="str">
        <f ca="1">IFERROR(__xludf.DUMMYFUNCTION("GOOGLETRANSLATE(English!D4583, ""en"", ""bg"")"),"модели на наследяване")</f>
        <v>модели на наследяване</v>
      </c>
      <c r="E4583" s="1" t="str">
        <f ca="1">IFERROR(__xludf.DUMMYFUNCTION("GOOGLETRANSLATE(English!E4583, ""en"", ""bg"")"),"Домашното ми пита за модели на наследяване. Не го разбирам.")</f>
        <v>Домашното ми пита за модели на наследяване. Не го разбирам.</v>
      </c>
      <c r="F4583" s="1" t="str">
        <f ca="1">IFERROR(__xludf.DUMMYFUNCTION("GOOGLETRANSLATE(English!F4583,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4583" s="1" t="str">
        <f ca="1">IFERROR(__xludf.DUMMYFUNCTION("GOOGLETRANSLATE(English!G4583, ""en"", ""bg"")"),"помощ_за_домашно_изпълнение")</f>
        <v>помощ_за_домашно_изпълнение</v>
      </c>
      <c r="H4583" s="1" t="str">
        <f ca="1">IFERROR(__xludf.DUMMYFUNCTION("GOOGLETRANSLATE(English!H4583, ""en"", ""bg"")"),"помощ_за_домашно_задаване")</f>
        <v>помощ_за_домашно_задаване</v>
      </c>
    </row>
    <row r="4584" spans="1:8" ht="13.2" x14ac:dyDescent="0.25">
      <c r="A4584" s="1" t="str">
        <f ca="1">IFERROR(__xludf.DUMMYFUNCTION("GOOGLETRANSLATE(English!A4584, ""en"", ""bg"")"),"conv_12217")</f>
        <v>conv_12217</v>
      </c>
      <c r="B4584" s="1" t="str">
        <f ca="1">IFERROR(__xludf.DUMMYFUNCTION("GOOGLETRANSLATE(English!B4584, ""en"", ""bg"")"),"биология")</f>
        <v>биология</v>
      </c>
      <c r="C4584" s="1" t="str">
        <f ca="1">IFERROR(__xludf.DUMMYFUNCTION("GOOGLETRANSLATE(English!C4584, ""en"", ""bg"")"),"елементарен")</f>
        <v>елементарен</v>
      </c>
      <c r="D4584" s="1" t="str">
        <f ca="1">IFERROR(__xludf.DUMMYFUNCTION("GOOGLETRANSLATE(English!D4584, ""en"", ""bg"")"),"домашни любимци срещу диви животни")</f>
        <v>домашни любимци срещу диви животни</v>
      </c>
      <c r="E4584" s="1" t="str">
        <f ca="1">IFERROR(__xludf.DUMMYFUNCTION("GOOGLETRANSLATE(English!E4584, ""en"", ""bg"")"),"Можете ли да ми обясните това? Можете ли да ми разкажете за домашните любимци спрямо дивите животни?")</f>
        <v>Можете ли да ми обясните това? Можете ли да ми разкажете за домашните любимци спрямо дивите животни?</v>
      </c>
      <c r="F4584" s="1" t="str">
        <f ca="1">IFERROR(__xludf.DUMMYFUNCTION("GOOGLETRANSLATE(English!F4584, ""en"", ""bg"")"),"Домашни любимци срещу диви животни е завладяваща част от биологията! Тя ни помага да разберем как функционират живите същества.")</f>
        <v>Домашни любимци срещу диви животни е завладяваща част от биологията! Тя ни помага да разберем как функционират живите същества.</v>
      </c>
      <c r="G4584" s="1" t="str">
        <f ca="1">IFERROR(__xludf.DUMMYFUNCTION("GOOGLETRANSLATE(English!G4584, ""en"", ""bg"")"),"разговор")</f>
        <v>разговор</v>
      </c>
      <c r="H4584" s="1" t="str">
        <f ca="1">IFERROR(__xludf.DUMMYFUNCTION("GOOGLETRANSLATE(English!H4584, ""en"", ""bg"")"),"образователна_помощ")</f>
        <v>образователна_помощ</v>
      </c>
    </row>
    <row r="4585" spans="1:8" ht="13.2" x14ac:dyDescent="0.25">
      <c r="A4585" s="1" t="str">
        <f ca="1">IFERROR(__xludf.DUMMYFUNCTION("GOOGLETRANSLATE(English!A4585, ""en"", ""bg"")"),"qa_05867")</f>
        <v>qa_05867</v>
      </c>
      <c r="B4585" s="1" t="str">
        <f ca="1">IFERROR(__xludf.DUMMYFUNCTION("GOOGLETRANSLATE(English!B4585, ""en"", ""bg"")"),"физика")</f>
        <v>физика</v>
      </c>
      <c r="C4585" s="1" t="str">
        <f ca="1">IFERROR(__xludf.DUMMYFUNCTION("GOOGLETRANSLATE(English!C4585, ""en"", ""bg"")"),"елементарен")</f>
        <v>елементарен</v>
      </c>
      <c r="D4585" s="1" t="str">
        <f ca="1">IFERROR(__xludf.DUMMYFUNCTION("GOOGLETRANSLATE(English!D4585, ""en"", ""bg"")"),"плаващ и потъващ")</f>
        <v>плаващ и потъващ</v>
      </c>
      <c r="E4585" s="1" t="str">
        <f ca="1">IFERROR(__xludf.DUMMYFUNCTION("GOOGLETRANSLATE(English!E4585, ""en"", ""bg"")"),"Можете ли да ми обясните какво е плаване и потъване?")</f>
        <v>Можете ли да ми обясните какво е плаване и потъване?</v>
      </c>
      <c r="F4585" s="1" t="str">
        <f ca="1">IFERROR(__xludf.DUMMYFUNCTION("GOOGLETRANSLATE(English!F4585,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4585" s="1" t="str">
        <f ca="1">IFERROR(__xludf.DUMMYFUNCTION("GOOGLETRANSLATE(English!G4585, ""en"", ""bg"")"),"direct_qa")</f>
        <v>direct_qa</v>
      </c>
      <c r="H4585" s="1" t="str">
        <f ca="1">IFERROR(__xludf.DUMMYFUNCTION("GOOGLETRANSLATE(English!H4585, ""en"", ""bg"")"),"заявка_за_знание")</f>
        <v>заявка_за_знание</v>
      </c>
    </row>
    <row r="4586" spans="1:8" ht="13.2" x14ac:dyDescent="0.25">
      <c r="A4586" s="1" t="str">
        <f ca="1">IFERROR(__xludf.DUMMYFUNCTION("GOOGLETRANSLATE(English!A4586, ""en"", ""bg"")"),"hw_10248")</f>
        <v>hw_10248</v>
      </c>
      <c r="B4586" s="1" t="str">
        <f ca="1">IFERROR(__xludf.DUMMYFUNCTION("GOOGLETRANSLATE(English!B4586, ""en"", ""bg"")"),"химия")</f>
        <v>химия</v>
      </c>
      <c r="C4586" s="1" t="str">
        <f ca="1">IFERROR(__xludf.DUMMYFUNCTION("GOOGLETRANSLATE(English!C4586, ""en"", ""bg"")"),"средата")</f>
        <v>средата</v>
      </c>
      <c r="D4586" s="1" t="str">
        <f ca="1">IFERROR(__xludf.DUMMYFUNCTION("GOOGLETRANSLATE(English!D4586, ""en"", ""bg"")"),"основи на периодичната таблица")</f>
        <v>основи на периодичната таблица</v>
      </c>
      <c r="E4586" s="1" t="str">
        <f ca="1">IFERROR(__xludf.DUMMYFUNCTION("GOOGLETRANSLATE(English!E4586,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4586" s="1" t="str">
        <f ca="1">IFERROR(__xludf.DUMMYFUNCTION("GOOGLETRANSLATE(English!F4586,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4586" s="1" t="str">
        <f ca="1">IFERROR(__xludf.DUMMYFUNCTION("GOOGLETRANSLATE(English!G4586, ""en"", ""bg"")"),"помощ_за_домашно_изпълнение")</f>
        <v>помощ_за_домашно_изпълнение</v>
      </c>
      <c r="H4586" s="1" t="str">
        <f ca="1">IFERROR(__xludf.DUMMYFUNCTION("GOOGLETRANSLATE(English!H4586, ""en"", ""bg"")"),"помощ_за_домашно_задаване")</f>
        <v>помощ_за_домашно_задаване</v>
      </c>
    </row>
    <row r="4587" spans="1:8" ht="13.2" x14ac:dyDescent="0.25">
      <c r="A4587" s="1" t="str">
        <f ca="1">IFERROR(__xludf.DUMMYFUNCTION("GOOGLETRANSLATE(English!A4587, ""en"", ""bg"")"),"qa_11740")</f>
        <v>qa_11740</v>
      </c>
      <c r="B4587" s="1" t="str">
        <f ca="1">IFERROR(__xludf.DUMMYFUNCTION("GOOGLETRANSLATE(English!B4587, ""en"", ""bg"")"),"биология")</f>
        <v>биология</v>
      </c>
      <c r="C4587" s="1" t="str">
        <f ca="1">IFERROR(__xludf.DUMMYFUNCTION("GOOGLETRANSLATE(English!C4587, ""en"", ""bg"")"),"средата")</f>
        <v>средата</v>
      </c>
      <c r="D4587" s="1" t="str">
        <f ca="1">IFERROR(__xludf.DUMMYFUNCTION("GOOGLETRANSLATE(English!D4587, ""en"", ""bg"")"),"екосистеми")</f>
        <v>екосистеми</v>
      </c>
      <c r="E4587" s="1" t="str">
        <f ca="1">IFERROR(__xludf.DUMMYFUNCTION("GOOGLETRANSLATE(English!E4587, ""en"", ""bg"")"),"Защо екосистемите са важни в биологията?")</f>
        <v>Защо екосистемите са важни в биологията?</v>
      </c>
      <c r="F4587" s="1" t="str">
        <f ca="1">IFERROR(__xludf.DUMMYFUNCTION("GOOGLETRANSLATE(English!F4587,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4587" s="1" t="str">
        <f ca="1">IFERROR(__xludf.DUMMYFUNCTION("GOOGLETRANSLATE(English!G4587, ""en"", ""bg"")"),"direct_qa")</f>
        <v>direct_qa</v>
      </c>
      <c r="H4587" s="1" t="str">
        <f ca="1">IFERROR(__xludf.DUMMYFUNCTION("GOOGLETRANSLATE(English!H4587, ""en"", ""bg"")"),"заявка_за_знание")</f>
        <v>заявка_за_знание</v>
      </c>
    </row>
    <row r="4588" spans="1:8" ht="13.2" x14ac:dyDescent="0.25">
      <c r="A4588" s="1" t="str">
        <f ca="1">IFERROR(__xludf.DUMMYFUNCTION("GOOGLETRANSLATE(English!A4588, ""en"", ""bg"")"),"qa_10968")</f>
        <v>qa_10968</v>
      </c>
      <c r="B4588" s="1" t="str">
        <f ca="1">IFERROR(__xludf.DUMMYFUNCTION("GOOGLETRANSLATE(English!B4588, ""en"", ""bg"")"),"биология")</f>
        <v>биология</v>
      </c>
      <c r="C4588" s="1" t="str">
        <f ca="1">IFERROR(__xludf.DUMMYFUNCTION("GOOGLETRANSLATE(English!C4588, ""en"", ""bg"")"),"средата")</f>
        <v>средата</v>
      </c>
      <c r="D4588" s="1" t="str">
        <f ca="1">IFERROR(__xludf.DUMMYFUNCTION("GOOGLETRANSLATE(English!D4588, ""en"", ""bg"")"),"основи на еволюцията")</f>
        <v>основи на еволюцията</v>
      </c>
      <c r="E4588" s="1" t="str">
        <f ca="1">IFERROR(__xludf.DUMMYFUNCTION("GOOGLETRANSLATE(English!E4588, ""en"", ""bg"")"),"Какво е важно да знаем за основите на еволюцията?")</f>
        <v>Какво е важно да знаем за основите на еволюцията?</v>
      </c>
      <c r="F4588" s="1" t="str">
        <f ca="1">IFERROR(__xludf.DUMMYFUNCTION("GOOGLETRANSLATE(English!F4588,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4588" s="1" t="str">
        <f ca="1">IFERROR(__xludf.DUMMYFUNCTION("GOOGLETRANSLATE(English!G4588, ""en"", ""bg"")"),"direct_qa")</f>
        <v>direct_qa</v>
      </c>
      <c r="H4588" s="1" t="str">
        <f ca="1">IFERROR(__xludf.DUMMYFUNCTION("GOOGLETRANSLATE(English!H4588, ""en"", ""bg"")"),"заявка_за_знание")</f>
        <v>заявка_за_знание</v>
      </c>
    </row>
    <row r="4589" spans="1:8" ht="13.2" x14ac:dyDescent="0.25">
      <c r="A4589" s="1" t="str">
        <f ca="1">IFERROR(__xludf.DUMMYFUNCTION("GOOGLETRANSLATE(English!A4589, ""en"", ""bg"")"),"qa_03740")</f>
        <v>qa_03740</v>
      </c>
      <c r="B4589" s="1" t="str">
        <f ca="1">IFERROR(__xludf.DUMMYFUNCTION("GOOGLETRANSLATE(English!B4589, ""en"", ""bg"")"),"биология")</f>
        <v>биология</v>
      </c>
      <c r="C4589" s="1" t="str">
        <f ca="1">IFERROR(__xludf.DUMMYFUNCTION("GOOGLETRANSLATE(English!C4589, ""en"", ""bg"")"),"високо")</f>
        <v>високо</v>
      </c>
      <c r="D4589" s="1" t="str">
        <f ca="1">IFERROR(__xludf.DUMMYFUNCTION("GOOGLETRANSLATE(English!D4589, ""en"", ""bg"")"),"Структура на ДНК")</f>
        <v>Структура на ДНК</v>
      </c>
      <c r="E4589" s="1" t="str">
        <f ca="1">IFERROR(__xludf.DUMMYFUNCTION("GOOGLETRANSLATE(English!E4589, ""en"", ""bg"")"),"Защо структурата на ДНК е важна в биологията?")</f>
        <v>Защо структурата на ДНК е важна в биологията?</v>
      </c>
      <c r="F4589" s="1" t="str">
        <f ca="1">IFERROR(__xludf.DUMMYFUNCTION("GOOGLETRANSLATE(English!F4589,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4589" s="1" t="str">
        <f ca="1">IFERROR(__xludf.DUMMYFUNCTION("GOOGLETRANSLATE(English!G4589, ""en"", ""bg"")"),"direct_qa")</f>
        <v>direct_qa</v>
      </c>
      <c r="H4589" s="1" t="str">
        <f ca="1">IFERROR(__xludf.DUMMYFUNCTION("GOOGLETRANSLATE(English!H4589, ""en"", ""bg"")"),"заявка_за_знание")</f>
        <v>заявка_за_знание</v>
      </c>
    </row>
    <row r="4590" spans="1:8" ht="13.2" x14ac:dyDescent="0.25">
      <c r="A4590" s="1" t="str">
        <f ca="1">IFERROR(__xludf.DUMMYFUNCTION("GOOGLETRANSLATE(English!A4590, ""en"", ""bg"")"),"qa_05794")</f>
        <v>qa_05794</v>
      </c>
      <c r="B4590" s="1" t="str">
        <f ca="1">IFERROR(__xludf.DUMMYFUNCTION("GOOGLETRANSLATE(English!B4590, ""en"", ""bg"")"),"биология")</f>
        <v>биология</v>
      </c>
      <c r="C4590" s="1" t="str">
        <f ca="1">IFERROR(__xludf.DUMMYFUNCTION("GOOGLETRANSLATE(English!C4590, ""en"", ""bg"")"),"средата")</f>
        <v>средата</v>
      </c>
      <c r="D4590" s="1" t="str">
        <f ca="1">IFERROR(__xludf.DUMMYFUNCTION("GOOGLETRANSLATE(English!D4590, ""en"", ""bg"")"),"основи на еволюцията")</f>
        <v>основи на еволюцията</v>
      </c>
      <c r="E4590" s="1" t="str">
        <f ca="1">IFERROR(__xludf.DUMMYFUNCTION("GOOGLETRANSLATE(English!E4590, ""en"", ""bg"")"),"Какво е важно да знаем за основите на еволюцията?")</f>
        <v>Какво е важно да знаем за основите на еволюцията?</v>
      </c>
      <c r="F4590" s="1" t="str">
        <f ca="1">IFERROR(__xludf.DUMMYFUNCTION("GOOGLETRANSLATE(English!F4590,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4590" s="1" t="str">
        <f ca="1">IFERROR(__xludf.DUMMYFUNCTION("GOOGLETRANSLATE(English!G4590, ""en"", ""bg"")"),"direct_qa")</f>
        <v>direct_qa</v>
      </c>
      <c r="H4590" s="1" t="str">
        <f ca="1">IFERROR(__xludf.DUMMYFUNCTION("GOOGLETRANSLATE(English!H4590, ""en"", ""bg"")"),"заявка_за_знание")</f>
        <v>заявка_за_знание</v>
      </c>
    </row>
    <row r="4591" spans="1:8" ht="13.2" x14ac:dyDescent="0.25">
      <c r="A4591" s="1" t="str">
        <f ca="1">IFERROR(__xludf.DUMMYFUNCTION("GOOGLETRANSLATE(English!A4591, ""en"", ""bg"")"),"conv_01901")</f>
        <v>conv_01901</v>
      </c>
      <c r="B4591" s="1" t="str">
        <f ca="1">IFERROR(__xludf.DUMMYFUNCTION("GOOGLETRANSLATE(English!B4591, ""en"", ""bg"")"),"биология")</f>
        <v>биология</v>
      </c>
      <c r="C4591" s="1" t="str">
        <f ca="1">IFERROR(__xludf.DUMMYFUNCTION("GOOGLETRANSLATE(English!C4591, ""en"", ""bg"")"),"средата")</f>
        <v>средата</v>
      </c>
      <c r="D4591" s="1" t="str">
        <f ca="1">IFERROR(__xludf.DUMMYFUNCTION("GOOGLETRANSLATE(English!D4591, ""en"", ""bg"")"),"размножаване")</f>
        <v>размножаване</v>
      </c>
      <c r="E4591" s="1" t="str">
        <f ca="1">IFERROR(__xludf.DUMMYFUNCTION("GOOGLETRANSLATE(English!E4591, ""en"", ""bg"")"),"Имам нужда от помощ с домашното. Можете ли да ми разкажете за размножаването?")</f>
        <v>Имам нужда от помощ с домашното. Можете ли да ми разкажете за размножаването?</v>
      </c>
      <c r="F4591" s="1" t="str">
        <f ca="1">IFERROR(__xludf.DUMMYFUNCTION("GOOGLETRANSLATE(English!F4591, ""en"", ""bg"")"),"Размножаването е завладяваща част от биологията! То ни помага да разберем как функционират живите същества.")</f>
        <v>Размножаването е завладяваща част от биологията! То ни помага да разберем как функционират живите същества.</v>
      </c>
      <c r="G4591" s="1" t="str">
        <f ca="1">IFERROR(__xludf.DUMMYFUNCTION("GOOGLETRANSLATE(English!G4591, ""en"", ""bg"")"),"разговор")</f>
        <v>разговор</v>
      </c>
      <c r="H4591" s="1" t="str">
        <f ca="1">IFERROR(__xludf.DUMMYFUNCTION("GOOGLETRANSLATE(English!H4591, ""en"", ""bg"")"),"образователна_помощ")</f>
        <v>образователна_помощ</v>
      </c>
    </row>
    <row r="4592" spans="1:8" ht="13.2" x14ac:dyDescent="0.25">
      <c r="A4592" s="1" t="str">
        <f ca="1">IFERROR(__xludf.DUMMYFUNCTION("GOOGLETRANSLATE(English!A4592, ""en"", ""bg"")"),"conv_05650")</f>
        <v>conv_05650</v>
      </c>
      <c r="B4592" s="1" t="str">
        <f ca="1">IFERROR(__xludf.DUMMYFUNCTION("GOOGLETRANSLATE(English!B4592, ""en"", ""bg"")"),"химия")</f>
        <v>химия</v>
      </c>
      <c r="C4592" s="1" t="str">
        <f ca="1">IFERROR(__xludf.DUMMYFUNCTION("GOOGLETRANSLATE(English!C4592, ""en"", ""bg"")"),"средата")</f>
        <v>средата</v>
      </c>
      <c r="D4592" s="1" t="str">
        <f ca="1">IFERROR(__xludf.DUMMYFUNCTION("GOOGLETRANSLATE(English!D4592, ""en"", ""bg"")"),"съединения срещу елементи")</f>
        <v>съединения срещу елементи</v>
      </c>
      <c r="E4592" s="1" t="str">
        <f ca="1">IFERROR(__xludf.DUMMYFUNCTION("GOOGLETRANSLATE(English!E4592, ""en"", ""bg"")"),"Можете ли да ми обясните това? Какво е сравнението между съединения и елементи?")</f>
        <v>Можете ли да ми обясните това? Какво е сравнението между съединения и елементи?</v>
      </c>
      <c r="F4592" s="1" t="str">
        <f ca="1">IFERROR(__xludf.DUMMYFUNCTION("GOOGLETRANSLATE(English!F4592,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4592" s="1" t="str">
        <f ca="1">IFERROR(__xludf.DUMMYFUNCTION("GOOGLETRANSLATE(English!G4592, ""en"", ""bg"")"),"разговор")</f>
        <v>разговор</v>
      </c>
      <c r="H4592" s="1" t="str">
        <f ca="1">IFERROR(__xludf.DUMMYFUNCTION("GOOGLETRANSLATE(English!H4592, ""en"", ""bg"")"),"образователна_помощ")</f>
        <v>образователна_помощ</v>
      </c>
    </row>
    <row r="4593" spans="1:8" ht="13.2" x14ac:dyDescent="0.25">
      <c r="A4593" s="1" t="str">
        <f ca="1">IFERROR(__xludf.DUMMYFUNCTION("GOOGLETRANSLATE(English!A4593, ""en"", ""bg"")"),"qa_10191")</f>
        <v>qa_10191</v>
      </c>
      <c r="B4593" s="1" t="str">
        <f ca="1">IFERROR(__xludf.DUMMYFUNCTION("GOOGLETRANSLATE(English!B4593, ""en"", ""bg"")"),"биология")</f>
        <v>биология</v>
      </c>
      <c r="C4593" s="1" t="str">
        <f ca="1">IFERROR(__xludf.DUMMYFUNCTION("GOOGLETRANSLATE(English!C4593, ""en"", ""bg"")"),"елементарен")</f>
        <v>елементарен</v>
      </c>
      <c r="D4593" s="1" t="str">
        <f ca="1">IFERROR(__xludf.DUMMYFUNCTION("GOOGLETRANSLATE(English!D4593, ""en"", ""bg"")"),"домашни любимци срещу диви животни")</f>
        <v>домашни любимци срещу диви животни</v>
      </c>
      <c r="E4593" s="1" t="str">
        <f ca="1">IFERROR(__xludf.DUMMYFUNCTION("GOOGLETRANSLATE(English!E4593, ""en"", ""bg"")"),"Можете ли да ми разкажете за домашните любимци спрямо дивите животни?")</f>
        <v>Можете ли да ми разкажете за домашните любимци спрямо дивите животни?</v>
      </c>
      <c r="F4593" s="1" t="str">
        <f ca="1">IFERROR(__xludf.DUMMYFUNCTION("GOOGLETRANSLATE(English!F4593, ""en"", ""bg"")"),"Домашни любимци срещу диви животни е завладяваща част от биологията! Тя ни помага да разберем как функционират живите същества.")</f>
        <v>Домашни любимци срещу диви животни е завладяваща част от биологията! Тя ни помага да разберем как функционират живите същества.</v>
      </c>
      <c r="G4593" s="1" t="str">
        <f ca="1">IFERROR(__xludf.DUMMYFUNCTION("GOOGLETRANSLATE(English!G4593, ""en"", ""bg"")"),"direct_qa")</f>
        <v>direct_qa</v>
      </c>
      <c r="H4593" s="1" t="str">
        <f ca="1">IFERROR(__xludf.DUMMYFUNCTION("GOOGLETRANSLATE(English!H4593, ""en"", ""bg"")"),"заявка_за_знание")</f>
        <v>заявка_за_знание</v>
      </c>
    </row>
    <row r="4594" spans="1:8" ht="13.2" x14ac:dyDescent="0.25">
      <c r="A4594" s="1" t="str">
        <f ca="1">IFERROR(__xludf.DUMMYFUNCTION("GOOGLETRANSLATE(English!A4594, ""en"", ""bg"")"),"conv_13576")</f>
        <v>conv_13576</v>
      </c>
      <c r="B4594" s="1" t="str">
        <f ca="1">IFERROR(__xludf.DUMMYFUNCTION("GOOGLETRANSLATE(English!B4594, ""en"", ""bg"")"),"биология")</f>
        <v>биология</v>
      </c>
      <c r="C4594" s="1" t="str">
        <f ca="1">IFERROR(__xludf.DUMMYFUNCTION("GOOGLETRANSLATE(English!C4594, ""en"", ""bg"")"),"елементарен")</f>
        <v>елементарен</v>
      </c>
      <c r="D4594" s="1" t="str">
        <f ca="1">IFERROR(__xludf.DUMMYFUNCTION("GOOGLETRANSLATE(English!D4594, ""en"", ""bg"")"),"човешкото тяло")</f>
        <v>човешкото тяло</v>
      </c>
      <c r="E4594" s="1" t="str">
        <f ca="1">IFERROR(__xludf.DUMMYFUNCTION("GOOGLETRANSLATE(English!E4594, ""en"", ""bg"")"),"Помогнете ми да уча за теста си. Какво е важно да знаем за човешкото тяло?")</f>
        <v>Помогнете ми да уча за теста си. Какво е важно да знаем за човешкото тяло?</v>
      </c>
      <c r="F4594" s="1" t="str">
        <f ca="1">IFERROR(__xludf.DUMMYFUNCTION("GOOGLETRANSLATE(English!F4594, ""en"", ""bg"")"),"Най-важното нещо за човешкото тяло е как то се свързва с други части на живота и природата.")</f>
        <v>Най-важното нещо за човешкото тяло е как то се свързва с други части на живота и природата.</v>
      </c>
      <c r="G4594" s="1" t="str">
        <f ca="1">IFERROR(__xludf.DUMMYFUNCTION("GOOGLETRANSLATE(English!G4594, ""en"", ""bg"")"),"разговор")</f>
        <v>разговор</v>
      </c>
      <c r="H4594" s="1" t="str">
        <f ca="1">IFERROR(__xludf.DUMMYFUNCTION("GOOGLETRANSLATE(English!H4594, ""en"", ""bg"")"),"образователна_помощ")</f>
        <v>образователна_помощ</v>
      </c>
    </row>
    <row r="4595" spans="1:8" ht="13.2" x14ac:dyDescent="0.25">
      <c r="A4595" s="1" t="str">
        <f ca="1">IFERROR(__xludf.DUMMYFUNCTION("GOOGLETRANSLATE(English!A4595, ""en"", ""bg"")"),"qa_04406")</f>
        <v>qa_04406</v>
      </c>
      <c r="B4595" s="1" t="str">
        <f ca="1">IFERROR(__xludf.DUMMYFUNCTION("GOOGLETRANSLATE(English!B4595, ""en"", ""bg"")"),"физика")</f>
        <v>физика</v>
      </c>
      <c r="C4595" s="1" t="str">
        <f ca="1">IFERROR(__xludf.DUMMYFUNCTION("GOOGLETRANSLATE(English!C4595, ""en"", ""bg"")"),"високо")</f>
        <v>високо</v>
      </c>
      <c r="D4595" s="1" t="str">
        <f ca="1">IFERROR(__xludf.DUMMYFUNCTION("GOOGLETRANSLATE(English!D4595, ""en"", ""bg"")"),"механика")</f>
        <v>механика</v>
      </c>
      <c r="E4595" s="1" t="str">
        <f ca="1">IFERROR(__xludf.DUMMYFUNCTION("GOOGLETRANSLATE(English!E4595, ""en"", ""bg"")"),"Защо механиката е важна?")</f>
        <v>Защо механиката е важна?</v>
      </c>
      <c r="F4595" s="1" t="str">
        <f ca="1">IFERROR(__xludf.DUMMYFUNCTION("GOOGLETRANSLATE(English!F4595, ""en"", ""bg"")"),"Механиката е важна, защото ни помага да разберем физическия свят около нас.")</f>
        <v>Механиката е важна, защото ни помага да разберем физическия свят около нас.</v>
      </c>
      <c r="G4595" s="1" t="str">
        <f ca="1">IFERROR(__xludf.DUMMYFUNCTION("GOOGLETRANSLATE(English!G4595, ""en"", ""bg"")"),"direct_qa")</f>
        <v>direct_qa</v>
      </c>
      <c r="H4595" s="1" t="str">
        <f ca="1">IFERROR(__xludf.DUMMYFUNCTION("GOOGLETRANSLATE(English!H4595, ""en"", ""bg"")"),"заявка_за_знание")</f>
        <v>заявка_за_знание</v>
      </c>
    </row>
    <row r="4596" spans="1:8" ht="13.2" x14ac:dyDescent="0.25">
      <c r="A4596" s="1" t="str">
        <f ca="1">IFERROR(__xludf.DUMMYFUNCTION("GOOGLETRANSLATE(English!A4596, ""en"", ""bg"")"),"hw_09525")</f>
        <v>hw_09525</v>
      </c>
      <c r="B4596" s="1" t="str">
        <f ca="1">IFERROR(__xludf.DUMMYFUNCTION("GOOGLETRANSLATE(English!B4596, ""en"", ""bg"")"),"химия")</f>
        <v>химия</v>
      </c>
      <c r="C4596" s="1" t="str">
        <f ca="1">IFERROR(__xludf.DUMMYFUNCTION("GOOGLETRANSLATE(English!C4596, ""en"", ""bg"")"),"средата")</f>
        <v>средата</v>
      </c>
      <c r="D4596" s="1" t="str">
        <f ca="1">IFERROR(__xludf.DUMMYFUNCTION("GOOGLETRANSLATE(English!D4596, ""en"", ""bg"")"),"киселини и основи")</f>
        <v>киселини и основи</v>
      </c>
      <c r="E4596" s="1" t="str">
        <f ca="1">IFERROR(__xludf.DUMMYFUNCTION("GOOGLETRANSLATE(English!E4596,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4596" s="1" t="str">
        <f ca="1">IFERROR(__xludf.DUMMYFUNCTION("GOOGLETRANSLATE(English!F4596,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596" s="1" t="str">
        <f ca="1">IFERROR(__xludf.DUMMYFUNCTION("GOOGLETRANSLATE(English!G4596, ""en"", ""bg"")"),"помощ_за_домашно_изпълнение")</f>
        <v>помощ_за_домашно_изпълнение</v>
      </c>
      <c r="H4596" s="1" t="str">
        <f ca="1">IFERROR(__xludf.DUMMYFUNCTION("GOOGLETRANSLATE(English!H4596, ""en"", ""bg"")"),"помощ_за_домашно_задаване")</f>
        <v>помощ_за_домашно_задаване</v>
      </c>
    </row>
    <row r="4597" spans="1:8" ht="13.2" x14ac:dyDescent="0.25">
      <c r="A4597" s="1" t="str">
        <f ca="1">IFERROR(__xludf.DUMMYFUNCTION("GOOGLETRANSLATE(English!A4597, ""en"", ""bg"")"),"qa_05428")</f>
        <v>qa_05428</v>
      </c>
      <c r="B4597" s="1" t="str">
        <f ca="1">IFERROR(__xludf.DUMMYFUNCTION("GOOGLETRANSLATE(English!B4597, ""en"", ""bg"")"),"биология")</f>
        <v>биология</v>
      </c>
      <c r="C4597" s="1" t="str">
        <f ca="1">IFERROR(__xludf.DUMMYFUNCTION("GOOGLETRANSLATE(English!C4597, ""en"", ""bg"")"),"елементарен")</f>
        <v>елементарен</v>
      </c>
      <c r="D4597" s="1" t="str">
        <f ca="1">IFERROR(__xludf.DUMMYFUNCTION("GOOGLETRANSLATE(English!D4597, ""en"", ""bg"")"),"основни нужди")</f>
        <v>основни нужди</v>
      </c>
      <c r="E4597" s="1" t="str">
        <f ca="1">IFERROR(__xludf.DUMMYFUNCTION("GOOGLETRANSLATE(English!E4597, ""en"", ""bg"")"),"Как функционират основните потребности?")</f>
        <v>Как функционират основните потребности?</v>
      </c>
      <c r="F4597" s="1" t="str">
        <f ca="1">IFERROR(__xludf.DUMMYFUNCTION("GOOGLETRANSLATE(English!F4597, ""en"", ""bg"")"),"Основните потребности се задоволяват чрез естествени процеси, които учените изучават в продължение на много години.")</f>
        <v>Основните потребности се задоволяват чрез естествени процеси, които учените изучават в продължение на много години.</v>
      </c>
      <c r="G4597" s="1" t="str">
        <f ca="1">IFERROR(__xludf.DUMMYFUNCTION("GOOGLETRANSLATE(English!G4597, ""en"", ""bg"")"),"direct_qa")</f>
        <v>direct_qa</v>
      </c>
      <c r="H4597" s="1" t="str">
        <f ca="1">IFERROR(__xludf.DUMMYFUNCTION("GOOGLETRANSLATE(English!H4597, ""en"", ""bg"")"),"заявка_за_знание")</f>
        <v>заявка_за_знание</v>
      </c>
    </row>
    <row r="4598" spans="1:8" ht="13.2" x14ac:dyDescent="0.25">
      <c r="A4598" s="1" t="str">
        <f ca="1">IFERROR(__xludf.DUMMYFUNCTION("GOOGLETRANSLATE(English!A4598, ""en"", ""bg"")"),"qa_04281")</f>
        <v>qa_04281</v>
      </c>
      <c r="B4598" s="1" t="str">
        <f ca="1">IFERROR(__xludf.DUMMYFUNCTION("GOOGLETRANSLATE(English!B4598, ""en"", ""bg"")"),"химия")</f>
        <v>химия</v>
      </c>
      <c r="C4598" s="1" t="str">
        <f ca="1">IFERROR(__xludf.DUMMYFUNCTION("GOOGLETRANSLATE(English!C4598, ""en"", ""bg"")"),"средата")</f>
        <v>средата</v>
      </c>
      <c r="D4598" s="1" t="str">
        <f ca="1">IFERROR(__xludf.DUMMYFUNCTION("GOOGLETRANSLATE(English!D4598, ""en"", ""bg"")"),"съединения срещу елементи")</f>
        <v>съединения срещу елементи</v>
      </c>
      <c r="E4598" s="1" t="str">
        <f ca="1">IFERROR(__xludf.DUMMYFUNCTION("GOOGLETRANSLATE(English!E4598, ""en"", ""bg"")"),"Защо е важно да се изучават съединенията спрямо елементите?")</f>
        <v>Защо е важно да се изучават съединенията спрямо елементите?</v>
      </c>
      <c r="F4598" s="1" t="str">
        <f ca="1">IFERROR(__xludf.DUMMYFUNCTION("GOOGLETRANSLATE(English!F4598,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4598" s="1" t="str">
        <f ca="1">IFERROR(__xludf.DUMMYFUNCTION("GOOGLETRANSLATE(English!G4598, ""en"", ""bg"")"),"direct_qa")</f>
        <v>direct_qa</v>
      </c>
      <c r="H4598" s="1" t="str">
        <f ca="1">IFERROR(__xludf.DUMMYFUNCTION("GOOGLETRANSLATE(English!H4598, ""en"", ""bg"")"),"заявка_за_знание")</f>
        <v>заявка_за_знание</v>
      </c>
    </row>
    <row r="4599" spans="1:8" ht="13.2" x14ac:dyDescent="0.25">
      <c r="A4599" s="1" t="str">
        <f ca="1">IFERROR(__xludf.DUMMYFUNCTION("GOOGLETRANSLATE(English!A4599, ""en"", ""bg"")"),"hw_10271")</f>
        <v>hw_10271</v>
      </c>
      <c r="B4599" s="1" t="str">
        <f ca="1">IFERROR(__xludf.DUMMYFUNCTION("GOOGLETRANSLATE(English!B4599, ""en"", ""bg"")"),"химия")</f>
        <v>химия</v>
      </c>
      <c r="C4599" s="1" t="str">
        <f ca="1">IFERROR(__xludf.DUMMYFUNCTION("GOOGLETRANSLATE(English!C4599, ""en"", ""bg"")"),"средата")</f>
        <v>средата</v>
      </c>
      <c r="D4599" s="1" t="str">
        <f ca="1">IFERROR(__xludf.DUMMYFUNCTION("GOOGLETRANSLATE(English!D4599, ""en"", ""bg"")"),"съединения срещу елементи")</f>
        <v>съединения срещу елементи</v>
      </c>
      <c r="E4599" s="1" t="str">
        <f ca="1">IFERROR(__xludf.DUMMYFUNCTION("GOOGLETRANSLATE(English!E4599, ""en"", ""bg"")"),"Можете ли да ми помогнете с изчисленията на съединенията спрямо елементите?")</f>
        <v>Можете ли да ми помогнете с изчисленията на съединенията спрямо елементите?</v>
      </c>
      <c r="F4599" s="1" t="str">
        <f ca="1">IFERROR(__xludf.DUMMYFUNCTION("GOOGLETRANSLATE(English!F4599,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4599" s="1" t="str">
        <f ca="1">IFERROR(__xludf.DUMMYFUNCTION("GOOGLETRANSLATE(English!G4599, ""en"", ""bg"")"),"помощ_за_домашно_изпълнение")</f>
        <v>помощ_за_домашно_изпълнение</v>
      </c>
      <c r="H4599" s="1" t="str">
        <f ca="1">IFERROR(__xludf.DUMMYFUNCTION("GOOGLETRANSLATE(English!H4599, ""en"", ""bg"")"),"помощ_за_домашно_задаване")</f>
        <v>помощ_за_домашно_задаване</v>
      </c>
    </row>
    <row r="4600" spans="1:8" ht="13.2" x14ac:dyDescent="0.25">
      <c r="A4600" s="1" t="str">
        <f ca="1">IFERROR(__xludf.DUMMYFUNCTION("GOOGLETRANSLATE(English!A4600, ""en"", ""bg"")"),"conv_05960")</f>
        <v>conv_05960</v>
      </c>
      <c r="B4600" s="1" t="str">
        <f ca="1">IFERROR(__xludf.DUMMYFUNCTION("GOOGLETRANSLATE(English!B4600, ""en"", ""bg"")"),"химия")</f>
        <v>химия</v>
      </c>
      <c r="C4600" s="1" t="str">
        <f ca="1">IFERROR(__xludf.DUMMYFUNCTION("GOOGLETRANSLATE(English!C4600, ""en"", ""bg"")"),"средата")</f>
        <v>средата</v>
      </c>
      <c r="D4600" s="1" t="str">
        <f ca="1">IFERROR(__xludf.DUMMYFUNCTION("GOOGLETRANSLATE(English!D4600, ""en"", ""bg"")"),"атоми и молекули")</f>
        <v>атоми и молекули</v>
      </c>
      <c r="E4600" s="1" t="str">
        <f ca="1">IFERROR(__xludf.DUMMYFUNCTION("GOOGLETRANSLATE(English!E4600, ""en"", ""bg"")"),"Не разбирам тази тема. Какво е атом?")</f>
        <v>Не разбирам тази тема. Какво е атом?</v>
      </c>
      <c r="F4600" s="1" t="str">
        <f ca="1">IFERROR(__xludf.DUMMYFUNCTION("GOOGLETRANSLATE(English!F4600,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4600" s="1" t="str">
        <f ca="1">IFERROR(__xludf.DUMMYFUNCTION("GOOGLETRANSLATE(English!G4600, ""en"", ""bg"")"),"разговор")</f>
        <v>разговор</v>
      </c>
      <c r="H4600" s="1" t="str">
        <f ca="1">IFERROR(__xludf.DUMMYFUNCTION("GOOGLETRANSLATE(English!H4600, ""en"", ""bg"")"),"образователна_помощ")</f>
        <v>образователна_помощ</v>
      </c>
    </row>
    <row r="4601" spans="1:8" ht="13.2" x14ac:dyDescent="0.25">
      <c r="A4601" s="1" t="str">
        <f ca="1">IFERROR(__xludf.DUMMYFUNCTION("GOOGLETRANSLATE(English!A4601, ""en"", ""bg"")"),"qa_07885")</f>
        <v>qa_07885</v>
      </c>
      <c r="B4601" s="1" t="str">
        <f ca="1">IFERROR(__xludf.DUMMYFUNCTION("GOOGLETRANSLATE(English!B4601, ""en"", ""bg"")"),"физика")</f>
        <v>физика</v>
      </c>
      <c r="C4601" s="1" t="str">
        <f ca="1">IFERROR(__xludf.DUMMYFUNCTION("GOOGLETRANSLATE(English!C4601, ""en"", ""bg"")"),"средата")</f>
        <v>средата</v>
      </c>
      <c r="D4601" s="1" t="str">
        <f ca="1">IFERROR(__xludf.DUMMYFUNCTION("GOOGLETRANSLATE(English!D4601, ""en"", ""bg"")"),"основи на електричеството")</f>
        <v>основи на електричеството</v>
      </c>
      <c r="E4601" s="1" t="str">
        <f ca="1">IFERROR(__xludf.DUMMYFUNCTION("GOOGLETRANSLATE(English!E4601, ""en"", ""bg"")"),"Защо основите на електричеството са важни?")</f>
        <v>Защо основите на електричеството са важни?</v>
      </c>
      <c r="F4601" s="1" t="str">
        <f ca="1">IFERROR(__xludf.DUMMYFUNCTION("GOOGLETRANSLATE(English!F4601, ""en"", ""bg"")"),"Основите на електричеството са важни, защото ни помагат да разберем физическия свят около нас.")</f>
        <v>Основите на електричеството са важни, защото ни помагат да разберем физическия свят около нас.</v>
      </c>
      <c r="G4601" s="1" t="str">
        <f ca="1">IFERROR(__xludf.DUMMYFUNCTION("GOOGLETRANSLATE(English!G4601, ""en"", ""bg"")"),"direct_qa")</f>
        <v>direct_qa</v>
      </c>
      <c r="H4601" s="1" t="str">
        <f ca="1">IFERROR(__xludf.DUMMYFUNCTION("GOOGLETRANSLATE(English!H4601, ""en"", ""bg"")"),"заявка_за_знание")</f>
        <v>заявка_за_знание</v>
      </c>
    </row>
    <row r="4602" spans="1:8" ht="13.2" x14ac:dyDescent="0.25">
      <c r="A4602" s="1" t="str">
        <f ca="1">IFERROR(__xludf.DUMMYFUNCTION("GOOGLETRANSLATE(English!A4602, ""en"", ""bg"")"),"conv_02026")</f>
        <v>conv_02026</v>
      </c>
      <c r="B4602" s="1" t="str">
        <f ca="1">IFERROR(__xludf.DUMMYFUNCTION("GOOGLETRANSLATE(English!B4602, ""en"", ""bg"")"),"физика")</f>
        <v>физика</v>
      </c>
      <c r="C4602" s="1" t="str">
        <f ca="1">IFERROR(__xludf.DUMMYFUNCTION("GOOGLETRANSLATE(English!C4602, ""en"", ""bg"")"),"високо")</f>
        <v>високо</v>
      </c>
      <c r="D4602" s="1" t="str">
        <f ca="1">IFERROR(__xludf.DUMMYFUNCTION("GOOGLETRANSLATE(English!D4602, ""en"", ""bg"")"),"радиоактивност")</f>
        <v>радиоактивност</v>
      </c>
      <c r="E4602" s="1" t="str">
        <f ca="1">IFERROR(__xludf.DUMMYFUNCTION("GOOGLETRANSLATE(English!E4602, ""en"", ""bg"")"),"Можете ли да ми помогнете? Защо радиоактивността е важна?")</f>
        <v>Можете ли да ми помогнете? Защо радиоактивността е важна?</v>
      </c>
      <c r="F4602" s="1" t="str">
        <f ca="1">IFERROR(__xludf.DUMMYFUNCTION("GOOGLETRANSLATE(English!F4602,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4602" s="1" t="str">
        <f ca="1">IFERROR(__xludf.DUMMYFUNCTION("GOOGLETRANSLATE(English!G4602, ""en"", ""bg"")"),"разговор")</f>
        <v>разговор</v>
      </c>
      <c r="H4602" s="1" t="str">
        <f ca="1">IFERROR(__xludf.DUMMYFUNCTION("GOOGLETRANSLATE(English!H4602, ""en"", ""bg"")"),"образователна_помощ")</f>
        <v>образователна_помощ</v>
      </c>
    </row>
    <row r="4603" spans="1:8" ht="13.2" x14ac:dyDescent="0.25">
      <c r="A4603" s="1" t="str">
        <f ca="1">IFERROR(__xludf.DUMMYFUNCTION("GOOGLETRANSLATE(English!A4603, ""en"", ""bg"")"),"hw_03130")</f>
        <v>hw_03130</v>
      </c>
      <c r="B4603" s="1" t="str">
        <f ca="1">IFERROR(__xludf.DUMMYFUNCTION("GOOGLETRANSLATE(English!B4603, ""en"", ""bg"")"),"химия")</f>
        <v>химия</v>
      </c>
      <c r="C4603" s="1" t="str">
        <f ca="1">IFERROR(__xludf.DUMMYFUNCTION("GOOGLETRANSLATE(English!C4603, ""en"", ""bg"")"),"средата")</f>
        <v>средата</v>
      </c>
      <c r="D4603" s="1" t="str">
        <f ca="1">IFERROR(__xludf.DUMMYFUNCTION("GOOGLETRANSLATE(English!D4603, ""en"", ""bg"")"),"съединения срещу елементи")</f>
        <v>съединения срещу елементи</v>
      </c>
      <c r="E4603" s="1" t="str">
        <f ca="1">IFERROR(__xludf.DUMMYFUNCTION("GOOGLETRANSLATE(English!E4603, ""en"", ""bg"")"),"Можете ли да ми помогнете с изчисленията на съединенията спрямо елементите?")</f>
        <v>Можете ли да ми помогнете с изчисленията на съединенията спрямо елементите?</v>
      </c>
      <c r="F4603" s="1" t="str">
        <f ca="1">IFERROR(__xludf.DUMMYFUNCTION("GOOGLETRANSLATE(English!F4603,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4603" s="1" t="str">
        <f ca="1">IFERROR(__xludf.DUMMYFUNCTION("GOOGLETRANSLATE(English!G4603, ""en"", ""bg"")"),"помощ_за_домашно_изпълнение")</f>
        <v>помощ_за_домашно_изпълнение</v>
      </c>
      <c r="H4603" s="1" t="str">
        <f ca="1">IFERROR(__xludf.DUMMYFUNCTION("GOOGLETRANSLATE(English!H4603, ""en"", ""bg"")"),"помощ_за_домашно_задаване")</f>
        <v>помощ_за_домашно_задаване</v>
      </c>
    </row>
    <row r="4604" spans="1:8" ht="13.2" x14ac:dyDescent="0.25">
      <c r="A4604" s="1" t="str">
        <f ca="1">IFERROR(__xludf.DUMMYFUNCTION("GOOGLETRANSLATE(English!A4604, ""en"", ""bg"")"),"hw_02313")</f>
        <v>hw_02313</v>
      </c>
      <c r="B4604" s="1" t="str">
        <f ca="1">IFERROR(__xludf.DUMMYFUNCTION("GOOGLETRANSLATE(English!B4604, ""en"", ""bg"")"),"физика")</f>
        <v>физика</v>
      </c>
      <c r="C4604" s="1" t="str">
        <f ca="1">IFERROR(__xludf.DUMMYFUNCTION("GOOGLETRANSLATE(English!C4604, ""en"", ""bg"")"),"средата")</f>
        <v>средата</v>
      </c>
      <c r="D4604" s="1" t="str">
        <f ca="1">IFERROR(__xludf.DUMMYFUNCTION("GOOGLETRANSLATE(English!D4604, ""en"", ""bg"")"),"плътност")</f>
        <v>плътност</v>
      </c>
      <c r="E4604" s="1" t="str">
        <f ca="1">IFERROR(__xludf.DUMMYFUNCTION("GOOGLETRANSLATE(English!E4604, ""en"", ""bg"")"),"Трябва да разбера плътността за изпита си.")</f>
        <v>Трябва да разбера плътността за изпита си.</v>
      </c>
      <c r="F4604" s="1" t="str">
        <f ca="1">IFERROR(__xludf.DUMMYFUNCTION("GOOGLETRANSLATE(English!F4604,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4604" s="1" t="str">
        <f ca="1">IFERROR(__xludf.DUMMYFUNCTION("GOOGLETRANSLATE(English!G4604, ""en"", ""bg"")"),"помощ_за_домашно_изпълнение")</f>
        <v>помощ_за_домашно_изпълнение</v>
      </c>
      <c r="H4604" s="1" t="str">
        <f ca="1">IFERROR(__xludf.DUMMYFUNCTION("GOOGLETRANSLATE(English!H4604, ""en"", ""bg"")"),"помощ_за_домашно_задаване")</f>
        <v>помощ_за_домашно_задаване</v>
      </c>
    </row>
    <row r="4605" spans="1:8" ht="13.2" x14ac:dyDescent="0.25">
      <c r="A4605" s="1" t="str">
        <f ca="1">IFERROR(__xludf.DUMMYFUNCTION("GOOGLETRANSLATE(English!A4605, ""en"", ""bg"")"),"hw_14261")</f>
        <v>hw_14261</v>
      </c>
      <c r="B4605" s="1" t="str">
        <f ca="1">IFERROR(__xludf.DUMMYFUNCTION("GOOGLETRANSLATE(English!B4605, ""en"", ""bg"")"),"химия")</f>
        <v>химия</v>
      </c>
      <c r="C4605" s="1" t="str">
        <f ca="1">IFERROR(__xludf.DUMMYFUNCTION("GOOGLETRANSLATE(English!C4605, ""en"", ""bg"")"),"елементарен")</f>
        <v>елементарен</v>
      </c>
      <c r="D4605" s="1" t="str">
        <f ca="1">IFERROR(__xludf.DUMMYFUNCTION("GOOGLETRANSLATE(English!D4605, ""en"", ""bg"")"),"разтваряне")</f>
        <v>разтваряне</v>
      </c>
      <c r="E4605" s="1" t="str">
        <f ca="1">IFERROR(__xludf.DUMMYFUNCTION("GOOGLETRANSLATE(English!E4605, ""en"", ""bg"")"),"Докладът ми по химия е за разтваряне. Помогнете ми да разбера.")</f>
        <v>Докладът ми по химия е за разтваряне. Помогнете ми да разбера.</v>
      </c>
      <c r="F4605" s="1" t="str">
        <f ca="1">IFERROR(__xludf.DUMMYFUNCTION("GOOGLETRANSLATE(English!F4605, ""en"", ""bg"")"),"Ще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разтварянето! Нека разделя това на прости стъпки. Първо, нека обясня какво означава разтваряне и защо е важно в химията. След това можем да разгледаме заедно някои примери. С коя конкретна част бихте искали да започнете?</v>
      </c>
      <c r="G4605" s="1" t="str">
        <f ca="1">IFERROR(__xludf.DUMMYFUNCTION("GOOGLETRANSLATE(English!G4605, ""en"", ""bg"")"),"помощ_за_домашно_изпълнение")</f>
        <v>помощ_за_домашно_изпълнение</v>
      </c>
      <c r="H4605" s="1" t="str">
        <f ca="1">IFERROR(__xludf.DUMMYFUNCTION("GOOGLETRANSLATE(English!H4605, ""en"", ""bg"")"),"помощ_за_домашно_задаване")</f>
        <v>помощ_за_домашно_задаване</v>
      </c>
    </row>
    <row r="4606" spans="1:8" ht="13.2" x14ac:dyDescent="0.25">
      <c r="A4606" s="1" t="str">
        <f ca="1">IFERROR(__xludf.DUMMYFUNCTION("GOOGLETRANSLATE(English!A4606, ""en"", ""bg"")"),"conv_16888")</f>
        <v>conv_16888</v>
      </c>
      <c r="B4606" s="1" t="str">
        <f ca="1">IFERROR(__xludf.DUMMYFUNCTION("GOOGLETRANSLATE(English!B4606, ""en"", ""bg"")"),"химия")</f>
        <v>химия</v>
      </c>
      <c r="C4606" s="1" t="str">
        <f ca="1">IFERROR(__xludf.DUMMYFUNCTION("GOOGLETRANSLATE(English!C4606, ""en"", ""bg"")"),"високо")</f>
        <v>високо</v>
      </c>
      <c r="D4606" s="1" t="str">
        <f ca="1">IFERROR(__xludf.DUMMYFUNCTION("GOOGLETRANSLATE(English!D4606, ""en"", ""bg"")"),"химическо свързване")</f>
        <v>химическо свързване</v>
      </c>
      <c r="E4606" s="1" t="str">
        <f ca="1">IFERROR(__xludf.DUMMYFUNCTION("GOOGLETRANSLATE(English!E4606, ""en"", ""bg"")"),"Можете ли да ми обясните това? Как работи химическата връзка в химията?")</f>
        <v>Можете ли да ми обясните това? Как работи химическата връзка в химията?</v>
      </c>
      <c r="F4606" s="1" t="str">
        <f ca="1">IFERROR(__xludf.DUMMYFUNCTION("GOOGLETRANSLATE(English!F4606,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4606" s="1" t="str">
        <f ca="1">IFERROR(__xludf.DUMMYFUNCTION("GOOGLETRANSLATE(English!G4606, ""en"", ""bg"")"),"разговор")</f>
        <v>разговор</v>
      </c>
      <c r="H4606" s="1" t="str">
        <f ca="1">IFERROR(__xludf.DUMMYFUNCTION("GOOGLETRANSLATE(English!H4606, ""en"", ""bg"")"),"образователна_помощ")</f>
        <v>образователна_помощ</v>
      </c>
    </row>
    <row r="4607" spans="1:8" ht="13.2" x14ac:dyDescent="0.25">
      <c r="A4607" s="1" t="str">
        <f ca="1">IFERROR(__xludf.DUMMYFUNCTION("GOOGLETRANSLATE(English!A4607, ""en"", ""bg"")"),"qa_11170")</f>
        <v>qa_11170</v>
      </c>
      <c r="B4607" s="1" t="str">
        <f ca="1">IFERROR(__xludf.DUMMYFUNCTION("GOOGLETRANSLATE(English!B4607, ""en"", ""bg"")"),"физика")</f>
        <v>физика</v>
      </c>
      <c r="C4607" s="1" t="str">
        <f ca="1">IFERROR(__xludf.DUMMYFUNCTION("GOOGLETRANSLATE(English!C4607, ""en"", ""bg"")"),"средата")</f>
        <v>средата</v>
      </c>
      <c r="D4607" s="1" t="str">
        <f ca="1">IFERROR(__xludf.DUMMYFUNCTION("GOOGLETRANSLATE(English!D4607, ""en"", ""bg"")"),"вълни")</f>
        <v>вълни</v>
      </c>
      <c r="E4607" s="1" t="str">
        <f ca="1">IFERROR(__xludf.DUMMYFUNCTION("GOOGLETRANSLATE(English!E4607, ""en"", ""bg"")"),"Можете ли да ми обясните какво представляват вълните?")</f>
        <v>Можете ли да ми обясните какво представляват вълните?</v>
      </c>
      <c r="F4607" s="1" t="str">
        <f ca="1">IFERROR(__xludf.DUMMYFUNCTION("GOOGLETRANSLATE(English!F4607, ""en"", ""bg"")"),"Вълните са интересна физическа концепция, която ни помага да разберем как работят нещата в нашия свят!")</f>
        <v>Вълните са интересна физическа концепция, която ни помага да разберем как работят нещата в нашия свят!</v>
      </c>
      <c r="G4607" s="1" t="str">
        <f ca="1">IFERROR(__xludf.DUMMYFUNCTION("GOOGLETRANSLATE(English!G4607, ""en"", ""bg"")"),"direct_qa")</f>
        <v>direct_qa</v>
      </c>
      <c r="H4607" s="1" t="str">
        <f ca="1">IFERROR(__xludf.DUMMYFUNCTION("GOOGLETRANSLATE(English!H4607, ""en"", ""bg"")"),"заявка_за_знание")</f>
        <v>заявка_за_знание</v>
      </c>
    </row>
    <row r="4608" spans="1:8" ht="13.2" x14ac:dyDescent="0.25">
      <c r="A4608" s="1" t="str">
        <f ca="1">IFERROR(__xludf.DUMMYFUNCTION("GOOGLETRANSLATE(English!A4608, ""en"", ""bg"")"),"conv_12387")</f>
        <v>conv_12387</v>
      </c>
      <c r="B4608" s="1" t="str">
        <f ca="1">IFERROR(__xludf.DUMMYFUNCTION("GOOGLETRANSLATE(English!B4608, ""en"", ""bg"")"),"химия")</f>
        <v>химия</v>
      </c>
      <c r="C4608" s="1" t="str">
        <f ca="1">IFERROR(__xludf.DUMMYFUNCTION("GOOGLETRANSLATE(English!C4608, ""en"", ""bg"")"),"елементарен")</f>
        <v>елементарен</v>
      </c>
      <c r="D4608" s="1" t="str">
        <f ca="1">IFERROR(__xludf.DUMMYFUNCTION("GOOGLETRANSLATE(English!D4608, ""en"", ""bg"")"),"ежедневни химикали")</f>
        <v>ежедневни химикали</v>
      </c>
      <c r="E4608" s="1" t="str">
        <f ca="1">IFERROR(__xludf.DUMMYFUNCTION("GOOGLETRANSLATE(English!E4608, ""en"", ""bg"")"),"Можете ли да ми помогнете? Защо е важно да се изучават ежедневните химикали?")</f>
        <v>Можете ли да ми помогнете? Защо е важно да се изучават ежедневните химикали?</v>
      </c>
      <c r="F4608" s="1" t="str">
        <f ca="1">IFERROR(__xludf.DUMMYFUNCTION("GOOGLETRANSLATE(English!F4608,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4608" s="1" t="str">
        <f ca="1">IFERROR(__xludf.DUMMYFUNCTION("GOOGLETRANSLATE(English!G4608, ""en"", ""bg"")"),"разговор")</f>
        <v>разговор</v>
      </c>
      <c r="H4608" s="1" t="str">
        <f ca="1">IFERROR(__xludf.DUMMYFUNCTION("GOOGLETRANSLATE(English!H4608, ""en"", ""bg"")"),"образователна_помощ")</f>
        <v>образователна_помощ</v>
      </c>
    </row>
    <row r="4609" spans="1:8" ht="13.2" x14ac:dyDescent="0.25">
      <c r="A4609" s="1" t="str">
        <f ca="1">IFERROR(__xludf.DUMMYFUNCTION("GOOGLETRANSLATE(English!A4609, ""en"", ""bg"")"),"hw_00782")</f>
        <v>hw_00782</v>
      </c>
      <c r="B4609" s="1" t="str">
        <f ca="1">IFERROR(__xludf.DUMMYFUNCTION("GOOGLETRANSLATE(English!B4609, ""en"", ""bg"")"),"химия")</f>
        <v>химия</v>
      </c>
      <c r="C4609" s="1" t="str">
        <f ca="1">IFERROR(__xludf.DUMMYFUNCTION("GOOGLETRANSLATE(English!C4609, ""en"", ""bg"")"),"средата")</f>
        <v>средата</v>
      </c>
      <c r="D4609" s="1" t="str">
        <f ca="1">IFERROR(__xludf.DUMMYFUNCTION("GOOGLETRANSLATE(English!D4609, ""en"", ""bg"")"),"съединения срещу елементи")</f>
        <v>съединения срещу елементи</v>
      </c>
      <c r="E4609" s="1" t="str">
        <f ca="1">IFERROR(__xludf.DUMMYFUNCTION("GOOGLETRANSLATE(English!E4609, ""en"", ""bg"")"),"Затруднявам се със сравнението на съединенията и елементите в домашното си.")</f>
        <v>Затруднявам се със сравнението на съединенията и елементите в домашното си.</v>
      </c>
      <c r="F4609" s="1" t="str">
        <f ca="1">IFERROR(__xludf.DUMMYFUNCTION("GOOGLETRANSLATE(English!F4609,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4609" s="1" t="str">
        <f ca="1">IFERROR(__xludf.DUMMYFUNCTION("GOOGLETRANSLATE(English!G4609, ""en"", ""bg"")"),"помощ_за_домашно_изпълнение")</f>
        <v>помощ_за_домашно_изпълнение</v>
      </c>
      <c r="H4609" s="1" t="str">
        <f ca="1">IFERROR(__xludf.DUMMYFUNCTION("GOOGLETRANSLATE(English!H4609, ""en"", ""bg"")"),"помощ_за_домашно_задаване")</f>
        <v>помощ_за_домашно_задаване</v>
      </c>
    </row>
    <row r="4610" spans="1:8" ht="13.2" x14ac:dyDescent="0.25">
      <c r="A4610" s="1" t="str">
        <f ca="1">IFERROR(__xludf.DUMMYFUNCTION("GOOGLETRANSLATE(English!A4610, ""en"", ""bg"")"),"conv_06569")</f>
        <v>conv_06569</v>
      </c>
      <c r="B4610" s="1" t="str">
        <f ca="1">IFERROR(__xludf.DUMMYFUNCTION("GOOGLETRANSLATE(English!B4610, ""en"", ""bg"")"),"химия")</f>
        <v>химия</v>
      </c>
      <c r="C4610" s="1" t="str">
        <f ca="1">IFERROR(__xludf.DUMMYFUNCTION("GOOGLETRANSLATE(English!C4610, ""en"", ""bg"")"),"средата")</f>
        <v>средата</v>
      </c>
      <c r="D4610" s="1" t="str">
        <f ca="1">IFERROR(__xludf.DUMMYFUNCTION("GOOGLETRANSLATE(English!D4610, ""en"", ""bg"")"),"съединения срещу елементи")</f>
        <v>съединения срещу елементи</v>
      </c>
      <c r="E4610" s="1" t="str">
        <f ca="1">IFERROR(__xludf.DUMMYFUNCTION("GOOGLETRANSLATE(English!E4610, ""en"", ""bg"")"),"Здравей, преподавателю! Какво представляват съединенията спрямо елементите?")</f>
        <v>Здравей, преподавателю! Какво представляват съединенията спрямо елементите?</v>
      </c>
      <c r="F4610" s="1" t="str">
        <f ca="1">IFERROR(__xludf.DUMMYFUNCTION("GOOGLETRANSLATE(English!F4610,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4610" s="1" t="str">
        <f ca="1">IFERROR(__xludf.DUMMYFUNCTION("GOOGLETRANSLATE(English!G4610, ""en"", ""bg"")"),"разговор")</f>
        <v>разговор</v>
      </c>
      <c r="H4610" s="1" t="str">
        <f ca="1">IFERROR(__xludf.DUMMYFUNCTION("GOOGLETRANSLATE(English!H4610, ""en"", ""bg"")"),"образователна_помощ")</f>
        <v>образователна_помощ</v>
      </c>
    </row>
    <row r="4611" spans="1:8" ht="13.2" x14ac:dyDescent="0.25">
      <c r="A4611" s="1" t="str">
        <f ca="1">IFERROR(__xludf.DUMMYFUNCTION("GOOGLETRANSLATE(English!A4611, ""en"", ""bg"")"),"conv_18054")</f>
        <v>conv_18054</v>
      </c>
      <c r="B4611" s="1" t="str">
        <f ca="1">IFERROR(__xludf.DUMMYFUNCTION("GOOGLETRANSLATE(English!B4611, ""en"", ""bg"")"),"химия")</f>
        <v>химия</v>
      </c>
      <c r="C4611" s="1" t="str">
        <f ca="1">IFERROR(__xludf.DUMMYFUNCTION("GOOGLETRANSLATE(English!C4611, ""en"", ""bg"")"),"средата")</f>
        <v>средата</v>
      </c>
      <c r="D4611" s="1" t="str">
        <f ca="1">IFERROR(__xludf.DUMMYFUNCTION("GOOGLETRANSLATE(English!D4611, ""en"", ""bg"")"),"химични реакции")</f>
        <v>химични реакции</v>
      </c>
      <c r="E4611" s="1" t="str">
        <f ca="1">IFERROR(__xludf.DUMMYFUNCTION("GOOGLETRANSLATE(English!E4611, ""en"", ""bg"")"),"Можете ли да ми помогнете? Могат ли химичните реакции да бъдат обратими?")</f>
        <v>Можете ли да ми помогнете? Могат ли химичните реакции да бъдат обратими?</v>
      </c>
      <c r="F4611" s="1" t="str">
        <f ca="1">IFERROR(__xludf.DUMMYFUNCTION("GOOGLETRANSLATE(English!F4611,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4611" s="1" t="str">
        <f ca="1">IFERROR(__xludf.DUMMYFUNCTION("GOOGLETRANSLATE(English!G4611, ""en"", ""bg"")"),"разговор")</f>
        <v>разговор</v>
      </c>
      <c r="H4611" s="1" t="str">
        <f ca="1">IFERROR(__xludf.DUMMYFUNCTION("GOOGLETRANSLATE(English!H4611, ""en"", ""bg"")"),"образователна_помощ")</f>
        <v>образователна_помощ</v>
      </c>
    </row>
    <row r="4612" spans="1:8" ht="13.2" x14ac:dyDescent="0.25">
      <c r="A4612" s="1" t="str">
        <f ca="1">IFERROR(__xludf.DUMMYFUNCTION("GOOGLETRANSLATE(English!A4612, ""en"", ""bg"")"),"conv_13229")</f>
        <v>conv_13229</v>
      </c>
      <c r="B4612" s="1" t="str">
        <f ca="1">IFERROR(__xludf.DUMMYFUNCTION("GOOGLETRANSLATE(English!B4612, ""en"", ""bg"")"),"биология")</f>
        <v>биология</v>
      </c>
      <c r="C4612" s="1" t="str">
        <f ca="1">IFERROR(__xludf.DUMMYFUNCTION("GOOGLETRANSLATE(English!C4612, ""en"", ""bg"")"),"високо")</f>
        <v>високо</v>
      </c>
      <c r="D4612" s="1" t="str">
        <f ca="1">IFERROR(__xludf.DUMMYFUNCTION("GOOGLETRANSLATE(English!D4612, ""en"", ""bg"")"),"митоза и мейоза")</f>
        <v>митоза и мейоза</v>
      </c>
      <c r="E4612" s="1" t="str">
        <f ca="1">IFERROR(__xludf.DUMMYFUNCTION("GOOGLETRANSLATE(English!E4612, ""en"", ""bg"")"),"Здравей, преподавателю! Какво е важно да знаеш за митозата и мейозата?")</f>
        <v>Здравей, преподавателю! Какво е важно да знаеш за митозата и мейозата?</v>
      </c>
      <c r="F4612" s="1" t="str">
        <f ca="1">IFERROR(__xludf.DUMMYFUNCTION("GOOGLETRANSLATE(English!F4612,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4612" s="1" t="str">
        <f ca="1">IFERROR(__xludf.DUMMYFUNCTION("GOOGLETRANSLATE(English!G4612, ""en"", ""bg"")"),"разговор")</f>
        <v>разговор</v>
      </c>
      <c r="H4612" s="1" t="str">
        <f ca="1">IFERROR(__xludf.DUMMYFUNCTION("GOOGLETRANSLATE(English!H4612, ""en"", ""bg"")"),"образователна_помощ")</f>
        <v>образователна_помощ</v>
      </c>
    </row>
    <row r="4613" spans="1:8" ht="13.2" x14ac:dyDescent="0.25">
      <c r="A4613" s="1" t="str">
        <f ca="1">IFERROR(__xludf.DUMMYFUNCTION("GOOGLETRANSLATE(English!A4613, ""en"", ""bg"")"),"conv_10277")</f>
        <v>conv_10277</v>
      </c>
      <c r="B4613" s="1" t="str">
        <f ca="1">IFERROR(__xludf.DUMMYFUNCTION("GOOGLETRANSLATE(English!B4613, ""en"", ""bg"")"),"химия")</f>
        <v>химия</v>
      </c>
      <c r="C4613" s="1" t="str">
        <f ca="1">IFERROR(__xludf.DUMMYFUNCTION("GOOGLETRANSLATE(English!C4613, ""en"", ""bg"")"),"високо")</f>
        <v>високо</v>
      </c>
      <c r="D4613" s="1" t="str">
        <f ca="1">IFERROR(__xludf.DUMMYFUNCTION("GOOGLETRANSLATE(English!D4613, ""en"", ""bg"")"),"равновесие")</f>
        <v>равновесие</v>
      </c>
      <c r="E4613" s="1" t="str">
        <f ca="1">IFERROR(__xludf.DUMMYFUNCTION("GOOGLETRANSLATE(English!E4613, ""en"", ""bg"")"),"Имам научен въпрос. Защо е важно да се учи равновесие?")</f>
        <v>Имам научен въпрос. Защо е важно да се учи равновесие?</v>
      </c>
      <c r="F4613" s="1" t="str">
        <f ca="1">IFERROR(__xludf.DUMMYFUNCTION("GOOGLETRANSLATE(English!F4613,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613" s="1" t="str">
        <f ca="1">IFERROR(__xludf.DUMMYFUNCTION("GOOGLETRANSLATE(English!G4613, ""en"", ""bg"")"),"разговор")</f>
        <v>разговор</v>
      </c>
      <c r="H4613" s="1" t="str">
        <f ca="1">IFERROR(__xludf.DUMMYFUNCTION("GOOGLETRANSLATE(English!H4613, ""en"", ""bg"")"),"образователна_помощ")</f>
        <v>образователна_помощ</v>
      </c>
    </row>
    <row r="4614" spans="1:8" ht="13.2" x14ac:dyDescent="0.25">
      <c r="A4614" s="1" t="str">
        <f ca="1">IFERROR(__xludf.DUMMYFUNCTION("GOOGLETRANSLATE(English!A4614, ""en"", ""bg"")"),"qa_08953")</f>
        <v>qa_08953</v>
      </c>
      <c r="B4614" s="1" t="str">
        <f ca="1">IFERROR(__xludf.DUMMYFUNCTION("GOOGLETRANSLATE(English!B4614, ""en"", ""bg"")"),"химия")</f>
        <v>химия</v>
      </c>
      <c r="C4614" s="1" t="str">
        <f ca="1">IFERROR(__xludf.DUMMYFUNCTION("GOOGLETRANSLATE(English!C4614, ""en"", ""bg"")"),"елементарен")</f>
        <v>елементарен</v>
      </c>
      <c r="D4614" s="1" t="str">
        <f ca="1">IFERROR(__xludf.DUMMYFUNCTION("GOOGLETRANSLATE(English!D4614, ""en"", ""bg"")"),"безопасност")</f>
        <v>безопасност</v>
      </c>
      <c r="E4614" s="1" t="str">
        <f ca="1">IFERROR(__xludf.DUMMYFUNCTION("GOOGLETRANSLATE(English!E4614, ""en"", ""bg"")"),"Можете ли да ми помогнете да разбера безопасността?")</f>
        <v>Можете ли да ми помогнете да разбера безопасността?</v>
      </c>
      <c r="F4614" s="1" t="str">
        <f ca="1">IFERROR(__xludf.DUMMYFUNCTION("GOOGLETRANSLATE(English!F4614,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4614" s="1" t="str">
        <f ca="1">IFERROR(__xludf.DUMMYFUNCTION("GOOGLETRANSLATE(English!G4614, ""en"", ""bg"")"),"direct_qa")</f>
        <v>direct_qa</v>
      </c>
      <c r="H4614" s="1" t="str">
        <f ca="1">IFERROR(__xludf.DUMMYFUNCTION("GOOGLETRANSLATE(English!H4614, ""en"", ""bg"")"),"заявка_за_знание")</f>
        <v>заявка_за_знание</v>
      </c>
    </row>
    <row r="4615" spans="1:8" ht="13.2" x14ac:dyDescent="0.25">
      <c r="A4615" s="1" t="str">
        <f ca="1">IFERROR(__xludf.DUMMYFUNCTION("GOOGLETRANSLATE(English!A4615, ""en"", ""bg"")"),"qa_11243")</f>
        <v>qa_11243</v>
      </c>
      <c r="B4615" s="1" t="str">
        <f ca="1">IFERROR(__xludf.DUMMYFUNCTION("GOOGLETRANSLATE(English!B4615, ""en"", ""bg"")"),"химия")</f>
        <v>химия</v>
      </c>
      <c r="C4615" s="1" t="str">
        <f ca="1">IFERROR(__xludf.DUMMYFUNCTION("GOOGLETRANSLATE(English!C4615, ""en"", ""bg"")"),"елементарен")</f>
        <v>елементарен</v>
      </c>
      <c r="D4615" s="1" t="str">
        <f ca="1">IFERROR(__xludf.DUMMYFUNCTION("GOOGLETRANSLATE(English!D4615, ""en"", ""bg"")"),"промени в материалите")</f>
        <v>промени в материалите</v>
      </c>
      <c r="E4615" s="1" t="str">
        <f ca="1">IFERROR(__xludf.DUMMYFUNCTION("GOOGLETRANSLATE(English!E4615, ""en"", ""bg"")"),"Какво представляват промените в материалите?")</f>
        <v>Какво представляват промените в материалите?</v>
      </c>
      <c r="F4615" s="1" t="str">
        <f ca="1">IFERROR(__xludf.DUMMYFUNCTION("GOOGLETRANSLATE(English!F4615,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4615" s="1" t="str">
        <f ca="1">IFERROR(__xludf.DUMMYFUNCTION("GOOGLETRANSLATE(English!G4615, ""en"", ""bg"")"),"direct_qa")</f>
        <v>direct_qa</v>
      </c>
      <c r="H4615" s="1" t="str">
        <f ca="1">IFERROR(__xludf.DUMMYFUNCTION("GOOGLETRANSLATE(English!H4615, ""en"", ""bg"")"),"заявка_за_знание")</f>
        <v>заявка_за_знание</v>
      </c>
    </row>
    <row r="4616" spans="1:8" ht="13.2" x14ac:dyDescent="0.25">
      <c r="A4616" s="1" t="str">
        <f ca="1">IFERROR(__xludf.DUMMYFUNCTION("GOOGLETRANSLATE(English!A4616, ""en"", ""bg"")"),"conv_11994")</f>
        <v>conv_11994</v>
      </c>
      <c r="B4616" s="1" t="str">
        <f ca="1">IFERROR(__xludf.DUMMYFUNCTION("GOOGLETRANSLATE(English!B4616, ""en"", ""bg"")"),"химия")</f>
        <v>химия</v>
      </c>
      <c r="C4616" s="1" t="str">
        <f ca="1">IFERROR(__xludf.DUMMYFUNCTION("GOOGLETRANSLATE(English!C4616, ""en"", ""bg"")"),"елементарен")</f>
        <v>елементарен</v>
      </c>
      <c r="D4616" s="1" t="str">
        <f ca="1">IFERROR(__xludf.DUMMYFUNCTION("GOOGLETRANSLATE(English!D4616, ""en"", ""bg"")"),"ежедневни химикали")</f>
        <v>ежедневни химикали</v>
      </c>
      <c r="E4616" s="1" t="str">
        <f ca="1">IFERROR(__xludf.DUMMYFUNCTION("GOOGLETRANSLATE(English!E4616, ""en"", ""bg"")"),"Можете ли да ми обясните това? Защо е важно да се изучават ежедневните химикали?")</f>
        <v>Можете ли да ми обясните това? Защо е важно да се изучават ежедневните химикали?</v>
      </c>
      <c r="F4616" s="1" t="str">
        <f ca="1">IFERROR(__xludf.DUMMYFUNCTION("GOOGLETRANSLATE(English!F4616, ""en"", ""bg"")"),"Изучаването на ежедневните химикали ни помага да разберем света около нас и как протичат химичните процеси в природата и технологиите.")</f>
        <v>Изучаването на ежедневните химикали ни помага да разберем света около нас и как протичат химичните процеси в природата и технологиите.</v>
      </c>
      <c r="G4616" s="1" t="str">
        <f ca="1">IFERROR(__xludf.DUMMYFUNCTION("GOOGLETRANSLATE(English!G4616, ""en"", ""bg"")"),"разговор")</f>
        <v>разговор</v>
      </c>
      <c r="H4616" s="1" t="str">
        <f ca="1">IFERROR(__xludf.DUMMYFUNCTION("GOOGLETRANSLATE(English!H4616, ""en"", ""bg"")"),"образователна_помощ")</f>
        <v>образователна_помощ</v>
      </c>
    </row>
    <row r="4617" spans="1:8" ht="13.2" x14ac:dyDescent="0.25">
      <c r="A4617" s="1" t="str">
        <f ca="1">IFERROR(__xludf.DUMMYFUNCTION("GOOGLETRANSLATE(English!A4617, ""en"", ""bg"")"),"hw_14487")</f>
        <v>hw_14487</v>
      </c>
      <c r="B4617" s="1" t="str">
        <f ca="1">IFERROR(__xludf.DUMMYFUNCTION("GOOGLETRANSLATE(English!B4617, ""en"", ""bg"")"),"биология")</f>
        <v>биология</v>
      </c>
      <c r="C4617" s="1" t="str">
        <f ca="1">IFERROR(__xludf.DUMMYFUNCTION("GOOGLETRANSLATE(English!C4617, ""en"", ""bg"")"),"средата")</f>
        <v>средата</v>
      </c>
      <c r="D4617" s="1" t="str">
        <f ca="1">IFERROR(__xludf.DUMMYFUNCTION("GOOGLETRANSLATE(English!D4617, ""en"", ""bg"")"),"дишане")</f>
        <v>дишане</v>
      </c>
      <c r="E4617" s="1" t="str">
        <f ca="1">IFERROR(__xludf.DUMMYFUNCTION("GOOGLETRANSLATE(English!E4617, ""en"", ""bg"")"),"Утре имам тест по дишане. Помогни ми да уча!")</f>
        <v>Утре имам тест по дишане. Помогни ми да уча!</v>
      </c>
      <c r="F4617" s="1" t="str">
        <f ca="1">IFERROR(__xludf.DUMMYFUNCTION("GOOGLETRANSLATE(English!F4617,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617" s="1" t="str">
        <f ca="1">IFERROR(__xludf.DUMMYFUNCTION("GOOGLETRANSLATE(English!G4617, ""en"", ""bg"")"),"помощ_за_домашно_изпълнение")</f>
        <v>помощ_за_домашно_изпълнение</v>
      </c>
      <c r="H4617" s="1" t="str">
        <f ca="1">IFERROR(__xludf.DUMMYFUNCTION("GOOGLETRANSLATE(English!H4617, ""en"", ""bg"")"),"помощ_за_домашно_задаване")</f>
        <v>помощ_за_домашно_задаване</v>
      </c>
    </row>
    <row r="4618" spans="1:8" ht="13.2" x14ac:dyDescent="0.25">
      <c r="A4618" s="1" t="str">
        <f ca="1">IFERROR(__xludf.DUMMYFUNCTION("GOOGLETRANSLATE(English!A4618, ""en"", ""bg"")"),"hw_12326")</f>
        <v>hw_12326</v>
      </c>
      <c r="B4618" s="1" t="str">
        <f ca="1">IFERROR(__xludf.DUMMYFUNCTION("GOOGLETRANSLATE(English!B4618, ""en"", ""bg"")"),"биология")</f>
        <v>биология</v>
      </c>
      <c r="C4618" s="1" t="str">
        <f ca="1">IFERROR(__xludf.DUMMYFUNCTION("GOOGLETRANSLATE(English!C4618, ""en"", ""bg"")"),"средата")</f>
        <v>средата</v>
      </c>
      <c r="D4618" s="1" t="str">
        <f ca="1">IFERROR(__xludf.DUMMYFUNCTION("GOOGLETRANSLATE(English!D4618, ""en"", ""bg"")"),"основи на еволюцията")</f>
        <v>основи на еволюцията</v>
      </c>
      <c r="E4618" s="1" t="str">
        <f ca="1">IFERROR(__xludf.DUMMYFUNCTION("GOOGLETRANSLATE(English!E4618, ""en"", ""bg"")"),"Утре имам тест по основи на еволюцията. Помогни ми да уча!")</f>
        <v>Утре имам тест по основи на еволюцията. Помогни ми да уча!</v>
      </c>
      <c r="F4618" s="1" t="str">
        <f ca="1">IFERROR(__xludf.DUMMYFUNCTION("GOOGLETRANSLATE(English!F4618,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4618" s="1" t="str">
        <f ca="1">IFERROR(__xludf.DUMMYFUNCTION("GOOGLETRANSLATE(English!G4618, ""en"", ""bg"")"),"помощ_за_домашно_изпълнение")</f>
        <v>помощ_за_домашно_изпълнение</v>
      </c>
      <c r="H4618" s="1" t="str">
        <f ca="1">IFERROR(__xludf.DUMMYFUNCTION("GOOGLETRANSLATE(English!H4618, ""en"", ""bg"")"),"помощ_за_домашно_задаване")</f>
        <v>помощ_за_домашно_задаване</v>
      </c>
    </row>
    <row r="4619" spans="1:8" ht="13.2" x14ac:dyDescent="0.25">
      <c r="A4619" s="1" t="str">
        <f ca="1">IFERROR(__xludf.DUMMYFUNCTION("GOOGLETRANSLATE(English!A4619, ""en"", ""bg"")"),"hw_04939")</f>
        <v>hw_04939</v>
      </c>
      <c r="B4619" s="1" t="str">
        <f ca="1">IFERROR(__xludf.DUMMYFUNCTION("GOOGLETRANSLATE(English!B4619, ""en"", ""bg"")"),"химия")</f>
        <v>химия</v>
      </c>
      <c r="C4619" s="1" t="str">
        <f ca="1">IFERROR(__xludf.DUMMYFUNCTION("GOOGLETRANSLATE(English!C4619, ""en"", ""bg"")"),"високо")</f>
        <v>високо</v>
      </c>
      <c r="D4619" s="1" t="str">
        <f ca="1">IFERROR(__xludf.DUMMYFUNCTION("GOOGLETRANSLATE(English!D4619, ""en"", ""bg"")"),"електрохимия")</f>
        <v>електрохимия</v>
      </c>
      <c r="E4619" s="1" t="str">
        <f ca="1">IFERROR(__xludf.DUMMYFUNCTION("GOOGLETRANSLATE(English!E4619,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4619" s="1" t="str">
        <f ca="1">IFERROR(__xludf.DUMMYFUNCTION("GOOGLETRANSLATE(English!F4619,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619" s="1" t="str">
        <f ca="1">IFERROR(__xludf.DUMMYFUNCTION("GOOGLETRANSLATE(English!G4619, ""en"", ""bg"")"),"помощ_за_домашно_изпълнение")</f>
        <v>помощ_за_домашно_изпълнение</v>
      </c>
      <c r="H4619" s="1" t="str">
        <f ca="1">IFERROR(__xludf.DUMMYFUNCTION("GOOGLETRANSLATE(English!H4619, ""en"", ""bg"")"),"помощ_за_домашно_задаване")</f>
        <v>помощ_за_домашно_задаване</v>
      </c>
    </row>
    <row r="4620" spans="1:8" ht="13.2" x14ac:dyDescent="0.25">
      <c r="A4620" s="1" t="str">
        <f ca="1">IFERROR(__xludf.DUMMYFUNCTION("GOOGLETRANSLATE(English!A4620, ""en"", ""bg"")"),"conv_03253")</f>
        <v>conv_03253</v>
      </c>
      <c r="B4620" s="1" t="str">
        <f ca="1">IFERROR(__xludf.DUMMYFUNCTION("GOOGLETRANSLATE(English!B4620, ""en"", ""bg"")"),"химия")</f>
        <v>химия</v>
      </c>
      <c r="C4620" s="1" t="str">
        <f ca="1">IFERROR(__xludf.DUMMYFUNCTION("GOOGLETRANSLATE(English!C4620, ""en"", ""bg"")"),"високо")</f>
        <v>високо</v>
      </c>
      <c r="D4620" s="1" t="str">
        <f ca="1">IFERROR(__xludf.DUMMYFUNCTION("GOOGLETRANSLATE(English!D4620, ""en"", ""bg"")"),"равновесие")</f>
        <v>равновесие</v>
      </c>
      <c r="E4620" s="1" t="str">
        <f ca="1">IFERROR(__xludf.DUMMYFUNCTION("GOOGLETRANSLATE(English!E4620, ""en"", ""bg"")"),"Помогнете ми да уча за теста. Защо е важно да се учи равновесие?")</f>
        <v>Помогнете ми да уча за теста. Защо е важно да се учи равновесие?</v>
      </c>
      <c r="F4620" s="1" t="str">
        <f ca="1">IFERROR(__xludf.DUMMYFUNCTION("GOOGLETRANSLATE(English!F4620,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620" s="1" t="str">
        <f ca="1">IFERROR(__xludf.DUMMYFUNCTION("GOOGLETRANSLATE(English!G4620, ""en"", ""bg"")"),"разговор")</f>
        <v>разговор</v>
      </c>
      <c r="H4620" s="1" t="str">
        <f ca="1">IFERROR(__xludf.DUMMYFUNCTION("GOOGLETRANSLATE(English!H4620, ""en"", ""bg"")"),"образователна_помощ")</f>
        <v>образователна_помощ</v>
      </c>
    </row>
    <row r="4621" spans="1:8" ht="13.2" x14ac:dyDescent="0.25">
      <c r="A4621" s="1" t="str">
        <f ca="1">IFERROR(__xludf.DUMMYFUNCTION("GOOGLETRANSLATE(English!A4621, ""en"", ""bg"")"),"hw_03670")</f>
        <v>hw_03670</v>
      </c>
      <c r="B4621" s="1" t="str">
        <f ca="1">IFERROR(__xludf.DUMMYFUNCTION("GOOGLETRANSLATE(English!B4621, ""en"", ""bg"")"),"биология")</f>
        <v>биология</v>
      </c>
      <c r="C4621" s="1" t="str">
        <f ca="1">IFERROR(__xludf.DUMMYFUNCTION("GOOGLETRANSLATE(English!C4621, ""en"", ""bg"")"),"средата")</f>
        <v>средата</v>
      </c>
      <c r="D4621" s="1" t="str">
        <f ca="1">IFERROR(__xludf.DUMMYFUNCTION("GOOGLETRANSLATE(English!D4621, ""en"", ""bg"")"),"размножаване")</f>
        <v>размножаване</v>
      </c>
      <c r="E4621" s="1" t="str">
        <f ca="1">IFERROR(__xludf.DUMMYFUNCTION("GOOGLETRANSLATE(English!E4621, ""en"", ""bg"")"),"Трябва да напиша доклад за размножаването. Можете ли да ми помогнете да започна?")</f>
        <v>Трябва да напиша доклад за размножаването. Можете ли да ми помогнете да започна?</v>
      </c>
      <c r="F4621" s="1" t="str">
        <f ca="1">IFERROR(__xludf.DUMMYFUNCTION("GOOGLETRANSLATE(English!F4621,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621" s="1" t="str">
        <f ca="1">IFERROR(__xludf.DUMMYFUNCTION("GOOGLETRANSLATE(English!G4621, ""en"", ""bg"")"),"помощ_за_домашно_изпълнение")</f>
        <v>помощ_за_домашно_изпълнение</v>
      </c>
      <c r="H4621" s="1" t="str">
        <f ca="1">IFERROR(__xludf.DUMMYFUNCTION("GOOGLETRANSLATE(English!H4621, ""en"", ""bg"")"),"помощ_за_домашно_задаване")</f>
        <v>помощ_за_домашно_задаване</v>
      </c>
    </row>
    <row r="4622" spans="1:8" ht="13.2" x14ac:dyDescent="0.25">
      <c r="A4622" s="1" t="str">
        <f ca="1">IFERROR(__xludf.DUMMYFUNCTION("GOOGLETRANSLATE(English!A4622, ""en"", ""bg"")"),"conv_15527")</f>
        <v>conv_15527</v>
      </c>
      <c r="B4622" s="1" t="str">
        <f ca="1">IFERROR(__xludf.DUMMYFUNCTION("GOOGLETRANSLATE(English!B4622, ""en"", ""bg"")"),"биология")</f>
        <v>биология</v>
      </c>
      <c r="C4622" s="1" t="str">
        <f ca="1">IFERROR(__xludf.DUMMYFUNCTION("GOOGLETRANSLATE(English!C4622, ""en"", ""bg"")"),"високо")</f>
        <v>високо</v>
      </c>
      <c r="D4622" s="1" t="str">
        <f ca="1">IFERROR(__xludf.DUMMYFUNCTION("GOOGLETRANSLATE(English!D4622, ""en"", ""bg"")"),"Структура на ДНК")</f>
        <v>Структура на ДНК</v>
      </c>
      <c r="E4622" s="1" t="str">
        <f ca="1">IFERROR(__xludf.DUMMYFUNCTION("GOOGLETRANSLATE(English!E4622, ""en"", ""bg"")"),"Здравей, преподавателю! Защо структурата на ДНК е важна в биологията?")</f>
        <v>Здравей, преподавателю! Защо структурата на ДНК е важна в биологията?</v>
      </c>
      <c r="F4622" s="1" t="str">
        <f ca="1">IFERROR(__xludf.DUMMYFUNCTION("GOOGLETRANSLATE(English!F4622,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4622" s="1" t="str">
        <f ca="1">IFERROR(__xludf.DUMMYFUNCTION("GOOGLETRANSLATE(English!G4622, ""en"", ""bg"")"),"разговор")</f>
        <v>разговор</v>
      </c>
      <c r="H4622" s="1" t="str">
        <f ca="1">IFERROR(__xludf.DUMMYFUNCTION("GOOGLETRANSLATE(English!H4622, ""en"", ""bg"")"),"образователна_помощ")</f>
        <v>образователна_помощ</v>
      </c>
    </row>
    <row r="4623" spans="1:8" ht="13.2" x14ac:dyDescent="0.25">
      <c r="A4623" s="1" t="str">
        <f ca="1">IFERROR(__xludf.DUMMYFUNCTION("GOOGLETRANSLATE(English!A4623, ""en"", ""bg"")"),"hw_02054")</f>
        <v>hw_02054</v>
      </c>
      <c r="B4623" s="1" t="str">
        <f ca="1">IFERROR(__xludf.DUMMYFUNCTION("GOOGLETRANSLATE(English!B4623, ""en"", ""bg"")"),"физика")</f>
        <v>физика</v>
      </c>
      <c r="C4623" s="1" t="str">
        <f ca="1">IFERROR(__xludf.DUMMYFUNCTION("GOOGLETRANSLATE(English!C4623, ""en"", ""bg"")"),"средата")</f>
        <v>средата</v>
      </c>
      <c r="D4623" s="1" t="str">
        <f ca="1">IFERROR(__xludf.DUMMYFUNCTION("GOOGLETRANSLATE(English!D4623, ""en"", ""bg"")"),"основи на електричеството")</f>
        <v>основи на електричеството</v>
      </c>
      <c r="E4623" s="1" t="str">
        <f ca="1">IFERROR(__xludf.DUMMYFUNCTION("GOOGLETRANSLATE(English!E4623, ""en"", ""bg"")"),"Домашното ми по физика е за основите на електричеството. Объркващо е!")</f>
        <v>Домашното ми по физика е за основите на електричеството. Объркващо е!</v>
      </c>
      <c r="F4623" s="1" t="str">
        <f ca="1">IFERROR(__xludf.DUMMYFUNCTION("GOOGLETRANSLATE(English!F4623,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4623" s="1" t="str">
        <f ca="1">IFERROR(__xludf.DUMMYFUNCTION("GOOGLETRANSLATE(English!G4623, ""en"", ""bg"")"),"помощ_за_домашно_изпълнение")</f>
        <v>помощ_за_домашно_изпълнение</v>
      </c>
      <c r="H4623" s="1" t="str">
        <f ca="1">IFERROR(__xludf.DUMMYFUNCTION("GOOGLETRANSLATE(English!H4623, ""en"", ""bg"")"),"помощ_за_домашно_задаване")</f>
        <v>помощ_за_домашно_задаване</v>
      </c>
    </row>
    <row r="4624" spans="1:8" ht="13.2" x14ac:dyDescent="0.25">
      <c r="A4624" s="1" t="str">
        <f ca="1">IFERROR(__xludf.DUMMYFUNCTION("GOOGLETRANSLATE(English!A4624, ""en"", ""bg"")"),"qa_09290")</f>
        <v>qa_09290</v>
      </c>
      <c r="B4624" s="1" t="str">
        <f ca="1">IFERROR(__xludf.DUMMYFUNCTION("GOOGLETRANSLATE(English!B4624, ""en"", ""bg"")"),"химия")</f>
        <v>химия</v>
      </c>
      <c r="C4624" s="1" t="str">
        <f ca="1">IFERROR(__xludf.DUMMYFUNCTION("GOOGLETRANSLATE(English!C4624, ""en"", ""bg"")"),"средата")</f>
        <v>средата</v>
      </c>
      <c r="D4624" s="1" t="str">
        <f ca="1">IFERROR(__xludf.DUMMYFUNCTION("GOOGLETRANSLATE(English!D4624, ""en"", ""bg"")"),"основи на периодичната таблица")</f>
        <v>основи на периодичната таблица</v>
      </c>
      <c r="E4624" s="1" t="str">
        <f ca="1">IFERROR(__xludf.DUMMYFUNCTION("GOOGLETRANSLATE(English!E4624, ""en"", ""bg"")"),"Защо е важно да се изучат основите на периодичната таблица?")</f>
        <v>Защо е важно да се изучат основите на периодичната таблица?</v>
      </c>
      <c r="F4624" s="1" t="str">
        <f ca="1">IFERROR(__xludf.DUMMYFUNCTION("GOOGLETRANSLATE(English!F4624,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4624" s="1" t="str">
        <f ca="1">IFERROR(__xludf.DUMMYFUNCTION("GOOGLETRANSLATE(English!G4624, ""en"", ""bg"")"),"direct_qa")</f>
        <v>direct_qa</v>
      </c>
      <c r="H4624" s="1" t="str">
        <f ca="1">IFERROR(__xludf.DUMMYFUNCTION("GOOGLETRANSLATE(English!H4624, ""en"", ""bg"")"),"заявка_за_знание")</f>
        <v>заявка_за_знание</v>
      </c>
    </row>
    <row r="4625" spans="1:8" ht="13.2" x14ac:dyDescent="0.25">
      <c r="A4625" s="1" t="str">
        <f ca="1">IFERROR(__xludf.DUMMYFUNCTION("GOOGLETRANSLATE(English!A4625, ""en"", ""bg"")"),"conv_13741")</f>
        <v>conv_13741</v>
      </c>
      <c r="B4625" s="1" t="str">
        <f ca="1">IFERROR(__xludf.DUMMYFUNCTION("GOOGLETRANSLATE(English!B4625, ""en"", ""bg"")"),"биология")</f>
        <v>биология</v>
      </c>
      <c r="C4625" s="1" t="str">
        <f ca="1">IFERROR(__xludf.DUMMYFUNCTION("GOOGLETRANSLATE(English!C4625, ""en"", ""bg"")"),"високо")</f>
        <v>високо</v>
      </c>
      <c r="D4625" s="1" t="str">
        <f ca="1">IFERROR(__xludf.DUMMYFUNCTION("GOOGLETRANSLATE(English!D4625, ""en"", ""bg"")"),"модели на наследяване")</f>
        <v>модели на наследяване</v>
      </c>
      <c r="E4625" s="1" t="str">
        <f ca="1">IFERROR(__xludf.DUMMYFUNCTION("GOOGLETRANSLATE(English!E4625, ""en"", ""bg"")"),"Имам нужда от помощ с домашното. Защо моделите на наследяване са важни в биологията?")</f>
        <v>Имам нужда от помощ с домашното. Защо моделите на наследяване са важни в биологията?</v>
      </c>
      <c r="F4625" s="1" t="str">
        <f ca="1">IFERROR(__xludf.DUMMYFUNCTION("GOOGLETRANSLATE(English!F4625,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4625" s="1" t="str">
        <f ca="1">IFERROR(__xludf.DUMMYFUNCTION("GOOGLETRANSLATE(English!G4625, ""en"", ""bg"")"),"разговор")</f>
        <v>разговор</v>
      </c>
      <c r="H4625" s="1" t="str">
        <f ca="1">IFERROR(__xludf.DUMMYFUNCTION("GOOGLETRANSLATE(English!H4625, ""en"", ""bg"")"),"образователна_помощ")</f>
        <v>образователна_помощ</v>
      </c>
    </row>
    <row r="4626" spans="1:8" ht="13.2" x14ac:dyDescent="0.25">
      <c r="A4626" s="1" t="str">
        <f ca="1">IFERROR(__xludf.DUMMYFUNCTION("GOOGLETRANSLATE(English!A4626, ""en"", ""bg"")"),"hw_08982")</f>
        <v>hw_08982</v>
      </c>
      <c r="B4626" s="1" t="str">
        <f ca="1">IFERROR(__xludf.DUMMYFUNCTION("GOOGLETRANSLATE(English!B4626, ""en"", ""bg"")"),"физика")</f>
        <v>физика</v>
      </c>
      <c r="C4626" s="1" t="str">
        <f ca="1">IFERROR(__xludf.DUMMYFUNCTION("GOOGLETRANSLATE(English!C4626, ""en"", ""bg"")"),"елементарен")</f>
        <v>елементарен</v>
      </c>
      <c r="D4626" s="1" t="str">
        <f ca="1">IFERROR(__xludf.DUMMYFUNCTION("GOOGLETRANSLATE(English!D4626, ""en"", ""bg"")"),"плаващ и потъващ")</f>
        <v>плаващ и потъващ</v>
      </c>
      <c r="E4626" s="1" t="str">
        <f ca="1">IFERROR(__xludf.DUMMYFUNCTION("GOOGLETRANSLATE(English!E4626, ""en"", ""bg"")"),"Домашното ми по физика е за плаване и потъване. Объркващо е!")</f>
        <v>Домашното ми по физика е за плаване и потъване. Объркващо е!</v>
      </c>
      <c r="F4626" s="1" t="str">
        <f ca="1">IFERROR(__xludf.DUMMYFUNCTION("GOOGLETRANSLATE(English!F4626,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4626" s="1" t="str">
        <f ca="1">IFERROR(__xludf.DUMMYFUNCTION("GOOGLETRANSLATE(English!G4626, ""en"", ""bg"")"),"помощ_за_домашно_изпълнение")</f>
        <v>помощ_за_домашно_изпълнение</v>
      </c>
      <c r="H4626" s="1" t="str">
        <f ca="1">IFERROR(__xludf.DUMMYFUNCTION("GOOGLETRANSLATE(English!H4626, ""en"", ""bg"")"),"помощ_за_домашно_задаване")</f>
        <v>помощ_за_домашно_задаване</v>
      </c>
    </row>
    <row r="4627" spans="1:8" ht="13.2" x14ac:dyDescent="0.25">
      <c r="A4627" s="1" t="str">
        <f ca="1">IFERROR(__xludf.DUMMYFUNCTION("GOOGLETRANSLATE(English!A4627, ""en"", ""bg"")"),"qa_06823")</f>
        <v>qa_06823</v>
      </c>
      <c r="B4627" s="1" t="str">
        <f ca="1">IFERROR(__xludf.DUMMYFUNCTION("GOOGLETRANSLATE(English!B4627, ""en"", ""bg"")"),"физика")</f>
        <v>физика</v>
      </c>
      <c r="C4627" s="1" t="str">
        <f ca="1">IFERROR(__xludf.DUMMYFUNCTION("GOOGLETRANSLATE(English!C4627, ""en"", ""bg"")"),"елементарен")</f>
        <v>елементарен</v>
      </c>
      <c r="D4627" s="1" t="str">
        <f ca="1">IFERROR(__xludf.DUMMYFUNCTION("GOOGLETRANSLATE(English!D4627, ""en"", ""bg"")"),"плаващ и потъващ")</f>
        <v>плаващ и потъващ</v>
      </c>
      <c r="E4627" s="1" t="str">
        <f ca="1">IFERROR(__xludf.DUMMYFUNCTION("GOOGLETRANSLATE(English!E4627, ""en"", ""bg"")"),"Защо е важно да се носиш и да потъваш?")</f>
        <v>Защо е важно да се носиш и да потъваш?</v>
      </c>
      <c r="F4627" s="1" t="str">
        <f ca="1">IFERROR(__xludf.DUMMYFUNCTION("GOOGLETRANSLATE(English!F4627,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4627" s="1" t="str">
        <f ca="1">IFERROR(__xludf.DUMMYFUNCTION("GOOGLETRANSLATE(English!G4627, ""en"", ""bg"")"),"direct_qa")</f>
        <v>direct_qa</v>
      </c>
      <c r="H4627" s="1" t="str">
        <f ca="1">IFERROR(__xludf.DUMMYFUNCTION("GOOGLETRANSLATE(English!H4627, ""en"", ""bg"")"),"заявка_за_знание")</f>
        <v>заявка_за_знание</v>
      </c>
    </row>
    <row r="4628" spans="1:8" ht="13.2" x14ac:dyDescent="0.25">
      <c r="A4628" s="1" t="str">
        <f ca="1">IFERROR(__xludf.DUMMYFUNCTION("GOOGLETRANSLATE(English!A4628, ""en"", ""bg"")"),"conv_03159")</f>
        <v>conv_03159</v>
      </c>
      <c r="B4628" s="1" t="str">
        <f ca="1">IFERROR(__xludf.DUMMYFUNCTION("GOOGLETRANSLATE(English!B4628, ""en"", ""bg"")"),"биология")</f>
        <v>биология</v>
      </c>
      <c r="C4628" s="1" t="str">
        <f ca="1">IFERROR(__xludf.DUMMYFUNCTION("GOOGLETRANSLATE(English!C4628, ""en"", ""bg"")"),"елементарен")</f>
        <v>елементарен</v>
      </c>
      <c r="D4628" s="1" t="str">
        <f ca="1">IFERROR(__xludf.DUMMYFUNCTION("GOOGLETRANSLATE(English!D4628, ""en"", ""bg"")"),"основни нужди")</f>
        <v>основни нужди</v>
      </c>
      <c r="E4628" s="1" t="str">
        <f ca="1">IFERROR(__xludf.DUMMYFUNCTION("GOOGLETRANSLATE(English!E4628, ""en"", ""bg"")"),"Здравей, преподавател! Можеш ли да ми кажеш за основните нужди?")</f>
        <v>Здравей, преподавател! Можеш ли да ми кажеш за основните нужди?</v>
      </c>
      <c r="F4628" s="1" t="str">
        <f ca="1">IFERROR(__xludf.DUMMYFUNCTION("GOOGLETRANSLATE(English!F4628, ""en"", ""bg"")"),"Основните потребности са завладяваща част от биологията! Те ни помагат да разберем как функционират живите същества.")</f>
        <v>Основните потребности са завладяваща част от биологията! Те ни помагат да разберем как функционират живите същества.</v>
      </c>
      <c r="G4628" s="1" t="str">
        <f ca="1">IFERROR(__xludf.DUMMYFUNCTION("GOOGLETRANSLATE(English!G4628, ""en"", ""bg"")"),"разговор")</f>
        <v>разговор</v>
      </c>
      <c r="H4628" s="1" t="str">
        <f ca="1">IFERROR(__xludf.DUMMYFUNCTION("GOOGLETRANSLATE(English!H4628, ""en"", ""bg"")"),"образователна_помощ")</f>
        <v>образователна_помощ</v>
      </c>
    </row>
    <row r="4629" spans="1:8" ht="13.2" x14ac:dyDescent="0.25">
      <c r="A4629" s="1" t="str">
        <f ca="1">IFERROR(__xludf.DUMMYFUNCTION("GOOGLETRANSLATE(English!A4629, ""en"", ""bg"")"),"conv_19191")</f>
        <v>conv_19191</v>
      </c>
      <c r="B4629" s="1" t="str">
        <f ca="1">IFERROR(__xludf.DUMMYFUNCTION("GOOGLETRANSLATE(English!B4629, ""en"", ""bg"")"),"химия")</f>
        <v>химия</v>
      </c>
      <c r="C4629" s="1" t="str">
        <f ca="1">IFERROR(__xludf.DUMMYFUNCTION("GOOGLETRANSLATE(English!C4629, ""en"", ""bg"")"),"средата")</f>
        <v>средата</v>
      </c>
      <c r="D4629" s="1" t="str">
        <f ca="1">IFERROR(__xludf.DUMMYFUNCTION("GOOGLETRANSLATE(English!D4629, ""en"", ""bg"")"),"химични реакции")</f>
        <v>химични реакции</v>
      </c>
      <c r="E4629" s="1" t="str">
        <f ca="1">IFERROR(__xludf.DUMMYFUNCTION("GOOGLETRANSLATE(English!E4629, ""en"", ""bg"")"),"Не разбирам тази тема. Какво е химична реакция?")</f>
        <v>Не разбирам тази тема. Какво е химична реакция?</v>
      </c>
      <c r="F4629" s="1" t="str">
        <f ca="1">IFERROR(__xludf.DUMMYFUNCTION("GOOGLETRANSLATE(English!F4629,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4629" s="1" t="str">
        <f ca="1">IFERROR(__xludf.DUMMYFUNCTION("GOOGLETRANSLATE(English!G4629, ""en"", ""bg"")"),"разговор")</f>
        <v>разговор</v>
      </c>
      <c r="H4629" s="1" t="str">
        <f ca="1">IFERROR(__xludf.DUMMYFUNCTION("GOOGLETRANSLATE(English!H4629, ""en"", ""bg"")"),"образователна_помощ")</f>
        <v>образователна_помощ</v>
      </c>
    </row>
    <row r="4630" spans="1:8" ht="13.2" x14ac:dyDescent="0.25">
      <c r="A4630" s="1" t="str">
        <f ca="1">IFERROR(__xludf.DUMMYFUNCTION("GOOGLETRANSLATE(English!A4630, ""en"", ""bg"")"),"hw_14791")</f>
        <v>hw_14791</v>
      </c>
      <c r="B4630" s="1" t="str">
        <f ca="1">IFERROR(__xludf.DUMMYFUNCTION("GOOGLETRANSLATE(English!B4630, ""en"", ""bg"")"),"химия")</f>
        <v>химия</v>
      </c>
      <c r="C4630" s="1" t="str">
        <f ca="1">IFERROR(__xludf.DUMMYFUNCTION("GOOGLETRANSLATE(English!C4630, ""en"", ""bg"")"),"средата")</f>
        <v>средата</v>
      </c>
      <c r="D4630" s="1" t="str">
        <f ca="1">IFERROR(__xludf.DUMMYFUNCTION("GOOGLETRANSLATE(English!D4630, ""en"", ""bg"")"),"химични промени")</f>
        <v>химични промени</v>
      </c>
      <c r="E4630" s="1" t="str">
        <f ca="1">IFERROR(__xludf.DUMMYFUNCTION("GOOGLETRANSLATE(English!E4630, ""en"", ""bg"")"),"Имам проблеми с химичните промени в домашното си.")</f>
        <v>Имам проблеми с химичните промени в домашното си.</v>
      </c>
      <c r="F4630" s="1" t="str">
        <f ca="1">IFERROR(__xludf.DUMMYFUNCTION("GOOGLETRANSLATE(English!F4630,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630" s="1" t="str">
        <f ca="1">IFERROR(__xludf.DUMMYFUNCTION("GOOGLETRANSLATE(English!G4630, ""en"", ""bg"")"),"помощ_за_домашно_изпълнение")</f>
        <v>помощ_за_домашно_изпълнение</v>
      </c>
      <c r="H4630" s="1" t="str">
        <f ca="1">IFERROR(__xludf.DUMMYFUNCTION("GOOGLETRANSLATE(English!H4630, ""en"", ""bg"")"),"помощ_за_домашно_задаване")</f>
        <v>помощ_за_домашно_задаване</v>
      </c>
    </row>
    <row r="4631" spans="1:8" ht="13.2" x14ac:dyDescent="0.25">
      <c r="A4631" s="1" t="str">
        <f ca="1">IFERROR(__xludf.DUMMYFUNCTION("GOOGLETRANSLATE(English!A4631, ""en"", ""bg"")"),"hw_13399")</f>
        <v>hw_13399</v>
      </c>
      <c r="B4631" s="1" t="str">
        <f ca="1">IFERROR(__xludf.DUMMYFUNCTION("GOOGLETRANSLATE(English!B4631, ""en"", ""bg"")"),"биология")</f>
        <v>биология</v>
      </c>
      <c r="C4631" s="1" t="str">
        <f ca="1">IFERROR(__xludf.DUMMYFUNCTION("GOOGLETRANSLATE(English!C4631, ""en"", ""bg"")"),"средата")</f>
        <v>средата</v>
      </c>
      <c r="D4631" s="1" t="str">
        <f ca="1">IFERROR(__xludf.DUMMYFUNCTION("GOOGLETRANSLATE(English!D4631, ""en"", ""bg"")"),"фотосинтеза")</f>
        <v>фотосинтеза</v>
      </c>
      <c r="E4631" s="1" t="str">
        <f ca="1">IFERROR(__xludf.DUMMYFUNCTION("GOOGLETRANSLATE(English!E4631, ""en"", ""bg"")"),"Можете ли да обясните фотосинтезата за моя научен проект?")</f>
        <v>Можете ли да обясните фотосинтезата за моя научен проект?</v>
      </c>
      <c r="F4631" s="1" t="str">
        <f ca="1">IFERROR(__xludf.DUMMYFUNCTION("GOOGLETRANSLATE(English!F4631, ""en"", ""bg"")"),"Ще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v>
      </c>
      <c r="G4631" s="1" t="str">
        <f ca="1">IFERROR(__xludf.DUMMYFUNCTION("GOOGLETRANSLATE(English!G4631, ""en"", ""bg"")"),"помощ_за_домашно_изпълнение")</f>
        <v>помощ_за_домашно_изпълнение</v>
      </c>
      <c r="H4631" s="1" t="str">
        <f ca="1">IFERROR(__xludf.DUMMYFUNCTION("GOOGLETRANSLATE(English!H4631, ""en"", ""bg"")"),"помощ_за_домашно_задаване")</f>
        <v>помощ_за_домашно_задаване</v>
      </c>
    </row>
    <row r="4632" spans="1:8" ht="13.2" x14ac:dyDescent="0.25">
      <c r="A4632" s="1" t="str">
        <f ca="1">IFERROR(__xludf.DUMMYFUNCTION("GOOGLETRANSLATE(English!A4632, ""en"", ""bg"")"),"hw_10934")</f>
        <v>hw_10934</v>
      </c>
      <c r="B4632" s="1" t="str">
        <f ca="1">IFERROR(__xludf.DUMMYFUNCTION("GOOGLETRANSLATE(English!B4632, ""en"", ""bg"")"),"химия")</f>
        <v>химия</v>
      </c>
      <c r="C4632" s="1" t="str">
        <f ca="1">IFERROR(__xludf.DUMMYFUNCTION("GOOGLETRANSLATE(English!C4632, ""en"", ""bg"")"),"високо")</f>
        <v>високо</v>
      </c>
      <c r="D4632" s="1" t="str">
        <f ca="1">IFERROR(__xludf.DUMMYFUNCTION("GOOGLETRANSLATE(English!D4632, ""en"", ""bg"")"),"електрохимия")</f>
        <v>електрохимия</v>
      </c>
      <c r="E4632" s="1" t="str">
        <f ca="1">IFERROR(__xludf.DUMMYFUNCTION("GOOGLETRANSLATE(English!E4632, ""en"", ""bg"")"),"Не разбирам тази концепция за електрохимия. Моля, обяснете!")</f>
        <v>Не разбирам тази концепция за електрохимия. Моля, обяснете!</v>
      </c>
      <c r="F4632" s="1" t="str">
        <f ca="1">IFERROR(__xludf.DUMMYFUNCTION("GOOGLETRANSLATE(English!F4632,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632" s="1" t="str">
        <f ca="1">IFERROR(__xludf.DUMMYFUNCTION("GOOGLETRANSLATE(English!G4632, ""en"", ""bg"")"),"помощ_за_домашно_изпълнение")</f>
        <v>помощ_за_домашно_изпълнение</v>
      </c>
      <c r="H4632" s="1" t="str">
        <f ca="1">IFERROR(__xludf.DUMMYFUNCTION("GOOGLETRANSLATE(English!H4632, ""en"", ""bg"")"),"помощ_за_домашно_задаване")</f>
        <v>помощ_за_домашно_задаване</v>
      </c>
    </row>
    <row r="4633" spans="1:8" ht="13.2" x14ac:dyDescent="0.25">
      <c r="A4633" s="1" t="str">
        <f ca="1">IFERROR(__xludf.DUMMYFUNCTION("GOOGLETRANSLATE(English!A4633, ""en"", ""bg"")"),"hw_14253")</f>
        <v>hw_14253</v>
      </c>
      <c r="B4633" s="1" t="str">
        <f ca="1">IFERROR(__xludf.DUMMYFUNCTION("GOOGLETRANSLATE(English!B4633, ""en"", ""bg"")"),"химия")</f>
        <v>химия</v>
      </c>
      <c r="C4633" s="1" t="str">
        <f ca="1">IFERROR(__xludf.DUMMYFUNCTION("GOOGLETRANSLATE(English!C4633, ""en"", ""bg"")"),"елементарен")</f>
        <v>елементарен</v>
      </c>
      <c r="D4633" s="1" t="str">
        <f ca="1">IFERROR(__xludf.DUMMYFUNCTION("GOOGLETRANSLATE(English!D4633, ""en"", ""bg"")"),"смесване на материали")</f>
        <v>смесване на материали</v>
      </c>
      <c r="E4633" s="1" t="str">
        <f ca="1">IFERROR(__xludf.DUMMYFUNCTION("GOOGLETRANSLATE(English!E4633, ""en"", ""bg"")"),"Можете ли да ми помогнете с изчисленията за смесване на материали?")</f>
        <v>Можете ли да ми помогнете с изчисленията за смесване на материали?</v>
      </c>
      <c r="F4633" s="1" t="str">
        <f ca="1">IFERROR(__xludf.DUMMYFUNCTION("GOOGLETRANSLATE(English!F4633,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4633" s="1" t="str">
        <f ca="1">IFERROR(__xludf.DUMMYFUNCTION("GOOGLETRANSLATE(English!G4633, ""en"", ""bg"")"),"помощ_за_домашно_изпълнение")</f>
        <v>помощ_за_домашно_изпълнение</v>
      </c>
      <c r="H4633" s="1" t="str">
        <f ca="1">IFERROR(__xludf.DUMMYFUNCTION("GOOGLETRANSLATE(English!H4633, ""en"", ""bg"")"),"помощ_за_домашно_задаване")</f>
        <v>помощ_за_домашно_задаване</v>
      </c>
    </row>
    <row r="4634" spans="1:8" ht="13.2" x14ac:dyDescent="0.25">
      <c r="A4634" s="1" t="str">
        <f ca="1">IFERROR(__xludf.DUMMYFUNCTION("GOOGLETRANSLATE(English!A4634, ""en"", ""bg"")"),"hw_05252")</f>
        <v>hw_05252</v>
      </c>
      <c r="B4634" s="1" t="str">
        <f ca="1">IFERROR(__xludf.DUMMYFUNCTION("GOOGLETRANSLATE(English!B4634, ""en"", ""bg"")"),"физика")</f>
        <v>физика</v>
      </c>
      <c r="C4634" s="1" t="str">
        <f ca="1">IFERROR(__xludf.DUMMYFUNCTION("GOOGLETRANSLATE(English!C4634, ""en"", ""bg"")"),"високо")</f>
        <v>високо</v>
      </c>
      <c r="D4634" s="1" t="str">
        <f ca="1">IFERROR(__xludf.DUMMYFUNCTION("GOOGLETRANSLATE(English!D4634, ""en"", ""bg"")"),"термодинамика")</f>
        <v>термодинамика</v>
      </c>
      <c r="E4634" s="1" t="str">
        <f ca="1">IFERROR(__xludf.DUMMYFUNCTION("GOOGLETRANSLATE(English!E4634, ""en"", ""bg"")"),"Трябва да разбирам термодинамиката за изпита си.")</f>
        <v>Трябва да разбирам термодинамиката за изпита си.</v>
      </c>
      <c r="F4634" s="1" t="str">
        <f ca="1">IFERROR(__xludf.DUMMYFUNCTION("GOOGLETRANSLATE(English!F4634,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4634" s="1" t="str">
        <f ca="1">IFERROR(__xludf.DUMMYFUNCTION("GOOGLETRANSLATE(English!G4634, ""en"", ""bg"")"),"помощ_за_домашно_изпълнение")</f>
        <v>помощ_за_домашно_изпълнение</v>
      </c>
      <c r="H4634" s="1" t="str">
        <f ca="1">IFERROR(__xludf.DUMMYFUNCTION("GOOGLETRANSLATE(English!H4634, ""en"", ""bg"")"),"помощ_за_домашно_задаване")</f>
        <v>помощ_за_домашно_задаване</v>
      </c>
    </row>
    <row r="4635" spans="1:8" ht="13.2" x14ac:dyDescent="0.25">
      <c r="A4635" s="1" t="str">
        <f ca="1">IFERROR(__xludf.DUMMYFUNCTION("GOOGLETRANSLATE(English!A4635, ""en"", ""bg"")"),"conv_08121")</f>
        <v>conv_08121</v>
      </c>
      <c r="B4635" s="1" t="str">
        <f ca="1">IFERROR(__xludf.DUMMYFUNCTION("GOOGLETRANSLATE(English!B4635, ""en"", ""bg"")"),"химия")</f>
        <v>химия</v>
      </c>
      <c r="C4635" s="1" t="str">
        <f ca="1">IFERROR(__xludf.DUMMYFUNCTION("GOOGLETRANSLATE(English!C4635, ""en"", ""bg"")"),"средата")</f>
        <v>средата</v>
      </c>
      <c r="D4635" s="1" t="str">
        <f ca="1">IFERROR(__xludf.DUMMYFUNCTION("GOOGLETRANSLATE(English!D4635, ""en"", ""bg"")"),"атоми и молекули")</f>
        <v>атоми и молекули</v>
      </c>
      <c r="E4635" s="1" t="str">
        <f ca="1">IFERROR(__xludf.DUMMYFUNCTION("GOOGLETRANSLATE(English!E4635, ""en"", ""bg"")"),"Можете ли да ми помогнете? Защо атомите се свързват?")</f>
        <v>Можете ли да ми помогнете? Защо атомите се свързват?</v>
      </c>
      <c r="F4635" s="1" t="str">
        <f ca="1">IFERROR(__xludf.DUMMYFUNCTION("GOOGLETRANSLATE(English!F4635,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635" s="1" t="str">
        <f ca="1">IFERROR(__xludf.DUMMYFUNCTION("GOOGLETRANSLATE(English!G4635, ""en"", ""bg"")"),"разговор")</f>
        <v>разговор</v>
      </c>
      <c r="H4635" s="1" t="str">
        <f ca="1">IFERROR(__xludf.DUMMYFUNCTION("GOOGLETRANSLATE(English!H4635, ""en"", ""bg"")"),"образователна_помощ")</f>
        <v>образователна_помощ</v>
      </c>
    </row>
    <row r="4636" spans="1:8" ht="13.2" x14ac:dyDescent="0.25">
      <c r="A4636" s="1" t="str">
        <f ca="1">IFERROR(__xludf.DUMMYFUNCTION("GOOGLETRANSLATE(English!A4636, ""en"", ""bg"")"),"hw_04387")</f>
        <v>hw_04387</v>
      </c>
      <c r="B4636" s="1" t="str">
        <f ca="1">IFERROR(__xludf.DUMMYFUNCTION("GOOGLETRANSLATE(English!B4636, ""en"", ""bg"")"),"физика")</f>
        <v>физика</v>
      </c>
      <c r="C4636" s="1" t="str">
        <f ca="1">IFERROR(__xludf.DUMMYFUNCTION("GOOGLETRANSLATE(English!C4636, ""en"", ""bg"")"),"средата")</f>
        <v>средата</v>
      </c>
      <c r="D4636" s="1" t="str">
        <f ca="1">IFERROR(__xludf.DUMMYFUNCTION("GOOGLETRANSLATE(English!D4636, ""en"", ""bg"")"),"състояния на материята")</f>
        <v>състояния на материята</v>
      </c>
      <c r="E4636" s="1" t="str">
        <f ca="1">IFERROR(__xludf.DUMMYFUNCTION("GOOGLETRANSLATE(English!E4636, ""en"", ""bg"")"),"Трябва да разбера състоянията на материята за изпита си.")</f>
        <v>Трябва да разбера състоянията на материята за изпита си.</v>
      </c>
      <c r="F4636" s="1" t="str">
        <f ca="1">IFERROR(__xludf.DUMMYFUNCTION("GOOGLETRANSLATE(English!F4636,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4636" s="1" t="str">
        <f ca="1">IFERROR(__xludf.DUMMYFUNCTION("GOOGLETRANSLATE(English!G4636, ""en"", ""bg"")"),"помощ_за_домашно_изпълнение")</f>
        <v>помощ_за_домашно_изпълнение</v>
      </c>
      <c r="H4636" s="1" t="str">
        <f ca="1">IFERROR(__xludf.DUMMYFUNCTION("GOOGLETRANSLATE(English!H4636, ""en"", ""bg"")"),"помощ_за_домашно_задаване")</f>
        <v>помощ_за_домашно_задаване</v>
      </c>
    </row>
    <row r="4637" spans="1:8" ht="13.2" x14ac:dyDescent="0.25">
      <c r="A4637" s="1" t="str">
        <f ca="1">IFERROR(__xludf.DUMMYFUNCTION("GOOGLETRANSLATE(English!A4637, ""en"", ""bg"")"),"conv_09118")</f>
        <v>conv_09118</v>
      </c>
      <c r="B4637" s="1" t="str">
        <f ca="1">IFERROR(__xludf.DUMMYFUNCTION("GOOGLETRANSLATE(English!B4637, ""en"", ""bg"")"),"биология")</f>
        <v>биология</v>
      </c>
      <c r="C4637" s="1" t="str">
        <f ca="1">IFERROR(__xludf.DUMMYFUNCTION("GOOGLETRANSLATE(English!C4637, ""en"", ""bg"")"),"високо")</f>
        <v>високо</v>
      </c>
      <c r="D4637" s="1" t="str">
        <f ca="1">IFERROR(__xludf.DUMMYFUNCTION("GOOGLETRANSLATE(English!D4637, ""en"", ""bg"")"),"синтез на протеини")</f>
        <v>синтез на протеини</v>
      </c>
      <c r="E4637" s="1" t="str">
        <f ca="1">IFERROR(__xludf.DUMMYFUNCTION("GOOGLETRANSLATE(English!E4637, ""en"", ""bg"")"),"Имам нужда от помощ с домашното си. Как работи синтезът на протеини?")</f>
        <v>Имам нужда от помощ с домашното си. Как работи синтезът на протеини?</v>
      </c>
      <c r="F4637" s="1" t="str">
        <f ca="1">IFERROR(__xludf.DUMMYFUNCTION("GOOGLETRANSLATE(English!F4637,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4637" s="1" t="str">
        <f ca="1">IFERROR(__xludf.DUMMYFUNCTION("GOOGLETRANSLATE(English!G4637, ""en"", ""bg"")"),"разговор")</f>
        <v>разговор</v>
      </c>
      <c r="H4637" s="1" t="str">
        <f ca="1">IFERROR(__xludf.DUMMYFUNCTION("GOOGLETRANSLATE(English!H4637, ""en"", ""bg"")"),"образователна_помощ")</f>
        <v>образователна_помощ</v>
      </c>
    </row>
    <row r="4638" spans="1:8" ht="13.2" x14ac:dyDescent="0.25">
      <c r="A4638" s="1" t="str">
        <f ca="1">IFERROR(__xludf.DUMMYFUNCTION("GOOGLETRANSLATE(English!A4638, ""en"", ""bg"")"),"conv_12826")</f>
        <v>conv_12826</v>
      </c>
      <c r="B4638" s="1" t="str">
        <f ca="1">IFERROR(__xludf.DUMMYFUNCTION("GOOGLETRANSLATE(English!B4638, ""en"", ""bg"")"),"химия")</f>
        <v>химия</v>
      </c>
      <c r="C4638" s="1" t="str">
        <f ca="1">IFERROR(__xludf.DUMMYFUNCTION("GOOGLETRANSLATE(English!C4638, ""en"", ""bg"")"),"високо")</f>
        <v>високо</v>
      </c>
      <c r="D4638" s="1" t="str">
        <f ca="1">IFERROR(__xludf.DUMMYFUNCTION("GOOGLETRANSLATE(English!D4638, ""en"", ""bg"")"),"стехиометрия")</f>
        <v>стехиометрия</v>
      </c>
      <c r="E4638" s="1" t="str">
        <f ca="1">IFERROR(__xludf.DUMMYFUNCTION("GOOGLETRANSLATE(English!E4638, ""en"", ""bg"")"),"Помогнете ми да уча за теста. Какво е стехиометрия?")</f>
        <v>Помогнете ми да уча за теста. Какво е стехиометрия?</v>
      </c>
      <c r="F4638" s="1" t="str">
        <f ca="1">IFERROR(__xludf.DUMMYFUNCTION("GOOGLETRANSLATE(English!F4638,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4638" s="1" t="str">
        <f ca="1">IFERROR(__xludf.DUMMYFUNCTION("GOOGLETRANSLATE(English!G4638, ""en"", ""bg"")"),"разговор")</f>
        <v>разговор</v>
      </c>
      <c r="H4638" s="1" t="str">
        <f ca="1">IFERROR(__xludf.DUMMYFUNCTION("GOOGLETRANSLATE(English!H4638, ""en"", ""bg"")"),"образователна_помощ")</f>
        <v>образователна_помощ</v>
      </c>
    </row>
    <row r="4639" spans="1:8" ht="13.2" x14ac:dyDescent="0.25">
      <c r="A4639" s="1" t="str">
        <f ca="1">IFERROR(__xludf.DUMMYFUNCTION("GOOGLETRANSLATE(English!A4639, ""en"", ""bg"")"),"qa_11156")</f>
        <v>qa_11156</v>
      </c>
      <c r="B4639" s="1" t="str">
        <f ca="1">IFERROR(__xludf.DUMMYFUNCTION("GOOGLETRANSLATE(English!B4639, ""en"", ""bg"")"),"биология")</f>
        <v>биология</v>
      </c>
      <c r="C4639" s="1" t="str">
        <f ca="1">IFERROR(__xludf.DUMMYFUNCTION("GOOGLETRANSLATE(English!C4639, ""en"", ""bg"")"),"високо")</f>
        <v>високо</v>
      </c>
      <c r="D4639" s="1" t="str">
        <f ca="1">IFERROR(__xludf.DUMMYFUNCTION("GOOGLETRANSLATE(English!D4639, ""en"", ""bg"")"),"митоза и мейоза")</f>
        <v>митоза и мейоза</v>
      </c>
      <c r="E4639" s="1" t="str">
        <f ca="1">IFERROR(__xludf.DUMMYFUNCTION("GOOGLETRANSLATE(English!E4639, ""en"", ""bg"")"),"Защо митозата и мейозата са важни в биологията?")</f>
        <v>Защо митозата и мейозата са важни в биологията?</v>
      </c>
      <c r="F4639" s="1" t="str">
        <f ca="1">IFERROR(__xludf.DUMMYFUNCTION("GOOGLETRANSLATE(English!F4639,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4639" s="1" t="str">
        <f ca="1">IFERROR(__xludf.DUMMYFUNCTION("GOOGLETRANSLATE(English!G4639, ""en"", ""bg"")"),"direct_qa")</f>
        <v>direct_qa</v>
      </c>
      <c r="H4639" s="1" t="str">
        <f ca="1">IFERROR(__xludf.DUMMYFUNCTION("GOOGLETRANSLATE(English!H4639, ""en"", ""bg"")"),"заявка_за_знание")</f>
        <v>заявка_за_знание</v>
      </c>
    </row>
    <row r="4640" spans="1:8" ht="13.2" x14ac:dyDescent="0.25">
      <c r="A4640" s="1" t="str">
        <f ca="1">IFERROR(__xludf.DUMMYFUNCTION("GOOGLETRANSLATE(English!A4640, ""en"", ""bg"")"),"qa_08124")</f>
        <v>qa_08124</v>
      </c>
      <c r="B4640" s="1" t="str">
        <f ca="1">IFERROR(__xludf.DUMMYFUNCTION("GOOGLETRANSLATE(English!B4640, ""en"", ""bg"")"),"физика")</f>
        <v>физика</v>
      </c>
      <c r="C4640" s="1" t="str">
        <f ca="1">IFERROR(__xludf.DUMMYFUNCTION("GOOGLETRANSLATE(English!C4640, ""en"", ""bg"")"),"високо")</f>
        <v>високо</v>
      </c>
      <c r="D4640" s="1" t="str">
        <f ca="1">IFERROR(__xludf.DUMMYFUNCTION("GOOGLETRANSLATE(English!D4640, ""en"", ""bg"")"),"радиоактивност")</f>
        <v>радиоактивност</v>
      </c>
      <c r="E4640" s="1" t="str">
        <f ca="1">IFERROR(__xludf.DUMMYFUNCTION("GOOGLETRANSLATE(English!E4640, ""en"", ""bg"")"),"Защо радиоактивността е важна?")</f>
        <v>Защо радиоактивността е важна?</v>
      </c>
      <c r="F4640" s="1" t="str">
        <f ca="1">IFERROR(__xludf.DUMMYFUNCTION("GOOGLETRANSLATE(English!F4640, ""en"", ""bg"")"),"Радиоактивността е важна, защото ни помага да разберем физическия свят около нас.")</f>
        <v>Радиоактивността е важна, защото ни помага да разберем физическия свят около нас.</v>
      </c>
      <c r="G4640" s="1" t="str">
        <f ca="1">IFERROR(__xludf.DUMMYFUNCTION("GOOGLETRANSLATE(English!G4640, ""en"", ""bg"")"),"direct_qa")</f>
        <v>direct_qa</v>
      </c>
      <c r="H4640" s="1" t="str">
        <f ca="1">IFERROR(__xludf.DUMMYFUNCTION("GOOGLETRANSLATE(English!H4640, ""en"", ""bg"")"),"заявка_за_знание")</f>
        <v>заявка_за_знание</v>
      </c>
    </row>
    <row r="4641" spans="1:8" ht="13.2" x14ac:dyDescent="0.25">
      <c r="A4641" s="1" t="str">
        <f ca="1">IFERROR(__xludf.DUMMYFUNCTION("GOOGLETRANSLATE(English!A4641, ""en"", ""bg"")"),"qa_03415")</f>
        <v>qa_03415</v>
      </c>
      <c r="B4641" s="1" t="str">
        <f ca="1">IFERROR(__xludf.DUMMYFUNCTION("GOOGLETRANSLATE(English!B4641, ""en"", ""bg"")"),"биология")</f>
        <v>биология</v>
      </c>
      <c r="C4641" s="1" t="str">
        <f ca="1">IFERROR(__xludf.DUMMYFUNCTION("GOOGLETRANSLATE(English!C4641, ""en"", ""bg"")"),"елементарен")</f>
        <v>елементарен</v>
      </c>
      <c r="D4641" s="1" t="str">
        <f ca="1">IFERROR(__xludf.DUMMYFUNCTION("GOOGLETRANSLATE(English!D4641, ""en"", ""bg"")"),"местообитания")</f>
        <v>местообитания</v>
      </c>
      <c r="E4641" s="1" t="str">
        <f ca="1">IFERROR(__xludf.DUMMYFUNCTION("GOOGLETRANSLATE(English!E4641, ""en"", ""bg"")"),"Защо местообитанията са важни в биологията?")</f>
        <v>Защо местообитанията са важни в биологията?</v>
      </c>
      <c r="F4641" s="1" t="str">
        <f ca="1">IFERROR(__xludf.DUMMYFUNCTION("GOOGLETRANSLATE(English!F4641,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4641" s="1" t="str">
        <f ca="1">IFERROR(__xludf.DUMMYFUNCTION("GOOGLETRANSLATE(English!G4641, ""en"", ""bg"")"),"direct_qa")</f>
        <v>direct_qa</v>
      </c>
      <c r="H4641" s="1" t="str">
        <f ca="1">IFERROR(__xludf.DUMMYFUNCTION("GOOGLETRANSLATE(English!H4641, ""en"", ""bg"")"),"заявка_за_знание")</f>
        <v>заявка_за_знание</v>
      </c>
    </row>
    <row r="4642" spans="1:8" ht="13.2" x14ac:dyDescent="0.25">
      <c r="A4642" s="1" t="str">
        <f ca="1">IFERROR(__xludf.DUMMYFUNCTION("GOOGLETRANSLATE(English!A4642, ""en"", ""bg"")"),"conv_11317")</f>
        <v>conv_11317</v>
      </c>
      <c r="B4642" s="1" t="str">
        <f ca="1">IFERROR(__xludf.DUMMYFUNCTION("GOOGLETRANSLATE(English!B4642, ""en"", ""bg"")"),"биология")</f>
        <v>биология</v>
      </c>
      <c r="C4642" s="1" t="str">
        <f ca="1">IFERROR(__xludf.DUMMYFUNCTION("GOOGLETRANSLATE(English!C4642, ""en"", ""bg"")"),"средата")</f>
        <v>средата</v>
      </c>
      <c r="D4642" s="1" t="str">
        <f ca="1">IFERROR(__xludf.DUMMYFUNCTION("GOOGLETRANSLATE(English!D4642, ""en"", ""bg"")"),"екосистеми")</f>
        <v>екосистеми</v>
      </c>
      <c r="E4642" s="1" t="str">
        <f ca="1">IFERROR(__xludf.DUMMYFUNCTION("GOOGLETRANSLATE(English!E4642, ""en"", ""bg"")"),"Здравей, преподавателю! Как работят екосистемите?")</f>
        <v>Здравей, преподавателю! Как работят екосистемите?</v>
      </c>
      <c r="F4642" s="1" t="str">
        <f ca="1">IFERROR(__xludf.DUMMYFUNCTION("GOOGLETRANSLATE(English!F4642, ""en"", ""bg"")"),"Екосистемите функционират чрез естествени процеси, които учените изучават от много години.")</f>
        <v>Екосистемите функционират чрез естествени процеси, които учените изучават от много години.</v>
      </c>
      <c r="G4642" s="1" t="str">
        <f ca="1">IFERROR(__xludf.DUMMYFUNCTION("GOOGLETRANSLATE(English!G4642, ""en"", ""bg"")"),"разговор")</f>
        <v>разговор</v>
      </c>
      <c r="H4642" s="1" t="str">
        <f ca="1">IFERROR(__xludf.DUMMYFUNCTION("GOOGLETRANSLATE(English!H4642, ""en"", ""bg"")"),"образователна_помощ")</f>
        <v>образователна_помощ</v>
      </c>
    </row>
    <row r="4643" spans="1:8" ht="13.2" x14ac:dyDescent="0.25">
      <c r="A4643" s="1" t="str">
        <f ca="1">IFERROR(__xludf.DUMMYFUNCTION("GOOGLETRANSLATE(English!A4643, ""en"", ""bg"")"),"qa_08804")</f>
        <v>qa_08804</v>
      </c>
      <c r="B4643" s="1" t="str">
        <f ca="1">IFERROR(__xludf.DUMMYFUNCTION("GOOGLETRANSLATE(English!B4643, ""en"", ""bg"")"),"физика")</f>
        <v>физика</v>
      </c>
      <c r="C4643" s="1" t="str">
        <f ca="1">IFERROR(__xludf.DUMMYFUNCTION("GOOGLETRANSLATE(English!C4643, ""en"", ""bg"")"),"високо")</f>
        <v>високо</v>
      </c>
      <c r="D4643" s="1" t="str">
        <f ca="1">IFERROR(__xludf.DUMMYFUNCTION("GOOGLETRANSLATE(English!D4643, ""en"", ""bg"")"),"оптика")</f>
        <v>оптика</v>
      </c>
      <c r="E4643" s="1" t="str">
        <f ca="1">IFERROR(__xludf.DUMMYFUNCTION("GOOGLETRANSLATE(English!E4643, ""en"", ""bg"")"),"Защо е важна оптиката?")</f>
        <v>Защо е важна оптиката?</v>
      </c>
      <c r="F4643" s="1" t="str">
        <f ca="1">IFERROR(__xludf.DUMMYFUNCTION("GOOGLETRANSLATE(English!F4643, ""en"", ""bg"")"),"Оптиката е важна, защото ни помага да разберем физическия свят около нас.")</f>
        <v>Оптиката е важна, защото ни помага да разберем физическия свят около нас.</v>
      </c>
      <c r="G4643" s="1" t="str">
        <f ca="1">IFERROR(__xludf.DUMMYFUNCTION("GOOGLETRANSLATE(English!G4643, ""en"", ""bg"")"),"direct_qa")</f>
        <v>direct_qa</v>
      </c>
      <c r="H4643" s="1" t="str">
        <f ca="1">IFERROR(__xludf.DUMMYFUNCTION("GOOGLETRANSLATE(English!H4643, ""en"", ""bg"")"),"заявка_за_знание")</f>
        <v>заявка_за_знание</v>
      </c>
    </row>
    <row r="4644" spans="1:8" ht="13.2" x14ac:dyDescent="0.25">
      <c r="A4644" s="1" t="str">
        <f ca="1">IFERROR(__xludf.DUMMYFUNCTION("GOOGLETRANSLATE(English!A4644, ""en"", ""bg"")"),"hw_07193")</f>
        <v>hw_07193</v>
      </c>
      <c r="B4644" s="1" t="str">
        <f ca="1">IFERROR(__xludf.DUMMYFUNCTION("GOOGLETRANSLATE(English!B4644, ""en"", ""bg"")"),"химия")</f>
        <v>химия</v>
      </c>
      <c r="C4644" s="1" t="str">
        <f ca="1">IFERROR(__xludf.DUMMYFUNCTION("GOOGLETRANSLATE(English!C4644, ""en"", ""bg"")"),"средата")</f>
        <v>средата</v>
      </c>
      <c r="D4644" s="1" t="str">
        <f ca="1">IFERROR(__xludf.DUMMYFUNCTION("GOOGLETRANSLATE(English!D4644, ""en"", ""bg"")"),"химични промени")</f>
        <v>химични промени</v>
      </c>
      <c r="E4644" s="1" t="str">
        <f ca="1">IFERROR(__xludf.DUMMYFUNCTION("GOOGLETRANSLATE(English!E4644, ""en"", ""bg"")"),"Имам проблеми с химичните промени в домашното си.")</f>
        <v>Имам проблеми с химичните промени в домашното си.</v>
      </c>
      <c r="F4644" s="1" t="str">
        <f ca="1">IFERROR(__xludf.DUMMYFUNCTION("GOOGLETRANSLATE(English!F4644,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644" s="1" t="str">
        <f ca="1">IFERROR(__xludf.DUMMYFUNCTION("GOOGLETRANSLATE(English!G4644, ""en"", ""bg"")"),"помощ_за_домашно_изпълнение")</f>
        <v>помощ_за_домашно_изпълнение</v>
      </c>
      <c r="H4644" s="1" t="str">
        <f ca="1">IFERROR(__xludf.DUMMYFUNCTION("GOOGLETRANSLATE(English!H4644, ""en"", ""bg"")"),"помощ_за_домашно_задаване")</f>
        <v>помощ_за_домашно_задаване</v>
      </c>
    </row>
    <row r="4645" spans="1:8" ht="13.2" x14ac:dyDescent="0.25">
      <c r="A4645" s="1" t="str">
        <f ca="1">IFERROR(__xludf.DUMMYFUNCTION("GOOGLETRANSLATE(English!A4645, ""en"", ""bg"")"),"conv_02827")</f>
        <v>conv_02827</v>
      </c>
      <c r="B4645" s="1" t="str">
        <f ca="1">IFERROR(__xludf.DUMMYFUNCTION("GOOGLETRANSLATE(English!B4645, ""en"", ""bg"")"),"биология")</f>
        <v>биология</v>
      </c>
      <c r="C4645" s="1" t="str">
        <f ca="1">IFERROR(__xludf.DUMMYFUNCTION("GOOGLETRANSLATE(English!C4645, ""en"", ""bg"")"),"високо")</f>
        <v>високо</v>
      </c>
      <c r="D4645" s="1" t="str">
        <f ca="1">IFERROR(__xludf.DUMMYFUNCTION("GOOGLETRANSLATE(English!D4645, ""en"", ""bg"")"),"митоза и мейоза")</f>
        <v>митоза и мейоза</v>
      </c>
      <c r="E4645" s="1" t="str">
        <f ca="1">IFERROR(__xludf.DUMMYFUNCTION("GOOGLETRANSLATE(English!E4645, ""en"", ""bg"")"),"Имам нужда от помощ с домашното. Можете ли да ми разкажете за митозата и мейозата?")</f>
        <v>Имам нужда от помощ с домашното. Можете ли да ми разкажете за митозата и мейозата?</v>
      </c>
      <c r="F4645" s="1" t="str">
        <f ca="1">IFERROR(__xludf.DUMMYFUNCTION("GOOGLETRANSLATE(English!F4645,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4645" s="1" t="str">
        <f ca="1">IFERROR(__xludf.DUMMYFUNCTION("GOOGLETRANSLATE(English!G4645, ""en"", ""bg"")"),"разговор")</f>
        <v>разговор</v>
      </c>
      <c r="H4645" s="1" t="str">
        <f ca="1">IFERROR(__xludf.DUMMYFUNCTION("GOOGLETRANSLATE(English!H4645, ""en"", ""bg"")"),"образователна_помощ")</f>
        <v>образователна_помощ</v>
      </c>
    </row>
    <row r="4646" spans="1:8" ht="13.2" x14ac:dyDescent="0.25">
      <c r="A4646" s="1" t="str">
        <f ca="1">IFERROR(__xludf.DUMMYFUNCTION("GOOGLETRANSLATE(English!A4646, ""en"", ""bg"")"),"conv_14267")</f>
        <v>conv_14267</v>
      </c>
      <c r="B4646" s="1" t="str">
        <f ca="1">IFERROR(__xludf.DUMMYFUNCTION("GOOGLETRANSLATE(English!B4646, ""en"", ""bg"")"),"биология")</f>
        <v>биология</v>
      </c>
      <c r="C4646" s="1" t="str">
        <f ca="1">IFERROR(__xludf.DUMMYFUNCTION("GOOGLETRANSLATE(English!C4646, ""en"", ""bg"")"),"високо")</f>
        <v>високо</v>
      </c>
      <c r="D4646" s="1" t="str">
        <f ca="1">IFERROR(__xludf.DUMMYFUNCTION("GOOGLETRANSLATE(English!D4646, ""en"", ""bg"")"),"молекулярна биология")</f>
        <v>молекулярна биология</v>
      </c>
      <c r="E4646" s="1" t="str">
        <f ca="1">IFERROR(__xludf.DUMMYFUNCTION("GOOGLETRANSLATE(English!E4646, ""en"", ""bg"")"),"Не разбирам тази тема. Можете ли да ми разкажете за молекулярната биология?")</f>
        <v>Не разбирам тази тема. Можете ли да ми разкажете за молекулярната биология?</v>
      </c>
      <c r="F4646" s="1" t="str">
        <f ca="1">IFERROR(__xludf.DUMMYFUNCTION("GOOGLETRANSLATE(English!F4646,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4646" s="1" t="str">
        <f ca="1">IFERROR(__xludf.DUMMYFUNCTION("GOOGLETRANSLATE(English!G4646, ""en"", ""bg"")"),"разговор")</f>
        <v>разговор</v>
      </c>
      <c r="H4646" s="1" t="str">
        <f ca="1">IFERROR(__xludf.DUMMYFUNCTION("GOOGLETRANSLATE(English!H4646, ""en"", ""bg"")"),"образователна_помощ")</f>
        <v>образователна_помощ</v>
      </c>
    </row>
    <row r="4647" spans="1:8" ht="13.2" x14ac:dyDescent="0.25">
      <c r="A4647" s="1" t="str">
        <f ca="1">IFERROR(__xludf.DUMMYFUNCTION("GOOGLETRANSLATE(English!A4647, ""en"", ""bg"")"),"qa_14964")</f>
        <v>qa_14964</v>
      </c>
      <c r="B4647" s="1" t="str">
        <f ca="1">IFERROR(__xludf.DUMMYFUNCTION("GOOGLETRANSLATE(English!B4647, ""en"", ""bg"")"),"биология")</f>
        <v>биология</v>
      </c>
      <c r="C4647" s="1" t="str">
        <f ca="1">IFERROR(__xludf.DUMMYFUNCTION("GOOGLETRANSLATE(English!C4647, ""en"", ""bg"")"),"елементарен")</f>
        <v>елементарен</v>
      </c>
      <c r="D4647" s="1" t="str">
        <f ca="1">IFERROR(__xludf.DUMMYFUNCTION("GOOGLETRANSLATE(English!D4647, ""en"", ""bg"")"),"човешкото тяло")</f>
        <v>човешкото тяло</v>
      </c>
      <c r="E4647" s="1" t="str">
        <f ca="1">IFERROR(__xludf.DUMMYFUNCTION("GOOGLETRANSLATE(English!E4647, ""en"", ""bg"")"),"Защо човешкото тяло е важно в биологията?")</f>
        <v>Защо човешкото тяло е важно в биологията?</v>
      </c>
      <c r="F4647" s="1" t="str">
        <f ca="1">IFERROR(__xludf.DUMMYFUNCTION("GOOGLETRANSLATE(English!F4647,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4647" s="1" t="str">
        <f ca="1">IFERROR(__xludf.DUMMYFUNCTION("GOOGLETRANSLATE(English!G4647, ""en"", ""bg"")"),"direct_qa")</f>
        <v>direct_qa</v>
      </c>
      <c r="H4647" s="1" t="str">
        <f ca="1">IFERROR(__xludf.DUMMYFUNCTION("GOOGLETRANSLATE(English!H4647, ""en"", ""bg"")"),"заявка_за_знание")</f>
        <v>заявка_за_знание</v>
      </c>
    </row>
    <row r="4648" spans="1:8" ht="13.2" x14ac:dyDescent="0.25">
      <c r="A4648" s="1" t="str">
        <f ca="1">IFERROR(__xludf.DUMMYFUNCTION("GOOGLETRANSLATE(English!A4648, ""en"", ""bg"")"),"conv_11686")</f>
        <v>conv_11686</v>
      </c>
      <c r="B4648" s="1" t="str">
        <f ca="1">IFERROR(__xludf.DUMMYFUNCTION("GOOGLETRANSLATE(English!B4648, ""en"", ""bg"")"),"химия")</f>
        <v>химия</v>
      </c>
      <c r="C4648" s="1" t="str">
        <f ca="1">IFERROR(__xludf.DUMMYFUNCTION("GOOGLETRANSLATE(English!C4648, ""en"", ""bg"")"),"средата")</f>
        <v>средата</v>
      </c>
      <c r="D4648" s="1" t="str">
        <f ca="1">IFERROR(__xludf.DUMMYFUNCTION("GOOGLETRANSLATE(English!D4648, ""en"", ""bg"")"),"основи на периодичната таблица")</f>
        <v>основи на периодичната таблица</v>
      </c>
      <c r="E4648" s="1" t="str">
        <f ca="1">IFERROR(__xludf.DUMMYFUNCTION("GOOGLETRANSLATE(English!E4648, ""en"", ""bg"")"),"Помогнете ми да уча за теста си. Защо е важно да се научат основите на периодичната таблица?")</f>
        <v>Помогнете ми да уча за теста си. Защо е важно да се научат основите на периодичната таблица?</v>
      </c>
      <c r="F4648" s="1" t="str">
        <f ca="1">IFERROR(__xludf.DUMMYFUNCTION("GOOGLETRANSLATE(English!F4648,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4648" s="1" t="str">
        <f ca="1">IFERROR(__xludf.DUMMYFUNCTION("GOOGLETRANSLATE(English!G4648, ""en"", ""bg"")"),"разговор")</f>
        <v>разговор</v>
      </c>
      <c r="H4648" s="1" t="str">
        <f ca="1">IFERROR(__xludf.DUMMYFUNCTION("GOOGLETRANSLATE(English!H4648, ""en"", ""bg"")"),"образователна_помощ")</f>
        <v>образователна_помощ</v>
      </c>
    </row>
    <row r="4649" spans="1:8" ht="13.2" x14ac:dyDescent="0.25">
      <c r="A4649" s="1" t="str">
        <f ca="1">IFERROR(__xludf.DUMMYFUNCTION("GOOGLETRANSLATE(English!A4649, ""en"", ""bg"")"),"conv_00201")</f>
        <v>conv_00201</v>
      </c>
      <c r="B4649" s="1" t="str">
        <f ca="1">IFERROR(__xludf.DUMMYFUNCTION("GOOGLETRANSLATE(English!B4649, ""en"", ""bg"")"),"химия")</f>
        <v>химия</v>
      </c>
      <c r="C4649" s="1" t="str">
        <f ca="1">IFERROR(__xludf.DUMMYFUNCTION("GOOGLETRANSLATE(English!C4649, ""en"", ""bg"")"),"високо")</f>
        <v>високо</v>
      </c>
      <c r="D4649" s="1" t="str">
        <f ca="1">IFERROR(__xludf.DUMMYFUNCTION("GOOGLETRANSLATE(English!D4649, ""en"", ""bg"")"),"равновесие")</f>
        <v>равновесие</v>
      </c>
      <c r="E4649" s="1" t="str">
        <f ca="1">IFERROR(__xludf.DUMMYFUNCTION("GOOGLETRANSLATE(English!E4649, ""en"", ""bg"")"),"Здравей, преподавателю! Защо равновесието е важно за учене?")</f>
        <v>Здравей, преподавателю! Защо равновесието е важно за учене?</v>
      </c>
      <c r="F4649" s="1" t="str">
        <f ca="1">IFERROR(__xludf.DUMMYFUNCTION("GOOGLETRANSLATE(English!F4649,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649" s="1" t="str">
        <f ca="1">IFERROR(__xludf.DUMMYFUNCTION("GOOGLETRANSLATE(English!G4649, ""en"", ""bg"")"),"разговор")</f>
        <v>разговор</v>
      </c>
      <c r="H4649" s="1" t="str">
        <f ca="1">IFERROR(__xludf.DUMMYFUNCTION("GOOGLETRANSLATE(English!H4649, ""en"", ""bg"")"),"образователна_помощ")</f>
        <v>образователна_помощ</v>
      </c>
    </row>
    <row r="4650" spans="1:8" ht="13.2" x14ac:dyDescent="0.25">
      <c r="A4650" s="1" t="str">
        <f ca="1">IFERROR(__xludf.DUMMYFUNCTION("GOOGLETRANSLATE(English!A4650, ""en"", ""bg"")"),"qa_03271")</f>
        <v>qa_03271</v>
      </c>
      <c r="B4650" s="1" t="str">
        <f ca="1">IFERROR(__xludf.DUMMYFUNCTION("GOOGLETRANSLATE(English!B4650, ""en"", ""bg"")"),"физика")</f>
        <v>физика</v>
      </c>
      <c r="C4650" s="1" t="str">
        <f ca="1">IFERROR(__xludf.DUMMYFUNCTION("GOOGLETRANSLATE(English!C4650, ""en"", ""bg"")"),"високо")</f>
        <v>високо</v>
      </c>
      <c r="D4650" s="1" t="str">
        <f ca="1">IFERROR(__xludf.DUMMYFUNCTION("GOOGLETRANSLATE(English!D4650, ""en"", ""bg"")"),"електромагнетизъм")</f>
        <v>електромагнетизъм</v>
      </c>
      <c r="E4650" s="1" t="str">
        <f ca="1">IFERROR(__xludf.DUMMYFUNCTION("GOOGLETRANSLATE(English!E4650, ""en"", ""bg"")"),"Защо електромагнетизмът е важен?")</f>
        <v>Защо електромагнетизмът е важен?</v>
      </c>
      <c r="F4650" s="1" t="str">
        <f ca="1">IFERROR(__xludf.DUMMYFUNCTION("GOOGLETRANSLATE(English!F4650,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4650" s="1" t="str">
        <f ca="1">IFERROR(__xludf.DUMMYFUNCTION("GOOGLETRANSLATE(English!G4650, ""en"", ""bg"")"),"direct_qa")</f>
        <v>direct_qa</v>
      </c>
      <c r="H4650" s="1" t="str">
        <f ca="1">IFERROR(__xludf.DUMMYFUNCTION("GOOGLETRANSLATE(English!H4650, ""en"", ""bg"")"),"заявка_за_знание")</f>
        <v>заявка_за_знание</v>
      </c>
    </row>
    <row r="4651" spans="1:8" ht="13.2" x14ac:dyDescent="0.25">
      <c r="A4651" s="1" t="str">
        <f ca="1">IFERROR(__xludf.DUMMYFUNCTION("GOOGLETRANSLATE(English!A4651, ""en"", ""bg"")"),"conv_04854")</f>
        <v>conv_04854</v>
      </c>
      <c r="B4651" s="1" t="str">
        <f ca="1">IFERROR(__xludf.DUMMYFUNCTION("GOOGLETRANSLATE(English!B4651, ""en"", ""bg"")"),"химия")</f>
        <v>химия</v>
      </c>
      <c r="C4651" s="1" t="str">
        <f ca="1">IFERROR(__xludf.DUMMYFUNCTION("GOOGLETRANSLATE(English!C4651, ""en"", ""bg"")"),"високо")</f>
        <v>високо</v>
      </c>
      <c r="D4651" s="1" t="str">
        <f ca="1">IFERROR(__xludf.DUMMYFUNCTION("GOOGLETRANSLATE(English!D4651, ""en"", ""bg"")"),"стехиометрия")</f>
        <v>стехиометрия</v>
      </c>
      <c r="E4651" s="1" t="str">
        <f ca="1">IFERROR(__xludf.DUMMYFUNCTION("GOOGLETRANSLATE(English!E4651, ""en"", ""bg"")"),"Здравей, преподавателю! Какво е стехиометрия?")</f>
        <v>Здравей, преподавателю! Какво е стехиометрия?</v>
      </c>
      <c r="F4651" s="1" t="str">
        <f ca="1">IFERROR(__xludf.DUMMYFUNCTION("GOOGLETRANSLATE(English!F4651, ""en"", ""bg"")"),"Стехиометрията е свързана с взаимодействията между различните видове материя и енергия.")</f>
        <v>Стехиометрията е свързана с взаимодействията между различните видове материя и енергия.</v>
      </c>
      <c r="G4651" s="1" t="str">
        <f ca="1">IFERROR(__xludf.DUMMYFUNCTION("GOOGLETRANSLATE(English!G4651, ""en"", ""bg"")"),"разговор")</f>
        <v>разговор</v>
      </c>
      <c r="H4651" s="1" t="str">
        <f ca="1">IFERROR(__xludf.DUMMYFUNCTION("GOOGLETRANSLATE(English!H4651, ""en"", ""bg"")"),"образователна_помощ")</f>
        <v>образователна_помощ</v>
      </c>
    </row>
    <row r="4652" spans="1:8" ht="13.2" x14ac:dyDescent="0.25">
      <c r="A4652" s="1" t="str">
        <f ca="1">IFERROR(__xludf.DUMMYFUNCTION("GOOGLETRANSLATE(English!A4652, ""en"", ""bg"")"),"conv_04272")</f>
        <v>conv_04272</v>
      </c>
      <c r="B4652" s="1" t="str">
        <f ca="1">IFERROR(__xludf.DUMMYFUNCTION("GOOGLETRANSLATE(English!B4652, ""en"", ""bg"")"),"химия")</f>
        <v>химия</v>
      </c>
      <c r="C4652" s="1" t="str">
        <f ca="1">IFERROR(__xludf.DUMMYFUNCTION("GOOGLETRANSLATE(English!C4652, ""en"", ""bg"")"),"елементарен")</f>
        <v>елементарен</v>
      </c>
      <c r="D4652" s="1" t="str">
        <f ca="1">IFERROR(__xludf.DUMMYFUNCTION("GOOGLETRANSLATE(English!D4652, ""en"", ""bg"")"),"смесване на материали")</f>
        <v>смесване на материали</v>
      </c>
      <c r="E4652" s="1" t="str">
        <f ca="1">IFERROR(__xludf.DUMMYFUNCTION("GOOGLETRANSLATE(English!E4652, ""en"", ""bg"")"),"Здравей, преподавателю! Защо някои неща се разтварят, а други не?")</f>
        <v>Здравей, преподавателю! Защо някои неща се разтварят, а други не?</v>
      </c>
      <c r="F4652" s="1" t="str">
        <f ca="1">IFERROR(__xludf.DUMMYFUNCTION("GOOGLETRANSLATE(English!F4652, ""en"", ""bg"")"),"Нещата се разтварят според поговорката „подобното се разтваря в подобно“ - подобните вещества са склонни да се смесват.")</f>
        <v>Нещата се разтварят според поговорката „подобното се разтваря в подобно“ - подобните вещества са склонни да се смесват.</v>
      </c>
      <c r="G4652" s="1" t="str">
        <f ca="1">IFERROR(__xludf.DUMMYFUNCTION("GOOGLETRANSLATE(English!G4652, ""en"", ""bg"")"),"разговор")</f>
        <v>разговор</v>
      </c>
      <c r="H4652" s="1" t="str">
        <f ca="1">IFERROR(__xludf.DUMMYFUNCTION("GOOGLETRANSLATE(English!H4652, ""en"", ""bg"")"),"образователна_помощ")</f>
        <v>образователна_помощ</v>
      </c>
    </row>
    <row r="4653" spans="1:8" ht="13.2" x14ac:dyDescent="0.25">
      <c r="A4653" s="1" t="str">
        <f ca="1">IFERROR(__xludf.DUMMYFUNCTION("GOOGLETRANSLATE(English!A4653, ""en"", ""bg"")"),"hw_14111")</f>
        <v>hw_14111</v>
      </c>
      <c r="B4653" s="1" t="str">
        <f ca="1">IFERROR(__xludf.DUMMYFUNCTION("GOOGLETRANSLATE(English!B4653, ""en"", ""bg"")"),"химия")</f>
        <v>химия</v>
      </c>
      <c r="C4653" s="1" t="str">
        <f ca="1">IFERROR(__xludf.DUMMYFUNCTION("GOOGLETRANSLATE(English!C4653, ""en"", ""bg"")"),"елементарен")</f>
        <v>елементарен</v>
      </c>
      <c r="D4653" s="1" t="str">
        <f ca="1">IFERROR(__xludf.DUMMYFUNCTION("GOOGLETRANSLATE(English!D4653, ""en"", ""bg"")"),"безопасност")</f>
        <v>безопасност</v>
      </c>
      <c r="E4653" s="1" t="str">
        <f ca="1">IFERROR(__xludf.DUMMYFUNCTION("GOOGLETRANSLATE(English!E4653, ""en"", ""bg"")"),"Трудно ми е с безопасността при домашното.")</f>
        <v>Трудно ми е с безопасността при домашното.</v>
      </c>
      <c r="F4653" s="1" t="str">
        <f ca="1">IFERROR(__xludf.DUMMYFUNCTION("GOOGLETRANSLATE(English!F4653,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4653" s="1" t="str">
        <f ca="1">IFERROR(__xludf.DUMMYFUNCTION("GOOGLETRANSLATE(English!G4653, ""en"", ""bg"")"),"помощ_за_домашно_изпълнение")</f>
        <v>помощ_за_домашно_изпълнение</v>
      </c>
      <c r="H4653" s="1" t="str">
        <f ca="1">IFERROR(__xludf.DUMMYFUNCTION("GOOGLETRANSLATE(English!H4653, ""en"", ""bg"")"),"помощ_за_домашно_задаване")</f>
        <v>помощ_за_домашно_задаване</v>
      </c>
    </row>
    <row r="4654" spans="1:8" ht="13.2" x14ac:dyDescent="0.25">
      <c r="A4654" s="1" t="str">
        <f ca="1">IFERROR(__xludf.DUMMYFUNCTION("GOOGLETRANSLATE(English!A4654, ""en"", ""bg"")"),"conv_09217")</f>
        <v>conv_09217</v>
      </c>
      <c r="B4654" s="1" t="str">
        <f ca="1">IFERROR(__xludf.DUMMYFUNCTION("GOOGLETRANSLATE(English!B4654, ""en"", ""bg"")"),"физика")</f>
        <v>физика</v>
      </c>
      <c r="C4654" s="1" t="str">
        <f ca="1">IFERROR(__xludf.DUMMYFUNCTION("GOOGLETRANSLATE(English!C4654, ""en"", ""bg"")"),"елементарен")</f>
        <v>елементарен</v>
      </c>
      <c r="D4654" s="1" t="str">
        <f ca="1">IFERROR(__xludf.DUMMYFUNCTION("GOOGLETRANSLATE(English!D4654, ""en"", ""bg"")"),"плаващ и потъващ")</f>
        <v>плаващ и потъващ</v>
      </c>
      <c r="E4654" s="1" t="str">
        <f ca="1">IFERROR(__xludf.DUMMYFUNCTION("GOOGLETRANSLATE(English!E4654, ""en"", ""bg"")"),"Не разбирам тази тема. Как функционират плаването и потъването във физиката?")</f>
        <v>Не разбирам тази тема. Как функционират плаването и потъването във физиката?</v>
      </c>
      <c r="F4654" s="1" t="str">
        <f ca="1">IFERROR(__xludf.DUMMYFUNCTION("GOOGLETRANSLATE(English!F4654, ""en"", ""bg"")"),"Плаването и потъването работят според научни принципи, които можем да наблюдаваме и измерваме.")</f>
        <v>Плаването и потъването работят според научни принципи, които можем да наблюдаваме и измерваме.</v>
      </c>
      <c r="G4654" s="1" t="str">
        <f ca="1">IFERROR(__xludf.DUMMYFUNCTION("GOOGLETRANSLATE(English!G4654, ""en"", ""bg"")"),"разговор")</f>
        <v>разговор</v>
      </c>
      <c r="H4654" s="1" t="str">
        <f ca="1">IFERROR(__xludf.DUMMYFUNCTION("GOOGLETRANSLATE(English!H4654, ""en"", ""bg"")"),"образователна_помощ")</f>
        <v>образователна_помощ</v>
      </c>
    </row>
    <row r="4655" spans="1:8" ht="13.2" x14ac:dyDescent="0.25">
      <c r="A4655" s="1" t="str">
        <f ca="1">IFERROR(__xludf.DUMMYFUNCTION("GOOGLETRANSLATE(English!A4655, ""en"", ""bg"")"),"conv_03414")</f>
        <v>conv_03414</v>
      </c>
      <c r="B4655" s="1" t="str">
        <f ca="1">IFERROR(__xludf.DUMMYFUNCTION("GOOGLETRANSLATE(English!B4655, ""en"", ""bg"")"),"химия")</f>
        <v>химия</v>
      </c>
      <c r="C4655" s="1" t="str">
        <f ca="1">IFERROR(__xludf.DUMMYFUNCTION("GOOGLETRANSLATE(English!C4655, ""en"", ""bg"")"),"високо")</f>
        <v>високо</v>
      </c>
      <c r="D4655" s="1" t="str">
        <f ca="1">IFERROR(__xludf.DUMMYFUNCTION("GOOGLETRANSLATE(English!D4655, ""en"", ""bg"")"),"равновесие")</f>
        <v>равновесие</v>
      </c>
      <c r="E4655" s="1" t="str">
        <f ca="1">IFERROR(__xludf.DUMMYFUNCTION("GOOGLETRANSLATE(English!E4655, ""en"", ""bg"")"),"Здравей, преподавателю! Защо равновесието е важно за учене?")</f>
        <v>Здравей, преподавателю! Защо равновесието е важно за учене?</v>
      </c>
      <c r="F4655" s="1" t="str">
        <f ca="1">IFERROR(__xludf.DUMMYFUNCTION("GOOGLETRANSLATE(English!F4655,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655" s="1" t="str">
        <f ca="1">IFERROR(__xludf.DUMMYFUNCTION("GOOGLETRANSLATE(English!G4655, ""en"", ""bg"")"),"разговор")</f>
        <v>разговор</v>
      </c>
      <c r="H4655" s="1" t="str">
        <f ca="1">IFERROR(__xludf.DUMMYFUNCTION("GOOGLETRANSLATE(English!H4655, ""en"", ""bg"")"),"образователна_помощ")</f>
        <v>образователна_помощ</v>
      </c>
    </row>
    <row r="4656" spans="1:8" ht="13.2" x14ac:dyDescent="0.25">
      <c r="A4656" s="1" t="str">
        <f ca="1">IFERROR(__xludf.DUMMYFUNCTION("GOOGLETRANSLATE(English!A4656, ""en"", ""bg"")"),"conv_13048")</f>
        <v>conv_13048</v>
      </c>
      <c r="B4656" s="1" t="str">
        <f ca="1">IFERROR(__xludf.DUMMYFUNCTION("GOOGLETRANSLATE(English!B4656, ""en"", ""bg"")"),"физика")</f>
        <v>физика</v>
      </c>
      <c r="C4656" s="1" t="str">
        <f ca="1">IFERROR(__xludf.DUMMYFUNCTION("GOOGLETRANSLATE(English!C4656, ""en"", ""bg"")"),"средата")</f>
        <v>средата</v>
      </c>
      <c r="D4656" s="1" t="str">
        <f ca="1">IFERROR(__xludf.DUMMYFUNCTION("GOOGLETRANSLATE(English!D4656, ""en"", ""bg"")"),"вълни")</f>
        <v>вълни</v>
      </c>
      <c r="E4656" s="1" t="str">
        <f ca="1">IFERROR(__xludf.DUMMYFUNCTION("GOOGLETRANSLATE(English!E4656, ""en"", ""bg"")"),"Не разбирам тази тема. Какво трябва да знам за вълните?")</f>
        <v>Не разбирам тази тема. Какво трябва да знам за вълните?</v>
      </c>
      <c r="F4656" s="1" t="str">
        <f ca="1">IFERROR(__xludf.DUMMYFUNCTION("GOOGLETRANSLATE(English!F4656, ""en"", ""bg"")"),"Ключовото нещо за вълните е как те следват законите на физиката, които управляват нашата вселена.")</f>
        <v>Ключовото нещо за вълните е как те следват законите на физиката, които управляват нашата вселена.</v>
      </c>
      <c r="G4656" s="1" t="str">
        <f ca="1">IFERROR(__xludf.DUMMYFUNCTION("GOOGLETRANSLATE(English!G4656, ""en"", ""bg"")"),"разговор")</f>
        <v>разговор</v>
      </c>
      <c r="H4656" s="1" t="str">
        <f ca="1">IFERROR(__xludf.DUMMYFUNCTION("GOOGLETRANSLATE(English!H4656, ""en"", ""bg"")"),"образователна_помощ")</f>
        <v>образователна_помощ</v>
      </c>
    </row>
    <row r="4657" spans="1:8" ht="13.2" x14ac:dyDescent="0.25">
      <c r="A4657" s="1" t="str">
        <f ca="1">IFERROR(__xludf.DUMMYFUNCTION("GOOGLETRANSLATE(English!A4657, ""en"", ""bg"")"),"qa_14630")</f>
        <v>qa_14630</v>
      </c>
      <c r="B4657" s="1" t="str">
        <f ca="1">IFERROR(__xludf.DUMMYFUNCTION("GOOGLETRANSLATE(English!B4657, ""en"", ""bg"")"),"биология")</f>
        <v>биология</v>
      </c>
      <c r="C4657" s="1" t="str">
        <f ca="1">IFERROR(__xludf.DUMMYFUNCTION("GOOGLETRANSLATE(English!C4657, ""en"", ""bg"")"),"високо")</f>
        <v>високо</v>
      </c>
      <c r="D4657" s="1" t="str">
        <f ca="1">IFERROR(__xludf.DUMMYFUNCTION("GOOGLETRANSLATE(English!D4657, ""en"", ""bg"")"),"митоза и мейоза")</f>
        <v>митоза и мейоза</v>
      </c>
      <c r="E4657" s="1" t="str">
        <f ca="1">IFERROR(__xludf.DUMMYFUNCTION("GOOGLETRANSLATE(English!E4657, ""en"", ""bg"")"),"Можете ли да ми разкажете за митозата и мейозата?")</f>
        <v>Можете ли да ми разкажете за митозата и мейозата?</v>
      </c>
      <c r="F4657" s="1" t="str">
        <f ca="1">IFERROR(__xludf.DUMMYFUNCTION("GOOGLETRANSLATE(English!F4657, ""en"", ""bg"")"),"Митозата и мейозата са завладяваща част от биологията! Те ни помагат да разберем как функционират живите организми.")</f>
        <v>Митозата и мейозата са завладяваща част от биологията! Те ни помагат да разберем как функционират живите организми.</v>
      </c>
      <c r="G4657" s="1" t="str">
        <f ca="1">IFERROR(__xludf.DUMMYFUNCTION("GOOGLETRANSLATE(English!G4657, ""en"", ""bg"")"),"direct_qa")</f>
        <v>direct_qa</v>
      </c>
      <c r="H4657" s="1" t="str">
        <f ca="1">IFERROR(__xludf.DUMMYFUNCTION("GOOGLETRANSLATE(English!H4657, ""en"", ""bg"")"),"заявка_за_знание")</f>
        <v>заявка_за_знание</v>
      </c>
    </row>
    <row r="4658" spans="1:8" ht="13.2" x14ac:dyDescent="0.25">
      <c r="A4658" s="1" t="str">
        <f ca="1">IFERROR(__xludf.DUMMYFUNCTION("GOOGLETRANSLATE(English!A4658, ""en"", ""bg"")"),"hw_00668")</f>
        <v>hw_00668</v>
      </c>
      <c r="B4658" s="1" t="str">
        <f ca="1">IFERROR(__xludf.DUMMYFUNCTION("GOOGLETRANSLATE(English!B4658, ""en"", ""bg"")"),"физика")</f>
        <v>физика</v>
      </c>
      <c r="C4658" s="1" t="str">
        <f ca="1">IFERROR(__xludf.DUMMYFUNCTION("GOOGLETRANSLATE(English!C4658, ""en"", ""bg"")"),"средата")</f>
        <v>средата</v>
      </c>
      <c r="D4658" s="1" t="str">
        <f ca="1">IFERROR(__xludf.DUMMYFUNCTION("GOOGLETRANSLATE(English!D4658, ""en"", ""bg"")"),"сили и движение")</f>
        <v>сили и движение</v>
      </c>
      <c r="E4658" s="1" t="str">
        <f ca="1">IFERROR(__xludf.DUMMYFUNCTION("GOOGLETRANSLATE(English!E4658, ""en"", ""bg"")"),"Можете ли да решите тази задача за сили и движение с мен?")</f>
        <v>Можете ли да решите тази задача за сили и движение с мен?</v>
      </c>
      <c r="F4658" s="1" t="str">
        <f ca="1">IFERROR(__xludf.DUMMYFUNCTION("GOOGLETRANSLATE(English!F4658,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4658" s="1" t="str">
        <f ca="1">IFERROR(__xludf.DUMMYFUNCTION("GOOGLETRANSLATE(English!G4658, ""en"", ""bg"")"),"помощ_за_домашно_изпълнение")</f>
        <v>помощ_за_домашно_изпълнение</v>
      </c>
      <c r="H4658" s="1" t="str">
        <f ca="1">IFERROR(__xludf.DUMMYFUNCTION("GOOGLETRANSLATE(English!H4658, ""en"", ""bg"")"),"помощ_за_домашно_задаване")</f>
        <v>помощ_за_домашно_задаване</v>
      </c>
    </row>
    <row r="4659" spans="1:8" ht="13.2" x14ac:dyDescent="0.25">
      <c r="A4659" s="1" t="str">
        <f ca="1">IFERROR(__xludf.DUMMYFUNCTION("GOOGLETRANSLATE(English!A4659, ""en"", ""bg"")"),"qa_00408")</f>
        <v>qa_00408</v>
      </c>
      <c r="B4659" s="1" t="str">
        <f ca="1">IFERROR(__xludf.DUMMYFUNCTION("GOOGLETRANSLATE(English!B4659, ""en"", ""bg"")"),"химия")</f>
        <v>химия</v>
      </c>
      <c r="C4659" s="1" t="str">
        <f ca="1">IFERROR(__xludf.DUMMYFUNCTION("GOOGLETRANSLATE(English!C4659, ""en"", ""bg"")"),"високо")</f>
        <v>високо</v>
      </c>
      <c r="D4659" s="1" t="str">
        <f ca="1">IFERROR(__xludf.DUMMYFUNCTION("GOOGLETRANSLATE(English!D4659, ""en"", ""bg"")"),"равновесие")</f>
        <v>равновесие</v>
      </c>
      <c r="E4659" s="1" t="str">
        <f ca="1">IFERROR(__xludf.DUMMYFUNCTION("GOOGLETRANSLATE(English!E4659, ""en"", ""bg"")"),"Защо е важно да се учи равновесие?")</f>
        <v>Защо е важно да се учи равновесие?</v>
      </c>
      <c r="F4659" s="1" t="str">
        <f ca="1">IFERROR(__xludf.DUMMYFUNCTION("GOOGLETRANSLATE(English!F4659,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659" s="1" t="str">
        <f ca="1">IFERROR(__xludf.DUMMYFUNCTION("GOOGLETRANSLATE(English!G4659, ""en"", ""bg"")"),"direct_qa")</f>
        <v>direct_qa</v>
      </c>
      <c r="H4659" s="1" t="str">
        <f ca="1">IFERROR(__xludf.DUMMYFUNCTION("GOOGLETRANSLATE(English!H4659, ""en"", ""bg"")"),"заявка_за_знание")</f>
        <v>заявка_за_знание</v>
      </c>
    </row>
    <row r="4660" spans="1:8" ht="13.2" x14ac:dyDescent="0.25">
      <c r="A4660" s="1" t="str">
        <f ca="1">IFERROR(__xludf.DUMMYFUNCTION("GOOGLETRANSLATE(English!A4660, ""en"", ""bg"")"),"hw_02665")</f>
        <v>hw_02665</v>
      </c>
      <c r="B4660" s="1" t="str">
        <f ca="1">IFERROR(__xludf.DUMMYFUNCTION("GOOGLETRANSLATE(English!B4660, ""en"", ""bg"")"),"биология")</f>
        <v>биология</v>
      </c>
      <c r="C4660" s="1" t="str">
        <f ca="1">IFERROR(__xludf.DUMMYFUNCTION("GOOGLETRANSLATE(English!C4660, ""en"", ""bg"")"),"високо")</f>
        <v>високо</v>
      </c>
      <c r="D4660" s="1" t="str">
        <f ca="1">IFERROR(__xludf.DUMMYFUNCTION("GOOGLETRANSLATE(English!D4660, ""en"", ""bg"")"),"модели на наследяване")</f>
        <v>модели на наследяване</v>
      </c>
      <c r="E4660" s="1" t="str">
        <f ca="1">IFERROR(__xludf.DUMMYFUNCTION("GOOGLETRANSLATE(English!E4660,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4660" s="1" t="str">
        <f ca="1">IFERROR(__xludf.DUMMYFUNCTION("GOOGLETRANSLATE(English!F4660,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4660" s="1" t="str">
        <f ca="1">IFERROR(__xludf.DUMMYFUNCTION("GOOGLETRANSLATE(English!G4660, ""en"", ""bg"")"),"помощ_за_домашно_изпълнение")</f>
        <v>помощ_за_домашно_изпълнение</v>
      </c>
      <c r="H4660" s="1" t="str">
        <f ca="1">IFERROR(__xludf.DUMMYFUNCTION("GOOGLETRANSLATE(English!H4660, ""en"", ""bg"")"),"помощ_за_домашно_задаване")</f>
        <v>помощ_за_домашно_задаване</v>
      </c>
    </row>
    <row r="4661" spans="1:8" ht="13.2" x14ac:dyDescent="0.25">
      <c r="A4661" s="1" t="str">
        <f ca="1">IFERROR(__xludf.DUMMYFUNCTION("GOOGLETRANSLATE(English!A4661, ""en"", ""bg"")"),"conv_14912")</f>
        <v>conv_14912</v>
      </c>
      <c r="B4661" s="1" t="str">
        <f ca="1">IFERROR(__xludf.DUMMYFUNCTION("GOOGLETRANSLATE(English!B4661, ""en"", ""bg"")"),"физика")</f>
        <v>физика</v>
      </c>
      <c r="C4661" s="1" t="str">
        <f ca="1">IFERROR(__xludf.DUMMYFUNCTION("GOOGLETRANSLATE(English!C4661, ""en"", ""bg"")"),"високо")</f>
        <v>високо</v>
      </c>
      <c r="D4661" s="1" t="str">
        <f ca="1">IFERROR(__xludf.DUMMYFUNCTION("GOOGLETRANSLATE(English!D4661, ""en"", ""bg"")"),"атомна структура")</f>
        <v>атомна структура</v>
      </c>
      <c r="E4661" s="1" t="str">
        <f ca="1">IFERROR(__xludf.DUMMYFUNCTION("GOOGLETRANSLATE(English!E4661, ""en"", ""bg"")"),"Имам научен въпрос. Как работи атомната структура във физиката?")</f>
        <v>Имам научен въпрос. Как работи атомната структура във физиката?</v>
      </c>
      <c r="F4661" s="1" t="str">
        <f ca="1">IFERROR(__xludf.DUMMYFUNCTION("GOOGLETRANSLATE(English!F4661,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4661" s="1" t="str">
        <f ca="1">IFERROR(__xludf.DUMMYFUNCTION("GOOGLETRANSLATE(English!G4661, ""en"", ""bg"")"),"разговор")</f>
        <v>разговор</v>
      </c>
      <c r="H4661" s="1" t="str">
        <f ca="1">IFERROR(__xludf.DUMMYFUNCTION("GOOGLETRANSLATE(English!H4661, ""en"", ""bg"")"),"образователна_помощ")</f>
        <v>образователна_помощ</v>
      </c>
    </row>
    <row r="4662" spans="1:8" ht="13.2" x14ac:dyDescent="0.25">
      <c r="A4662" s="1" t="str">
        <f ca="1">IFERROR(__xludf.DUMMYFUNCTION("GOOGLETRANSLATE(English!A4662, ""en"", ""bg"")"),"qa_00325")</f>
        <v>qa_00325</v>
      </c>
      <c r="B4662" s="1" t="str">
        <f ca="1">IFERROR(__xludf.DUMMYFUNCTION("GOOGLETRANSLATE(English!B4662, ""en"", ""bg"")"),"физика")</f>
        <v>физика</v>
      </c>
      <c r="C4662" s="1" t="str">
        <f ca="1">IFERROR(__xludf.DUMMYFUNCTION("GOOGLETRANSLATE(English!C4662, ""en"", ""bg"")"),"високо")</f>
        <v>високо</v>
      </c>
      <c r="D4662" s="1" t="str">
        <f ca="1">IFERROR(__xludf.DUMMYFUNCTION("GOOGLETRANSLATE(English!D4662, ""en"", ""bg"")"),"радиоактивност")</f>
        <v>радиоактивност</v>
      </c>
      <c r="E4662" s="1" t="str">
        <f ca="1">IFERROR(__xludf.DUMMYFUNCTION("GOOGLETRANSLATE(English!E4662, ""en"", ""bg"")"),"Какво трябва да знам за радиоактивността?")</f>
        <v>Какво трябва да знам за радиоактивността?</v>
      </c>
      <c r="F4662" s="1" t="str">
        <f ca="1">IFERROR(__xludf.DUMMYFUNCTION("GOOGLETRANSLATE(English!F4662, ""en"", ""bg"")"),"Ключовото нещо за радиоактивността е как тя следва законите на физиката, които управляват нашата вселена.")</f>
        <v>Ключовото нещо за радиоактивността е как тя следва законите на физиката, които управляват нашата вселена.</v>
      </c>
      <c r="G4662" s="1" t="str">
        <f ca="1">IFERROR(__xludf.DUMMYFUNCTION("GOOGLETRANSLATE(English!G4662, ""en"", ""bg"")"),"direct_qa")</f>
        <v>direct_qa</v>
      </c>
      <c r="H4662" s="1" t="str">
        <f ca="1">IFERROR(__xludf.DUMMYFUNCTION("GOOGLETRANSLATE(English!H4662, ""en"", ""bg"")"),"заявка_за_знание")</f>
        <v>заявка_за_знание</v>
      </c>
    </row>
    <row r="4663" spans="1:8" ht="13.2" x14ac:dyDescent="0.25">
      <c r="A4663" s="1" t="str">
        <f ca="1">IFERROR(__xludf.DUMMYFUNCTION("GOOGLETRANSLATE(English!A4663, ""en"", ""bg"")"),"qa_03970")</f>
        <v>qa_03970</v>
      </c>
      <c r="B4663" s="1" t="str">
        <f ca="1">IFERROR(__xludf.DUMMYFUNCTION("GOOGLETRANSLATE(English!B4663, ""en"", ""bg"")"),"биология")</f>
        <v>биология</v>
      </c>
      <c r="C4663" s="1" t="str">
        <f ca="1">IFERROR(__xludf.DUMMYFUNCTION("GOOGLETRANSLATE(English!C4663, ""en"", ""bg"")"),"средата")</f>
        <v>средата</v>
      </c>
      <c r="D4663" s="1" t="str">
        <f ca="1">IFERROR(__xludf.DUMMYFUNCTION("GOOGLETRANSLATE(English!D4663, ""en"", ""bg"")"),"класификация")</f>
        <v>класификация</v>
      </c>
      <c r="E4663" s="1" t="str">
        <f ca="1">IFERROR(__xludf.DUMMYFUNCTION("GOOGLETRANSLATE(English!E4663, ""en"", ""bg"")"),"Можете ли да ми кажете за класификацията?")</f>
        <v>Можете ли да ми кажете за класификацията?</v>
      </c>
      <c r="F4663" s="1" t="str">
        <f ca="1">IFERROR(__xludf.DUMMYFUNCTION("GOOGLETRANSLATE(English!F4663, ""en"", ""bg"")"),"Класификацията е завладяваща част от биологията! Тя ни помага да разберем как функционират живите същества.")</f>
        <v>Класификацията е завладяваща част от биологията! Тя ни помага да разберем как функционират живите същества.</v>
      </c>
      <c r="G4663" s="1" t="str">
        <f ca="1">IFERROR(__xludf.DUMMYFUNCTION("GOOGLETRANSLATE(English!G4663, ""en"", ""bg"")"),"direct_qa")</f>
        <v>direct_qa</v>
      </c>
      <c r="H4663" s="1" t="str">
        <f ca="1">IFERROR(__xludf.DUMMYFUNCTION("GOOGLETRANSLATE(English!H4663, ""en"", ""bg"")"),"заявка_за_знание")</f>
        <v>заявка_за_знание</v>
      </c>
    </row>
    <row r="4664" spans="1:8" ht="13.2" x14ac:dyDescent="0.25">
      <c r="A4664" s="1" t="str">
        <f ca="1">IFERROR(__xludf.DUMMYFUNCTION("GOOGLETRANSLATE(English!A4664, ""en"", ""bg"")"),"qa_08587")</f>
        <v>qa_08587</v>
      </c>
      <c r="B4664" s="1" t="str">
        <f ca="1">IFERROR(__xludf.DUMMYFUNCTION("GOOGLETRANSLATE(English!B4664, ""en"", ""bg"")"),"химия")</f>
        <v>химия</v>
      </c>
      <c r="C4664" s="1" t="str">
        <f ca="1">IFERROR(__xludf.DUMMYFUNCTION("GOOGLETRANSLATE(English!C4664, ""en"", ""bg"")"),"средата")</f>
        <v>средата</v>
      </c>
      <c r="D4664" s="1" t="str">
        <f ca="1">IFERROR(__xludf.DUMMYFUNCTION("GOOGLETRANSLATE(English!D4664, ""en"", ""bg"")"),"атоми и молекули")</f>
        <v>атоми и молекули</v>
      </c>
      <c r="E4664" s="1" t="str">
        <f ca="1">IFERROR(__xludf.DUMMYFUNCTION("GOOGLETRANSLATE(English!E4664, ""en"", ""bg"")"),"Защо атомите се свързват помежду си?")</f>
        <v>Защо атомите се свързват помежду си?</v>
      </c>
      <c r="F4664" s="1" t="str">
        <f ca="1">IFERROR(__xludf.DUMMYFUNCTION("GOOGLETRANSLATE(English!F4664,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664" s="1" t="str">
        <f ca="1">IFERROR(__xludf.DUMMYFUNCTION("GOOGLETRANSLATE(English!G4664, ""en"", ""bg"")"),"direct_qa")</f>
        <v>direct_qa</v>
      </c>
      <c r="H4664" s="1" t="str">
        <f ca="1">IFERROR(__xludf.DUMMYFUNCTION("GOOGLETRANSLATE(English!H4664, ""en"", ""bg"")"),"заявка_за_знание")</f>
        <v>заявка_за_знание</v>
      </c>
    </row>
    <row r="4665" spans="1:8" ht="13.2" x14ac:dyDescent="0.25">
      <c r="A4665" s="1" t="str">
        <f ca="1">IFERROR(__xludf.DUMMYFUNCTION("GOOGLETRANSLATE(English!A4665, ""en"", ""bg"")"),"hw_06969")</f>
        <v>hw_06969</v>
      </c>
      <c r="B4665" s="1" t="str">
        <f ca="1">IFERROR(__xludf.DUMMYFUNCTION("GOOGLETRANSLATE(English!B4665, ""en"", ""bg"")"),"физика")</f>
        <v>физика</v>
      </c>
      <c r="C4665" s="1" t="str">
        <f ca="1">IFERROR(__xludf.DUMMYFUNCTION("GOOGLETRANSLATE(English!C4665, ""en"", ""bg"")"),"елементарен")</f>
        <v>елементарен</v>
      </c>
      <c r="D4665" s="1" t="str">
        <f ca="1">IFERROR(__xludf.DUMMYFUNCTION("GOOGLETRANSLATE(English!D4665, ""en"", ""bg"")"),"звук")</f>
        <v>звук</v>
      </c>
      <c r="E4665" s="1" t="str">
        <f ca="1">IFERROR(__xludf.DUMMYFUNCTION("GOOGLETRANSLATE(English!E4665, ""en"", ""bg"")"),"Домашното ми по физика е за звук. Объркващо е!")</f>
        <v>Домашното ми по физика е за звук. Объркващо е!</v>
      </c>
      <c r="F4665" s="1" t="str">
        <f ca="1">IFERROR(__xludf.DUMMYFUNCTION("GOOGLETRANSLATE(English!F4665,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4665" s="1" t="str">
        <f ca="1">IFERROR(__xludf.DUMMYFUNCTION("GOOGLETRANSLATE(English!G4665, ""en"", ""bg"")"),"помощ_за_домашно_изпълнение")</f>
        <v>помощ_за_домашно_изпълнение</v>
      </c>
      <c r="H4665" s="1" t="str">
        <f ca="1">IFERROR(__xludf.DUMMYFUNCTION("GOOGLETRANSLATE(English!H4665, ""en"", ""bg"")"),"помощ_за_домашно_задаване")</f>
        <v>помощ_за_домашно_задаване</v>
      </c>
    </row>
    <row r="4666" spans="1:8" ht="13.2" x14ac:dyDescent="0.25">
      <c r="A4666" s="1" t="str">
        <f ca="1">IFERROR(__xludf.DUMMYFUNCTION("GOOGLETRANSLATE(English!A4666, ""en"", ""bg"")"),"conv_10024")</f>
        <v>conv_10024</v>
      </c>
      <c r="B4666" s="1" t="str">
        <f ca="1">IFERROR(__xludf.DUMMYFUNCTION("GOOGLETRANSLATE(English!B4666, ""en"", ""bg"")"),"физика")</f>
        <v>физика</v>
      </c>
      <c r="C4666" s="1" t="str">
        <f ca="1">IFERROR(__xludf.DUMMYFUNCTION("GOOGLETRANSLATE(English!C4666, ""en"", ""bg"")"),"високо")</f>
        <v>високо</v>
      </c>
      <c r="D4666" s="1" t="str">
        <f ca="1">IFERROR(__xludf.DUMMYFUNCTION("GOOGLETRANSLATE(English!D4666, ""en"", ""bg"")"),"механика")</f>
        <v>механика</v>
      </c>
      <c r="E4666" s="1" t="str">
        <f ca="1">IFERROR(__xludf.DUMMYFUNCTION("GOOGLETRANSLATE(English!E4666, ""en"", ""bg"")"),"Можете ли да ми обясните това? Можете ли да ми обясните механиката?")</f>
        <v>Можете ли да ми обясните това? Можете ли да ми обясните механиката?</v>
      </c>
      <c r="F4666" s="1" t="str">
        <f ca="1">IFERROR(__xludf.DUMMYFUNCTION("GOOGLETRANSLATE(English!F4666, ""en"", ""bg"")"),"Механиката е интересна физическа концепция, която ни помага да разберем как работят нещата в нашия свят!")</f>
        <v>Механиката е интересна физическа концепция, която ни помага да разберем как работят нещата в нашия свят!</v>
      </c>
      <c r="G4666" s="1" t="str">
        <f ca="1">IFERROR(__xludf.DUMMYFUNCTION("GOOGLETRANSLATE(English!G4666, ""en"", ""bg"")"),"разговор")</f>
        <v>разговор</v>
      </c>
      <c r="H4666" s="1" t="str">
        <f ca="1">IFERROR(__xludf.DUMMYFUNCTION("GOOGLETRANSLATE(English!H4666, ""en"", ""bg"")"),"образователна_помощ")</f>
        <v>образователна_помощ</v>
      </c>
    </row>
    <row r="4667" spans="1:8" ht="13.2" x14ac:dyDescent="0.25">
      <c r="A4667" s="1" t="str">
        <f ca="1">IFERROR(__xludf.DUMMYFUNCTION("GOOGLETRANSLATE(English!A4667, ""en"", ""bg"")"),"conv_01881")</f>
        <v>conv_01881</v>
      </c>
      <c r="B4667" s="1" t="str">
        <f ca="1">IFERROR(__xludf.DUMMYFUNCTION("GOOGLETRANSLATE(English!B4667, ""en"", ""bg"")"),"биология")</f>
        <v>биология</v>
      </c>
      <c r="C4667" s="1" t="str">
        <f ca="1">IFERROR(__xludf.DUMMYFUNCTION("GOOGLETRANSLATE(English!C4667, ""en"", ""bg"")"),"средата")</f>
        <v>средата</v>
      </c>
      <c r="D4667" s="1" t="str">
        <f ca="1">IFERROR(__xludf.DUMMYFUNCTION("GOOGLETRANSLATE(English!D4667, ""en"", ""bg"")"),"основи на еволюцията")</f>
        <v>основи на еволюцията</v>
      </c>
      <c r="E4667" s="1" t="str">
        <f ca="1">IFERROR(__xludf.DUMMYFUNCTION("GOOGLETRANSLATE(English!E4667, ""en"", ""bg"")"),"Не разбирам тази тема. Какво е важно да се знае за основите на еволюцията?")</f>
        <v>Не разбирам тази тема. Какво е важно да се знае за основите на еволюцията?</v>
      </c>
      <c r="F4667" s="1" t="str">
        <f ca="1">IFERROR(__xludf.DUMMYFUNCTION("GOOGLETRANSLATE(English!F4667, ""en"", ""bg"")"),"Най-важното нещо за основите на еволюцията е как тя се свързва с други части на живота и природата.")</f>
        <v>Най-важното нещо за основите на еволюцията е как тя се свързва с други части на живота и природата.</v>
      </c>
      <c r="G4667" s="1" t="str">
        <f ca="1">IFERROR(__xludf.DUMMYFUNCTION("GOOGLETRANSLATE(English!G4667, ""en"", ""bg"")"),"разговор")</f>
        <v>разговор</v>
      </c>
      <c r="H4667" s="1" t="str">
        <f ca="1">IFERROR(__xludf.DUMMYFUNCTION("GOOGLETRANSLATE(English!H4667, ""en"", ""bg"")"),"образователна_помощ")</f>
        <v>образователна_помощ</v>
      </c>
    </row>
    <row r="4668" spans="1:8" ht="13.2" x14ac:dyDescent="0.25">
      <c r="A4668" s="1" t="str">
        <f ca="1">IFERROR(__xludf.DUMMYFUNCTION("GOOGLETRANSLATE(English!A4668, ""en"", ""bg"")"),"qa_14171")</f>
        <v>qa_14171</v>
      </c>
      <c r="B4668" s="1" t="str">
        <f ca="1">IFERROR(__xludf.DUMMYFUNCTION("GOOGLETRANSLATE(English!B4668, ""en"", ""bg"")"),"химия")</f>
        <v>химия</v>
      </c>
      <c r="C4668" s="1" t="str">
        <f ca="1">IFERROR(__xludf.DUMMYFUNCTION("GOOGLETRANSLATE(English!C4668, ""en"", ""bg"")"),"високо")</f>
        <v>високо</v>
      </c>
      <c r="D4668" s="1" t="str">
        <f ca="1">IFERROR(__xludf.DUMMYFUNCTION("GOOGLETRANSLATE(English!D4668, ""en"", ""bg"")"),"електрохимия")</f>
        <v>електрохимия</v>
      </c>
      <c r="E4668" s="1" t="str">
        <f ca="1">IFERROR(__xludf.DUMMYFUNCTION("GOOGLETRANSLATE(English!E4668, ""en"", ""bg"")"),"Защо е важно да се учи електрохимия?")</f>
        <v>Защо е важно да се учи електрохимия?</v>
      </c>
      <c r="F4668" s="1" t="str">
        <f ca="1">IFERROR(__xludf.DUMMYFUNCTION("GOOGLETRANSLATE(English!F4668,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4668" s="1" t="str">
        <f ca="1">IFERROR(__xludf.DUMMYFUNCTION("GOOGLETRANSLATE(English!G4668, ""en"", ""bg"")"),"direct_qa")</f>
        <v>direct_qa</v>
      </c>
      <c r="H4668" s="1" t="str">
        <f ca="1">IFERROR(__xludf.DUMMYFUNCTION("GOOGLETRANSLATE(English!H4668, ""en"", ""bg"")"),"заявка_за_знание")</f>
        <v>заявка_за_знание</v>
      </c>
    </row>
    <row r="4669" spans="1:8" ht="13.2" x14ac:dyDescent="0.25">
      <c r="A4669" s="1" t="str">
        <f ca="1">IFERROR(__xludf.DUMMYFUNCTION("GOOGLETRANSLATE(English!A4669, ""en"", ""bg"")"),"conv_11489")</f>
        <v>conv_11489</v>
      </c>
      <c r="B4669" s="1" t="str">
        <f ca="1">IFERROR(__xludf.DUMMYFUNCTION("GOOGLETRANSLATE(English!B4669, ""en"", ""bg"")"),"химия")</f>
        <v>химия</v>
      </c>
      <c r="C4669" s="1" t="str">
        <f ca="1">IFERROR(__xludf.DUMMYFUNCTION("GOOGLETRANSLATE(English!C4669, ""en"", ""bg"")"),"средата")</f>
        <v>средата</v>
      </c>
      <c r="D4669" s="1" t="str">
        <f ca="1">IFERROR(__xludf.DUMMYFUNCTION("GOOGLETRANSLATE(English!D4669, ""en"", ""bg"")"),"основи на периодичната таблица")</f>
        <v>основи на периодичната таблица</v>
      </c>
      <c r="E4669" s="1" t="str">
        <f ca="1">IFERROR(__xludf.DUMMYFUNCTION("GOOGLETRANSLATE(English!E4669, ""en"", ""bg"")"),"Можете ли да ми помогнете? Защо е важно да се научат основите на периодичната таблица?")</f>
        <v>Можете ли да ми помогнете? Защо е важно да се научат основите на периодичната таблица?</v>
      </c>
      <c r="F4669" s="1" t="str">
        <f ca="1">IFERROR(__xludf.DUMMYFUNCTION("GOOGLETRANSLATE(English!F4669,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4669" s="1" t="str">
        <f ca="1">IFERROR(__xludf.DUMMYFUNCTION("GOOGLETRANSLATE(English!G4669, ""en"", ""bg"")"),"разговор")</f>
        <v>разговор</v>
      </c>
      <c r="H4669" s="1" t="str">
        <f ca="1">IFERROR(__xludf.DUMMYFUNCTION("GOOGLETRANSLATE(English!H4669, ""en"", ""bg"")"),"образователна_помощ")</f>
        <v>образователна_помощ</v>
      </c>
    </row>
    <row r="4670" spans="1:8" ht="13.2" x14ac:dyDescent="0.25">
      <c r="A4670" s="1" t="str">
        <f ca="1">IFERROR(__xludf.DUMMYFUNCTION("GOOGLETRANSLATE(English!A4670, ""en"", ""bg"")"),"qa_10346")</f>
        <v>qa_10346</v>
      </c>
      <c r="B4670" s="1" t="str">
        <f ca="1">IFERROR(__xludf.DUMMYFUNCTION("GOOGLETRANSLATE(English!B4670, ""en"", ""bg"")"),"физика")</f>
        <v>физика</v>
      </c>
      <c r="C4670" s="1" t="str">
        <f ca="1">IFERROR(__xludf.DUMMYFUNCTION("GOOGLETRANSLATE(English!C4670, ""en"", ""bg"")"),"елементарен")</f>
        <v>елементарен</v>
      </c>
      <c r="D4670" s="1" t="str">
        <f ca="1">IFERROR(__xludf.DUMMYFUNCTION("GOOGLETRANSLATE(English!D4670, ""en"", ""bg"")"),"плаващ и потъващ")</f>
        <v>плаващ и потъващ</v>
      </c>
      <c r="E4670" s="1" t="str">
        <f ca="1">IFERROR(__xludf.DUMMYFUNCTION("GOOGLETRANSLATE(English!E4670, ""en"", ""bg"")"),"Защо е важно да се носиш и да потъваш?")</f>
        <v>Защо е важно да се носиш и да потъваш?</v>
      </c>
      <c r="F4670" s="1" t="str">
        <f ca="1">IFERROR(__xludf.DUMMYFUNCTION("GOOGLETRANSLATE(English!F4670,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4670" s="1" t="str">
        <f ca="1">IFERROR(__xludf.DUMMYFUNCTION("GOOGLETRANSLATE(English!G4670, ""en"", ""bg"")"),"direct_qa")</f>
        <v>direct_qa</v>
      </c>
      <c r="H4670" s="1" t="str">
        <f ca="1">IFERROR(__xludf.DUMMYFUNCTION("GOOGLETRANSLATE(English!H4670, ""en"", ""bg"")"),"заявка_за_знание")</f>
        <v>заявка_за_знание</v>
      </c>
    </row>
    <row r="4671" spans="1:8" ht="13.2" x14ac:dyDescent="0.25">
      <c r="A4671" s="1" t="str">
        <f ca="1">IFERROR(__xludf.DUMMYFUNCTION("GOOGLETRANSLATE(English!A4671, ""en"", ""bg"")"),"conv_19280")</f>
        <v>conv_19280</v>
      </c>
      <c r="B4671" s="1" t="str">
        <f ca="1">IFERROR(__xludf.DUMMYFUNCTION("GOOGLETRANSLATE(English!B4671, ""en"", ""bg"")"),"физика")</f>
        <v>физика</v>
      </c>
      <c r="C4671" s="1" t="str">
        <f ca="1">IFERROR(__xludf.DUMMYFUNCTION("GOOGLETRANSLATE(English!C4671, ""en"", ""bg"")"),"високо")</f>
        <v>високо</v>
      </c>
      <c r="D4671" s="1" t="str">
        <f ca="1">IFERROR(__xludf.DUMMYFUNCTION("GOOGLETRANSLATE(English!D4671, ""en"", ""bg"")"),"оптика")</f>
        <v>оптика</v>
      </c>
      <c r="E4671" s="1" t="str">
        <f ca="1">IFERROR(__xludf.DUMMYFUNCTION("GOOGLETRANSLATE(English!E4671, ""en"", ""bg"")"),"Можете ли да ми помогнете? Можете ли да ми обясните оптиката?")</f>
        <v>Можете ли да ми помогнете? Можете ли да ми обясните оптиката?</v>
      </c>
      <c r="F4671" s="1" t="str">
        <f ca="1">IFERROR(__xludf.DUMMYFUNCTION("GOOGLETRANSLATE(English!F4671, ""en"", ""bg"")"),"Оптиката е интересна физическа концепция, която ни помага да разберем как работят нещата в нашия свят!")</f>
        <v>Оптиката е интересна физическа концепция, която ни помага да разберем как работят нещата в нашия свят!</v>
      </c>
      <c r="G4671" s="1" t="str">
        <f ca="1">IFERROR(__xludf.DUMMYFUNCTION("GOOGLETRANSLATE(English!G4671, ""en"", ""bg"")"),"разговор")</f>
        <v>разговор</v>
      </c>
      <c r="H4671" s="1" t="str">
        <f ca="1">IFERROR(__xludf.DUMMYFUNCTION("GOOGLETRANSLATE(English!H4671, ""en"", ""bg"")"),"образователна_помощ")</f>
        <v>образователна_помощ</v>
      </c>
    </row>
    <row r="4672" spans="1:8" ht="13.2" x14ac:dyDescent="0.25">
      <c r="A4672" s="1" t="str">
        <f ca="1">IFERROR(__xludf.DUMMYFUNCTION("GOOGLETRANSLATE(English!A4672, ""en"", ""bg"")"),"qa_07271")</f>
        <v>qa_07271</v>
      </c>
      <c r="B4672" s="1" t="str">
        <f ca="1">IFERROR(__xludf.DUMMYFUNCTION("GOOGLETRANSLATE(English!B4672, ""en"", ""bg"")"),"физика")</f>
        <v>физика</v>
      </c>
      <c r="C4672" s="1" t="str">
        <f ca="1">IFERROR(__xludf.DUMMYFUNCTION("GOOGLETRANSLATE(English!C4672, ""en"", ""bg"")"),"елементарен")</f>
        <v>елементарен</v>
      </c>
      <c r="D4672" s="1" t="str">
        <f ca="1">IFERROR(__xludf.DUMMYFUNCTION("GOOGLETRANSLATE(English!D4672, ""en"", ""bg"")"),"магнити")</f>
        <v>магнити</v>
      </c>
      <c r="E4672" s="1" t="str">
        <f ca="1">IFERROR(__xludf.DUMMYFUNCTION("GOOGLETRANSLATE(English!E4672, ""en"", ""bg"")"),"Можете ли да направите магнит по-силен?")</f>
        <v>Можете ли да направите магнит по-силен?</v>
      </c>
      <c r="F4672" s="1" t="str">
        <f ca="1">IFERROR(__xludf.DUMMYFUNCTION("GOOGLETRANSLATE(English!F4672,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4672" s="1" t="str">
        <f ca="1">IFERROR(__xludf.DUMMYFUNCTION("GOOGLETRANSLATE(English!G4672, ""en"", ""bg"")"),"direct_qa")</f>
        <v>direct_qa</v>
      </c>
      <c r="H4672" s="1" t="str">
        <f ca="1">IFERROR(__xludf.DUMMYFUNCTION("GOOGLETRANSLATE(English!H4672, ""en"", ""bg"")"),"заявка_за_знание")</f>
        <v>заявка_за_знание</v>
      </c>
    </row>
    <row r="4673" spans="1:8" ht="13.2" x14ac:dyDescent="0.25">
      <c r="A4673" s="1" t="str">
        <f ca="1">IFERROR(__xludf.DUMMYFUNCTION("GOOGLETRANSLATE(English!A4673, ""en"", ""bg"")"),"qa_06510")</f>
        <v>qa_06510</v>
      </c>
      <c r="B4673" s="1" t="str">
        <f ca="1">IFERROR(__xludf.DUMMYFUNCTION("GOOGLETRANSLATE(English!B4673, ""en"", ""bg"")"),"биология")</f>
        <v>биология</v>
      </c>
      <c r="C4673" s="1" t="str">
        <f ca="1">IFERROR(__xludf.DUMMYFUNCTION("GOOGLETRANSLATE(English!C4673, ""en"", ""bg"")"),"елементарен")</f>
        <v>елементарен</v>
      </c>
      <c r="D4673" s="1" t="str">
        <f ca="1">IFERROR(__xludf.DUMMYFUNCTION("GOOGLETRANSLATE(English!D4673, ""en"", ""bg"")"),"хранителни вериги")</f>
        <v>хранителни вериги</v>
      </c>
      <c r="E4673" s="1" t="str">
        <f ca="1">IFERROR(__xludf.DUMMYFUNCTION("GOOGLETRANSLATE(English!E4673, ""en"", ""bg"")"),"Как работят хранителните вериги?")</f>
        <v>Как работят хранителните вериги?</v>
      </c>
      <c r="F4673" s="1" t="str">
        <f ca="1">IFERROR(__xludf.DUMMYFUNCTION("GOOGLETRANSLATE(English!F4673,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4673" s="1" t="str">
        <f ca="1">IFERROR(__xludf.DUMMYFUNCTION("GOOGLETRANSLATE(English!G4673, ""en"", ""bg"")"),"direct_qa")</f>
        <v>direct_qa</v>
      </c>
      <c r="H4673" s="1" t="str">
        <f ca="1">IFERROR(__xludf.DUMMYFUNCTION("GOOGLETRANSLATE(English!H4673, ""en"", ""bg"")"),"заявка_за_знание")</f>
        <v>заявка_за_знание</v>
      </c>
    </row>
    <row r="4674" spans="1:8" ht="13.2" x14ac:dyDescent="0.25">
      <c r="A4674" s="1" t="str">
        <f ca="1">IFERROR(__xludf.DUMMYFUNCTION("GOOGLETRANSLATE(English!A4674, ""en"", ""bg"")"),"conv_02088")</f>
        <v>conv_02088</v>
      </c>
      <c r="B4674" s="1" t="str">
        <f ca="1">IFERROR(__xludf.DUMMYFUNCTION("GOOGLETRANSLATE(English!B4674, ""en"", ""bg"")"),"химия")</f>
        <v>химия</v>
      </c>
      <c r="C4674" s="1" t="str">
        <f ca="1">IFERROR(__xludf.DUMMYFUNCTION("GOOGLETRANSLATE(English!C4674, ""en"", ""bg"")"),"средата")</f>
        <v>средата</v>
      </c>
      <c r="D4674" s="1" t="str">
        <f ca="1">IFERROR(__xludf.DUMMYFUNCTION("GOOGLETRANSLATE(English!D4674, ""en"", ""bg"")"),"основи на периодичната таблица")</f>
        <v>основи на периодичната таблица</v>
      </c>
      <c r="E4674" s="1" t="str">
        <f ca="1">IFERROR(__xludf.DUMMYFUNCTION("GOOGLETRANSLATE(English!E4674, ""en"", ""bg"")"),"Можете ли да ми помогнете? Защо е важно да се научат основите на периодичната таблица?")</f>
        <v>Можете ли да ми помогнете? Защо е важно да се научат основите на периодичната таблица?</v>
      </c>
      <c r="F4674" s="1" t="str">
        <f ca="1">IFERROR(__xludf.DUMMYFUNCTION("GOOGLETRANSLATE(English!F4674, ""en"", ""bg"")"),"Изучаването на основите на периодичната таблица ни помага да разберем света около нас и как протичат химичните процеси в природата и технологиите.")</f>
        <v>Изучаването на основите на периодичната таблица ни помага да разберем света около нас и как протичат химичните процеси в природата и технологиите.</v>
      </c>
      <c r="G4674" s="1" t="str">
        <f ca="1">IFERROR(__xludf.DUMMYFUNCTION("GOOGLETRANSLATE(English!G4674, ""en"", ""bg"")"),"разговор")</f>
        <v>разговор</v>
      </c>
      <c r="H4674" s="1" t="str">
        <f ca="1">IFERROR(__xludf.DUMMYFUNCTION("GOOGLETRANSLATE(English!H4674, ""en"", ""bg"")"),"образователна_помощ")</f>
        <v>образователна_помощ</v>
      </c>
    </row>
    <row r="4675" spans="1:8" ht="13.2" x14ac:dyDescent="0.25">
      <c r="A4675" s="1" t="str">
        <f ca="1">IFERROR(__xludf.DUMMYFUNCTION("GOOGLETRANSLATE(English!A4675, ""en"", ""bg"")"),"conv_13213")</f>
        <v>conv_13213</v>
      </c>
      <c r="B4675" s="1" t="str">
        <f ca="1">IFERROR(__xludf.DUMMYFUNCTION("GOOGLETRANSLATE(English!B4675, ""en"", ""bg"")"),"химия")</f>
        <v>химия</v>
      </c>
      <c r="C4675" s="1" t="str">
        <f ca="1">IFERROR(__xludf.DUMMYFUNCTION("GOOGLETRANSLATE(English!C4675, ""en"", ""bg"")"),"елементарен")</f>
        <v>елементарен</v>
      </c>
      <c r="D4675" s="1" t="str">
        <f ca="1">IFERROR(__xludf.DUMMYFUNCTION("GOOGLETRANSLATE(English!D4675, ""en"", ""bg"")"),"твърди вещества, течности, газове")</f>
        <v>твърди вещества, течности, газове</v>
      </c>
      <c r="E4675" s="1" t="str">
        <f ca="1">IFERROR(__xludf.DUMMYFUNCTION("GOOGLETRANSLATE(English!E4675, ""en"", ""bg"")"),"Можете ли да ми помогнете? Как водата преминава от течност в газообразно състояние?")</f>
        <v>Можете ли да ми помогнете? Как водата преминава от течност в газообразно състояние?</v>
      </c>
      <c r="F4675" s="1" t="str">
        <f ca="1">IFERROR(__xludf.DUMMYFUNCTION("GOOGLETRANSLATE(English!F4675, ""en"", ""bg"")"),"Водата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пара.")</f>
        <v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v>
      </c>
      <c r="G4675" s="1" t="str">
        <f ca="1">IFERROR(__xludf.DUMMYFUNCTION("GOOGLETRANSLATE(English!G4675, ""en"", ""bg"")"),"разговор")</f>
        <v>разговор</v>
      </c>
      <c r="H4675" s="1" t="str">
        <f ca="1">IFERROR(__xludf.DUMMYFUNCTION("GOOGLETRANSLATE(English!H4675, ""en"", ""bg"")"),"образователна_помощ")</f>
        <v>образователна_помощ</v>
      </c>
    </row>
    <row r="4676" spans="1:8" ht="13.2" x14ac:dyDescent="0.25">
      <c r="A4676" s="1" t="str">
        <f ca="1">IFERROR(__xludf.DUMMYFUNCTION("GOOGLETRANSLATE(English!A4676, ""en"", ""bg"")"),"conv_14894")</f>
        <v>conv_14894</v>
      </c>
      <c r="B4676" s="1" t="str">
        <f ca="1">IFERROR(__xludf.DUMMYFUNCTION("GOOGLETRANSLATE(English!B4676, ""en"", ""bg"")"),"химия")</f>
        <v>химия</v>
      </c>
      <c r="C4676" s="1" t="str">
        <f ca="1">IFERROR(__xludf.DUMMYFUNCTION("GOOGLETRANSLATE(English!C4676, ""en"", ""bg"")"),"елементарен")</f>
        <v>елементарен</v>
      </c>
      <c r="D4676" s="1" t="str">
        <f ca="1">IFERROR(__xludf.DUMMYFUNCTION("GOOGLETRANSLATE(English!D4676, ""en"", ""bg"")"),"твърди вещества, течности, газове")</f>
        <v>твърди вещества, течности, газове</v>
      </c>
      <c r="E4676" s="1" t="str">
        <f ca="1">IFERROR(__xludf.DUMMYFUNCTION("GOOGLETRANSLATE(English!E4676, ""en"", ""bg"")"),"Помогнете ми да се подготвя за теста. Какво се случва, когато нагрявате твърдо вещество?")</f>
        <v>Помогнете ми да се подготвя за теста. Какво се случва, когато нагрявате твърдо вещество?</v>
      </c>
      <c r="F4676" s="1" t="str">
        <f ca="1">IFERROR(__xludf.DUMMYFUNCTION("GOOGLETRANSLATE(English!F4676,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4676" s="1" t="str">
        <f ca="1">IFERROR(__xludf.DUMMYFUNCTION("GOOGLETRANSLATE(English!G4676, ""en"", ""bg"")"),"разговор")</f>
        <v>разговор</v>
      </c>
      <c r="H4676" s="1" t="str">
        <f ca="1">IFERROR(__xludf.DUMMYFUNCTION("GOOGLETRANSLATE(English!H4676, ""en"", ""bg"")"),"образователна_помощ")</f>
        <v>образователна_помощ</v>
      </c>
    </row>
    <row r="4677" spans="1:8" ht="13.2" x14ac:dyDescent="0.25">
      <c r="A4677" s="1" t="str">
        <f ca="1">IFERROR(__xludf.DUMMYFUNCTION("GOOGLETRANSLATE(English!A4677, ""en"", ""bg"")"),"conv_02849")</f>
        <v>conv_02849</v>
      </c>
      <c r="B4677" s="1" t="str">
        <f ca="1">IFERROR(__xludf.DUMMYFUNCTION("GOOGLETRANSLATE(English!B4677, ""en"", ""bg"")"),"физика")</f>
        <v>физика</v>
      </c>
      <c r="C4677" s="1" t="str">
        <f ca="1">IFERROR(__xludf.DUMMYFUNCTION("GOOGLETRANSLATE(English!C4677, ""en"", ""bg"")"),"средата")</f>
        <v>средата</v>
      </c>
      <c r="D4677" s="1" t="str">
        <f ca="1">IFERROR(__xludf.DUMMYFUNCTION("GOOGLETRANSLATE(English!D4677, ""en"", ""bg"")"),"плътност")</f>
        <v>плътност</v>
      </c>
      <c r="E4677" s="1" t="str">
        <f ca="1">IFERROR(__xludf.DUMMYFUNCTION("GOOGLETRANSLATE(English!E4677, ""en"", ""bg"")"),"Помогнете ми да уча за теста си. Как работи плътността във физиката?")</f>
        <v>Помогнете ми да уча за теста си. Как работи плътността във физиката?</v>
      </c>
      <c r="F4677" s="1" t="str">
        <f ca="1">IFERROR(__xludf.DUMMYFUNCTION("GOOGLETRANSLATE(English!F4677,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4677" s="1" t="str">
        <f ca="1">IFERROR(__xludf.DUMMYFUNCTION("GOOGLETRANSLATE(English!G4677, ""en"", ""bg"")"),"разговор")</f>
        <v>разговор</v>
      </c>
      <c r="H4677" s="1" t="str">
        <f ca="1">IFERROR(__xludf.DUMMYFUNCTION("GOOGLETRANSLATE(English!H4677, ""en"", ""bg"")"),"образователна_помощ")</f>
        <v>образователна_помощ</v>
      </c>
    </row>
    <row r="4678" spans="1:8" ht="13.2" x14ac:dyDescent="0.25">
      <c r="A4678" s="1" t="str">
        <f ca="1">IFERROR(__xludf.DUMMYFUNCTION("GOOGLETRANSLATE(English!A4678, ""en"", ""bg"")"),"conv_18709")</f>
        <v>conv_18709</v>
      </c>
      <c r="B4678" s="1" t="str">
        <f ca="1">IFERROR(__xludf.DUMMYFUNCTION("GOOGLETRANSLATE(English!B4678, ""en"", ""bg"")"),"физика")</f>
        <v>физика</v>
      </c>
      <c r="C4678" s="1" t="str">
        <f ca="1">IFERROR(__xludf.DUMMYFUNCTION("GOOGLETRANSLATE(English!C4678, ""en"", ""bg"")"),"елементарен")</f>
        <v>елементарен</v>
      </c>
      <c r="D4678" s="1" t="str">
        <f ca="1">IFERROR(__xludf.DUMMYFUNCTION("GOOGLETRANSLATE(English!D4678, ""en"", ""bg"")"),"светлина и сянка")</f>
        <v>светлина и сянка</v>
      </c>
      <c r="E4678" s="1" t="str">
        <f ca="1">IFERROR(__xludf.DUMMYFUNCTION("GOOGLETRANSLATE(English!E4678, ""en"", ""bg"")"),"Можете ли да ми обясните това? Какво се случва, когато светлината попадне в огледало?")</f>
        <v>Можете ли да ми обясните това? Какво се случва, когато светлината попадне в огледало?</v>
      </c>
      <c r="F4678" s="1" t="str">
        <f ca="1">IFERROR(__xludf.DUMMYFUNCTION("GOOGLETRANSLATE(English!F4678,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4678" s="1" t="str">
        <f ca="1">IFERROR(__xludf.DUMMYFUNCTION("GOOGLETRANSLATE(English!G4678, ""en"", ""bg"")"),"разговор")</f>
        <v>разговор</v>
      </c>
      <c r="H4678" s="1" t="str">
        <f ca="1">IFERROR(__xludf.DUMMYFUNCTION("GOOGLETRANSLATE(English!H4678, ""en"", ""bg"")"),"образователна_помощ")</f>
        <v>образователна_помощ</v>
      </c>
    </row>
    <row r="4679" spans="1:8" ht="13.2" x14ac:dyDescent="0.25">
      <c r="A4679" s="1" t="str">
        <f ca="1">IFERROR(__xludf.DUMMYFUNCTION("GOOGLETRANSLATE(English!A4679, ""en"", ""bg"")"),"qa_03843")</f>
        <v>qa_03843</v>
      </c>
      <c r="B4679" s="1" t="str">
        <f ca="1">IFERROR(__xludf.DUMMYFUNCTION("GOOGLETRANSLATE(English!B4679, ""en"", ""bg"")"),"биология")</f>
        <v>биология</v>
      </c>
      <c r="C4679" s="1" t="str">
        <f ca="1">IFERROR(__xludf.DUMMYFUNCTION("GOOGLETRANSLATE(English!C4679, ""en"", ""bg"")"),"елементарен")</f>
        <v>елементарен</v>
      </c>
      <c r="D4679" s="1" t="str">
        <f ca="1">IFERROR(__xludf.DUMMYFUNCTION("GOOGLETRANSLATE(English!D4679, ""en"", ""bg"")"),"сетива")</f>
        <v>сетива</v>
      </c>
      <c r="E4679" s="1" t="str">
        <f ca="1">IFERROR(__xludf.DUMMYFUNCTION("GOOGLETRANSLATE(English!E4679, ""en"", ""bg"")"),"Можете ли да ми разкажете за сетивата?")</f>
        <v>Можете ли да ми разкажете за сетивата?</v>
      </c>
      <c r="F4679" s="1" t="str">
        <f ca="1">IFERROR(__xludf.DUMMYFUNCTION("GOOGLETRANSLATE(English!F4679, ""en"", ""bg"")"),"Сетивата са завладяваща част от биологията! Те ни помагат да разберем как функционират живите същества.")</f>
        <v>Сетивата са завладяваща част от биологията! Те ни помагат да разберем как функционират живите същества.</v>
      </c>
      <c r="G4679" s="1" t="str">
        <f ca="1">IFERROR(__xludf.DUMMYFUNCTION("GOOGLETRANSLATE(English!G4679, ""en"", ""bg"")"),"direct_qa")</f>
        <v>direct_qa</v>
      </c>
      <c r="H4679" s="1" t="str">
        <f ca="1">IFERROR(__xludf.DUMMYFUNCTION("GOOGLETRANSLATE(English!H4679, ""en"", ""bg"")"),"заявка_за_знание")</f>
        <v>заявка_за_знание</v>
      </c>
    </row>
    <row r="4680" spans="1:8" ht="13.2" x14ac:dyDescent="0.25">
      <c r="A4680" s="1" t="str">
        <f ca="1">IFERROR(__xludf.DUMMYFUNCTION("GOOGLETRANSLATE(English!A4680, ""en"", ""bg"")"),"qa_05178")</f>
        <v>qa_05178</v>
      </c>
      <c r="B4680" s="1" t="str">
        <f ca="1">IFERROR(__xludf.DUMMYFUNCTION("GOOGLETRANSLATE(English!B4680, ""en"", ""bg"")"),"физика")</f>
        <v>физика</v>
      </c>
      <c r="C4680" s="1" t="str">
        <f ca="1">IFERROR(__xludf.DUMMYFUNCTION("GOOGLETRANSLATE(English!C4680, ""en"", ""bg"")"),"елементарен")</f>
        <v>елементарен</v>
      </c>
      <c r="D4680" s="1" t="str">
        <f ca="1">IFERROR(__xludf.DUMMYFUNCTION("GOOGLETRANSLATE(English!D4680, ""en"", ""bg"")"),"светлина и сянка")</f>
        <v>светлина и сянка</v>
      </c>
      <c r="E4680" s="1" t="str">
        <f ca="1">IFERROR(__xludf.DUMMYFUNCTION("GOOGLETRANSLATE(English!E4680, ""en"", ""bg"")"),"Как се правят сенките?")</f>
        <v>Как се правят сенките?</v>
      </c>
      <c r="F4680" s="1" t="str">
        <f ca="1">IFERROR(__xludf.DUMMYFUNCTION("GOOGLETRANSLATE(English!F4680, ""en"", ""bg"")"),"Сенките се образуват, когато даден обект блокира светлината, която достига до повърхност зад него.")</f>
        <v>Сенките се образуват, когато даден обект блокира светлината, която достига до повърхност зад него.</v>
      </c>
      <c r="G4680" s="1" t="str">
        <f ca="1">IFERROR(__xludf.DUMMYFUNCTION("GOOGLETRANSLATE(English!G4680, ""en"", ""bg"")"),"direct_qa")</f>
        <v>direct_qa</v>
      </c>
      <c r="H4680" s="1" t="str">
        <f ca="1">IFERROR(__xludf.DUMMYFUNCTION("GOOGLETRANSLATE(English!H4680, ""en"", ""bg"")"),"заявка_за_знание")</f>
        <v>заявка_за_знание</v>
      </c>
    </row>
    <row r="4681" spans="1:8" ht="13.2" x14ac:dyDescent="0.25">
      <c r="A4681" s="1" t="str">
        <f ca="1">IFERROR(__xludf.DUMMYFUNCTION("GOOGLETRANSLATE(English!A4681, ""en"", ""bg"")"),"conv_13052")</f>
        <v>conv_13052</v>
      </c>
      <c r="B4681" s="1" t="str">
        <f ca="1">IFERROR(__xludf.DUMMYFUNCTION("GOOGLETRANSLATE(English!B4681, ""en"", ""bg"")"),"физика")</f>
        <v>физика</v>
      </c>
      <c r="C4681" s="1" t="str">
        <f ca="1">IFERROR(__xludf.DUMMYFUNCTION("GOOGLETRANSLATE(English!C4681, ""en"", ""bg"")"),"елементарен")</f>
        <v>елементарен</v>
      </c>
      <c r="D4681" s="1" t="str">
        <f ca="1">IFERROR(__xludf.DUMMYFUNCTION("GOOGLETRANSLATE(English!D4681, ""en"", ""bg"")"),"плаващ и потъващ")</f>
        <v>плаващ и потъващ</v>
      </c>
      <c r="E4681" s="1" t="str">
        <f ca="1">IFERROR(__xludf.DUMMYFUNCTION("GOOGLETRANSLATE(English!E4681, ""en"", ""bg"")"),"Можете ли да ми обясните това? Какво трябва да знам за плаването и потъването?")</f>
        <v>Можете ли да ми обясните това? Какво трябва да знам за плаването и потъването?</v>
      </c>
      <c r="F4681" s="1" t="str">
        <f ca="1">IFERROR(__xludf.DUMMYFUNCTION("GOOGLETRANSLATE(English!F4681, ""en"", ""bg"")"),"Ключовото нещо за плаването и потъването е как то следва законите на физиката, които управляват нашата вселена.")</f>
        <v>Ключовото нещо за плаването и потъването е как то следва законите на физиката, които управляват нашата вселена.</v>
      </c>
      <c r="G4681" s="1" t="str">
        <f ca="1">IFERROR(__xludf.DUMMYFUNCTION("GOOGLETRANSLATE(English!G4681, ""en"", ""bg"")"),"разговор")</f>
        <v>разговор</v>
      </c>
      <c r="H4681" s="1" t="str">
        <f ca="1">IFERROR(__xludf.DUMMYFUNCTION("GOOGLETRANSLATE(English!H4681, ""en"", ""bg"")"),"образователна_помощ")</f>
        <v>образователна_помощ</v>
      </c>
    </row>
    <row r="4682" spans="1:8" ht="13.2" x14ac:dyDescent="0.25">
      <c r="A4682" s="1" t="str">
        <f ca="1">IFERROR(__xludf.DUMMYFUNCTION("GOOGLETRANSLATE(English!A4682, ""en"", ""bg"")"),"hw_08676")</f>
        <v>hw_08676</v>
      </c>
      <c r="B4682" s="1" t="str">
        <f ca="1">IFERROR(__xludf.DUMMYFUNCTION("GOOGLETRANSLATE(English!B4682, ""en"", ""bg"")"),"химия")</f>
        <v>химия</v>
      </c>
      <c r="C4682" s="1" t="str">
        <f ca="1">IFERROR(__xludf.DUMMYFUNCTION("GOOGLETRANSLATE(English!C4682, ""en"", ""bg"")"),"елементарен")</f>
        <v>елементарен</v>
      </c>
      <c r="D4682" s="1" t="str">
        <f ca="1">IFERROR(__xludf.DUMMYFUNCTION("GOOGLETRANSLATE(English!D4682, ""en"", ""bg"")"),"промени в материалите")</f>
        <v>промени в материалите</v>
      </c>
      <c r="E4682" s="1" t="str">
        <f ca="1">IFERROR(__xludf.DUMMYFUNCTION("GOOGLETRANSLATE(English!E4682, ""en"", ""bg"")"),"Трудно ми е да променям материалите в домашните си работи.")</f>
        <v>Трудно ми е да променям материалите в домашните си работи.</v>
      </c>
      <c r="F4682" s="1" t="str">
        <f ca="1">IFERROR(__xludf.DUMMYFUNCTION("GOOGLETRANSLATE(English!F4682,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4682" s="1" t="str">
        <f ca="1">IFERROR(__xludf.DUMMYFUNCTION("GOOGLETRANSLATE(English!G4682, ""en"", ""bg"")"),"помощ_за_домашно_изпълнение")</f>
        <v>помощ_за_домашно_изпълнение</v>
      </c>
      <c r="H4682" s="1" t="str">
        <f ca="1">IFERROR(__xludf.DUMMYFUNCTION("GOOGLETRANSLATE(English!H4682, ""en"", ""bg"")"),"помощ_за_домашно_задаване")</f>
        <v>помощ_за_домашно_задаване</v>
      </c>
    </row>
    <row r="4683" spans="1:8" ht="13.2" x14ac:dyDescent="0.25">
      <c r="A4683" s="1" t="str">
        <f ca="1">IFERROR(__xludf.DUMMYFUNCTION("GOOGLETRANSLATE(English!A4683, ""en"", ""bg"")"),"hw_09852")</f>
        <v>hw_09852</v>
      </c>
      <c r="B4683" s="1" t="str">
        <f ca="1">IFERROR(__xludf.DUMMYFUNCTION("GOOGLETRANSLATE(English!B4683, ""en"", ""bg"")"),"физика")</f>
        <v>физика</v>
      </c>
      <c r="C4683" s="1" t="str">
        <f ca="1">IFERROR(__xludf.DUMMYFUNCTION("GOOGLETRANSLATE(English!C4683, ""en"", ""bg"")"),"високо")</f>
        <v>високо</v>
      </c>
      <c r="D4683" s="1" t="str">
        <f ca="1">IFERROR(__xludf.DUMMYFUNCTION("GOOGLETRANSLATE(English!D4683, ""en"", ""bg"")"),"термодинамика")</f>
        <v>термодинамика</v>
      </c>
      <c r="E4683" s="1" t="str">
        <f ca="1">IFERROR(__xludf.DUMMYFUNCTION("GOOGLETRANSLATE(English!E4683, ""en"", ""bg"")"),"Можете ли да решите тази задача по термодинамика с мен?")</f>
        <v>Можете ли да решите тази задача по термодинамика с мен?</v>
      </c>
      <c r="F4683" s="1" t="str">
        <f ca="1">IFERROR(__xludf.DUMMYFUNCTION("GOOGLETRANSLATE(English!F4683, ""en"", ""bg"")"),"Ще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запо"&amp;"чнете?")</f>
        <v>Ще се радвам да ви помогна с термодинамиката! Нека това се раздели на прости стъпки. Първо, нека обясня какво означава термодинамика и защо е важна във физиката. След това можем да разгледаме заедно някои примери. С коя конкретна част бихте искали да започнете?</v>
      </c>
      <c r="G4683" s="1" t="str">
        <f ca="1">IFERROR(__xludf.DUMMYFUNCTION("GOOGLETRANSLATE(English!G4683, ""en"", ""bg"")"),"помощ_за_домашно_изпълнение")</f>
        <v>помощ_за_домашно_изпълнение</v>
      </c>
      <c r="H4683" s="1" t="str">
        <f ca="1">IFERROR(__xludf.DUMMYFUNCTION("GOOGLETRANSLATE(English!H4683, ""en"", ""bg"")"),"помощ_за_домашно_задаване")</f>
        <v>помощ_за_домашно_задаване</v>
      </c>
    </row>
    <row r="4684" spans="1:8" ht="13.2" x14ac:dyDescent="0.25">
      <c r="A4684" s="1" t="str">
        <f ca="1">IFERROR(__xludf.DUMMYFUNCTION("GOOGLETRANSLATE(English!A4684, ""en"", ""bg"")"),"hw_04665")</f>
        <v>hw_04665</v>
      </c>
      <c r="B4684" s="1" t="str">
        <f ca="1">IFERROR(__xludf.DUMMYFUNCTION("GOOGLETRANSLATE(English!B4684, ""en"", ""bg"")"),"физика")</f>
        <v>физика</v>
      </c>
      <c r="C4684" s="1" t="str">
        <f ca="1">IFERROR(__xludf.DUMMYFUNCTION("GOOGLETRANSLATE(English!C4684, ""en"", ""bg"")"),"елементарен")</f>
        <v>елементарен</v>
      </c>
      <c r="D4684" s="1" t="str">
        <f ca="1">IFERROR(__xludf.DUMMYFUNCTION("GOOGLETRANSLATE(English!D4684, ""en"", ""bg"")"),"светлина и сянка")</f>
        <v>светлина и сянка</v>
      </c>
      <c r="E4684" s="1" t="str">
        <f ca="1">IFERROR(__xludf.DUMMYFUNCTION("GOOGLETRANSLATE(English!E4684, ""en"", ""bg"")"),"Домашното ми по физика е за светлина и сянка. Объркващо е!")</f>
        <v>Домашното ми по физика е за светлина и сянка. Объркващо е!</v>
      </c>
      <c r="F4684" s="1" t="str">
        <f ca="1">IFERROR(__xludf.DUMMYFUNCTION("GOOGLETRANSLATE(English!F4684, ""en"", ""bg"")"),"Ще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и"&amp;"скали да започнете?")</f>
        <v>Ще се радвам да ви помогна със светлината и сянката! Нека разделя това на прости стъпки. Първо, нека обясня какво означават светлината и сянката и защо са важни във физиката. След това можем да разгледаме заедно някои примери. С коя конкретна част бихте искали да започнете?</v>
      </c>
      <c r="G4684" s="1" t="str">
        <f ca="1">IFERROR(__xludf.DUMMYFUNCTION("GOOGLETRANSLATE(English!G4684, ""en"", ""bg"")"),"помощ_за_домашно_изпълнение")</f>
        <v>помощ_за_домашно_изпълнение</v>
      </c>
      <c r="H4684" s="1" t="str">
        <f ca="1">IFERROR(__xludf.DUMMYFUNCTION("GOOGLETRANSLATE(English!H4684, ""en"", ""bg"")"),"помощ_за_домашно_задаване")</f>
        <v>помощ_за_домашно_задаване</v>
      </c>
    </row>
    <row r="4685" spans="1:8" ht="13.2" x14ac:dyDescent="0.25">
      <c r="A4685" s="1" t="str">
        <f ca="1">IFERROR(__xludf.DUMMYFUNCTION("GOOGLETRANSLATE(English!A4685, ""en"", ""bg"")"),"hw_00728")</f>
        <v>hw_00728</v>
      </c>
      <c r="B4685" s="1" t="str">
        <f ca="1">IFERROR(__xludf.DUMMYFUNCTION("GOOGLETRANSLATE(English!B4685, ""en"", ""bg"")"),"биология")</f>
        <v>биология</v>
      </c>
      <c r="C4685" s="1" t="str">
        <f ca="1">IFERROR(__xludf.DUMMYFUNCTION("GOOGLETRANSLATE(English!C4685, ""en"", ""bg"")"),"елементарен")</f>
        <v>елементарен</v>
      </c>
      <c r="D4685" s="1" t="str">
        <f ca="1">IFERROR(__xludf.DUMMYFUNCTION("GOOGLETRANSLATE(English!D4685, ""en"", ""bg"")"),"сетива")</f>
        <v>сетива</v>
      </c>
      <c r="E4685" s="1" t="str">
        <f ca="1">IFERROR(__xludf.DUMMYFUNCTION("GOOGLETRANSLATE(English!E4685, ""en"", ""bg"")"),"Можете ли да обясните сетивата за моя научен проект?")</f>
        <v>Можете ли да обясните сетивата за моя научен проект?</v>
      </c>
      <c r="F4685" s="1" t="str">
        <f ca="1">IFERROR(__xludf.DUMMYFUNCTION("GOOGLETRANSLATE(English!F4685, ""en"", ""bg"")"),"Ще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започнете?")</f>
        <v>Ще се радвам да ви помогна със сетивата! Нека разделя това на прости стъпки. Първо, нека обясня какво означава сетивата и защо са важни в биологията. След това можем да разгледаме заедно някои примери. С коя конкретна част бихте искали да започнете?</v>
      </c>
      <c r="G4685" s="1" t="str">
        <f ca="1">IFERROR(__xludf.DUMMYFUNCTION("GOOGLETRANSLATE(English!G4685, ""en"", ""bg"")"),"помощ_за_домашно_изпълнение")</f>
        <v>помощ_за_домашно_изпълнение</v>
      </c>
      <c r="H4685" s="1" t="str">
        <f ca="1">IFERROR(__xludf.DUMMYFUNCTION("GOOGLETRANSLATE(English!H4685, ""en"", ""bg"")"),"помощ_за_домашно_задаване")</f>
        <v>помощ_за_домашно_задаване</v>
      </c>
    </row>
    <row r="4686" spans="1:8" ht="13.2" x14ac:dyDescent="0.25">
      <c r="A4686" s="1" t="str">
        <f ca="1">IFERROR(__xludf.DUMMYFUNCTION("GOOGLETRANSLATE(English!A4686, ""en"", ""bg"")"),"qa_14417")</f>
        <v>qa_14417</v>
      </c>
      <c r="B4686" s="1" t="str">
        <f ca="1">IFERROR(__xludf.DUMMYFUNCTION("GOOGLETRANSLATE(English!B4686, ""en"", ""bg"")"),"физика")</f>
        <v>физика</v>
      </c>
      <c r="C4686" s="1" t="str">
        <f ca="1">IFERROR(__xludf.DUMMYFUNCTION("GOOGLETRANSLATE(English!C4686, ""en"", ""bg"")"),"елементарен")</f>
        <v>елементарен</v>
      </c>
      <c r="D4686" s="1" t="str">
        <f ca="1">IFERROR(__xludf.DUMMYFUNCTION("GOOGLETRANSLATE(English!D4686, ""en"", ""bg"")"),"магнити")</f>
        <v>магнити</v>
      </c>
      <c r="E4686" s="1" t="str">
        <f ca="1">IFERROR(__xludf.DUMMYFUNCTION("GOOGLETRANSLATE(English!E4686, ""en"", ""bg"")"),"Какви са полюсите на магнита?")</f>
        <v>Какви са полюсите на магнита?</v>
      </c>
      <c r="F4686" s="1" t="str">
        <f ca="1">IFERROR(__xludf.DUMMYFUNCTION("GOOGLETRANSLATE(English!F4686, ""en"", ""bg"")"),"Всеки магнит има два полюса: северен и южен. Противоположните полюси се привличат, а еднаквите се отблъскват.")</f>
        <v>Всеки магнит има два полюса: северен и южен. Противоположните полюси се привличат, а еднаквите се отблъскват.</v>
      </c>
      <c r="G4686" s="1" t="str">
        <f ca="1">IFERROR(__xludf.DUMMYFUNCTION("GOOGLETRANSLATE(English!G4686, ""en"", ""bg"")"),"direct_qa")</f>
        <v>direct_qa</v>
      </c>
      <c r="H4686" s="1" t="str">
        <f ca="1">IFERROR(__xludf.DUMMYFUNCTION("GOOGLETRANSLATE(English!H4686, ""en"", ""bg"")"),"заявка_за_знание")</f>
        <v>заявка_за_знание</v>
      </c>
    </row>
    <row r="4687" spans="1:8" ht="13.2" x14ac:dyDescent="0.25">
      <c r="A4687" s="1" t="str">
        <f ca="1">IFERROR(__xludf.DUMMYFUNCTION("GOOGLETRANSLATE(English!A4687, ""en"", ""bg"")"),"conv_11610")</f>
        <v>conv_11610</v>
      </c>
      <c r="B4687" s="1" t="str">
        <f ca="1">IFERROR(__xludf.DUMMYFUNCTION("GOOGLETRANSLATE(English!B4687, ""en"", ""bg"")"),"биология")</f>
        <v>биология</v>
      </c>
      <c r="C4687" s="1" t="str">
        <f ca="1">IFERROR(__xludf.DUMMYFUNCTION("GOOGLETRANSLATE(English!C4687, ""en"", ""bg"")"),"средата")</f>
        <v>средата</v>
      </c>
      <c r="D4687" s="1" t="str">
        <f ca="1">IFERROR(__xludf.DUMMYFUNCTION("GOOGLETRANSLATE(English!D4687, ""en"", ""bg"")"),"дишане")</f>
        <v>дишане</v>
      </c>
      <c r="E4687" s="1" t="str">
        <f ca="1">IFERROR(__xludf.DUMMYFUNCTION("GOOGLETRANSLATE(English!E4687, ""en"", ""bg"")"),"Можете ли да ми обясните това? Какво е важно да знаем за дишането?")</f>
        <v>Можете ли да ми обясните това? Какво е важно да знаем за дишането?</v>
      </c>
      <c r="F4687" s="1" t="str">
        <f ca="1">IFERROR(__xludf.DUMMYFUNCTION("GOOGLETRANSLATE(English!F4687, ""en"", ""bg"")"),"Най-важното нещо за дишането е как то се свързва с други части на живота и природата.")</f>
        <v>Най-важното нещо за дишането е как то се свързва с други части на живота и природата.</v>
      </c>
      <c r="G4687" s="1" t="str">
        <f ca="1">IFERROR(__xludf.DUMMYFUNCTION("GOOGLETRANSLATE(English!G4687, ""en"", ""bg"")"),"разговор")</f>
        <v>разговор</v>
      </c>
      <c r="H4687" s="1" t="str">
        <f ca="1">IFERROR(__xludf.DUMMYFUNCTION("GOOGLETRANSLATE(English!H4687, ""en"", ""bg"")"),"образователна_помощ")</f>
        <v>образователна_помощ</v>
      </c>
    </row>
    <row r="4688" spans="1:8" ht="13.2" x14ac:dyDescent="0.25">
      <c r="A4688" s="1" t="str">
        <f ca="1">IFERROR(__xludf.DUMMYFUNCTION("GOOGLETRANSLATE(English!A4688, ""en"", ""bg"")"),"qa_12137")</f>
        <v>qa_12137</v>
      </c>
      <c r="B4688" s="1" t="str">
        <f ca="1">IFERROR(__xludf.DUMMYFUNCTION("GOOGLETRANSLATE(English!B4688, ""en"", ""bg"")"),"биология")</f>
        <v>биология</v>
      </c>
      <c r="C4688" s="1" t="str">
        <f ca="1">IFERROR(__xludf.DUMMYFUNCTION("GOOGLETRANSLATE(English!C4688, ""en"", ""bg"")"),"високо")</f>
        <v>високо</v>
      </c>
      <c r="D4688" s="1" t="str">
        <f ca="1">IFERROR(__xludf.DUMMYFUNCTION("GOOGLETRANSLATE(English!D4688, ""en"", ""bg"")"),"Структура на ДНК")</f>
        <v>Структура на ДНК</v>
      </c>
      <c r="E4688" s="1" t="str">
        <f ca="1">IFERROR(__xludf.DUMMYFUNCTION("GOOGLETRANSLATE(English!E4688, ""en"", ""bg"")"),"Защо структурата на ДНК е важна в биологията?")</f>
        <v>Защо структурата на ДНК е важна в биологията?</v>
      </c>
      <c r="F4688" s="1" t="str">
        <f ca="1">IFERROR(__xludf.DUMMYFUNCTION("GOOGLETRANSLATE(English!F4688,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4688" s="1" t="str">
        <f ca="1">IFERROR(__xludf.DUMMYFUNCTION("GOOGLETRANSLATE(English!G4688, ""en"", ""bg"")"),"direct_qa")</f>
        <v>direct_qa</v>
      </c>
      <c r="H4688" s="1" t="str">
        <f ca="1">IFERROR(__xludf.DUMMYFUNCTION("GOOGLETRANSLATE(English!H4688, ""en"", ""bg"")"),"заявка_за_знание")</f>
        <v>заявка_за_знание</v>
      </c>
    </row>
    <row r="4689" spans="1:8" ht="13.2" x14ac:dyDescent="0.25">
      <c r="A4689" s="1" t="str">
        <f ca="1">IFERROR(__xludf.DUMMYFUNCTION("GOOGLETRANSLATE(English!A4689, ""en"", ""bg"")"),"conv_12315")</f>
        <v>conv_12315</v>
      </c>
      <c r="B4689" s="1" t="str">
        <f ca="1">IFERROR(__xludf.DUMMYFUNCTION("GOOGLETRANSLATE(English!B4689, ""en"", ""bg"")"),"химия")</f>
        <v>химия</v>
      </c>
      <c r="C4689" s="1" t="str">
        <f ca="1">IFERROR(__xludf.DUMMYFUNCTION("GOOGLETRANSLATE(English!C4689, ""en"", ""bg"")"),"средата")</f>
        <v>средата</v>
      </c>
      <c r="D4689" s="1" t="str">
        <f ca="1">IFERROR(__xludf.DUMMYFUNCTION("GOOGLETRANSLATE(English!D4689, ""en"", ""bg"")"),"атоми и молекули")</f>
        <v>атоми и молекули</v>
      </c>
      <c r="E4689" s="1" t="str">
        <f ca="1">IFERROR(__xludf.DUMMYFUNCTION("GOOGLETRANSLATE(English!E4689, ""en"", ""bg"")"),"Здравей, преподавателю! Защо атомите се свързват?")</f>
        <v>Здравей, преподавателю! Защо атомите се свързват?</v>
      </c>
      <c r="F4689" s="1" t="str">
        <f ca="1">IFERROR(__xludf.DUMMYFUNCTION("GOOGLETRANSLATE(English!F4689,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689" s="1" t="str">
        <f ca="1">IFERROR(__xludf.DUMMYFUNCTION("GOOGLETRANSLATE(English!G4689, ""en"", ""bg"")"),"разговор")</f>
        <v>разговор</v>
      </c>
      <c r="H4689" s="1" t="str">
        <f ca="1">IFERROR(__xludf.DUMMYFUNCTION("GOOGLETRANSLATE(English!H4689, ""en"", ""bg"")"),"образователна_помощ")</f>
        <v>образователна_помощ</v>
      </c>
    </row>
    <row r="4690" spans="1:8" ht="13.2" x14ac:dyDescent="0.25">
      <c r="A4690" s="1" t="str">
        <f ca="1">IFERROR(__xludf.DUMMYFUNCTION("GOOGLETRANSLATE(English!A4690, ""en"", ""bg"")"),"conv_02735")</f>
        <v>conv_02735</v>
      </c>
      <c r="B4690" s="1" t="str">
        <f ca="1">IFERROR(__xludf.DUMMYFUNCTION("GOOGLETRANSLATE(English!B4690, ""en"", ""bg"")"),"физика")</f>
        <v>физика</v>
      </c>
      <c r="C4690" s="1" t="str">
        <f ca="1">IFERROR(__xludf.DUMMYFUNCTION("GOOGLETRANSLATE(English!C4690, ""en"", ""bg"")"),"елементарен")</f>
        <v>елементарен</v>
      </c>
      <c r="D4690" s="1" t="str">
        <f ca="1">IFERROR(__xludf.DUMMYFUNCTION("GOOGLETRANSLATE(English!D4690, ""en"", ""bg"")"),"плаващ и потъващ")</f>
        <v>плаващ и потъващ</v>
      </c>
      <c r="E4690" s="1" t="str">
        <f ca="1">IFERROR(__xludf.DUMMYFUNCTION("GOOGLETRANSLATE(English!E4690, ""en"", ""bg"")"),"Имам научен въпрос. Можете ли да ми обясните какво е плаване и потъване?")</f>
        <v>Имам научен въпрос. Можете ли да ми обясните какво е плаване и потъване?</v>
      </c>
      <c r="F4690" s="1" t="str">
        <f ca="1">IFERROR(__xludf.DUMMYFUNCTION("GOOGLETRANSLATE(English!F4690,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4690" s="1" t="str">
        <f ca="1">IFERROR(__xludf.DUMMYFUNCTION("GOOGLETRANSLATE(English!G4690, ""en"", ""bg"")"),"разговор")</f>
        <v>разговор</v>
      </c>
      <c r="H4690" s="1" t="str">
        <f ca="1">IFERROR(__xludf.DUMMYFUNCTION("GOOGLETRANSLATE(English!H4690, ""en"", ""bg"")"),"образователна_помощ")</f>
        <v>образователна_помощ</v>
      </c>
    </row>
    <row r="4691" spans="1:8" ht="13.2" x14ac:dyDescent="0.25">
      <c r="A4691" s="1" t="str">
        <f ca="1">IFERROR(__xludf.DUMMYFUNCTION("GOOGLETRANSLATE(English!A4691, ""en"", ""bg"")"),"qa_12537")</f>
        <v>qa_12537</v>
      </c>
      <c r="B4691" s="1" t="str">
        <f ca="1">IFERROR(__xludf.DUMMYFUNCTION("GOOGLETRANSLATE(English!B4691, ""en"", ""bg"")"),"биология")</f>
        <v>биология</v>
      </c>
      <c r="C4691" s="1" t="str">
        <f ca="1">IFERROR(__xludf.DUMMYFUNCTION("GOOGLETRANSLATE(English!C4691, ""en"", ""bg"")"),"високо")</f>
        <v>високо</v>
      </c>
      <c r="D4691" s="1" t="str">
        <f ca="1">IFERROR(__xludf.DUMMYFUNCTION("GOOGLETRANSLATE(English!D4691, ""en"", ""bg"")"),"молекулярна биология")</f>
        <v>молекулярна биология</v>
      </c>
      <c r="E4691" s="1" t="str">
        <f ca="1">IFERROR(__xludf.DUMMYFUNCTION("GOOGLETRANSLATE(English!E4691, ""en"", ""bg"")"),"Как работи молекулярната биология?")</f>
        <v>Как работи молекулярната биология?</v>
      </c>
      <c r="F4691" s="1" t="str">
        <f ca="1">IFERROR(__xludf.DUMMYFUNCTION("GOOGLETRANSLATE(English!F4691,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4691" s="1" t="str">
        <f ca="1">IFERROR(__xludf.DUMMYFUNCTION("GOOGLETRANSLATE(English!G4691, ""en"", ""bg"")"),"direct_qa")</f>
        <v>direct_qa</v>
      </c>
      <c r="H4691" s="1" t="str">
        <f ca="1">IFERROR(__xludf.DUMMYFUNCTION("GOOGLETRANSLATE(English!H4691, ""en"", ""bg"")"),"заявка_за_знание")</f>
        <v>заявка_за_знание</v>
      </c>
    </row>
    <row r="4692" spans="1:8" ht="13.2" x14ac:dyDescent="0.25">
      <c r="A4692" s="1" t="str">
        <f ca="1">IFERROR(__xludf.DUMMYFUNCTION("GOOGLETRANSLATE(English!A4692, ""en"", ""bg"")"),"qa_09980")</f>
        <v>qa_09980</v>
      </c>
      <c r="B4692" s="1" t="str">
        <f ca="1">IFERROR(__xludf.DUMMYFUNCTION("GOOGLETRANSLATE(English!B4692, ""en"", ""bg"")"),"химия")</f>
        <v>химия</v>
      </c>
      <c r="C4692" s="1" t="str">
        <f ca="1">IFERROR(__xludf.DUMMYFUNCTION("GOOGLETRANSLATE(English!C4692, ""en"", ""bg"")"),"елементарен")</f>
        <v>елементарен</v>
      </c>
      <c r="D4692" s="1" t="str">
        <f ca="1">IFERROR(__xludf.DUMMYFUNCTION("GOOGLETRANSLATE(English!D4692, ""en"", ""bg"")"),"твърди вещества, течности, газове")</f>
        <v>твърди вещества, течности, газове</v>
      </c>
      <c r="E4692" s="1" t="str">
        <f ca="1">IFERROR(__xludf.DUMMYFUNCTION("GOOGLETRANSLATE(English!E4692, ""en"", ""bg"")"),"Защо ледът плава по водата?")</f>
        <v>Защо ледът плава по водата?</v>
      </c>
      <c r="F4692" s="1" t="str">
        <f ca="1">IFERROR(__xludf.DUMMYFUNCTION("GOOGLETRANSLATE(English!F4692, ""en"", ""bg"")"),"Ледът плава, защото е по-малко плътен от течната вода. Когато водата замръзне, тя се разширява и става по-лека спрямо обема.")</f>
        <v>Ледът плава, защото е по-малко плътен от течната вода. Когато водата замръзне, тя се разширява и става по-лека спрямо обема.</v>
      </c>
      <c r="G4692" s="1" t="str">
        <f ca="1">IFERROR(__xludf.DUMMYFUNCTION("GOOGLETRANSLATE(English!G4692, ""en"", ""bg"")"),"direct_qa")</f>
        <v>direct_qa</v>
      </c>
      <c r="H4692" s="1" t="str">
        <f ca="1">IFERROR(__xludf.DUMMYFUNCTION("GOOGLETRANSLATE(English!H4692, ""en"", ""bg"")"),"заявка_за_знание")</f>
        <v>заявка_за_знание</v>
      </c>
    </row>
    <row r="4693" spans="1:8" ht="13.2" x14ac:dyDescent="0.25">
      <c r="A4693" s="1" t="str">
        <f ca="1">IFERROR(__xludf.DUMMYFUNCTION("GOOGLETRANSLATE(English!A4693, ""en"", ""bg"")"),"conv_02261")</f>
        <v>conv_02261</v>
      </c>
      <c r="B4693" s="1" t="str">
        <f ca="1">IFERROR(__xludf.DUMMYFUNCTION("GOOGLETRANSLATE(English!B4693, ""en"", ""bg"")"),"физика")</f>
        <v>физика</v>
      </c>
      <c r="C4693" s="1" t="str">
        <f ca="1">IFERROR(__xludf.DUMMYFUNCTION("GOOGLETRANSLATE(English!C4693, ""en"", ""bg"")"),"елементарен")</f>
        <v>елементарен</v>
      </c>
      <c r="D4693" s="1" t="str">
        <f ca="1">IFERROR(__xludf.DUMMYFUNCTION("GOOGLETRANSLATE(English!D4693, ""en"", ""bg"")"),"магнити")</f>
        <v>магнити</v>
      </c>
      <c r="E4693" s="1" t="str">
        <f ca="1">IFERROR(__xludf.DUMMYFUNCTION("GOOGLETRANSLATE(English!E4693, ""en"", ""bg"")"),"Здравей, учителю! Защо някои неща се залепват за магнити?")</f>
        <v>Здравей, учителю! Защо някои неща се залепват за магнити?</v>
      </c>
      <c r="F4693" s="1" t="str">
        <f ca="1">IFERROR(__xludf.DUMMYFUNCTION("GOOGLETRANSLATE(English!F4693, ""en"", ""bg"")"),"Нещата, изработени от желязо, никел или кобалт, се залепват за магнити, защото тези материали са магнитни.")</f>
        <v>Нещата, изработени от желязо, никел или кобалт, се залепват за магнити, защото тези материали са магнитни.</v>
      </c>
      <c r="G4693" s="1" t="str">
        <f ca="1">IFERROR(__xludf.DUMMYFUNCTION("GOOGLETRANSLATE(English!G4693, ""en"", ""bg"")"),"разговор")</f>
        <v>разговор</v>
      </c>
      <c r="H4693" s="1" t="str">
        <f ca="1">IFERROR(__xludf.DUMMYFUNCTION("GOOGLETRANSLATE(English!H4693, ""en"", ""bg"")"),"образователна_помощ")</f>
        <v>образователна_помощ</v>
      </c>
    </row>
    <row r="4694" spans="1:8" ht="13.2" x14ac:dyDescent="0.25">
      <c r="A4694" s="1" t="str">
        <f ca="1">IFERROR(__xludf.DUMMYFUNCTION("GOOGLETRANSLATE(English!A4694, ""en"", ""bg"")"),"qa_10746")</f>
        <v>qa_10746</v>
      </c>
      <c r="B4694" s="1" t="str">
        <f ca="1">IFERROR(__xludf.DUMMYFUNCTION("GOOGLETRANSLATE(English!B4694, ""en"", ""bg"")"),"биология")</f>
        <v>биология</v>
      </c>
      <c r="C4694" s="1" t="str">
        <f ca="1">IFERROR(__xludf.DUMMYFUNCTION("GOOGLETRANSLATE(English!C4694, ""en"", ""bg"")"),"средата")</f>
        <v>средата</v>
      </c>
      <c r="D4694" s="1" t="str">
        <f ca="1">IFERROR(__xludf.DUMMYFUNCTION("GOOGLETRANSLATE(English!D4694, ""en"", ""bg"")"),"основи на генетиката")</f>
        <v>основи на генетиката</v>
      </c>
      <c r="E4694" s="1" t="str">
        <f ca="1">IFERROR(__xludf.DUMMYFUNCTION("GOOGLETRANSLATE(English!E4694, ""en"", ""bg"")"),"Как работят основите на генетиката?")</f>
        <v>Как работят основите на генетиката?</v>
      </c>
      <c r="F4694" s="1" t="str">
        <f ca="1">IFERROR(__xludf.DUMMYFUNCTION("GOOGLETRANSLATE(English!F4694, ""en"", ""bg"")"),"Основите на генетиката работят чрез естествени процеси, които учените изучават в продължение на много години.")</f>
        <v>Основите на генетиката работят чрез естествени процеси, които учените изучават в продължение на много години.</v>
      </c>
      <c r="G4694" s="1" t="str">
        <f ca="1">IFERROR(__xludf.DUMMYFUNCTION("GOOGLETRANSLATE(English!G4694, ""en"", ""bg"")"),"direct_qa")</f>
        <v>direct_qa</v>
      </c>
      <c r="H4694" s="1" t="str">
        <f ca="1">IFERROR(__xludf.DUMMYFUNCTION("GOOGLETRANSLATE(English!H4694, ""en"", ""bg"")"),"заявка_за_знание")</f>
        <v>заявка_за_знание</v>
      </c>
    </row>
    <row r="4695" spans="1:8" ht="13.2" x14ac:dyDescent="0.25">
      <c r="A4695" s="1" t="str">
        <f ca="1">IFERROR(__xludf.DUMMYFUNCTION("GOOGLETRANSLATE(English!A4695, ""en"", ""bg"")"),"qa_10195")</f>
        <v>qa_10195</v>
      </c>
      <c r="B4695" s="1" t="str">
        <f ca="1">IFERROR(__xludf.DUMMYFUNCTION("GOOGLETRANSLATE(English!B4695, ""en"", ""bg"")"),"физика")</f>
        <v>физика</v>
      </c>
      <c r="C4695" s="1" t="str">
        <f ca="1">IFERROR(__xludf.DUMMYFUNCTION("GOOGLETRANSLATE(English!C4695, ""en"", ""bg"")"),"високо")</f>
        <v>високо</v>
      </c>
      <c r="D4695" s="1" t="str">
        <f ca="1">IFERROR(__xludf.DUMMYFUNCTION("GOOGLETRANSLATE(English!D4695, ""en"", ""bg"")"),"атомна структура")</f>
        <v>атомна структура</v>
      </c>
      <c r="E4695" s="1" t="str">
        <f ca="1">IFERROR(__xludf.DUMMYFUNCTION("GOOGLETRANSLATE(English!E4695, ""en"", ""bg"")"),"Защо атомната структура е важна?")</f>
        <v>Защо атомната структура е важна?</v>
      </c>
      <c r="F4695" s="1" t="str">
        <f ca="1">IFERROR(__xludf.DUMMYFUNCTION("GOOGLETRANSLATE(English!F4695,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4695" s="1" t="str">
        <f ca="1">IFERROR(__xludf.DUMMYFUNCTION("GOOGLETRANSLATE(English!G4695, ""en"", ""bg"")"),"direct_qa")</f>
        <v>direct_qa</v>
      </c>
      <c r="H4695" s="1" t="str">
        <f ca="1">IFERROR(__xludf.DUMMYFUNCTION("GOOGLETRANSLATE(English!H4695, ""en"", ""bg"")"),"заявка_за_знание")</f>
        <v>заявка_за_знание</v>
      </c>
    </row>
    <row r="4696" spans="1:8" ht="13.2" x14ac:dyDescent="0.25">
      <c r="A4696" s="1" t="str">
        <f ca="1">IFERROR(__xludf.DUMMYFUNCTION("GOOGLETRANSLATE(English!A4696, ""en"", ""bg"")"),"qa_14635")</f>
        <v>qa_14635</v>
      </c>
      <c r="B4696" s="1" t="str">
        <f ca="1">IFERROR(__xludf.DUMMYFUNCTION("GOOGLETRANSLATE(English!B4696, ""en"", ""bg"")"),"физика")</f>
        <v>физика</v>
      </c>
      <c r="C4696" s="1" t="str">
        <f ca="1">IFERROR(__xludf.DUMMYFUNCTION("GOOGLETRANSLATE(English!C4696, ""en"", ""bg"")"),"средата")</f>
        <v>средата</v>
      </c>
      <c r="D4696" s="1" t="str">
        <f ca="1">IFERROR(__xludf.DUMMYFUNCTION("GOOGLETRANSLATE(English!D4696, ""en"", ""bg"")"),"сили и движение")</f>
        <v>сили и движение</v>
      </c>
      <c r="E4696" s="1" t="str">
        <f ca="1">IFERROR(__xludf.DUMMYFUNCTION("GOOGLETRANSLATE(English!E4696, ""en"", ""bg"")"),"Каква е разликата между скорост и ускорение?")</f>
        <v>Каква е разликата между скорост и ускорение?</v>
      </c>
      <c r="F4696" s="1" t="str">
        <f ca="1">IFERROR(__xludf.DUMMYFUNCTION("GOOGLETRANSLATE(English!F4696,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4696" s="1" t="str">
        <f ca="1">IFERROR(__xludf.DUMMYFUNCTION("GOOGLETRANSLATE(English!G4696, ""en"", ""bg"")"),"direct_qa")</f>
        <v>direct_qa</v>
      </c>
      <c r="H4696" s="1" t="str">
        <f ca="1">IFERROR(__xludf.DUMMYFUNCTION("GOOGLETRANSLATE(English!H4696, ""en"", ""bg"")"),"заявка_за_знание")</f>
        <v>заявка_за_знание</v>
      </c>
    </row>
    <row r="4697" spans="1:8" ht="13.2" x14ac:dyDescent="0.25">
      <c r="A4697" s="1" t="str">
        <f ca="1">IFERROR(__xludf.DUMMYFUNCTION("GOOGLETRANSLATE(English!A4697, ""en"", ""bg"")"),"hw_01858")</f>
        <v>hw_01858</v>
      </c>
      <c r="B4697" s="1" t="str">
        <f ca="1">IFERROR(__xludf.DUMMYFUNCTION("GOOGLETRANSLATE(English!B4697, ""en"", ""bg"")"),"биология")</f>
        <v>биология</v>
      </c>
      <c r="C4697" s="1" t="str">
        <f ca="1">IFERROR(__xludf.DUMMYFUNCTION("GOOGLETRANSLATE(English!C4697, ""en"", ""bg"")"),"елементарен")</f>
        <v>елементарен</v>
      </c>
      <c r="D4697" s="1" t="str">
        <f ca="1">IFERROR(__xludf.DUMMYFUNCTION("GOOGLETRANSLATE(English!D4697, ""en"", ""bg"")"),"растения")</f>
        <v>растения</v>
      </c>
      <c r="E4697" s="1" t="str">
        <f ca="1">IFERROR(__xludf.DUMMYFUNCTION("GOOGLETRANSLATE(English!E4697, ""en"", ""bg"")"),"Можете ли да обясните растенията за моя научен проект?")</f>
        <v>Можете ли да обясните растенията за моя научен проект?</v>
      </c>
      <c r="F4697" s="1" t="str">
        <f ca="1">IFERROR(__xludf.DUMMYFUNCTION("GOOGLETRANSLATE(English!F4697,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697" s="1" t="str">
        <f ca="1">IFERROR(__xludf.DUMMYFUNCTION("GOOGLETRANSLATE(English!G4697, ""en"", ""bg"")"),"помощ_за_домашно_изпълнение")</f>
        <v>помощ_за_домашно_изпълнение</v>
      </c>
      <c r="H4697" s="1" t="str">
        <f ca="1">IFERROR(__xludf.DUMMYFUNCTION("GOOGLETRANSLATE(English!H4697, ""en"", ""bg"")"),"помощ_за_домашно_задаване")</f>
        <v>помощ_за_домашно_задаване</v>
      </c>
    </row>
    <row r="4698" spans="1:8" ht="13.2" x14ac:dyDescent="0.25">
      <c r="A4698" s="1" t="str">
        <f ca="1">IFERROR(__xludf.DUMMYFUNCTION("GOOGLETRANSLATE(English!A4698, ""en"", ""bg"")"),"conv_16807")</f>
        <v>conv_16807</v>
      </c>
      <c r="B4698" s="1" t="str">
        <f ca="1">IFERROR(__xludf.DUMMYFUNCTION("GOOGLETRANSLATE(English!B4698, ""en"", ""bg"")"),"физика")</f>
        <v>физика</v>
      </c>
      <c r="C4698" s="1" t="str">
        <f ca="1">IFERROR(__xludf.DUMMYFUNCTION("GOOGLETRANSLATE(English!C4698, ""en"", ""bg"")"),"елементарен")</f>
        <v>елементарен</v>
      </c>
      <c r="D4698" s="1" t="str">
        <f ca="1">IFERROR(__xludf.DUMMYFUNCTION("GOOGLETRANSLATE(English!D4698, ""en"", ""bg"")"),"светлина и сянка")</f>
        <v>светлина и сянка</v>
      </c>
      <c r="E4698" s="1" t="str">
        <f ca="1">IFERROR(__xludf.DUMMYFUNCTION("GOOGLETRANSLATE(English!E4698, ""en"", ""bg"")"),"Помогнете ми да уча за теста. Защо можем да виждаме цветове?")</f>
        <v>Помогнете ми да уча за теста. Защо можем да виждаме цветове?</v>
      </c>
      <c r="F4698" s="1" t="str">
        <f ca="1">IFERROR(__xludf.DUMMYFUNCTION("GOOGLETRANSLATE(English!F4698, ""en"", ""bg"")"),"Виждаме цветове, защото светлината съдържа всички цветове, а предметите отразяват някои цветове обратно към очите ни.")</f>
        <v>Виждаме цветове, защото светлината съдържа всички цветове, а предметите отразяват някои цветове обратно към очите ни.</v>
      </c>
      <c r="G4698" s="1" t="str">
        <f ca="1">IFERROR(__xludf.DUMMYFUNCTION("GOOGLETRANSLATE(English!G4698, ""en"", ""bg"")"),"разговор")</f>
        <v>разговор</v>
      </c>
      <c r="H4698" s="1" t="str">
        <f ca="1">IFERROR(__xludf.DUMMYFUNCTION("GOOGLETRANSLATE(English!H4698, ""en"", ""bg"")"),"образователна_помощ")</f>
        <v>образователна_помощ</v>
      </c>
    </row>
    <row r="4699" spans="1:8" ht="13.2" x14ac:dyDescent="0.25">
      <c r="A4699" s="1" t="str">
        <f ca="1">IFERROR(__xludf.DUMMYFUNCTION("GOOGLETRANSLATE(English!A4699, ""en"", ""bg"")"),"qa_09547")</f>
        <v>qa_09547</v>
      </c>
      <c r="B4699" s="1" t="str">
        <f ca="1">IFERROR(__xludf.DUMMYFUNCTION("GOOGLETRANSLATE(English!B4699, ""en"", ""bg"")"),"биология")</f>
        <v>биология</v>
      </c>
      <c r="C4699" s="1" t="str">
        <f ca="1">IFERROR(__xludf.DUMMYFUNCTION("GOOGLETRANSLATE(English!C4699, ""en"", ""bg"")"),"високо")</f>
        <v>високо</v>
      </c>
      <c r="D4699" s="1" t="str">
        <f ca="1">IFERROR(__xludf.DUMMYFUNCTION("GOOGLETRANSLATE(English!D4699, ""en"", ""bg"")"),"синтез на протеини")</f>
        <v>синтез на протеини</v>
      </c>
      <c r="E4699" s="1" t="str">
        <f ca="1">IFERROR(__xludf.DUMMYFUNCTION("GOOGLETRANSLATE(English!E4699, ""en"", ""bg"")"),"Как работи синтезът на протеини?")</f>
        <v>Как работи синтезът на протеини?</v>
      </c>
      <c r="F4699" s="1" t="str">
        <f ca="1">IFERROR(__xludf.DUMMYFUNCTION("GOOGLETRANSLATE(English!F4699, ""en"", ""bg"")"),"Синтезът на протеини протича чрез естествени процеси, които учените изучават от много години.")</f>
        <v>Синтезът на протеини протича чрез естествени процеси, които учените изучават от много години.</v>
      </c>
      <c r="G4699" s="1" t="str">
        <f ca="1">IFERROR(__xludf.DUMMYFUNCTION("GOOGLETRANSLATE(English!G4699, ""en"", ""bg"")"),"direct_qa")</f>
        <v>direct_qa</v>
      </c>
      <c r="H4699" s="1" t="str">
        <f ca="1">IFERROR(__xludf.DUMMYFUNCTION("GOOGLETRANSLATE(English!H4699, ""en"", ""bg"")"),"заявка_за_знание")</f>
        <v>заявка_за_знание</v>
      </c>
    </row>
    <row r="4700" spans="1:8" ht="13.2" x14ac:dyDescent="0.25">
      <c r="A4700" s="1" t="str">
        <f ca="1">IFERROR(__xludf.DUMMYFUNCTION("GOOGLETRANSLATE(English!A4700, ""en"", ""bg"")"),"hw_06773")</f>
        <v>hw_06773</v>
      </c>
      <c r="B4700" s="1" t="str">
        <f ca="1">IFERROR(__xludf.DUMMYFUNCTION("GOOGLETRANSLATE(English!B4700, ""en"", ""bg"")"),"биология")</f>
        <v>биология</v>
      </c>
      <c r="C4700" s="1" t="str">
        <f ca="1">IFERROR(__xludf.DUMMYFUNCTION("GOOGLETRANSLATE(English!C4700, ""en"", ""bg"")"),"елементарен")</f>
        <v>елементарен</v>
      </c>
      <c r="D4700" s="1" t="str">
        <f ca="1">IFERROR(__xludf.DUMMYFUNCTION("GOOGLETRANSLATE(English!D4700, ""en"", ""bg"")"),"основни нужди")</f>
        <v>основни нужди</v>
      </c>
      <c r="E4700" s="1" t="str">
        <f ca="1">IFERROR(__xludf.DUMMYFUNCTION("GOOGLETRANSLATE(English!E4700, ""en"", ""bg"")"),"Утре имам тест по основни потребности. Помогни ми да уча!")</f>
        <v>Утре имам тест по основни потребности. Помогни ми да уча!</v>
      </c>
      <c r="F4700" s="1" t="str">
        <f ca="1">IFERROR(__xludf.DUMMYFUNCTION("GOOGLETRANSLATE(English!F4700,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4700" s="1" t="str">
        <f ca="1">IFERROR(__xludf.DUMMYFUNCTION("GOOGLETRANSLATE(English!G4700, ""en"", ""bg"")"),"помощ_за_домашно_изпълнение")</f>
        <v>помощ_за_домашно_изпълнение</v>
      </c>
      <c r="H4700" s="1" t="str">
        <f ca="1">IFERROR(__xludf.DUMMYFUNCTION("GOOGLETRANSLATE(English!H4700, ""en"", ""bg"")"),"помощ_за_домашно_задаване")</f>
        <v>помощ_за_домашно_задаване</v>
      </c>
    </row>
    <row r="4701" spans="1:8" ht="13.2" x14ac:dyDescent="0.25">
      <c r="A4701" s="1" t="str">
        <f ca="1">IFERROR(__xludf.DUMMYFUNCTION("GOOGLETRANSLATE(English!A4701, ""en"", ""bg"")"),"qa_07639")</f>
        <v>qa_07639</v>
      </c>
      <c r="B4701" s="1" t="str">
        <f ca="1">IFERROR(__xludf.DUMMYFUNCTION("GOOGLETRANSLATE(English!B4701, ""en"", ""bg"")"),"физика")</f>
        <v>физика</v>
      </c>
      <c r="C4701" s="1" t="str">
        <f ca="1">IFERROR(__xludf.DUMMYFUNCTION("GOOGLETRANSLATE(English!C4701, ""en"", ""bg"")"),"високо")</f>
        <v>високо</v>
      </c>
      <c r="D4701" s="1" t="str">
        <f ca="1">IFERROR(__xludf.DUMMYFUNCTION("GOOGLETRANSLATE(English!D4701, ""en"", ""bg"")"),"оптика")</f>
        <v>оптика</v>
      </c>
      <c r="E4701" s="1" t="str">
        <f ca="1">IFERROR(__xludf.DUMMYFUNCTION("GOOGLETRANSLATE(English!E4701, ""en"", ""bg"")"),"Как работи оптиката във физиката?")</f>
        <v>Как работи оптиката във физиката?</v>
      </c>
      <c r="F4701" s="1" t="str">
        <f ca="1">IFERROR(__xludf.DUMMYFUNCTION("GOOGLETRANSLATE(English!F4701, ""en"", ""bg"")"),"Оптиката работи според научни принципи, които можем да наблюдаваме и измерваме.")</f>
        <v>Оптиката работи според научни принципи, които можем да наблюдаваме и измерваме.</v>
      </c>
      <c r="G4701" s="1" t="str">
        <f ca="1">IFERROR(__xludf.DUMMYFUNCTION("GOOGLETRANSLATE(English!G4701, ""en"", ""bg"")"),"direct_qa")</f>
        <v>direct_qa</v>
      </c>
      <c r="H4701" s="1" t="str">
        <f ca="1">IFERROR(__xludf.DUMMYFUNCTION("GOOGLETRANSLATE(English!H4701, ""en"", ""bg"")"),"заявка_за_знание")</f>
        <v>заявка_за_знание</v>
      </c>
    </row>
    <row r="4702" spans="1:8" ht="13.2" x14ac:dyDescent="0.25">
      <c r="A4702" s="1" t="str">
        <f ca="1">IFERROR(__xludf.DUMMYFUNCTION("GOOGLETRANSLATE(English!A4702, ""en"", ""bg"")"),"qa_13665")</f>
        <v>qa_13665</v>
      </c>
      <c r="B4702" s="1" t="str">
        <f ca="1">IFERROR(__xludf.DUMMYFUNCTION("GOOGLETRANSLATE(English!B4702, ""en"", ""bg"")"),"физика")</f>
        <v>физика</v>
      </c>
      <c r="C4702" s="1" t="str">
        <f ca="1">IFERROR(__xludf.DUMMYFUNCTION("GOOGLETRANSLATE(English!C4702, ""en"", ""bg"")"),"елементарен")</f>
        <v>елементарен</v>
      </c>
      <c r="D4702" s="1" t="str">
        <f ca="1">IFERROR(__xludf.DUMMYFUNCTION("GOOGLETRANSLATE(English!D4702, ""en"", ""bg"")"),"прости машини")</f>
        <v>прости машини</v>
      </c>
      <c r="E4702" s="1" t="str">
        <f ca="1">IFERROR(__xludf.DUMMYFUNCTION("GOOGLETRANSLATE(English!E4702, ""en"", ""bg"")"),"Как работят прости машини във физиката?")</f>
        <v>Как работят прости машини във физиката?</v>
      </c>
      <c r="F4702" s="1" t="str">
        <f ca="1">IFERROR(__xludf.DUMMYFUNCTION("GOOGLETRANSLATE(English!F4702,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4702" s="1" t="str">
        <f ca="1">IFERROR(__xludf.DUMMYFUNCTION("GOOGLETRANSLATE(English!G4702, ""en"", ""bg"")"),"direct_qa")</f>
        <v>direct_qa</v>
      </c>
      <c r="H4702" s="1" t="str">
        <f ca="1">IFERROR(__xludf.DUMMYFUNCTION("GOOGLETRANSLATE(English!H4702, ""en"", ""bg"")"),"заявка_за_знание")</f>
        <v>заявка_за_знание</v>
      </c>
    </row>
    <row r="4703" spans="1:8" ht="13.2" x14ac:dyDescent="0.25">
      <c r="A4703" s="1" t="str">
        <f ca="1">IFERROR(__xludf.DUMMYFUNCTION("GOOGLETRANSLATE(English!A4703, ""en"", ""bg"")"),"qa_10504")</f>
        <v>qa_10504</v>
      </c>
      <c r="B4703" s="1" t="str">
        <f ca="1">IFERROR(__xludf.DUMMYFUNCTION("GOOGLETRANSLATE(English!B4703, ""en"", ""bg"")"),"химия")</f>
        <v>химия</v>
      </c>
      <c r="C4703" s="1" t="str">
        <f ca="1">IFERROR(__xludf.DUMMYFUNCTION("GOOGLETRANSLATE(English!C4703, ""en"", ""bg"")"),"средата")</f>
        <v>средата</v>
      </c>
      <c r="D4703" s="1" t="str">
        <f ca="1">IFERROR(__xludf.DUMMYFUNCTION("GOOGLETRANSLATE(English!D4703, ""en"", ""bg"")"),"киселини и основи")</f>
        <v>киселини и основи</v>
      </c>
      <c r="E4703" s="1" t="str">
        <f ca="1">IFERROR(__xludf.DUMMYFUNCTION("GOOGLETRANSLATE(English!E4703, ""en"", ""bg"")"),"Как действат киселините и основите в химията?")</f>
        <v>Как действат киселините и основите в химията?</v>
      </c>
      <c r="F4703" s="1" t="str">
        <f ca="1">IFERROR(__xludf.DUMMYFUNCTION("GOOGLETRANSLATE(English!F4703,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703" s="1" t="str">
        <f ca="1">IFERROR(__xludf.DUMMYFUNCTION("GOOGLETRANSLATE(English!G4703, ""en"", ""bg"")"),"direct_qa")</f>
        <v>direct_qa</v>
      </c>
      <c r="H4703" s="1" t="str">
        <f ca="1">IFERROR(__xludf.DUMMYFUNCTION("GOOGLETRANSLATE(English!H4703, ""en"", ""bg"")"),"заявка_за_знание")</f>
        <v>заявка_за_знание</v>
      </c>
    </row>
    <row r="4704" spans="1:8" ht="13.2" x14ac:dyDescent="0.25">
      <c r="A4704" s="1" t="str">
        <f ca="1">IFERROR(__xludf.DUMMYFUNCTION("GOOGLETRANSLATE(English!A4704, ""en"", ""bg"")"),"hw_04888")</f>
        <v>hw_04888</v>
      </c>
      <c r="B4704" s="1" t="str">
        <f ca="1">IFERROR(__xludf.DUMMYFUNCTION("GOOGLETRANSLATE(English!B4704, ""en"", ""bg"")"),"биология")</f>
        <v>биология</v>
      </c>
      <c r="C4704" s="1" t="str">
        <f ca="1">IFERROR(__xludf.DUMMYFUNCTION("GOOGLETRANSLATE(English!C4704, ""en"", ""bg"")"),"средата")</f>
        <v>средата</v>
      </c>
      <c r="D4704" s="1" t="str">
        <f ca="1">IFERROR(__xludf.DUMMYFUNCTION("GOOGLETRANSLATE(English!D4704, ""en"", ""bg"")"),"основи на еволюцията")</f>
        <v>основи на еволюцията</v>
      </c>
      <c r="E4704" s="1" t="str">
        <f ca="1">IFERROR(__xludf.DUMMYFUNCTION("GOOGLETRANSLATE(English!E4704, ""en"", ""bg"")"),"Трябва да напиша доклад за основите на еволюцията. Можете ли да ми помогнете да започна?")</f>
        <v>Трябва да напиша доклад за основите на еволюцията. Можете ли да ми помогнете да започна?</v>
      </c>
      <c r="F4704" s="1" t="str">
        <f ca="1">IFERROR(__xludf.DUMMYFUNCTION("GOOGLETRANSLATE(English!F4704,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4704" s="1" t="str">
        <f ca="1">IFERROR(__xludf.DUMMYFUNCTION("GOOGLETRANSLATE(English!G4704, ""en"", ""bg"")"),"помощ_за_домашно_изпълнение")</f>
        <v>помощ_за_домашно_изпълнение</v>
      </c>
      <c r="H4704" s="1" t="str">
        <f ca="1">IFERROR(__xludf.DUMMYFUNCTION("GOOGLETRANSLATE(English!H4704, ""en"", ""bg"")"),"помощ_за_домашно_задаване")</f>
        <v>помощ_за_домашно_задаване</v>
      </c>
    </row>
    <row r="4705" spans="1:8" ht="13.2" x14ac:dyDescent="0.25">
      <c r="A4705" s="1" t="str">
        <f ca="1">IFERROR(__xludf.DUMMYFUNCTION("GOOGLETRANSLATE(English!A4705, ""en"", ""bg"")"),"qa_03942")</f>
        <v>qa_03942</v>
      </c>
      <c r="B4705" s="1" t="str">
        <f ca="1">IFERROR(__xludf.DUMMYFUNCTION("GOOGLETRANSLATE(English!B4705, ""en"", ""bg"")"),"физика")</f>
        <v>физика</v>
      </c>
      <c r="C4705" s="1" t="str">
        <f ca="1">IFERROR(__xludf.DUMMYFUNCTION("GOOGLETRANSLATE(English!C4705, ""en"", ""bg"")"),"елементарен")</f>
        <v>елементарен</v>
      </c>
      <c r="D4705" s="1" t="str">
        <f ca="1">IFERROR(__xludf.DUMMYFUNCTION("GOOGLETRANSLATE(English!D4705, ""en"", ""bg"")"),"горещо и студено")</f>
        <v>горещо и студено</v>
      </c>
      <c r="E4705" s="1" t="str">
        <f ca="1">IFERROR(__xludf.DUMMYFUNCTION("GOOGLETRANSLATE(English!E4705, ""en"", ""bg"")"),"Защо е важно топлото и студеното?")</f>
        <v>Защо е важно топлото и студеното?</v>
      </c>
      <c r="F4705" s="1" t="str">
        <f ca="1">IFERROR(__xludf.DUMMYFUNCTION("GOOGLETRANSLATE(English!F4705,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4705" s="1" t="str">
        <f ca="1">IFERROR(__xludf.DUMMYFUNCTION("GOOGLETRANSLATE(English!G4705, ""en"", ""bg"")"),"direct_qa")</f>
        <v>direct_qa</v>
      </c>
      <c r="H4705" s="1" t="str">
        <f ca="1">IFERROR(__xludf.DUMMYFUNCTION("GOOGLETRANSLATE(English!H4705, ""en"", ""bg"")"),"заявка_за_знание")</f>
        <v>заявка_за_знание</v>
      </c>
    </row>
    <row r="4706" spans="1:8" ht="13.2" x14ac:dyDescent="0.25">
      <c r="A4706" s="1" t="str">
        <f ca="1">IFERROR(__xludf.DUMMYFUNCTION("GOOGLETRANSLATE(English!A4706, ""en"", ""bg"")"),"conv_07928")</f>
        <v>conv_07928</v>
      </c>
      <c r="B4706" s="1" t="str">
        <f ca="1">IFERROR(__xludf.DUMMYFUNCTION("GOOGLETRANSLATE(English!B4706, ""en"", ""bg"")"),"физика")</f>
        <v>физика</v>
      </c>
      <c r="C4706" s="1" t="str">
        <f ca="1">IFERROR(__xludf.DUMMYFUNCTION("GOOGLETRANSLATE(English!C4706, ""en"", ""bg"")"),"средата")</f>
        <v>средата</v>
      </c>
      <c r="D4706" s="1" t="str">
        <f ca="1">IFERROR(__xludf.DUMMYFUNCTION("GOOGLETRANSLATE(English!D4706, ""en"", ""bg"")"),"вълни")</f>
        <v>вълни</v>
      </c>
      <c r="E4706" s="1" t="str">
        <f ca="1">IFERROR(__xludf.DUMMYFUNCTION("GOOGLETRANSLATE(English!E4706, ""en"", ""bg"")"),"Помогнете ми да уча за теста си. Как работят вълните във физиката?")</f>
        <v>Помогнете ми да уча за теста си. Как работят вълните във физиката?</v>
      </c>
      <c r="F4706" s="1" t="str">
        <f ca="1">IFERROR(__xludf.DUMMYFUNCTION("GOOGLETRANSLATE(English!F4706, ""en"", ""bg"")"),"Вълните работят според научни принципи, които можем да наблюдаваме и измерваме.")</f>
        <v>Вълните работят според научни принципи, които можем да наблюдаваме и измерваме.</v>
      </c>
      <c r="G4706" s="1" t="str">
        <f ca="1">IFERROR(__xludf.DUMMYFUNCTION("GOOGLETRANSLATE(English!G4706, ""en"", ""bg"")"),"разговор")</f>
        <v>разговор</v>
      </c>
      <c r="H4706" s="1" t="str">
        <f ca="1">IFERROR(__xludf.DUMMYFUNCTION("GOOGLETRANSLATE(English!H4706, ""en"", ""bg"")"),"образователна_помощ")</f>
        <v>образователна_помощ</v>
      </c>
    </row>
    <row r="4707" spans="1:8" ht="13.2" x14ac:dyDescent="0.25">
      <c r="A4707" s="1" t="str">
        <f ca="1">IFERROR(__xludf.DUMMYFUNCTION("GOOGLETRANSLATE(English!A4707, ""en"", ""bg"")"),"qa_01806")</f>
        <v>qa_01806</v>
      </c>
      <c r="B4707" s="1" t="str">
        <f ca="1">IFERROR(__xludf.DUMMYFUNCTION("GOOGLETRANSLATE(English!B4707, ""en"", ""bg"")"),"биология")</f>
        <v>биология</v>
      </c>
      <c r="C4707" s="1" t="str">
        <f ca="1">IFERROR(__xludf.DUMMYFUNCTION("GOOGLETRANSLATE(English!C4707, ""en"", ""bg"")"),"високо")</f>
        <v>високо</v>
      </c>
      <c r="D4707" s="1" t="str">
        <f ca="1">IFERROR(__xludf.DUMMYFUNCTION("GOOGLETRANSLATE(English!D4707, ""en"", ""bg"")"),"модели на наследяване")</f>
        <v>модели на наследяване</v>
      </c>
      <c r="E4707" s="1" t="str">
        <f ca="1">IFERROR(__xludf.DUMMYFUNCTION("GOOGLETRANSLATE(English!E4707, ""en"", ""bg"")"),"Защо моделите на наследяване са важни в биологията?")</f>
        <v>Защо моделите на наследяване са важни в биологията?</v>
      </c>
      <c r="F4707" s="1" t="str">
        <f ca="1">IFERROR(__xludf.DUMMYFUNCTION("GOOGLETRANSLATE(English!F4707,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4707" s="1" t="str">
        <f ca="1">IFERROR(__xludf.DUMMYFUNCTION("GOOGLETRANSLATE(English!G4707, ""en"", ""bg"")"),"direct_qa")</f>
        <v>direct_qa</v>
      </c>
      <c r="H4707" s="1" t="str">
        <f ca="1">IFERROR(__xludf.DUMMYFUNCTION("GOOGLETRANSLATE(English!H4707, ""en"", ""bg"")"),"заявка_за_знание")</f>
        <v>заявка_за_знание</v>
      </c>
    </row>
    <row r="4708" spans="1:8" ht="13.2" x14ac:dyDescent="0.25">
      <c r="A4708" s="1" t="str">
        <f ca="1">IFERROR(__xludf.DUMMYFUNCTION("GOOGLETRANSLATE(English!A4708, ""en"", ""bg"")"),"qa_08244")</f>
        <v>qa_08244</v>
      </c>
      <c r="B4708" s="1" t="str">
        <f ca="1">IFERROR(__xludf.DUMMYFUNCTION("GOOGLETRANSLATE(English!B4708, ""en"", ""bg"")"),"химия")</f>
        <v>химия</v>
      </c>
      <c r="C4708" s="1" t="str">
        <f ca="1">IFERROR(__xludf.DUMMYFUNCTION("GOOGLETRANSLATE(English!C4708, ""en"", ""bg"")"),"средата")</f>
        <v>средата</v>
      </c>
      <c r="D4708" s="1" t="str">
        <f ca="1">IFERROR(__xludf.DUMMYFUNCTION("GOOGLETRANSLATE(English!D4708, ""en"", ""bg"")"),"съединения срещу елементи")</f>
        <v>съединения срещу елементи</v>
      </c>
      <c r="E4708" s="1" t="str">
        <f ca="1">IFERROR(__xludf.DUMMYFUNCTION("GOOGLETRANSLATE(English!E4708, ""en"", ""bg"")"),"Какво представляват съединенията срещу елементите?")</f>
        <v>Какво представляват съединенията срещу елементите?</v>
      </c>
      <c r="F4708" s="1" t="str">
        <f ca="1">IFERROR(__xludf.DUMMYFUNCTION("GOOGLETRANSLATE(English!F4708, ""en"", ""bg"")"),"Съединенията срещу елементите са свързани с взаимодействията между различните видове материя и енергия.")</f>
        <v>Съединенията срещу елементите са свързани с взаимодействията между различните видове материя и енергия.</v>
      </c>
      <c r="G4708" s="1" t="str">
        <f ca="1">IFERROR(__xludf.DUMMYFUNCTION("GOOGLETRANSLATE(English!G4708, ""en"", ""bg"")"),"direct_qa")</f>
        <v>direct_qa</v>
      </c>
      <c r="H4708" s="1" t="str">
        <f ca="1">IFERROR(__xludf.DUMMYFUNCTION("GOOGLETRANSLATE(English!H4708, ""en"", ""bg"")"),"заявка_за_знание")</f>
        <v>заявка_за_знание</v>
      </c>
    </row>
    <row r="4709" spans="1:8" ht="13.2" x14ac:dyDescent="0.25">
      <c r="A4709" s="1" t="str">
        <f ca="1">IFERROR(__xludf.DUMMYFUNCTION("GOOGLETRANSLATE(English!A4709, ""en"", ""bg"")"),"hw_07161")</f>
        <v>hw_07161</v>
      </c>
      <c r="B4709" s="1" t="str">
        <f ca="1">IFERROR(__xludf.DUMMYFUNCTION("GOOGLETRANSLATE(English!B4709, ""en"", ""bg"")"),"физика")</f>
        <v>физика</v>
      </c>
      <c r="C4709" s="1" t="str">
        <f ca="1">IFERROR(__xludf.DUMMYFUNCTION("GOOGLETRANSLATE(English!C4709, ""en"", ""bg"")"),"средата")</f>
        <v>средата</v>
      </c>
      <c r="D4709" s="1" t="str">
        <f ca="1">IFERROR(__xludf.DUMMYFUNCTION("GOOGLETRANSLATE(English!D4709, ""en"", ""bg"")"),"основи на електричеството")</f>
        <v>основи на електричеството</v>
      </c>
      <c r="E4709" s="1" t="str">
        <f ca="1">IFERROR(__xludf.DUMMYFUNCTION("GOOGLETRANSLATE(English!E4709, ""en"", ""bg"")"),"Можете ли да решите този въпрос по основи на електричеството с мен?")</f>
        <v>Можете ли да решите този въпрос по основи на електричеството с мен?</v>
      </c>
      <c r="F4709" s="1" t="str">
        <f ca="1">IFERROR(__xludf.DUMMYFUNCTION("GOOGLETRANSLATE(English!F4709,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4709" s="1" t="str">
        <f ca="1">IFERROR(__xludf.DUMMYFUNCTION("GOOGLETRANSLATE(English!G4709, ""en"", ""bg"")"),"помощ_за_домашно_изпълнение")</f>
        <v>помощ_за_домашно_изпълнение</v>
      </c>
      <c r="H4709" s="1" t="str">
        <f ca="1">IFERROR(__xludf.DUMMYFUNCTION("GOOGLETRANSLATE(English!H4709, ""en"", ""bg"")"),"помощ_за_домашно_задаване")</f>
        <v>помощ_за_домашно_задаване</v>
      </c>
    </row>
    <row r="4710" spans="1:8" ht="13.2" x14ac:dyDescent="0.25">
      <c r="A4710" s="1" t="str">
        <f ca="1">IFERROR(__xludf.DUMMYFUNCTION("GOOGLETRANSLATE(English!A4710, ""en"", ""bg"")"),"hw_05167")</f>
        <v>hw_05167</v>
      </c>
      <c r="B4710" s="1" t="str">
        <f ca="1">IFERROR(__xludf.DUMMYFUNCTION("GOOGLETRANSLATE(English!B4710, ""en"", ""bg"")"),"физика")</f>
        <v>физика</v>
      </c>
      <c r="C4710" s="1" t="str">
        <f ca="1">IFERROR(__xludf.DUMMYFUNCTION("GOOGLETRANSLATE(English!C4710, ""en"", ""bg"")"),"елементарен")</f>
        <v>елементарен</v>
      </c>
      <c r="D4710" s="1" t="str">
        <f ca="1">IFERROR(__xludf.DUMMYFUNCTION("GOOGLETRANSLATE(English!D4710, ""en"", ""bg"")"),"плаващ и потъващ")</f>
        <v>плаващ и потъващ</v>
      </c>
      <c r="E4710" s="1" t="str">
        <f ca="1">IFERROR(__xludf.DUMMYFUNCTION("GOOGLETRANSLATE(English!E4710, ""en"", ""bg"")"),"Домашното ми по физика е за плаване и потъване. Объркващо е!")</f>
        <v>Домашното ми по физика е за плаване и потъване. Объркващо е!</v>
      </c>
      <c r="F4710" s="1" t="str">
        <f ca="1">IFERROR(__xludf.DUMMYFUNCTION("GOOGLETRANSLATE(English!F4710,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4710" s="1" t="str">
        <f ca="1">IFERROR(__xludf.DUMMYFUNCTION("GOOGLETRANSLATE(English!G4710, ""en"", ""bg"")"),"помощ_за_домашно_изпълнение")</f>
        <v>помощ_за_домашно_изпълнение</v>
      </c>
      <c r="H4710" s="1" t="str">
        <f ca="1">IFERROR(__xludf.DUMMYFUNCTION("GOOGLETRANSLATE(English!H4710, ""en"", ""bg"")"),"помощ_за_домашно_задаване")</f>
        <v>помощ_за_домашно_задаване</v>
      </c>
    </row>
    <row r="4711" spans="1:8" ht="13.2" x14ac:dyDescent="0.25">
      <c r="A4711" s="1" t="str">
        <f ca="1">IFERROR(__xludf.DUMMYFUNCTION("GOOGLETRANSLATE(English!A4711, ""en"", ""bg"")"),"hw_04363")</f>
        <v>hw_04363</v>
      </c>
      <c r="B4711" s="1" t="str">
        <f ca="1">IFERROR(__xludf.DUMMYFUNCTION("GOOGLETRANSLATE(English!B4711, ""en"", ""bg"")"),"биология")</f>
        <v>биология</v>
      </c>
      <c r="C4711" s="1" t="str">
        <f ca="1">IFERROR(__xludf.DUMMYFUNCTION("GOOGLETRANSLATE(English!C4711, ""en"", ""bg"")"),"елементарен")</f>
        <v>елементарен</v>
      </c>
      <c r="D4711" s="1" t="str">
        <f ca="1">IFERROR(__xludf.DUMMYFUNCTION("GOOGLETRANSLATE(English!D4711, ""en"", ""bg"")"),"основни нужди")</f>
        <v>основни нужди</v>
      </c>
      <c r="E4711" s="1" t="str">
        <f ca="1">IFERROR(__xludf.DUMMYFUNCTION("GOOGLETRANSLATE(English!E4711, ""en"", ""bg"")"),"Можете ли да обясните основните изисквания за моя научен проект?")</f>
        <v>Можете ли да обясните основните изисквания за моя научен проект?</v>
      </c>
      <c r="F4711" s="1" t="str">
        <f ca="1">IFERROR(__xludf.DUMMYFUNCTION("GOOGLETRANSLATE(English!F4711,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4711" s="1" t="str">
        <f ca="1">IFERROR(__xludf.DUMMYFUNCTION("GOOGLETRANSLATE(English!G4711, ""en"", ""bg"")"),"помощ_за_домашно_изпълнение")</f>
        <v>помощ_за_домашно_изпълнение</v>
      </c>
      <c r="H4711" s="1" t="str">
        <f ca="1">IFERROR(__xludf.DUMMYFUNCTION("GOOGLETRANSLATE(English!H4711, ""en"", ""bg"")"),"помощ_за_домашно_задаване")</f>
        <v>помощ_за_домашно_задаване</v>
      </c>
    </row>
    <row r="4712" spans="1:8" ht="13.2" x14ac:dyDescent="0.25">
      <c r="A4712" s="1" t="str">
        <f ca="1">IFERROR(__xludf.DUMMYFUNCTION("GOOGLETRANSLATE(English!A4712, ""en"", ""bg"")"),"qa_14431")</f>
        <v>qa_14431</v>
      </c>
      <c r="B4712" s="1" t="str">
        <f ca="1">IFERROR(__xludf.DUMMYFUNCTION("GOOGLETRANSLATE(English!B4712, ""en"", ""bg"")"),"биология")</f>
        <v>биология</v>
      </c>
      <c r="C4712" s="1" t="str">
        <f ca="1">IFERROR(__xludf.DUMMYFUNCTION("GOOGLETRANSLATE(English!C4712, ""en"", ""bg"")"),"елементарен")</f>
        <v>елементарен</v>
      </c>
      <c r="D4712" s="1" t="str">
        <f ca="1">IFERROR(__xludf.DUMMYFUNCTION("GOOGLETRANSLATE(English!D4712, ""en"", ""bg"")"),"жизнени цикли")</f>
        <v>жизнени цикли</v>
      </c>
      <c r="E4712" s="1" t="str">
        <f ca="1">IFERROR(__xludf.DUMMYFUNCTION("GOOGLETRANSLATE(English!E4712, ""en"", ""bg"")"),"Можете ли да ми разкажете за жизнените цикли?")</f>
        <v>Можете ли да ми разкажете за жизнените цикли?</v>
      </c>
      <c r="F4712" s="1" t="str">
        <f ca="1">IFERROR(__xludf.DUMMYFUNCTION("GOOGLETRANSLATE(English!F4712, ""en"", ""bg"")"),"Жизнените цикли са завладяваща част от биологията! Те ни помагат да разберем как функционират живите организми.")</f>
        <v>Жизнените цикли са завладяваща част от биологията! Те ни помагат да разберем как функционират живите организми.</v>
      </c>
      <c r="G4712" s="1" t="str">
        <f ca="1">IFERROR(__xludf.DUMMYFUNCTION("GOOGLETRANSLATE(English!G4712, ""en"", ""bg"")"),"direct_qa")</f>
        <v>direct_qa</v>
      </c>
      <c r="H4712" s="1" t="str">
        <f ca="1">IFERROR(__xludf.DUMMYFUNCTION("GOOGLETRANSLATE(English!H4712, ""en"", ""bg"")"),"заявка_за_знание")</f>
        <v>заявка_за_знание</v>
      </c>
    </row>
    <row r="4713" spans="1:8" ht="13.2" x14ac:dyDescent="0.25">
      <c r="A4713" s="1" t="str">
        <f ca="1">IFERROR(__xludf.DUMMYFUNCTION("GOOGLETRANSLATE(English!A4713, ""en"", ""bg"")"),"qa_03571")</f>
        <v>qa_03571</v>
      </c>
      <c r="B4713" s="1" t="str">
        <f ca="1">IFERROR(__xludf.DUMMYFUNCTION("GOOGLETRANSLATE(English!B4713, ""en"", ""bg"")"),"биология")</f>
        <v>биология</v>
      </c>
      <c r="C4713" s="1" t="str">
        <f ca="1">IFERROR(__xludf.DUMMYFUNCTION("GOOGLETRANSLATE(English!C4713, ""en"", ""bg"")"),"високо")</f>
        <v>високо</v>
      </c>
      <c r="D4713" s="1" t="str">
        <f ca="1">IFERROR(__xludf.DUMMYFUNCTION("GOOGLETRANSLATE(English!D4713, ""en"", ""bg"")"),"модели на наследяване")</f>
        <v>модели на наследяване</v>
      </c>
      <c r="E4713" s="1" t="str">
        <f ca="1">IFERROR(__xludf.DUMMYFUNCTION("GOOGLETRANSLATE(English!E4713, ""en"", ""bg"")"),"Какво е важно да знаем за моделите на наследяване?")</f>
        <v>Какво е важно да знаем за моделите на наследяване?</v>
      </c>
      <c r="F4713" s="1" t="str">
        <f ca="1">IFERROR(__xludf.DUMMYFUNCTION("GOOGLETRANSLATE(English!F4713, ""en"", ""bg"")"),"Най-важното нещо за моделите на наследяване е как те се свързват с други части на живота и природата.")</f>
        <v>Най-важното нещо за моделите на наследяване е как те се свързват с други части на живота и природата.</v>
      </c>
      <c r="G4713" s="1" t="str">
        <f ca="1">IFERROR(__xludf.DUMMYFUNCTION("GOOGLETRANSLATE(English!G4713, ""en"", ""bg"")"),"direct_qa")</f>
        <v>direct_qa</v>
      </c>
      <c r="H4713" s="1" t="str">
        <f ca="1">IFERROR(__xludf.DUMMYFUNCTION("GOOGLETRANSLATE(English!H4713, ""en"", ""bg"")"),"заявка_за_знание")</f>
        <v>заявка_за_знание</v>
      </c>
    </row>
    <row r="4714" spans="1:8" ht="13.2" x14ac:dyDescent="0.25">
      <c r="A4714" s="1" t="str">
        <f ca="1">IFERROR(__xludf.DUMMYFUNCTION("GOOGLETRANSLATE(English!A4714, ""en"", ""bg"")"),"qa_04572")</f>
        <v>qa_04572</v>
      </c>
      <c r="B4714" s="1" t="str">
        <f ca="1">IFERROR(__xludf.DUMMYFUNCTION("GOOGLETRANSLATE(English!B4714, ""en"", ""bg"")"),"химия")</f>
        <v>химия</v>
      </c>
      <c r="C4714" s="1" t="str">
        <f ca="1">IFERROR(__xludf.DUMMYFUNCTION("GOOGLETRANSLATE(English!C4714, ""en"", ""bg"")"),"високо")</f>
        <v>високо</v>
      </c>
      <c r="D4714" s="1" t="str">
        <f ca="1">IFERROR(__xludf.DUMMYFUNCTION("GOOGLETRANSLATE(English!D4714, ""en"", ""bg"")"),"скорости на реакция")</f>
        <v>скорости на реакция</v>
      </c>
      <c r="E4714" s="1" t="str">
        <f ca="1">IFERROR(__xludf.DUMMYFUNCTION("GOOGLETRANSLATE(English!E4714, ""en"", ""bg"")"),"Можете ли да ми помогнете да разбера скоростта на реакциите?")</f>
        <v>Можете ли да ми помогнете да разбера скоростта на реакциите?</v>
      </c>
      <c r="F4714" s="1" t="str">
        <f ca="1">IFERROR(__xludf.DUMMYFUNCTION("GOOGLETRANSLATE(English!F4714,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714" s="1" t="str">
        <f ca="1">IFERROR(__xludf.DUMMYFUNCTION("GOOGLETRANSLATE(English!G4714, ""en"", ""bg"")"),"direct_qa")</f>
        <v>direct_qa</v>
      </c>
      <c r="H4714" s="1" t="str">
        <f ca="1">IFERROR(__xludf.DUMMYFUNCTION("GOOGLETRANSLATE(English!H4714, ""en"", ""bg"")"),"заявка_за_знание")</f>
        <v>заявка_за_знание</v>
      </c>
    </row>
    <row r="4715" spans="1:8" ht="13.2" x14ac:dyDescent="0.25">
      <c r="A4715" s="1" t="str">
        <f ca="1">IFERROR(__xludf.DUMMYFUNCTION("GOOGLETRANSLATE(English!A4715, ""en"", ""bg"")"),"qa_09421")</f>
        <v>qa_09421</v>
      </c>
      <c r="B4715" s="1" t="str">
        <f ca="1">IFERROR(__xludf.DUMMYFUNCTION("GOOGLETRANSLATE(English!B4715, ""en"", ""bg"")"),"физика")</f>
        <v>физика</v>
      </c>
      <c r="C4715" s="1" t="str">
        <f ca="1">IFERROR(__xludf.DUMMYFUNCTION("GOOGLETRANSLATE(English!C4715, ""en"", ""bg"")"),"средата")</f>
        <v>средата</v>
      </c>
      <c r="D4715" s="1" t="str">
        <f ca="1">IFERROR(__xludf.DUMMYFUNCTION("GOOGLETRANSLATE(English!D4715, ""en"", ""bg"")"),"прости схеми")</f>
        <v>прости схеми</v>
      </c>
      <c r="E4715" s="1" t="str">
        <f ca="1">IFERROR(__xludf.DUMMYFUNCTION("GOOGLETRANSLATE(English!E4715, ""en"", ""bg"")"),"Какво трябва да знам за прости електрически вериги?")</f>
        <v>Какво трябва да знам за прости електрически вериги?</v>
      </c>
      <c r="F4715" s="1" t="str">
        <f ca="1">IFERROR(__xludf.DUMMYFUNCTION("GOOGLETRANSLATE(English!F4715, ""en"", ""bg"")"),"Ключовото нещо при простите електрически вериги е как те следват законите на физиката, които управляват нашата вселена.")</f>
        <v>Ключовото нещо при простите електрически вериги е как те следват законите на физиката, които управляват нашата вселена.</v>
      </c>
      <c r="G4715" s="1" t="str">
        <f ca="1">IFERROR(__xludf.DUMMYFUNCTION("GOOGLETRANSLATE(English!G4715, ""en"", ""bg"")"),"direct_qa")</f>
        <v>direct_qa</v>
      </c>
      <c r="H4715" s="1" t="str">
        <f ca="1">IFERROR(__xludf.DUMMYFUNCTION("GOOGLETRANSLATE(English!H4715, ""en"", ""bg"")"),"заявка_за_знание")</f>
        <v>заявка_за_знание</v>
      </c>
    </row>
    <row r="4716" spans="1:8" ht="13.2" x14ac:dyDescent="0.25">
      <c r="A4716" s="1" t="str">
        <f ca="1">IFERROR(__xludf.DUMMYFUNCTION("GOOGLETRANSLATE(English!A4716, ""en"", ""bg"")"),"hw_12151")</f>
        <v>hw_12151</v>
      </c>
      <c r="B4716" s="1" t="str">
        <f ca="1">IFERROR(__xludf.DUMMYFUNCTION("GOOGLETRANSLATE(English!B4716, ""en"", ""bg"")"),"биология")</f>
        <v>биология</v>
      </c>
      <c r="C4716" s="1" t="str">
        <f ca="1">IFERROR(__xludf.DUMMYFUNCTION("GOOGLETRANSLATE(English!C4716, ""en"", ""bg"")"),"високо")</f>
        <v>високо</v>
      </c>
      <c r="D4716" s="1" t="str">
        <f ca="1">IFERROR(__xludf.DUMMYFUNCTION("GOOGLETRANSLATE(English!D4716, ""en"", ""bg"")"),"синтез на протеини")</f>
        <v>синтез на протеини</v>
      </c>
      <c r="E4716" s="1" t="str">
        <f ca="1">IFERROR(__xludf.DUMMYFUNCTION("GOOGLETRANSLATE(English!E4716, ""en"", ""bg"")"),"Можете ли да обясните синтеза на протеини за моя научен проект?")</f>
        <v>Можете ли да обясните синтеза на протеини за моя научен проект?</v>
      </c>
      <c r="F4716" s="1" t="str">
        <f ca="1">IFERROR(__xludf.DUMMYFUNCTION("GOOGLETRANSLATE(English!F4716,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4716" s="1" t="str">
        <f ca="1">IFERROR(__xludf.DUMMYFUNCTION("GOOGLETRANSLATE(English!G4716, ""en"", ""bg"")"),"помощ_за_домашно_изпълнение")</f>
        <v>помощ_за_домашно_изпълнение</v>
      </c>
      <c r="H4716" s="1" t="str">
        <f ca="1">IFERROR(__xludf.DUMMYFUNCTION("GOOGLETRANSLATE(English!H4716, ""en"", ""bg"")"),"помощ_за_домашно_задаване")</f>
        <v>помощ_за_домашно_задаване</v>
      </c>
    </row>
    <row r="4717" spans="1:8" ht="13.2" x14ac:dyDescent="0.25">
      <c r="A4717" s="1" t="str">
        <f ca="1">IFERROR(__xludf.DUMMYFUNCTION("GOOGLETRANSLATE(English!A4717, ""en"", ""bg"")"),"conv_00210")</f>
        <v>conv_00210</v>
      </c>
      <c r="B4717" s="1" t="str">
        <f ca="1">IFERROR(__xludf.DUMMYFUNCTION("GOOGLETRANSLATE(English!B4717, ""en"", ""bg"")"),"физика")</f>
        <v>физика</v>
      </c>
      <c r="C4717" s="1" t="str">
        <f ca="1">IFERROR(__xludf.DUMMYFUNCTION("GOOGLETRANSLATE(English!C4717, ""en"", ""bg"")"),"средата")</f>
        <v>средата</v>
      </c>
      <c r="D4717" s="1" t="str">
        <f ca="1">IFERROR(__xludf.DUMMYFUNCTION("GOOGLETRANSLATE(English!D4717, ""en"", ""bg"")"),"прости схеми")</f>
        <v>прости схеми</v>
      </c>
      <c r="E4717" s="1" t="str">
        <f ca="1">IFERROR(__xludf.DUMMYFUNCTION("GOOGLETRANSLATE(English!E4717, ""en"", ""bg"")"),"Имам научен въпрос. Защо простите електрически вериги са важни?")</f>
        <v>Имам научен въпрос. Защо простите електрически вериги са важни?</v>
      </c>
      <c r="F4717" s="1" t="str">
        <f ca="1">IFERROR(__xludf.DUMMYFUNCTION("GOOGLETRANSLATE(English!F4717, ""en"", ""bg"")"),"Простите електрически вериги са важни, защото ни помагат да разберем физическия свят около нас.")</f>
        <v>Простите електрически вериги са важни, защото ни помагат да разберем физическия свят около нас.</v>
      </c>
      <c r="G4717" s="1" t="str">
        <f ca="1">IFERROR(__xludf.DUMMYFUNCTION("GOOGLETRANSLATE(English!G4717, ""en"", ""bg"")"),"разговор")</f>
        <v>разговор</v>
      </c>
      <c r="H4717" s="1" t="str">
        <f ca="1">IFERROR(__xludf.DUMMYFUNCTION("GOOGLETRANSLATE(English!H4717, ""en"", ""bg"")"),"образователна_помощ")</f>
        <v>образователна_помощ</v>
      </c>
    </row>
    <row r="4718" spans="1:8" ht="13.2" x14ac:dyDescent="0.25">
      <c r="A4718" s="1" t="str">
        <f ca="1">IFERROR(__xludf.DUMMYFUNCTION("GOOGLETRANSLATE(English!A4718, ""en"", ""bg"")"),"conv_15207")</f>
        <v>conv_15207</v>
      </c>
      <c r="B4718" s="1" t="str">
        <f ca="1">IFERROR(__xludf.DUMMYFUNCTION("GOOGLETRANSLATE(English!B4718, ""en"", ""bg"")"),"биология")</f>
        <v>биология</v>
      </c>
      <c r="C4718" s="1" t="str">
        <f ca="1">IFERROR(__xludf.DUMMYFUNCTION("GOOGLETRANSLATE(English!C4718, ""en"", ""bg"")"),"високо")</f>
        <v>високо</v>
      </c>
      <c r="D4718" s="1" t="str">
        <f ca="1">IFERROR(__xludf.DUMMYFUNCTION("GOOGLETRANSLATE(English!D4718, ""en"", ""bg"")"),"митоза и мейоза")</f>
        <v>митоза и мейоза</v>
      </c>
      <c r="E4718" s="1" t="str">
        <f ca="1">IFERROR(__xludf.DUMMYFUNCTION("GOOGLETRANSLATE(English!E4718, ""en"", ""bg"")"),"Имам нужда от помощ с домашното. Защо митозата и мейозата са важни в биологията?")</f>
        <v>Имам нужда от помощ с домашното. Защо митозата и мейозата са важни в биологията?</v>
      </c>
      <c r="F4718" s="1" t="str">
        <f ca="1">IFERROR(__xludf.DUMMYFUNCTION("GOOGLETRANSLATE(English!F4718,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4718" s="1" t="str">
        <f ca="1">IFERROR(__xludf.DUMMYFUNCTION("GOOGLETRANSLATE(English!G4718, ""en"", ""bg"")"),"разговор")</f>
        <v>разговор</v>
      </c>
      <c r="H4718" s="1" t="str">
        <f ca="1">IFERROR(__xludf.DUMMYFUNCTION("GOOGLETRANSLATE(English!H4718, ""en"", ""bg"")"),"образователна_помощ")</f>
        <v>образователна_помощ</v>
      </c>
    </row>
    <row r="4719" spans="1:8" ht="13.2" x14ac:dyDescent="0.25">
      <c r="A4719" s="1" t="str">
        <f ca="1">IFERROR(__xludf.DUMMYFUNCTION("GOOGLETRANSLATE(English!A4719, ""en"", ""bg"")"),"conv_02245")</f>
        <v>conv_02245</v>
      </c>
      <c r="B4719" s="1" t="str">
        <f ca="1">IFERROR(__xludf.DUMMYFUNCTION("GOOGLETRANSLATE(English!B4719, ""en"", ""bg"")"),"биология")</f>
        <v>биология</v>
      </c>
      <c r="C4719" s="1" t="str">
        <f ca="1">IFERROR(__xludf.DUMMYFUNCTION("GOOGLETRANSLATE(English!C4719, ""en"", ""bg"")"),"високо")</f>
        <v>високо</v>
      </c>
      <c r="D4719" s="1" t="str">
        <f ca="1">IFERROR(__xludf.DUMMYFUNCTION("GOOGLETRANSLATE(English!D4719, ""en"", ""bg"")"),"митоза и мейоза")</f>
        <v>митоза и мейоза</v>
      </c>
      <c r="E4719" s="1" t="str">
        <f ca="1">IFERROR(__xludf.DUMMYFUNCTION("GOOGLETRANSLATE(English!E4719, ""en"", ""bg"")"),"Можете ли да ми помогнете? Какво е важно да знаем за митозата и мейозата?")</f>
        <v>Можете ли да ми помогнете? Какво е важно да знаем за митозата и мейозата?</v>
      </c>
      <c r="F4719" s="1" t="str">
        <f ca="1">IFERROR(__xludf.DUMMYFUNCTION("GOOGLETRANSLATE(English!F4719,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4719" s="1" t="str">
        <f ca="1">IFERROR(__xludf.DUMMYFUNCTION("GOOGLETRANSLATE(English!G4719, ""en"", ""bg"")"),"разговор")</f>
        <v>разговор</v>
      </c>
      <c r="H4719" s="1" t="str">
        <f ca="1">IFERROR(__xludf.DUMMYFUNCTION("GOOGLETRANSLATE(English!H4719, ""en"", ""bg"")"),"образователна_помощ")</f>
        <v>образователна_помощ</v>
      </c>
    </row>
    <row r="4720" spans="1:8" ht="13.2" x14ac:dyDescent="0.25">
      <c r="A4720" s="1" t="str">
        <f ca="1">IFERROR(__xludf.DUMMYFUNCTION("GOOGLETRANSLATE(English!A4720, ""en"", ""bg"")"),"conv_02856")</f>
        <v>conv_02856</v>
      </c>
      <c r="B4720" s="1" t="str">
        <f ca="1">IFERROR(__xludf.DUMMYFUNCTION("GOOGLETRANSLATE(English!B4720, ""en"", ""bg"")"),"физика")</f>
        <v>физика</v>
      </c>
      <c r="C4720" s="1" t="str">
        <f ca="1">IFERROR(__xludf.DUMMYFUNCTION("GOOGLETRANSLATE(English!C4720, ""en"", ""bg"")"),"високо")</f>
        <v>високо</v>
      </c>
      <c r="D4720" s="1" t="str">
        <f ca="1">IFERROR(__xludf.DUMMYFUNCTION("GOOGLETRANSLATE(English!D4720, ""en"", ""bg"")"),"електромагнетизъм")</f>
        <v>електромагнетизъм</v>
      </c>
      <c r="E4720" s="1" t="str">
        <f ca="1">IFERROR(__xludf.DUMMYFUNCTION("GOOGLETRANSLATE(English!E4720, ""en"", ""bg"")"),"Имам научен въпрос. Можете ли да ми обясните електромагнетизма?")</f>
        <v>Имам научен въпрос. Можете ли да ми обясните електромагнетизма?</v>
      </c>
      <c r="F4720" s="1" t="str">
        <f ca="1">IFERROR(__xludf.DUMMYFUNCTION("GOOGLETRANSLATE(English!F4720, ""en"", ""bg"")"),"Електромагнетизмът е интересна физическа концепция, която ни помага да разберем как работят нещата в нашия свят!")</f>
        <v>Електромагнетизмът е интересна физическа концепция, която ни помага да разберем как работят нещата в нашия свят!</v>
      </c>
      <c r="G4720" s="1" t="str">
        <f ca="1">IFERROR(__xludf.DUMMYFUNCTION("GOOGLETRANSLATE(English!G4720, ""en"", ""bg"")"),"разговор")</f>
        <v>разговор</v>
      </c>
      <c r="H4720" s="1" t="str">
        <f ca="1">IFERROR(__xludf.DUMMYFUNCTION("GOOGLETRANSLATE(English!H4720, ""en"", ""bg"")"),"образователна_помощ")</f>
        <v>образователна_помощ</v>
      </c>
    </row>
    <row r="4721" spans="1:8" ht="13.2" x14ac:dyDescent="0.25">
      <c r="A4721" s="1" t="str">
        <f ca="1">IFERROR(__xludf.DUMMYFUNCTION("GOOGLETRANSLATE(English!A4721, ""en"", ""bg"")"),"hw_02341")</f>
        <v>hw_02341</v>
      </c>
      <c r="B4721" s="1" t="str">
        <f ca="1">IFERROR(__xludf.DUMMYFUNCTION("GOOGLETRANSLATE(English!B4721, ""en"", ""bg"")"),"физика")</f>
        <v>физика</v>
      </c>
      <c r="C4721" s="1" t="str">
        <f ca="1">IFERROR(__xludf.DUMMYFUNCTION("GOOGLETRANSLATE(English!C4721, ""en"", ""bg"")"),"високо")</f>
        <v>високо</v>
      </c>
      <c r="D4721" s="1" t="str">
        <f ca="1">IFERROR(__xludf.DUMMYFUNCTION("GOOGLETRANSLATE(English!D4721, ""en"", ""bg"")"),"радиоактивност")</f>
        <v>радиоактивност</v>
      </c>
      <c r="E4721" s="1" t="str">
        <f ca="1">IFERROR(__xludf.DUMMYFUNCTION("GOOGLETRANSLATE(English!E4721, ""en"", ""bg"")"),"Домашното ми по физика е за радиоактивност. Объркващо е!")</f>
        <v>Домашното ми по физика е за радиоактивност. Объркващо е!</v>
      </c>
      <c r="F4721" s="1" t="str">
        <f ca="1">IFERROR(__xludf.DUMMYFUNCTION("GOOGLETRANSLATE(English!F4721,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4721" s="1" t="str">
        <f ca="1">IFERROR(__xludf.DUMMYFUNCTION("GOOGLETRANSLATE(English!G4721, ""en"", ""bg"")"),"помощ_за_домашно_изпълнение")</f>
        <v>помощ_за_домашно_изпълнение</v>
      </c>
      <c r="H4721" s="1" t="str">
        <f ca="1">IFERROR(__xludf.DUMMYFUNCTION("GOOGLETRANSLATE(English!H4721, ""en"", ""bg"")"),"помощ_за_домашно_задаване")</f>
        <v>помощ_за_домашно_задаване</v>
      </c>
    </row>
    <row r="4722" spans="1:8" ht="13.2" x14ac:dyDescent="0.25">
      <c r="A4722" s="1" t="str">
        <f ca="1">IFERROR(__xludf.DUMMYFUNCTION("GOOGLETRANSLATE(English!A4722, ""en"", ""bg"")"),"qa_08903")</f>
        <v>qa_08903</v>
      </c>
      <c r="B4722" s="1" t="str">
        <f ca="1">IFERROR(__xludf.DUMMYFUNCTION("GOOGLETRANSLATE(English!B4722, ""en"", ""bg"")"),"химия")</f>
        <v>химия</v>
      </c>
      <c r="C4722" s="1" t="str">
        <f ca="1">IFERROR(__xludf.DUMMYFUNCTION("GOOGLETRANSLATE(English!C4722, ""en"", ""bg"")"),"високо")</f>
        <v>високо</v>
      </c>
      <c r="D4722" s="1" t="str">
        <f ca="1">IFERROR(__xludf.DUMMYFUNCTION("GOOGLETRANSLATE(English!D4722, ""en"", ""bg"")"),"равновесие")</f>
        <v>равновесие</v>
      </c>
      <c r="E4722" s="1" t="str">
        <f ca="1">IFERROR(__xludf.DUMMYFUNCTION("GOOGLETRANSLATE(English!E4722, ""en"", ""bg"")"),"Как работи равновесието в химията?")</f>
        <v>Как работи равновесието в химията?</v>
      </c>
      <c r="F4722" s="1" t="str">
        <f ca="1">IFERROR(__xludf.DUMMYFUNCTION("GOOGLETRANSLATE(English!F4722, ""en"", ""bg"")"),"Равновесието работи според химични принципи, които обясняват как атомите и молекулите взаимодействат.")</f>
        <v>Равновесието работи според химични принципи, които обясняват как атомите и молекулите взаимодействат.</v>
      </c>
      <c r="G4722" s="1" t="str">
        <f ca="1">IFERROR(__xludf.DUMMYFUNCTION("GOOGLETRANSLATE(English!G4722, ""en"", ""bg"")"),"direct_qa")</f>
        <v>direct_qa</v>
      </c>
      <c r="H4722" s="1" t="str">
        <f ca="1">IFERROR(__xludf.DUMMYFUNCTION("GOOGLETRANSLATE(English!H4722, ""en"", ""bg"")"),"заявка_за_знание")</f>
        <v>заявка_за_знание</v>
      </c>
    </row>
    <row r="4723" spans="1:8" ht="13.2" x14ac:dyDescent="0.25">
      <c r="A4723" s="1" t="str">
        <f ca="1">IFERROR(__xludf.DUMMYFUNCTION("GOOGLETRANSLATE(English!A4723, ""en"", ""bg"")"),"qa_13285")</f>
        <v>qa_13285</v>
      </c>
      <c r="B4723" s="1" t="str">
        <f ca="1">IFERROR(__xludf.DUMMYFUNCTION("GOOGLETRANSLATE(English!B4723, ""en"", ""bg"")"),"биология")</f>
        <v>биология</v>
      </c>
      <c r="C4723" s="1" t="str">
        <f ca="1">IFERROR(__xludf.DUMMYFUNCTION("GOOGLETRANSLATE(English!C4723, ""en"", ""bg"")"),"средата")</f>
        <v>средата</v>
      </c>
      <c r="D4723" s="1" t="str">
        <f ca="1">IFERROR(__xludf.DUMMYFUNCTION("GOOGLETRANSLATE(English!D4723, ""en"", ""bg"")"),"класификация")</f>
        <v>класификация</v>
      </c>
      <c r="E4723" s="1" t="str">
        <f ca="1">IFERROR(__xludf.DUMMYFUNCTION("GOOGLETRANSLATE(English!E4723, ""en"", ""bg"")"),"Защо класификацията е важна в биологията?")</f>
        <v>Защо класификацията е важна в биологията?</v>
      </c>
      <c r="F4723" s="1" t="str">
        <f ca="1">IFERROR(__xludf.DUMMYFUNCTION("GOOGLETRANSLATE(English!F4723,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4723" s="1" t="str">
        <f ca="1">IFERROR(__xludf.DUMMYFUNCTION("GOOGLETRANSLATE(English!G4723, ""en"", ""bg"")"),"direct_qa")</f>
        <v>direct_qa</v>
      </c>
      <c r="H4723" s="1" t="str">
        <f ca="1">IFERROR(__xludf.DUMMYFUNCTION("GOOGLETRANSLATE(English!H4723, ""en"", ""bg"")"),"заявка_за_знание")</f>
        <v>заявка_за_знание</v>
      </c>
    </row>
    <row r="4724" spans="1:8" ht="13.2" x14ac:dyDescent="0.25">
      <c r="A4724" s="1" t="str">
        <f ca="1">IFERROR(__xludf.DUMMYFUNCTION("GOOGLETRANSLATE(English!A4724, ""en"", ""bg"")"),"conv_05951")</f>
        <v>conv_05951</v>
      </c>
      <c r="B4724" s="1" t="str">
        <f ca="1">IFERROR(__xludf.DUMMYFUNCTION("GOOGLETRANSLATE(English!B4724, ""en"", ""bg"")"),"химия")</f>
        <v>химия</v>
      </c>
      <c r="C4724" s="1" t="str">
        <f ca="1">IFERROR(__xludf.DUMMYFUNCTION("GOOGLETRANSLATE(English!C4724, ""en"", ""bg"")"),"високо")</f>
        <v>високо</v>
      </c>
      <c r="D4724" s="1" t="str">
        <f ca="1">IFERROR(__xludf.DUMMYFUNCTION("GOOGLETRANSLATE(English!D4724, ""en"", ""bg"")"),"химическо свързване")</f>
        <v>химическо свързване</v>
      </c>
      <c r="E4724" s="1" t="str">
        <f ca="1">IFERROR(__xludf.DUMMYFUNCTION("GOOGLETRANSLATE(English!E4724, ""en"", ""bg"")"),"Имам нужда от помощ с домашното си. Как работи химическата връзка в химията?")</f>
        <v>Имам нужда от помощ с домашното си. Как работи химическата връзка в химията?</v>
      </c>
      <c r="F4724" s="1" t="str">
        <f ca="1">IFERROR(__xludf.DUMMYFUNCTION("GOOGLETRANSLATE(English!F4724,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4724" s="1" t="str">
        <f ca="1">IFERROR(__xludf.DUMMYFUNCTION("GOOGLETRANSLATE(English!G4724, ""en"", ""bg"")"),"разговор")</f>
        <v>разговор</v>
      </c>
      <c r="H4724" s="1" t="str">
        <f ca="1">IFERROR(__xludf.DUMMYFUNCTION("GOOGLETRANSLATE(English!H4724, ""en"", ""bg"")"),"образователна_помощ")</f>
        <v>образователна_помощ</v>
      </c>
    </row>
    <row r="4725" spans="1:8" ht="13.2" x14ac:dyDescent="0.25">
      <c r="A4725" s="1" t="str">
        <f ca="1">IFERROR(__xludf.DUMMYFUNCTION("GOOGLETRANSLATE(English!A4725, ""en"", ""bg"")"),"qa_02010")</f>
        <v>qa_02010</v>
      </c>
      <c r="B4725" s="1" t="str">
        <f ca="1">IFERROR(__xludf.DUMMYFUNCTION("GOOGLETRANSLATE(English!B4725, ""en"", ""bg"")"),"биология")</f>
        <v>биология</v>
      </c>
      <c r="C4725" s="1" t="str">
        <f ca="1">IFERROR(__xludf.DUMMYFUNCTION("GOOGLETRANSLATE(English!C4725, ""en"", ""bg"")"),"елементарен")</f>
        <v>елементарен</v>
      </c>
      <c r="D4725" s="1" t="str">
        <f ca="1">IFERROR(__xludf.DUMMYFUNCTION("GOOGLETRANSLATE(English!D4725, ""en"", ""bg"")"),"местообитания")</f>
        <v>местообитания</v>
      </c>
      <c r="E4725" s="1" t="str">
        <f ca="1">IFERROR(__xludf.DUMMYFUNCTION("GOOGLETRANSLATE(English!E4725, ""en"", ""bg"")"),"Защо местообитанията са важни в биологията?")</f>
        <v>Защо местообитанията са важни в биологията?</v>
      </c>
      <c r="F4725" s="1" t="str">
        <f ca="1">IFERROR(__xludf.DUMMYFUNCTION("GOOGLETRANSLATE(English!F4725,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4725" s="1" t="str">
        <f ca="1">IFERROR(__xludf.DUMMYFUNCTION("GOOGLETRANSLATE(English!G4725, ""en"", ""bg"")"),"direct_qa")</f>
        <v>direct_qa</v>
      </c>
      <c r="H4725" s="1" t="str">
        <f ca="1">IFERROR(__xludf.DUMMYFUNCTION("GOOGLETRANSLATE(English!H4725, ""en"", ""bg"")"),"заявка_за_знание")</f>
        <v>заявка_за_знание</v>
      </c>
    </row>
    <row r="4726" spans="1:8" ht="13.2" x14ac:dyDescent="0.25">
      <c r="A4726" s="1" t="str">
        <f ca="1">IFERROR(__xludf.DUMMYFUNCTION("GOOGLETRANSLATE(English!A4726, ""en"", ""bg"")"),"qa_13914")</f>
        <v>qa_13914</v>
      </c>
      <c r="B4726" s="1" t="str">
        <f ca="1">IFERROR(__xludf.DUMMYFUNCTION("GOOGLETRANSLATE(English!B4726, ""en"", ""bg"")"),"физика")</f>
        <v>физика</v>
      </c>
      <c r="C4726" s="1" t="str">
        <f ca="1">IFERROR(__xludf.DUMMYFUNCTION("GOOGLETRANSLATE(English!C4726, ""en"", ""bg"")"),"елементарен")</f>
        <v>елементарен</v>
      </c>
      <c r="D4726" s="1" t="str">
        <f ca="1">IFERROR(__xludf.DUMMYFUNCTION("GOOGLETRANSLATE(English!D4726, ""en"", ""bg"")"),"горещо и студено")</f>
        <v>горещо и студено</v>
      </c>
      <c r="E4726" s="1" t="str">
        <f ca="1">IFERROR(__xludf.DUMMYFUNCTION("GOOGLETRANSLATE(English!E4726, ""en"", ""bg"")"),"Защо е важно топлото и студеното?")</f>
        <v>Защо е важно топлото и студеното?</v>
      </c>
      <c r="F4726" s="1" t="str">
        <f ca="1">IFERROR(__xludf.DUMMYFUNCTION("GOOGLETRANSLATE(English!F4726,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4726" s="1" t="str">
        <f ca="1">IFERROR(__xludf.DUMMYFUNCTION("GOOGLETRANSLATE(English!G4726, ""en"", ""bg"")"),"direct_qa")</f>
        <v>direct_qa</v>
      </c>
      <c r="H4726" s="1" t="str">
        <f ca="1">IFERROR(__xludf.DUMMYFUNCTION("GOOGLETRANSLATE(English!H4726, ""en"", ""bg"")"),"заявка_за_знание")</f>
        <v>заявка_за_знание</v>
      </c>
    </row>
    <row r="4727" spans="1:8" ht="13.2" x14ac:dyDescent="0.25">
      <c r="A4727" s="1" t="str">
        <f ca="1">IFERROR(__xludf.DUMMYFUNCTION("GOOGLETRANSLATE(English!A4727, ""en"", ""bg"")"),"conv_11917")</f>
        <v>conv_11917</v>
      </c>
      <c r="B4727" s="1" t="str">
        <f ca="1">IFERROR(__xludf.DUMMYFUNCTION("GOOGLETRANSLATE(English!B4727, ""en"", ""bg"")"),"химия")</f>
        <v>химия</v>
      </c>
      <c r="C4727" s="1" t="str">
        <f ca="1">IFERROR(__xludf.DUMMYFUNCTION("GOOGLETRANSLATE(English!C4727, ""en"", ""bg"")"),"средата")</f>
        <v>средата</v>
      </c>
      <c r="D4727" s="1" t="str">
        <f ca="1">IFERROR(__xludf.DUMMYFUNCTION("GOOGLETRANSLATE(English!D4727, ""en"", ""bg"")"),"химични промени")</f>
        <v>химични промени</v>
      </c>
      <c r="E4727" s="1" t="str">
        <f ca="1">IFERROR(__xludf.DUMMYFUNCTION("GOOGLETRANSLATE(English!E4727, ""en"", ""bg"")"),"Здравей, преподавателю! Защо е важно да се изучават химични промени?")</f>
        <v>Здравей, преподавателю! Защо е важно да се изучават химични промени?</v>
      </c>
      <c r="F4727" s="1" t="str">
        <f ca="1">IFERROR(__xludf.DUMMYFUNCTION("GOOGLETRANSLATE(English!F4727,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4727" s="1" t="str">
        <f ca="1">IFERROR(__xludf.DUMMYFUNCTION("GOOGLETRANSLATE(English!G4727, ""en"", ""bg"")"),"разговор")</f>
        <v>разговор</v>
      </c>
      <c r="H4727" s="1" t="str">
        <f ca="1">IFERROR(__xludf.DUMMYFUNCTION("GOOGLETRANSLATE(English!H4727, ""en"", ""bg"")"),"образователна_помощ")</f>
        <v>образователна_помощ</v>
      </c>
    </row>
    <row r="4728" spans="1:8" ht="13.2" x14ac:dyDescent="0.25">
      <c r="A4728" s="1" t="str">
        <f ca="1">IFERROR(__xludf.DUMMYFUNCTION("GOOGLETRANSLATE(English!A4728, ""en"", ""bg"")"),"hw_10174")</f>
        <v>hw_10174</v>
      </c>
      <c r="B4728" s="1" t="str">
        <f ca="1">IFERROR(__xludf.DUMMYFUNCTION("GOOGLETRANSLATE(English!B4728, ""en"", ""bg"")"),"биология")</f>
        <v>биология</v>
      </c>
      <c r="C4728" s="1" t="str">
        <f ca="1">IFERROR(__xludf.DUMMYFUNCTION("GOOGLETRANSLATE(English!C4728, ""en"", ""bg"")"),"средата")</f>
        <v>средата</v>
      </c>
      <c r="D4728" s="1" t="str">
        <f ca="1">IFERROR(__xludf.DUMMYFUNCTION("GOOGLETRANSLATE(English!D4728, ""en"", ""bg"")"),"дишане")</f>
        <v>дишане</v>
      </c>
      <c r="E4728" s="1" t="str">
        <f ca="1">IFERROR(__xludf.DUMMYFUNCTION("GOOGLETRANSLATE(English!E4728, ""en"", ""bg"")"),"Трябва да напиша доклад за дишането. Можете ли да ми помогнете да започна?")</f>
        <v>Трябва да напиша доклад за дишането. Можете ли да ми помогнете да започна?</v>
      </c>
      <c r="F4728" s="1" t="str">
        <f ca="1">IFERROR(__xludf.DUMMYFUNCTION("GOOGLETRANSLATE(English!F4728,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728" s="1" t="str">
        <f ca="1">IFERROR(__xludf.DUMMYFUNCTION("GOOGLETRANSLATE(English!G4728, ""en"", ""bg"")"),"помощ_за_домашно_изпълнение")</f>
        <v>помощ_за_домашно_изпълнение</v>
      </c>
      <c r="H4728" s="1" t="str">
        <f ca="1">IFERROR(__xludf.DUMMYFUNCTION("GOOGLETRANSLATE(English!H4728, ""en"", ""bg"")"),"помощ_за_домашно_задаване")</f>
        <v>помощ_за_домашно_задаване</v>
      </c>
    </row>
    <row r="4729" spans="1:8" ht="13.2" x14ac:dyDescent="0.25">
      <c r="A4729" s="1" t="str">
        <f ca="1">IFERROR(__xludf.DUMMYFUNCTION("GOOGLETRANSLATE(English!A4729, ""en"", ""bg"")"),"hw_06234")</f>
        <v>hw_06234</v>
      </c>
      <c r="B4729" s="1" t="str">
        <f ca="1">IFERROR(__xludf.DUMMYFUNCTION("GOOGLETRANSLATE(English!B4729, ""en"", ""bg"")"),"биология")</f>
        <v>биология</v>
      </c>
      <c r="C4729" s="1" t="str">
        <f ca="1">IFERROR(__xludf.DUMMYFUNCTION("GOOGLETRANSLATE(English!C4729, ""en"", ""bg"")"),"елементарен")</f>
        <v>елементарен</v>
      </c>
      <c r="D4729" s="1" t="str">
        <f ca="1">IFERROR(__xludf.DUMMYFUNCTION("GOOGLETRANSLATE(English!D4729, ""en"", ""bg"")"),"основни нужди")</f>
        <v>основни нужди</v>
      </c>
      <c r="E4729" s="1" t="str">
        <f ca="1">IFERROR(__xludf.DUMMYFUNCTION("GOOGLETRANSLATE(English!E4729, ""en"", ""bg"")"),"Можете ли да обясните основните изисквания за моя научен проект?")</f>
        <v>Можете ли да обясните основните изисквания за моя научен проект?</v>
      </c>
      <c r="F4729" s="1" t="str">
        <f ca="1">IFERROR(__xludf.DUMMYFUNCTION("GOOGLETRANSLATE(English!F4729, ""en"", ""bg"")"),"Ще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и"&amp;"скали да започнете?")</f>
        <v>Ще се радвам да ви помогна с основните потребности! Нека разделя това на прости стъпки. Първо, нека обясня какво означават основните потребности и защо са важни в биологията. След това можем да разгледаме заедно някои примери. С коя конкретна част бихте искали да започнете?</v>
      </c>
      <c r="G4729" s="1" t="str">
        <f ca="1">IFERROR(__xludf.DUMMYFUNCTION("GOOGLETRANSLATE(English!G4729, ""en"", ""bg"")"),"помощ_за_домашно_изпълнение")</f>
        <v>помощ_за_домашно_изпълнение</v>
      </c>
      <c r="H4729" s="1" t="str">
        <f ca="1">IFERROR(__xludf.DUMMYFUNCTION("GOOGLETRANSLATE(English!H4729, ""en"", ""bg"")"),"помощ_за_домашно_задаване")</f>
        <v>помощ_за_домашно_задаване</v>
      </c>
    </row>
    <row r="4730" spans="1:8" ht="13.2" x14ac:dyDescent="0.25">
      <c r="A4730" s="1" t="str">
        <f ca="1">IFERROR(__xludf.DUMMYFUNCTION("GOOGLETRANSLATE(English!A4730, ""en"", ""bg"")"),"hw_07832")</f>
        <v>hw_07832</v>
      </c>
      <c r="B4730" s="1" t="str">
        <f ca="1">IFERROR(__xludf.DUMMYFUNCTION("GOOGLETRANSLATE(English!B4730, ""en"", ""bg"")"),"химия")</f>
        <v>химия</v>
      </c>
      <c r="C4730" s="1" t="str">
        <f ca="1">IFERROR(__xludf.DUMMYFUNCTION("GOOGLETRANSLATE(English!C4730, ""en"", ""bg"")"),"средата")</f>
        <v>средата</v>
      </c>
      <c r="D4730" s="1" t="str">
        <f ca="1">IFERROR(__xludf.DUMMYFUNCTION("GOOGLETRANSLATE(English!D4730, ""en"", ""bg"")"),"съединения срещу елементи")</f>
        <v>съединения срещу елементи</v>
      </c>
      <c r="E4730" s="1" t="str">
        <f ca="1">IFERROR(__xludf.DUMMYFUNCTION("GOOGLETRANSLATE(English!E4730, ""en"", ""bg"")"),"Моят доклад по химия е за съединенията спрямо елементите. Помогнете ми да разбера.")</f>
        <v>Моят доклад по химия е за съединенията спрямо елементите. Помогнете ми да разбера.</v>
      </c>
      <c r="F4730" s="1" t="str">
        <f ca="1">IFERROR(__xludf.DUMMYFUNCTION("GOOGLETRANSLATE(English!F4730, ""en"", ""bg"")"),"Ще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к"&amp;"онкретна част бихте искали да започнете?")</f>
        <v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v>
      </c>
      <c r="G4730" s="1" t="str">
        <f ca="1">IFERROR(__xludf.DUMMYFUNCTION("GOOGLETRANSLATE(English!G4730, ""en"", ""bg"")"),"помощ_за_домашно_изпълнение")</f>
        <v>помощ_за_домашно_изпълнение</v>
      </c>
      <c r="H4730" s="1" t="str">
        <f ca="1">IFERROR(__xludf.DUMMYFUNCTION("GOOGLETRANSLATE(English!H4730, ""en"", ""bg"")"),"помощ_за_домашно_задаване")</f>
        <v>помощ_за_домашно_задаване</v>
      </c>
    </row>
    <row r="4731" spans="1:8" ht="13.2" x14ac:dyDescent="0.25">
      <c r="A4731" s="1" t="str">
        <f ca="1">IFERROR(__xludf.DUMMYFUNCTION("GOOGLETRANSLATE(English!A4731, ""en"", ""bg"")"),"qa_06744")</f>
        <v>qa_06744</v>
      </c>
      <c r="B4731" s="1" t="str">
        <f ca="1">IFERROR(__xludf.DUMMYFUNCTION("GOOGLETRANSLATE(English!B4731, ""en"", ""bg"")"),"химия")</f>
        <v>химия</v>
      </c>
      <c r="C4731" s="1" t="str">
        <f ca="1">IFERROR(__xludf.DUMMYFUNCTION("GOOGLETRANSLATE(English!C4731, ""en"", ""bg"")"),"елементарен")</f>
        <v>елементарен</v>
      </c>
      <c r="D4731" s="1" t="str">
        <f ca="1">IFERROR(__xludf.DUMMYFUNCTION("GOOGLETRANSLATE(English!D4731, ""en"", ""bg"")"),"твърди вещества, течности, газове")</f>
        <v>твърди вещества, течности, газове</v>
      </c>
      <c r="E4731" s="1" t="str">
        <f ca="1">IFERROR(__xludf.DUMMYFUNCTION("GOOGLETRANSLATE(English!E4731, ""en"", ""bg"")"),"Кои са трите състояния на материята?")</f>
        <v>Кои са трите състояния на материята?</v>
      </c>
      <c r="F4731" s="1" t="str">
        <f ca="1">IFERROR(__xludf.DUMMYFUNCTION("GOOGLETRANSLATE(English!F4731, ""en"", ""bg"")"),"Трите агрегатни състояния на материята са твърдо, течно и газообразно. Всичко около нас е съставено от материя в една от тези форми!")</f>
        <v>Трите агрегатни състояния на материята са твърдо, течно и газообразно. Всичко около нас е съставено от материя в една от тези форми!</v>
      </c>
      <c r="G4731" s="1" t="str">
        <f ca="1">IFERROR(__xludf.DUMMYFUNCTION("GOOGLETRANSLATE(English!G4731, ""en"", ""bg"")"),"direct_qa")</f>
        <v>direct_qa</v>
      </c>
      <c r="H4731" s="1" t="str">
        <f ca="1">IFERROR(__xludf.DUMMYFUNCTION("GOOGLETRANSLATE(English!H4731, ""en"", ""bg"")"),"заявка_за_знание")</f>
        <v>заявка_за_знание</v>
      </c>
    </row>
    <row r="4732" spans="1:8" ht="13.2" x14ac:dyDescent="0.25">
      <c r="A4732" s="1" t="str">
        <f ca="1">IFERROR(__xludf.DUMMYFUNCTION("GOOGLETRANSLATE(English!A4732, ""en"", ""bg"")"),"qa_14031")</f>
        <v>qa_14031</v>
      </c>
      <c r="B4732" s="1" t="str">
        <f ca="1">IFERROR(__xludf.DUMMYFUNCTION("GOOGLETRANSLATE(English!B4732, ""en"", ""bg"")"),"химия")</f>
        <v>химия</v>
      </c>
      <c r="C4732" s="1" t="str">
        <f ca="1">IFERROR(__xludf.DUMMYFUNCTION("GOOGLETRANSLATE(English!C4732, ""en"", ""bg"")"),"елементарен")</f>
        <v>елементарен</v>
      </c>
      <c r="D4732" s="1" t="str">
        <f ca="1">IFERROR(__xludf.DUMMYFUNCTION("GOOGLETRANSLATE(English!D4732, ""en"", ""bg"")"),"промени в материалите")</f>
        <v>промени в материалите</v>
      </c>
      <c r="E4732" s="1" t="str">
        <f ca="1">IFERROR(__xludf.DUMMYFUNCTION("GOOGLETRANSLATE(English!E4732, ""en"", ""bg"")"),"Как протичат промените в материалите в химията?")</f>
        <v>Как протичат промените в материалите в химията?</v>
      </c>
      <c r="F4732" s="1" t="str">
        <f ca="1">IFERROR(__xludf.DUMMYFUNCTION("GOOGLETRANSLATE(English!F4732,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4732" s="1" t="str">
        <f ca="1">IFERROR(__xludf.DUMMYFUNCTION("GOOGLETRANSLATE(English!G4732, ""en"", ""bg"")"),"direct_qa")</f>
        <v>direct_qa</v>
      </c>
      <c r="H4732" s="1" t="str">
        <f ca="1">IFERROR(__xludf.DUMMYFUNCTION("GOOGLETRANSLATE(English!H4732, ""en"", ""bg"")"),"заявка_за_знание")</f>
        <v>заявка_за_знание</v>
      </c>
    </row>
    <row r="4733" spans="1:8" ht="13.2" x14ac:dyDescent="0.25">
      <c r="A4733" s="1" t="str">
        <f ca="1">IFERROR(__xludf.DUMMYFUNCTION("GOOGLETRANSLATE(English!A4733, ""en"", ""bg"")"),"conv_10704")</f>
        <v>conv_10704</v>
      </c>
      <c r="B4733" s="1" t="str">
        <f ca="1">IFERROR(__xludf.DUMMYFUNCTION("GOOGLETRANSLATE(English!B4733, ""en"", ""bg"")"),"химия")</f>
        <v>химия</v>
      </c>
      <c r="C4733" s="1" t="str">
        <f ca="1">IFERROR(__xludf.DUMMYFUNCTION("GOOGLETRANSLATE(English!C4733, ""en"", ""bg"")"),"средата")</f>
        <v>средата</v>
      </c>
      <c r="D4733" s="1" t="str">
        <f ca="1">IFERROR(__xludf.DUMMYFUNCTION("GOOGLETRANSLATE(English!D4733, ""en"", ""bg"")"),"съединения срещу елементи")</f>
        <v>съединения срещу елементи</v>
      </c>
      <c r="E4733" s="1" t="str">
        <f ca="1">IFERROR(__xludf.DUMMYFUNCTION("GOOGLETRANSLATE(English!E4733, ""en"", ""bg"")"),"Можете ли да ми обясните това? Можете ли да ми помогнете да разбера какво представляват съединенията спрямо елементите?")</f>
        <v>Можете ли да ми обясните това? Можете ли да ми помогнете да разбера какво представляват съединенията спрямо елементите?</v>
      </c>
      <c r="F4733" s="1" t="str">
        <f ca="1">IFERROR(__xludf.DUMMYFUNCTION("GOOGLETRANSLATE(English!F4733, ""en"", ""bg"")"),"Съединенията срещу елементите са важна химическа концепция, която ни помага да разберем как се държи и променя материята!")</f>
        <v>Съединенията срещу елементите са важна химическа концепция, която ни помага да разберем как се държи и променя материята!</v>
      </c>
      <c r="G4733" s="1" t="str">
        <f ca="1">IFERROR(__xludf.DUMMYFUNCTION("GOOGLETRANSLATE(English!G4733, ""en"", ""bg"")"),"разговор")</f>
        <v>разговор</v>
      </c>
      <c r="H4733" s="1" t="str">
        <f ca="1">IFERROR(__xludf.DUMMYFUNCTION("GOOGLETRANSLATE(English!H4733, ""en"", ""bg"")"),"образователна_помощ")</f>
        <v>образователна_помощ</v>
      </c>
    </row>
    <row r="4734" spans="1:8" ht="13.2" x14ac:dyDescent="0.25">
      <c r="A4734" s="1" t="str">
        <f ca="1">IFERROR(__xludf.DUMMYFUNCTION("GOOGLETRANSLATE(English!A4734, ""en"", ""bg"")"),"conv_19771")</f>
        <v>conv_19771</v>
      </c>
      <c r="B4734" s="1" t="str">
        <f ca="1">IFERROR(__xludf.DUMMYFUNCTION("GOOGLETRANSLATE(English!B4734, ""en"", ""bg"")"),"биология")</f>
        <v>биология</v>
      </c>
      <c r="C4734" s="1" t="str">
        <f ca="1">IFERROR(__xludf.DUMMYFUNCTION("GOOGLETRANSLATE(English!C4734, ""en"", ""bg"")"),"високо")</f>
        <v>високо</v>
      </c>
      <c r="D4734" s="1" t="str">
        <f ca="1">IFERROR(__xludf.DUMMYFUNCTION("GOOGLETRANSLATE(English!D4734, ""en"", ""bg"")"),"модели на наследяване")</f>
        <v>модели на наследяване</v>
      </c>
      <c r="E4734" s="1" t="str">
        <f ca="1">IFERROR(__xludf.DUMMYFUNCTION("GOOGLETRANSLATE(English!E4734, ""en"", ""bg"")"),"Здравей, преподавателю! Защо моделите на наследяване са важни в биологията?")</f>
        <v>Здравей, преподавателю! Защо моделите на наследяване са важни в биологията?</v>
      </c>
      <c r="F4734" s="1" t="str">
        <f ca="1">IFERROR(__xludf.DUMMYFUNCTION("GOOGLETRANSLATE(English!F4734,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4734" s="1" t="str">
        <f ca="1">IFERROR(__xludf.DUMMYFUNCTION("GOOGLETRANSLATE(English!G4734, ""en"", ""bg"")"),"разговор")</f>
        <v>разговор</v>
      </c>
      <c r="H4734" s="1" t="str">
        <f ca="1">IFERROR(__xludf.DUMMYFUNCTION("GOOGLETRANSLATE(English!H4734, ""en"", ""bg"")"),"образователна_помощ")</f>
        <v>образователна_помощ</v>
      </c>
    </row>
    <row r="4735" spans="1:8" ht="13.2" x14ac:dyDescent="0.25">
      <c r="A4735" s="1" t="str">
        <f ca="1">IFERROR(__xludf.DUMMYFUNCTION("GOOGLETRANSLATE(English!A4735, ""en"", ""bg"")"),"conv_16063")</f>
        <v>conv_16063</v>
      </c>
      <c r="B4735" s="1" t="str">
        <f ca="1">IFERROR(__xludf.DUMMYFUNCTION("GOOGLETRANSLATE(English!B4735, ""en"", ""bg"")"),"физика")</f>
        <v>физика</v>
      </c>
      <c r="C4735" s="1" t="str">
        <f ca="1">IFERROR(__xludf.DUMMYFUNCTION("GOOGLETRANSLATE(English!C4735, ""en"", ""bg"")"),"елементарен")</f>
        <v>елементарен</v>
      </c>
      <c r="D4735" s="1" t="str">
        <f ca="1">IFERROR(__xludf.DUMMYFUNCTION("GOOGLETRANSLATE(English!D4735, ""en"", ""bg"")"),"горещо и студено")</f>
        <v>горещо и студено</v>
      </c>
      <c r="E4735" s="1" t="str">
        <f ca="1">IFERROR(__xludf.DUMMYFUNCTION("GOOGLETRANSLATE(English!E4735, ""en"", ""bg"")"),"Имам научен въпрос. Можете ли да ми обясните какво е топло и студено?")</f>
        <v>Имам научен въпрос. Можете ли да ми обясните какво е топло и студено?</v>
      </c>
      <c r="F4735" s="1" t="str">
        <f ca="1">IFERROR(__xludf.DUMMYFUNCTION("GOOGLETRANSLATE(English!F4735,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4735" s="1" t="str">
        <f ca="1">IFERROR(__xludf.DUMMYFUNCTION("GOOGLETRANSLATE(English!G4735, ""en"", ""bg"")"),"разговор")</f>
        <v>разговор</v>
      </c>
      <c r="H4735" s="1" t="str">
        <f ca="1">IFERROR(__xludf.DUMMYFUNCTION("GOOGLETRANSLATE(English!H4735, ""en"", ""bg"")"),"образователна_помощ")</f>
        <v>образователна_помощ</v>
      </c>
    </row>
    <row r="4736" spans="1:8" ht="13.2" x14ac:dyDescent="0.25">
      <c r="A4736" s="1" t="str">
        <f ca="1">IFERROR(__xludf.DUMMYFUNCTION("GOOGLETRANSLATE(English!A4736, ""en"", ""bg"")"),"qa_06018")</f>
        <v>qa_06018</v>
      </c>
      <c r="B4736" s="1" t="str">
        <f ca="1">IFERROR(__xludf.DUMMYFUNCTION("GOOGLETRANSLATE(English!B4736, ""en"", ""bg"")"),"биология")</f>
        <v>биология</v>
      </c>
      <c r="C4736" s="1" t="str">
        <f ca="1">IFERROR(__xludf.DUMMYFUNCTION("GOOGLETRANSLATE(English!C4736, ""en"", ""bg"")"),"елементарен")</f>
        <v>елементарен</v>
      </c>
      <c r="D4736" s="1" t="str">
        <f ca="1">IFERROR(__xludf.DUMMYFUNCTION("GOOGLETRANSLATE(English!D4736, ""en"", ""bg"")"),"хранителни вериги")</f>
        <v>хранителни вериги</v>
      </c>
      <c r="E4736" s="1" t="str">
        <f ca="1">IFERROR(__xludf.DUMMYFUNCTION("GOOGLETRANSLATE(English!E4736, ""en"", ""bg"")"),"Как работят хранителните вериги?")</f>
        <v>Как работят хранителните вериги?</v>
      </c>
      <c r="F4736" s="1" t="str">
        <f ca="1">IFERROR(__xludf.DUMMYFUNCTION("GOOGLETRANSLATE(English!F4736, ""en"", ""bg"")"),"Хранителните вериги работят чрез естествени процеси, които учените изучават от много години.")</f>
        <v>Хранителните вериги работят чрез естествени процеси, които учените изучават от много години.</v>
      </c>
      <c r="G4736" s="1" t="str">
        <f ca="1">IFERROR(__xludf.DUMMYFUNCTION("GOOGLETRANSLATE(English!G4736, ""en"", ""bg"")"),"direct_qa")</f>
        <v>direct_qa</v>
      </c>
      <c r="H4736" s="1" t="str">
        <f ca="1">IFERROR(__xludf.DUMMYFUNCTION("GOOGLETRANSLATE(English!H4736, ""en"", ""bg"")"),"заявка_за_знание")</f>
        <v>заявка_за_знание</v>
      </c>
    </row>
    <row r="4737" spans="1:8" ht="13.2" x14ac:dyDescent="0.25">
      <c r="A4737" s="1" t="str">
        <f ca="1">IFERROR(__xludf.DUMMYFUNCTION("GOOGLETRANSLATE(English!A4737, ""en"", ""bg"")"),"hw_14534")</f>
        <v>hw_14534</v>
      </c>
      <c r="B4737" s="1" t="str">
        <f ca="1">IFERROR(__xludf.DUMMYFUNCTION("GOOGLETRANSLATE(English!B4737, ""en"", ""bg"")"),"физика")</f>
        <v>физика</v>
      </c>
      <c r="C4737" s="1" t="str">
        <f ca="1">IFERROR(__xludf.DUMMYFUNCTION("GOOGLETRANSLATE(English!C4737, ""en"", ""bg"")"),"средата")</f>
        <v>средата</v>
      </c>
      <c r="D4737" s="1" t="str">
        <f ca="1">IFERROR(__xludf.DUMMYFUNCTION("GOOGLETRANSLATE(English!D4737, ""en"", ""bg"")"),"видове енергия")</f>
        <v>видове енергия</v>
      </c>
      <c r="E4737" s="1" t="str">
        <f ca="1">IFERROR(__xludf.DUMMYFUNCTION("GOOGLETRANSLATE(English!E4737, ""en"", ""bg"")"),"Заседнал съм с този проблем с видовете енергия. Можете ли да помогнете?")</f>
        <v>Заседнал съм с този проблем с видовете енергия. Можете ли да помогнете?</v>
      </c>
      <c r="F4737" s="1" t="str">
        <f ca="1">IFERROR(__xludf.DUMMYFUNCTION("GOOGLETRANSLATE(English!F4737,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4737" s="1" t="str">
        <f ca="1">IFERROR(__xludf.DUMMYFUNCTION("GOOGLETRANSLATE(English!G4737, ""en"", ""bg"")"),"помощ_за_домашно_изпълнение")</f>
        <v>помощ_за_домашно_изпълнение</v>
      </c>
      <c r="H4737" s="1" t="str">
        <f ca="1">IFERROR(__xludf.DUMMYFUNCTION("GOOGLETRANSLATE(English!H4737, ""en"", ""bg"")"),"помощ_за_домашно_задаване")</f>
        <v>помощ_за_домашно_задаване</v>
      </c>
    </row>
    <row r="4738" spans="1:8" ht="13.2" x14ac:dyDescent="0.25">
      <c r="A4738" s="1" t="str">
        <f ca="1">IFERROR(__xludf.DUMMYFUNCTION("GOOGLETRANSLATE(English!A4738, ""en"", ""bg"")"),"hw_14899")</f>
        <v>hw_14899</v>
      </c>
      <c r="B4738" s="1" t="str">
        <f ca="1">IFERROR(__xludf.DUMMYFUNCTION("GOOGLETRANSLATE(English!B4738, ""en"", ""bg"")"),"химия")</f>
        <v>химия</v>
      </c>
      <c r="C4738" s="1" t="str">
        <f ca="1">IFERROR(__xludf.DUMMYFUNCTION("GOOGLETRANSLATE(English!C4738, ""en"", ""bg"")"),"високо")</f>
        <v>високо</v>
      </c>
      <c r="D4738" s="1" t="str">
        <f ca="1">IFERROR(__xludf.DUMMYFUNCTION("GOOGLETRANSLATE(English!D4738, ""en"", ""bg"")"),"скорости на реакция")</f>
        <v>скорости на реакция</v>
      </c>
      <c r="E4738" s="1" t="str">
        <f ca="1">IFERROR(__xludf.DUMMYFUNCTION("GOOGLETRANSLATE(English!E4738,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4738" s="1" t="str">
        <f ca="1">IFERROR(__xludf.DUMMYFUNCTION("GOOGLETRANSLATE(English!F4738,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4738" s="1" t="str">
        <f ca="1">IFERROR(__xludf.DUMMYFUNCTION("GOOGLETRANSLATE(English!G4738, ""en"", ""bg"")"),"помощ_за_домашно_изпълнение")</f>
        <v>помощ_за_домашно_изпълнение</v>
      </c>
      <c r="H4738" s="1" t="str">
        <f ca="1">IFERROR(__xludf.DUMMYFUNCTION("GOOGLETRANSLATE(English!H4738, ""en"", ""bg"")"),"помощ_за_домашно_задаване")</f>
        <v>помощ_за_домашно_задаване</v>
      </c>
    </row>
    <row r="4739" spans="1:8" ht="13.2" x14ac:dyDescent="0.25">
      <c r="A4739" s="1" t="str">
        <f ca="1">IFERROR(__xludf.DUMMYFUNCTION("GOOGLETRANSLATE(English!A4739, ""en"", ""bg"")"),"conv_00026")</f>
        <v>conv_00026</v>
      </c>
      <c r="B4739" s="1" t="str">
        <f ca="1">IFERROR(__xludf.DUMMYFUNCTION("GOOGLETRANSLATE(English!B4739, ""en"", ""bg"")"),"физика")</f>
        <v>физика</v>
      </c>
      <c r="C4739" s="1" t="str">
        <f ca="1">IFERROR(__xludf.DUMMYFUNCTION("GOOGLETRANSLATE(English!C4739, ""en"", ""bg"")"),"високо")</f>
        <v>високо</v>
      </c>
      <c r="D4739" s="1" t="str">
        <f ca="1">IFERROR(__xludf.DUMMYFUNCTION("GOOGLETRANSLATE(English!D4739, ""en"", ""bg"")"),"механика")</f>
        <v>механика</v>
      </c>
      <c r="E4739" s="1" t="str">
        <f ca="1">IFERROR(__xludf.DUMMYFUNCTION("GOOGLETRANSLATE(English!E4739, ""en"", ""bg"")"),"Здравей, преподавателю! Какво трябва да знам за механиката?")</f>
        <v>Здравей, преподавателю! Какво трябва да знам за механиката?</v>
      </c>
      <c r="F4739" s="1" t="str">
        <f ca="1">IFERROR(__xludf.DUMMYFUNCTION("GOOGLETRANSLATE(English!F4739,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4739" s="1" t="str">
        <f ca="1">IFERROR(__xludf.DUMMYFUNCTION("GOOGLETRANSLATE(English!G4739, ""en"", ""bg"")"),"разговор")</f>
        <v>разговор</v>
      </c>
      <c r="H4739" s="1" t="str">
        <f ca="1">IFERROR(__xludf.DUMMYFUNCTION("GOOGLETRANSLATE(English!H4739, ""en"", ""bg"")"),"образователна_помощ")</f>
        <v>образователна_помощ</v>
      </c>
    </row>
    <row r="4740" spans="1:8" ht="13.2" x14ac:dyDescent="0.25">
      <c r="A4740" s="1" t="str">
        <f ca="1">IFERROR(__xludf.DUMMYFUNCTION("GOOGLETRANSLATE(English!A4740, ""en"", ""bg"")"),"conv_09701")</f>
        <v>conv_09701</v>
      </c>
      <c r="B4740" s="1" t="str">
        <f ca="1">IFERROR(__xludf.DUMMYFUNCTION("GOOGLETRANSLATE(English!B4740, ""en"", ""bg"")"),"биология")</f>
        <v>биология</v>
      </c>
      <c r="C4740" s="1" t="str">
        <f ca="1">IFERROR(__xludf.DUMMYFUNCTION("GOOGLETRANSLATE(English!C4740, ""en"", ""bg"")"),"средата")</f>
        <v>средата</v>
      </c>
      <c r="D4740" s="1" t="str">
        <f ca="1">IFERROR(__xludf.DUMMYFUNCTION("GOOGLETRANSLATE(English!D4740, ""en"", ""bg"")"),"екосистеми")</f>
        <v>екосистеми</v>
      </c>
      <c r="E4740" s="1" t="str">
        <f ca="1">IFERROR(__xludf.DUMMYFUNCTION("GOOGLETRANSLATE(English!E4740, ""en"", ""bg"")"),"Имам нужда от помощ с домашното. Можете ли да ми разкажете за екосистемите?")</f>
        <v>Имам нужда от помощ с домашното. Можете ли да ми разкажете за екосистемите?</v>
      </c>
      <c r="F4740" s="1" t="str">
        <f ca="1">IFERROR(__xludf.DUMMYFUNCTION("GOOGLETRANSLATE(English!F4740, ""en"", ""bg"")"),"Екосистемите са завладяваща част от биологията! Те ни помагат да разберем как функционират живите същества.")</f>
        <v>Екосистемите са завладяваща част от биологията! Те ни помагат да разберем как функционират живите същества.</v>
      </c>
      <c r="G4740" s="1" t="str">
        <f ca="1">IFERROR(__xludf.DUMMYFUNCTION("GOOGLETRANSLATE(English!G4740, ""en"", ""bg"")"),"разговор")</f>
        <v>разговор</v>
      </c>
      <c r="H4740" s="1" t="str">
        <f ca="1">IFERROR(__xludf.DUMMYFUNCTION("GOOGLETRANSLATE(English!H4740, ""en"", ""bg"")"),"образователна_помощ")</f>
        <v>образователна_помощ</v>
      </c>
    </row>
    <row r="4741" spans="1:8" ht="13.2" x14ac:dyDescent="0.25">
      <c r="A4741" s="1" t="str">
        <f ca="1">IFERROR(__xludf.DUMMYFUNCTION("GOOGLETRANSLATE(English!A4741, ""en"", ""bg"")"),"qa_01525")</f>
        <v>qa_01525</v>
      </c>
      <c r="B4741" s="1" t="str">
        <f ca="1">IFERROR(__xludf.DUMMYFUNCTION("GOOGLETRANSLATE(English!B4741, ""en"", ""bg"")"),"биология")</f>
        <v>биология</v>
      </c>
      <c r="C4741" s="1" t="str">
        <f ca="1">IFERROR(__xludf.DUMMYFUNCTION("GOOGLETRANSLATE(English!C4741, ""en"", ""bg"")"),"средата")</f>
        <v>средата</v>
      </c>
      <c r="D4741" s="1" t="str">
        <f ca="1">IFERROR(__xludf.DUMMYFUNCTION("GOOGLETRANSLATE(English!D4741, ""en"", ""bg"")"),"дишане")</f>
        <v>дишане</v>
      </c>
      <c r="E4741" s="1" t="str">
        <f ca="1">IFERROR(__xludf.DUMMYFUNCTION("GOOGLETRANSLATE(English!E4741, ""en"", ""bg"")"),"Можете ли да ми разкажете за дишането?")</f>
        <v>Можете ли да ми разкажете за дишането?</v>
      </c>
      <c r="F4741" s="1" t="str">
        <f ca="1">IFERROR(__xludf.DUMMYFUNCTION("GOOGLETRANSLATE(English!F4741,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4741" s="1" t="str">
        <f ca="1">IFERROR(__xludf.DUMMYFUNCTION("GOOGLETRANSLATE(English!G4741, ""en"", ""bg"")"),"direct_qa")</f>
        <v>direct_qa</v>
      </c>
      <c r="H4741" s="1" t="str">
        <f ca="1">IFERROR(__xludf.DUMMYFUNCTION("GOOGLETRANSLATE(English!H4741, ""en"", ""bg"")"),"заявка_за_знание")</f>
        <v>заявка_за_знание</v>
      </c>
    </row>
    <row r="4742" spans="1:8" ht="13.2" x14ac:dyDescent="0.25">
      <c r="A4742" s="1" t="str">
        <f ca="1">IFERROR(__xludf.DUMMYFUNCTION("GOOGLETRANSLATE(English!A4742, ""en"", ""bg"")"),"hw_10069")</f>
        <v>hw_10069</v>
      </c>
      <c r="B4742" s="1" t="str">
        <f ca="1">IFERROR(__xludf.DUMMYFUNCTION("GOOGLETRANSLATE(English!B4742, ""en"", ""bg"")"),"химия")</f>
        <v>химия</v>
      </c>
      <c r="C4742" s="1" t="str">
        <f ca="1">IFERROR(__xludf.DUMMYFUNCTION("GOOGLETRANSLATE(English!C4742, ""en"", ""bg"")"),"средата")</f>
        <v>средата</v>
      </c>
      <c r="D4742" s="1" t="str">
        <f ca="1">IFERROR(__xludf.DUMMYFUNCTION("GOOGLETRANSLATE(English!D4742, ""en"", ""bg"")"),"киселини и основи")</f>
        <v>киселини и основи</v>
      </c>
      <c r="E4742" s="1" t="str">
        <f ca="1">IFERROR(__xludf.DUMMYFUNCTION("GOOGLETRANSLATE(English!E4742, ""en"", ""bg"")"),"Можете ли да ми помогнете с изчисленията на киселини и основи?")</f>
        <v>Можете ли да ми помогнете с изчисленията на киселини и основи?</v>
      </c>
      <c r="F4742" s="1" t="str">
        <f ca="1">IFERROR(__xludf.DUMMYFUNCTION("GOOGLETRANSLATE(English!F4742,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742" s="1" t="str">
        <f ca="1">IFERROR(__xludf.DUMMYFUNCTION("GOOGLETRANSLATE(English!G4742, ""en"", ""bg"")"),"помощ_за_домашно_изпълнение")</f>
        <v>помощ_за_домашно_изпълнение</v>
      </c>
      <c r="H4742" s="1" t="str">
        <f ca="1">IFERROR(__xludf.DUMMYFUNCTION("GOOGLETRANSLATE(English!H4742, ""en"", ""bg"")"),"помощ_за_домашно_задаване")</f>
        <v>помощ_за_домашно_задаване</v>
      </c>
    </row>
    <row r="4743" spans="1:8" ht="13.2" x14ac:dyDescent="0.25">
      <c r="A4743" s="1" t="str">
        <f ca="1">IFERROR(__xludf.DUMMYFUNCTION("GOOGLETRANSLATE(English!A4743, ""en"", ""bg"")"),"hw_03674")</f>
        <v>hw_03674</v>
      </c>
      <c r="B4743" s="1" t="str">
        <f ca="1">IFERROR(__xludf.DUMMYFUNCTION("GOOGLETRANSLATE(English!B4743, ""en"", ""bg"")"),"физика")</f>
        <v>физика</v>
      </c>
      <c r="C4743" s="1" t="str">
        <f ca="1">IFERROR(__xludf.DUMMYFUNCTION("GOOGLETRANSLATE(English!C4743, ""en"", ""bg"")"),"елементарен")</f>
        <v>елементарен</v>
      </c>
      <c r="D4743" s="1" t="str">
        <f ca="1">IFERROR(__xludf.DUMMYFUNCTION("GOOGLETRANSLATE(English!D4743, ""en"", ""bg"")"),"бутане и дърпане")</f>
        <v>бутане и дърпане</v>
      </c>
      <c r="E4743" s="1" t="str">
        <f ca="1">IFERROR(__xludf.DUMMYFUNCTION("GOOGLETRANSLATE(English!E4743, ""en"", ""bg"")"),"Домашното ми по физика е за бутане и дърпане. Объркващо е!")</f>
        <v>Домашното ми по физика е за бутане и дърпане. Объркващо е!</v>
      </c>
      <c r="F4743" s="1" t="str">
        <f ca="1">IFERROR(__xludf.DUMMYFUNCTION("GOOGLETRANSLATE(English!F4743, ""en"", ""bg"")"),"Ще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иск"&amp;"али да започнете?")</f>
        <v>Ще се радвам да ви помогна с тласкането и дърпането! Нека го разделя на прости стъпки. Първо, нека обясня какво означава тласкането и дърпането и защо е важно във физиката. След това можем да разгледаме заедно някои примери. С коя конкретна част бихте искали да започнете?</v>
      </c>
      <c r="G4743" s="1" t="str">
        <f ca="1">IFERROR(__xludf.DUMMYFUNCTION("GOOGLETRANSLATE(English!G4743, ""en"", ""bg"")"),"помощ_за_домашно_изпълнение")</f>
        <v>помощ_за_домашно_изпълнение</v>
      </c>
      <c r="H4743" s="1" t="str">
        <f ca="1">IFERROR(__xludf.DUMMYFUNCTION("GOOGLETRANSLATE(English!H4743, ""en"", ""bg"")"),"помощ_за_домашно_задаване")</f>
        <v>помощ_за_домашно_задаване</v>
      </c>
    </row>
    <row r="4744" spans="1:8" ht="13.2" x14ac:dyDescent="0.25">
      <c r="A4744" s="1" t="str">
        <f ca="1">IFERROR(__xludf.DUMMYFUNCTION("GOOGLETRANSLATE(English!A4744, ""en"", ""bg"")"),"conv_11476")</f>
        <v>conv_11476</v>
      </c>
      <c r="B4744" s="1" t="str">
        <f ca="1">IFERROR(__xludf.DUMMYFUNCTION("GOOGLETRANSLATE(English!B4744, ""en"", ""bg"")"),"химия")</f>
        <v>химия</v>
      </c>
      <c r="C4744" s="1" t="str">
        <f ca="1">IFERROR(__xludf.DUMMYFUNCTION("GOOGLETRANSLATE(English!C4744, ""en"", ""bg"")"),"високо")</f>
        <v>високо</v>
      </c>
      <c r="D4744" s="1" t="str">
        <f ca="1">IFERROR(__xludf.DUMMYFUNCTION("GOOGLETRANSLATE(English!D4744, ""en"", ""bg"")"),"органична химия")</f>
        <v>органична химия</v>
      </c>
      <c r="E4744" s="1" t="str">
        <f ca="1">IFERROR(__xludf.DUMMYFUNCTION("GOOGLETRANSLATE(English!E4744, ""en"", ""bg"")"),"Можете ли да ми помогнете? Какво представлява органичната химия?")</f>
        <v>Можете ли да ми помогнете? Какво представлява органичната химия?</v>
      </c>
      <c r="F4744" s="1" t="str">
        <f ca="1">IFERROR(__xludf.DUMMYFUNCTION("GOOGLETRANSLATE(English!F4744, ""en"", ""bg"")"),"Органичната химия е свързана с взаимодействията между различните видове материя и енергия.")</f>
        <v>Органичната химия е свързана с взаимодействията между различните видове материя и енергия.</v>
      </c>
      <c r="G4744" s="1" t="str">
        <f ca="1">IFERROR(__xludf.DUMMYFUNCTION("GOOGLETRANSLATE(English!G4744, ""en"", ""bg"")"),"разговор")</f>
        <v>разговор</v>
      </c>
      <c r="H4744" s="1" t="str">
        <f ca="1">IFERROR(__xludf.DUMMYFUNCTION("GOOGLETRANSLATE(English!H4744, ""en"", ""bg"")"),"образователна_помощ")</f>
        <v>образователна_помощ</v>
      </c>
    </row>
    <row r="4745" spans="1:8" ht="13.2" x14ac:dyDescent="0.25">
      <c r="A4745" s="1" t="str">
        <f ca="1">IFERROR(__xludf.DUMMYFUNCTION("GOOGLETRANSLATE(English!A4745, ""en"", ""bg"")"),"qa_02884")</f>
        <v>qa_02884</v>
      </c>
      <c r="B4745" s="1" t="str">
        <f ca="1">IFERROR(__xludf.DUMMYFUNCTION("GOOGLETRANSLATE(English!B4745, ""en"", ""bg"")"),"биология")</f>
        <v>биология</v>
      </c>
      <c r="C4745" s="1" t="str">
        <f ca="1">IFERROR(__xludf.DUMMYFUNCTION("GOOGLETRANSLATE(English!C4745, ""en"", ""bg"")"),"високо")</f>
        <v>високо</v>
      </c>
      <c r="D4745" s="1" t="str">
        <f ca="1">IFERROR(__xludf.DUMMYFUNCTION("GOOGLETRANSLATE(English!D4745, ""en"", ""bg"")"),"молекулярна биология")</f>
        <v>молекулярна биология</v>
      </c>
      <c r="E4745" s="1" t="str">
        <f ca="1">IFERROR(__xludf.DUMMYFUNCTION("GOOGLETRANSLATE(English!E4745, ""en"", ""bg"")"),"Какво е важно да знаем за молекулярната биология?")</f>
        <v>Какво е важно да знаем за молекулярната биология?</v>
      </c>
      <c r="F4745" s="1" t="str">
        <f ca="1">IFERROR(__xludf.DUMMYFUNCTION("GOOGLETRANSLATE(English!F4745,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4745" s="1" t="str">
        <f ca="1">IFERROR(__xludf.DUMMYFUNCTION("GOOGLETRANSLATE(English!G4745, ""en"", ""bg"")"),"direct_qa")</f>
        <v>direct_qa</v>
      </c>
      <c r="H4745" s="1" t="str">
        <f ca="1">IFERROR(__xludf.DUMMYFUNCTION("GOOGLETRANSLATE(English!H4745, ""en"", ""bg"")"),"заявка_за_знание")</f>
        <v>заявка_за_знание</v>
      </c>
    </row>
    <row r="4746" spans="1:8" ht="13.2" x14ac:dyDescent="0.25">
      <c r="A4746" s="1" t="str">
        <f ca="1">IFERROR(__xludf.DUMMYFUNCTION("GOOGLETRANSLATE(English!A4746, ""en"", ""bg"")"),"conv_14741")</f>
        <v>conv_14741</v>
      </c>
      <c r="B4746" s="1" t="str">
        <f ca="1">IFERROR(__xludf.DUMMYFUNCTION("GOOGLETRANSLATE(English!B4746, ""en"", ""bg"")"),"физика")</f>
        <v>физика</v>
      </c>
      <c r="C4746" s="1" t="str">
        <f ca="1">IFERROR(__xludf.DUMMYFUNCTION("GOOGLETRANSLATE(English!C4746, ""en"", ""bg"")"),"елементарен")</f>
        <v>елементарен</v>
      </c>
      <c r="D4746" s="1" t="str">
        <f ca="1">IFERROR(__xludf.DUMMYFUNCTION("GOOGLETRANSLATE(English!D4746, ""en"", ""bg"")"),"прости машини")</f>
        <v>прости машини</v>
      </c>
      <c r="E4746" s="1" t="str">
        <f ca="1">IFERROR(__xludf.DUMMYFUNCTION("GOOGLETRANSLATE(English!E4746, ""en"", ""bg"")"),"Помогнете ми да уча за теста си. Защо простите машини са важни?")</f>
        <v>Помогнете ми да уча за теста си. Защо простите машини са важни?</v>
      </c>
      <c r="F4746" s="1" t="str">
        <f ca="1">IFERROR(__xludf.DUMMYFUNCTION("GOOGLETRANSLATE(English!F4746,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4746" s="1" t="str">
        <f ca="1">IFERROR(__xludf.DUMMYFUNCTION("GOOGLETRANSLATE(English!G4746, ""en"", ""bg"")"),"разговор")</f>
        <v>разговор</v>
      </c>
      <c r="H4746" s="1" t="str">
        <f ca="1">IFERROR(__xludf.DUMMYFUNCTION("GOOGLETRANSLATE(English!H4746, ""en"", ""bg"")"),"образователна_помощ")</f>
        <v>образователна_помощ</v>
      </c>
    </row>
    <row r="4747" spans="1:8" ht="13.2" x14ac:dyDescent="0.25">
      <c r="A4747" s="1" t="str">
        <f ca="1">IFERROR(__xludf.DUMMYFUNCTION("GOOGLETRANSLATE(English!A4747, ""en"", ""bg"")"),"hw_06894")</f>
        <v>hw_06894</v>
      </c>
      <c r="B4747" s="1" t="str">
        <f ca="1">IFERROR(__xludf.DUMMYFUNCTION("GOOGLETRANSLATE(English!B4747, ""en"", ""bg"")"),"биология")</f>
        <v>биология</v>
      </c>
      <c r="C4747" s="1" t="str">
        <f ca="1">IFERROR(__xludf.DUMMYFUNCTION("GOOGLETRANSLATE(English!C4747, ""en"", ""bg"")"),"средата")</f>
        <v>средата</v>
      </c>
      <c r="D4747" s="1" t="str">
        <f ca="1">IFERROR(__xludf.DUMMYFUNCTION("GOOGLETRANSLATE(English!D4747, ""en"", ""bg"")"),"клетки")</f>
        <v>клетки</v>
      </c>
      <c r="E4747" s="1" t="str">
        <f ca="1">IFERROR(__xludf.DUMMYFUNCTION("GOOGLETRANSLATE(English!E4747, ""en"", ""bg"")"),"Утре имам тест по клетки. Помогни ми да уча!")</f>
        <v>Утре имам тест по клетки. Помогни ми да уча!</v>
      </c>
      <c r="F4747" s="1" t="str">
        <f ca="1">IFERROR(__xludf.DUMMYFUNCTION("GOOGLETRANSLATE(English!F4747,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4747" s="1" t="str">
        <f ca="1">IFERROR(__xludf.DUMMYFUNCTION("GOOGLETRANSLATE(English!G4747, ""en"", ""bg"")"),"помощ_за_домашно_изпълнение")</f>
        <v>помощ_за_домашно_изпълнение</v>
      </c>
      <c r="H4747" s="1" t="str">
        <f ca="1">IFERROR(__xludf.DUMMYFUNCTION("GOOGLETRANSLATE(English!H4747, ""en"", ""bg"")"),"помощ_за_домашно_задаване")</f>
        <v>помощ_за_домашно_задаване</v>
      </c>
    </row>
    <row r="4748" spans="1:8" ht="13.2" x14ac:dyDescent="0.25">
      <c r="A4748" s="1" t="str">
        <f ca="1">IFERROR(__xludf.DUMMYFUNCTION("GOOGLETRANSLATE(English!A4748, ""en"", ""bg"")"),"hw_01678")</f>
        <v>hw_01678</v>
      </c>
      <c r="B4748" s="1" t="str">
        <f ca="1">IFERROR(__xludf.DUMMYFUNCTION("GOOGLETRANSLATE(English!B4748, ""en"", ""bg"")"),"биология")</f>
        <v>биология</v>
      </c>
      <c r="C4748" s="1" t="str">
        <f ca="1">IFERROR(__xludf.DUMMYFUNCTION("GOOGLETRANSLATE(English!C4748, ""en"", ""bg"")"),"средата")</f>
        <v>средата</v>
      </c>
      <c r="D4748" s="1" t="str">
        <f ca="1">IFERROR(__xludf.DUMMYFUNCTION("GOOGLETRANSLATE(English!D4748, ""en"", ""bg"")"),"основи на еволюцията")</f>
        <v>основи на еволюцията</v>
      </c>
      <c r="E4748" s="1" t="str">
        <f ca="1">IFERROR(__xludf.DUMMYFUNCTION("GOOGLETRANSLATE(English!E4748, ""en"", ""bg"")"),"Домашното ми пита за основите на еволюцията. Не го разбирам.")</f>
        <v>Домашното ми пита за основите на еволюцията. Не го разбирам.</v>
      </c>
      <c r="F4748" s="1" t="str">
        <f ca="1">IFERROR(__xludf.DUMMYFUNCTION("GOOGLETRANSLATE(English!F4748,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4748" s="1" t="str">
        <f ca="1">IFERROR(__xludf.DUMMYFUNCTION("GOOGLETRANSLATE(English!G4748, ""en"", ""bg"")"),"помощ_за_домашно_изпълнение")</f>
        <v>помощ_за_домашно_изпълнение</v>
      </c>
      <c r="H4748" s="1" t="str">
        <f ca="1">IFERROR(__xludf.DUMMYFUNCTION("GOOGLETRANSLATE(English!H4748, ""en"", ""bg"")"),"помощ_за_домашно_задаване")</f>
        <v>помощ_за_домашно_задаване</v>
      </c>
    </row>
    <row r="4749" spans="1:8" ht="13.2" x14ac:dyDescent="0.25">
      <c r="A4749" s="1" t="str">
        <f ca="1">IFERROR(__xludf.DUMMYFUNCTION("GOOGLETRANSLATE(English!A4749, ""en"", ""bg"")"),"qa_07085")</f>
        <v>qa_07085</v>
      </c>
      <c r="B4749" s="1" t="str">
        <f ca="1">IFERROR(__xludf.DUMMYFUNCTION("GOOGLETRANSLATE(English!B4749, ""en"", ""bg"")"),"химия")</f>
        <v>химия</v>
      </c>
      <c r="C4749" s="1" t="str">
        <f ca="1">IFERROR(__xludf.DUMMYFUNCTION("GOOGLETRANSLATE(English!C4749, ""en"", ""bg"")"),"елементарен")</f>
        <v>елементарен</v>
      </c>
      <c r="D4749" s="1" t="str">
        <f ca="1">IFERROR(__xludf.DUMMYFUNCTION("GOOGLETRANSLATE(English!D4749, ""en"", ""bg"")"),"промени в материалите")</f>
        <v>промени в материалите</v>
      </c>
      <c r="E4749" s="1" t="str">
        <f ca="1">IFERROR(__xludf.DUMMYFUNCTION("GOOGLETRANSLATE(English!E4749, ""en"", ""bg"")"),"Какво представляват промените в материалите?")</f>
        <v>Какво представляват промените в материалите?</v>
      </c>
      <c r="F4749" s="1" t="str">
        <f ca="1">IFERROR(__xludf.DUMMYFUNCTION("GOOGLETRANSLATE(English!F4749, ""en"", ""bg"")"),"Промените в материалите са свързани с взаимодействията между различните видове материя и енергия.")</f>
        <v>Промените в материалите са свързани с взаимодействията между различните видове материя и енергия.</v>
      </c>
      <c r="G4749" s="1" t="str">
        <f ca="1">IFERROR(__xludf.DUMMYFUNCTION("GOOGLETRANSLATE(English!G4749, ""en"", ""bg"")"),"direct_qa")</f>
        <v>direct_qa</v>
      </c>
      <c r="H4749" s="1" t="str">
        <f ca="1">IFERROR(__xludf.DUMMYFUNCTION("GOOGLETRANSLATE(English!H4749, ""en"", ""bg"")"),"заявка_за_знание")</f>
        <v>заявка_за_знание</v>
      </c>
    </row>
    <row r="4750" spans="1:8" ht="13.2" x14ac:dyDescent="0.25">
      <c r="A4750" s="1" t="str">
        <f ca="1">IFERROR(__xludf.DUMMYFUNCTION("GOOGLETRANSLATE(English!A4750, ""en"", ""bg"")"),"conv_12967")</f>
        <v>conv_12967</v>
      </c>
      <c r="B4750" s="1" t="str">
        <f ca="1">IFERROR(__xludf.DUMMYFUNCTION("GOOGLETRANSLATE(English!B4750, ""en"", ""bg"")"),"химия")</f>
        <v>химия</v>
      </c>
      <c r="C4750" s="1" t="str">
        <f ca="1">IFERROR(__xludf.DUMMYFUNCTION("GOOGLETRANSLATE(English!C4750, ""en"", ""bg"")"),"високо")</f>
        <v>високо</v>
      </c>
      <c r="D4750" s="1" t="str">
        <f ca="1">IFERROR(__xludf.DUMMYFUNCTION("GOOGLETRANSLATE(English!D4750, ""en"", ""bg"")"),"химическо свързване")</f>
        <v>химическо свързване</v>
      </c>
      <c r="E4750" s="1" t="str">
        <f ca="1">IFERROR(__xludf.DUMMYFUNCTION("GOOGLETRANSLATE(English!E4750, ""en"", ""bg"")"),"Здравей, преподавателю! Какво представлява химичното свързване?")</f>
        <v>Здравей, преподавателю! Какво представлява химичното свързване?</v>
      </c>
      <c r="F4750" s="1" t="str">
        <f ca="1">IFERROR(__xludf.DUMMYFUNCTION("GOOGLETRANSLATE(English!F4750, ""en"", ""bg"")"),"Химичното свързване е свързано с взаимодействията между различни видове материя и енергия.")</f>
        <v>Химичното свързване е свързано с взаимодействията между различни видове материя и енергия.</v>
      </c>
      <c r="G4750" s="1" t="str">
        <f ca="1">IFERROR(__xludf.DUMMYFUNCTION("GOOGLETRANSLATE(English!G4750, ""en"", ""bg"")"),"разговор")</f>
        <v>разговор</v>
      </c>
      <c r="H4750" s="1" t="str">
        <f ca="1">IFERROR(__xludf.DUMMYFUNCTION("GOOGLETRANSLATE(English!H4750, ""en"", ""bg"")"),"образователна_помощ")</f>
        <v>образователна_помощ</v>
      </c>
    </row>
    <row r="4751" spans="1:8" ht="13.2" x14ac:dyDescent="0.25">
      <c r="A4751" s="1" t="str">
        <f ca="1">IFERROR(__xludf.DUMMYFUNCTION("GOOGLETRANSLATE(English!A4751, ""en"", ""bg"")"),"conv_07941")</f>
        <v>conv_07941</v>
      </c>
      <c r="B4751" s="1" t="str">
        <f ca="1">IFERROR(__xludf.DUMMYFUNCTION("GOOGLETRANSLATE(English!B4751, ""en"", ""bg"")"),"биология")</f>
        <v>биология</v>
      </c>
      <c r="C4751" s="1" t="str">
        <f ca="1">IFERROR(__xludf.DUMMYFUNCTION("GOOGLETRANSLATE(English!C4751, ""en"", ""bg"")"),"елементарен")</f>
        <v>елементарен</v>
      </c>
      <c r="D4751" s="1" t="str">
        <f ca="1">IFERROR(__xludf.DUMMYFUNCTION("GOOGLETRANSLATE(English!D4751, ""en"", ""bg"")"),"хранителни вериги")</f>
        <v>хранителни вериги</v>
      </c>
      <c r="E4751" s="1" t="str">
        <f ca="1">IFERROR(__xludf.DUMMYFUNCTION("GOOGLETRANSLATE(English!E4751, ""en"", ""bg"")"),"Помогни ми да уча за теста. Можеш ли да ми разкажеш за хранителните вериги?")</f>
        <v>Помогни ми да уча за теста. Можеш ли да ми разкажеш за хранителните вериги?</v>
      </c>
      <c r="F4751" s="1" t="str">
        <f ca="1">IFERROR(__xludf.DUMMYFUNCTION("GOOGLETRANSLATE(English!F4751,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4751" s="1" t="str">
        <f ca="1">IFERROR(__xludf.DUMMYFUNCTION("GOOGLETRANSLATE(English!G4751, ""en"", ""bg"")"),"разговор")</f>
        <v>разговор</v>
      </c>
      <c r="H4751" s="1" t="str">
        <f ca="1">IFERROR(__xludf.DUMMYFUNCTION("GOOGLETRANSLATE(English!H4751, ""en"", ""bg"")"),"образователна_помощ")</f>
        <v>образователна_помощ</v>
      </c>
    </row>
    <row r="4752" spans="1:8" ht="13.2" x14ac:dyDescent="0.25">
      <c r="A4752" s="1" t="str">
        <f ca="1">IFERROR(__xludf.DUMMYFUNCTION("GOOGLETRANSLATE(English!A4752, ""en"", ""bg"")"),"conv_01439")</f>
        <v>conv_01439</v>
      </c>
      <c r="B4752" s="1" t="str">
        <f ca="1">IFERROR(__xludf.DUMMYFUNCTION("GOOGLETRANSLATE(English!B4752, ""en"", ""bg"")"),"физика")</f>
        <v>физика</v>
      </c>
      <c r="C4752" s="1" t="str">
        <f ca="1">IFERROR(__xludf.DUMMYFUNCTION("GOOGLETRANSLATE(English!C4752, ""en"", ""bg"")"),"средата")</f>
        <v>средата</v>
      </c>
      <c r="D4752" s="1" t="str">
        <f ca="1">IFERROR(__xludf.DUMMYFUNCTION("GOOGLETRANSLATE(English!D4752, ""en"", ""bg"")"),"основи на електричеството")</f>
        <v>основи на електричеството</v>
      </c>
      <c r="E4752" s="1" t="str">
        <f ca="1">IFERROR(__xludf.DUMMYFUNCTION("GOOGLETRANSLATE(English!E4752, ""en"", ""bg"")"),"Имам научен въпрос. Можете ли да ми обясните основите на електричеството?")</f>
        <v>Имам научен въпрос. Можете ли да ми обясните основите на електричеството?</v>
      </c>
      <c r="F4752" s="1" t="str">
        <f ca="1">IFERROR(__xludf.DUMMYFUNCTION("GOOGLETRANSLATE(English!F4752, ""en"", ""bg"")"),"Основите на електричеството са интересна физическа концепция, която ни помага да разберем как работят нещата в нашия свят!")</f>
        <v>Основите на електричеството са интересна физическа концепция, която ни помага да разберем как работят нещата в нашия свят!</v>
      </c>
      <c r="G4752" s="1" t="str">
        <f ca="1">IFERROR(__xludf.DUMMYFUNCTION("GOOGLETRANSLATE(English!G4752, ""en"", ""bg"")"),"разговор")</f>
        <v>разговор</v>
      </c>
      <c r="H4752" s="1" t="str">
        <f ca="1">IFERROR(__xludf.DUMMYFUNCTION("GOOGLETRANSLATE(English!H4752, ""en"", ""bg"")"),"образователна_помощ")</f>
        <v>образователна_помощ</v>
      </c>
    </row>
    <row r="4753" spans="1:8" ht="13.2" x14ac:dyDescent="0.25">
      <c r="A4753" s="1" t="str">
        <f ca="1">IFERROR(__xludf.DUMMYFUNCTION("GOOGLETRANSLATE(English!A4753, ""en"", ""bg"")"),"conv_11687")</f>
        <v>conv_11687</v>
      </c>
      <c r="B4753" s="1" t="str">
        <f ca="1">IFERROR(__xludf.DUMMYFUNCTION("GOOGLETRANSLATE(English!B4753, ""en"", ""bg"")"),"химия")</f>
        <v>химия</v>
      </c>
      <c r="C4753" s="1" t="str">
        <f ca="1">IFERROR(__xludf.DUMMYFUNCTION("GOOGLETRANSLATE(English!C4753, ""en"", ""bg"")"),"високо")</f>
        <v>високо</v>
      </c>
      <c r="D4753" s="1" t="str">
        <f ca="1">IFERROR(__xludf.DUMMYFUNCTION("GOOGLETRANSLATE(English!D4753, ""en"", ""bg"")"),"електрохимия")</f>
        <v>електрохимия</v>
      </c>
      <c r="E4753" s="1" t="str">
        <f ca="1">IFERROR(__xludf.DUMMYFUNCTION("GOOGLETRANSLATE(English!E4753, ""en"", ""bg"")"),"Имам научен въпрос. Защо е важно да се учи електрохимия?")</f>
        <v>Имам научен въпрос. Защо е важно да се учи електрохимия?</v>
      </c>
      <c r="F4753" s="1" t="str">
        <f ca="1">IFERROR(__xludf.DUMMYFUNCTION("GOOGLETRANSLATE(English!F4753,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4753" s="1" t="str">
        <f ca="1">IFERROR(__xludf.DUMMYFUNCTION("GOOGLETRANSLATE(English!G4753, ""en"", ""bg"")"),"разговор")</f>
        <v>разговор</v>
      </c>
      <c r="H4753" s="1" t="str">
        <f ca="1">IFERROR(__xludf.DUMMYFUNCTION("GOOGLETRANSLATE(English!H4753, ""en"", ""bg"")"),"образователна_помощ")</f>
        <v>образователна_помощ</v>
      </c>
    </row>
    <row r="4754" spans="1:8" ht="13.2" x14ac:dyDescent="0.25">
      <c r="A4754" s="1" t="str">
        <f ca="1">IFERROR(__xludf.DUMMYFUNCTION("GOOGLETRANSLATE(English!A4754, ""en"", ""bg"")"),"hw_07203")</f>
        <v>hw_07203</v>
      </c>
      <c r="B4754" s="1" t="str">
        <f ca="1">IFERROR(__xludf.DUMMYFUNCTION("GOOGLETRANSLATE(English!B4754, ""en"", ""bg"")"),"физика")</f>
        <v>физика</v>
      </c>
      <c r="C4754" s="1" t="str">
        <f ca="1">IFERROR(__xludf.DUMMYFUNCTION("GOOGLETRANSLATE(English!C4754, ""en"", ""bg"")"),"средата")</f>
        <v>средата</v>
      </c>
      <c r="D4754" s="1" t="str">
        <f ca="1">IFERROR(__xludf.DUMMYFUNCTION("GOOGLETRANSLATE(English!D4754, ""en"", ""bg"")"),"сили и движение")</f>
        <v>сили и движение</v>
      </c>
      <c r="E4754" s="1" t="str">
        <f ca="1">IFERROR(__xludf.DUMMYFUNCTION("GOOGLETRANSLATE(English!E4754, ""en"", ""bg"")"),"Домашното ми по физика е за сили и движение. Объркващо е!")</f>
        <v>Домашното ми по физика е за сили и движение. Объркващо е!</v>
      </c>
      <c r="F4754" s="1" t="str">
        <f ca="1">IFERROR(__xludf.DUMMYFUNCTION("GOOGLETRANSLATE(English!F4754,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4754" s="1" t="str">
        <f ca="1">IFERROR(__xludf.DUMMYFUNCTION("GOOGLETRANSLATE(English!G4754, ""en"", ""bg"")"),"помощ_за_домашно_изпълнение")</f>
        <v>помощ_за_домашно_изпълнение</v>
      </c>
      <c r="H4754" s="1" t="str">
        <f ca="1">IFERROR(__xludf.DUMMYFUNCTION("GOOGLETRANSLATE(English!H4754, ""en"", ""bg"")"),"помощ_за_домашно_задаване")</f>
        <v>помощ_за_домашно_задаване</v>
      </c>
    </row>
    <row r="4755" spans="1:8" ht="13.2" x14ac:dyDescent="0.25">
      <c r="A4755" s="1" t="str">
        <f ca="1">IFERROR(__xludf.DUMMYFUNCTION("GOOGLETRANSLATE(English!A4755, ""en"", ""bg"")"),"conv_00887")</f>
        <v>conv_00887</v>
      </c>
      <c r="B4755" s="1" t="str">
        <f ca="1">IFERROR(__xludf.DUMMYFUNCTION("GOOGLETRANSLATE(English!B4755, ""en"", ""bg"")"),"физика")</f>
        <v>физика</v>
      </c>
      <c r="C4755" s="1" t="str">
        <f ca="1">IFERROR(__xludf.DUMMYFUNCTION("GOOGLETRANSLATE(English!C4755, ""en"", ""bg"")"),"елементарен")</f>
        <v>елементарен</v>
      </c>
      <c r="D4755" s="1" t="str">
        <f ca="1">IFERROR(__xludf.DUMMYFUNCTION("GOOGLETRANSLATE(English!D4755, ""en"", ""bg"")"),"звук")</f>
        <v>звук</v>
      </c>
      <c r="E4755" s="1" t="str">
        <f ca="1">IFERROR(__xludf.DUMMYFUNCTION("GOOGLETRANSLATE(English!E4755, ""en"", ""bg"")"),"Имам нужда от помощ с домашното. Какво трябва да знам за звука?")</f>
        <v>Имам нужда от помощ с домашното. Какво трябва да знам за звука?</v>
      </c>
      <c r="F4755" s="1" t="str">
        <f ca="1">IFERROR(__xludf.DUMMYFUNCTION("GOOGLETRANSLATE(English!F4755,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4755" s="1" t="str">
        <f ca="1">IFERROR(__xludf.DUMMYFUNCTION("GOOGLETRANSLATE(English!G4755, ""en"", ""bg"")"),"разговор")</f>
        <v>разговор</v>
      </c>
      <c r="H4755" s="1" t="str">
        <f ca="1">IFERROR(__xludf.DUMMYFUNCTION("GOOGLETRANSLATE(English!H4755, ""en"", ""bg"")"),"образователна_помощ")</f>
        <v>образователна_помощ</v>
      </c>
    </row>
    <row r="4756" spans="1:8" ht="13.2" x14ac:dyDescent="0.25">
      <c r="A4756" s="1" t="str">
        <f ca="1">IFERROR(__xludf.DUMMYFUNCTION("GOOGLETRANSLATE(English!A4756, ""en"", ""bg"")"),"hw_08983")</f>
        <v>hw_08983</v>
      </c>
      <c r="B4756" s="1" t="str">
        <f ca="1">IFERROR(__xludf.DUMMYFUNCTION("GOOGLETRANSLATE(English!B4756, ""en"", ""bg"")"),"химия")</f>
        <v>химия</v>
      </c>
      <c r="C4756" s="1" t="str">
        <f ca="1">IFERROR(__xludf.DUMMYFUNCTION("GOOGLETRANSLATE(English!C4756, ""en"", ""bg"")"),"високо")</f>
        <v>високо</v>
      </c>
      <c r="D4756" s="1" t="str">
        <f ca="1">IFERROR(__xludf.DUMMYFUNCTION("GOOGLETRANSLATE(English!D4756, ""en"", ""bg"")"),"скорости на реакция")</f>
        <v>скорости на реакция</v>
      </c>
      <c r="E4756" s="1" t="str">
        <f ca="1">IFERROR(__xludf.DUMMYFUNCTION("GOOGLETRANSLATE(English!E4756,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4756" s="1" t="str">
        <f ca="1">IFERROR(__xludf.DUMMYFUNCTION("GOOGLETRANSLATE(English!F4756,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4756" s="1" t="str">
        <f ca="1">IFERROR(__xludf.DUMMYFUNCTION("GOOGLETRANSLATE(English!G4756, ""en"", ""bg"")"),"помощ_за_домашно_изпълнение")</f>
        <v>помощ_за_домашно_изпълнение</v>
      </c>
      <c r="H4756" s="1" t="str">
        <f ca="1">IFERROR(__xludf.DUMMYFUNCTION("GOOGLETRANSLATE(English!H4756, ""en"", ""bg"")"),"помощ_за_домашно_задаване")</f>
        <v>помощ_за_домашно_задаване</v>
      </c>
    </row>
    <row r="4757" spans="1:8" ht="13.2" x14ac:dyDescent="0.25">
      <c r="A4757" s="1" t="str">
        <f ca="1">IFERROR(__xludf.DUMMYFUNCTION("GOOGLETRANSLATE(English!A4757, ""en"", ""bg"")"),"qa_12588")</f>
        <v>qa_12588</v>
      </c>
      <c r="B4757" s="1" t="str">
        <f ca="1">IFERROR(__xludf.DUMMYFUNCTION("GOOGLETRANSLATE(English!B4757, ""en"", ""bg"")"),"физика")</f>
        <v>физика</v>
      </c>
      <c r="C4757" s="1" t="str">
        <f ca="1">IFERROR(__xludf.DUMMYFUNCTION("GOOGLETRANSLATE(English!C4757, ""en"", ""bg"")"),"елементарен")</f>
        <v>елементарен</v>
      </c>
      <c r="D4757" s="1" t="str">
        <f ca="1">IFERROR(__xludf.DUMMYFUNCTION("GOOGLETRANSLATE(English!D4757, ""en"", ""bg"")"),"бутане и дърпане")</f>
        <v>бутане и дърпане</v>
      </c>
      <c r="E4757" s="1" t="str">
        <f ca="1">IFERROR(__xludf.DUMMYFUNCTION("GOOGLETRANSLATE(English!E4757, ""en"", ""bg"")"),"Какво трябва да знам за бутането и дърпането?")</f>
        <v>Какво трябва да знам за бутането и дърпането?</v>
      </c>
      <c r="F4757" s="1" t="str">
        <f ca="1">IFERROR(__xludf.DUMMYFUNCTION("GOOGLETRANSLATE(English!F4757,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4757" s="1" t="str">
        <f ca="1">IFERROR(__xludf.DUMMYFUNCTION("GOOGLETRANSLATE(English!G4757, ""en"", ""bg"")"),"direct_qa")</f>
        <v>direct_qa</v>
      </c>
      <c r="H4757" s="1" t="str">
        <f ca="1">IFERROR(__xludf.DUMMYFUNCTION("GOOGLETRANSLATE(English!H4757, ""en"", ""bg"")"),"заявка_за_знание")</f>
        <v>заявка_за_знание</v>
      </c>
    </row>
    <row r="4758" spans="1:8" ht="13.2" x14ac:dyDescent="0.25">
      <c r="A4758" s="1" t="str">
        <f ca="1">IFERROR(__xludf.DUMMYFUNCTION("GOOGLETRANSLATE(English!A4758, ""en"", ""bg"")"),"conv_02329")</f>
        <v>conv_02329</v>
      </c>
      <c r="B4758" s="1" t="str">
        <f ca="1">IFERROR(__xludf.DUMMYFUNCTION("GOOGLETRANSLATE(English!B4758, ""en"", ""bg"")"),"химия")</f>
        <v>химия</v>
      </c>
      <c r="C4758" s="1" t="str">
        <f ca="1">IFERROR(__xludf.DUMMYFUNCTION("GOOGLETRANSLATE(English!C4758, ""en"", ""bg"")"),"високо")</f>
        <v>високо</v>
      </c>
      <c r="D4758" s="1" t="str">
        <f ca="1">IFERROR(__xludf.DUMMYFUNCTION("GOOGLETRANSLATE(English!D4758, ""en"", ""bg"")"),"органична химия")</f>
        <v>органична химия</v>
      </c>
      <c r="E4758" s="1" t="str">
        <f ca="1">IFERROR(__xludf.DUMMYFUNCTION("GOOGLETRANSLATE(English!E4758, ""en"", ""bg"")"),"Имам научен въпрос. Можете ли да ми помогнете да разбера органичната химия?")</f>
        <v>Имам научен въпрос. Можете ли да ми помогнете да разбера органичната химия?</v>
      </c>
      <c r="F4758" s="1" t="str">
        <f ca="1">IFERROR(__xludf.DUMMYFUNCTION("GOOGLETRANSLATE(English!F4758,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4758" s="1" t="str">
        <f ca="1">IFERROR(__xludf.DUMMYFUNCTION("GOOGLETRANSLATE(English!G4758, ""en"", ""bg"")"),"разговор")</f>
        <v>разговор</v>
      </c>
      <c r="H4758" s="1" t="str">
        <f ca="1">IFERROR(__xludf.DUMMYFUNCTION("GOOGLETRANSLATE(English!H4758, ""en"", ""bg"")"),"образователна_помощ")</f>
        <v>образователна_помощ</v>
      </c>
    </row>
    <row r="4759" spans="1:8" ht="13.2" x14ac:dyDescent="0.25">
      <c r="A4759" s="1" t="str">
        <f ca="1">IFERROR(__xludf.DUMMYFUNCTION("GOOGLETRANSLATE(English!A4759, ""en"", ""bg"")"),"conv_06667")</f>
        <v>conv_06667</v>
      </c>
      <c r="B4759" s="1" t="str">
        <f ca="1">IFERROR(__xludf.DUMMYFUNCTION("GOOGLETRANSLATE(English!B4759, ""en"", ""bg"")"),"химия")</f>
        <v>химия</v>
      </c>
      <c r="C4759" s="1" t="str">
        <f ca="1">IFERROR(__xludf.DUMMYFUNCTION("GOOGLETRANSLATE(English!C4759, ""en"", ""bg"")"),"високо")</f>
        <v>високо</v>
      </c>
      <c r="D4759" s="1" t="str">
        <f ca="1">IFERROR(__xludf.DUMMYFUNCTION("GOOGLETRANSLATE(English!D4759, ""en"", ""bg"")"),"стехиометрия")</f>
        <v>стехиометрия</v>
      </c>
      <c r="E4759" s="1" t="str">
        <f ca="1">IFERROR(__xludf.DUMMYFUNCTION("GOOGLETRANSLATE(English!E4759, ""en"", ""bg"")"),"Помогнете ми да уча за теста. Можете ли да ми помогнете да разбера стехиометрията?")</f>
        <v>Помогнете ми да уча за теста. Можете ли да ми помогнете да разбера стехиометрията?</v>
      </c>
      <c r="F4759" s="1" t="str">
        <f ca="1">IFERROR(__xludf.DUMMYFUNCTION("GOOGLETRANSLATE(English!F4759,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4759" s="1" t="str">
        <f ca="1">IFERROR(__xludf.DUMMYFUNCTION("GOOGLETRANSLATE(English!G4759, ""en"", ""bg"")"),"разговор")</f>
        <v>разговор</v>
      </c>
      <c r="H4759" s="1" t="str">
        <f ca="1">IFERROR(__xludf.DUMMYFUNCTION("GOOGLETRANSLATE(English!H4759, ""en"", ""bg"")"),"образователна_помощ")</f>
        <v>образователна_помощ</v>
      </c>
    </row>
    <row r="4760" spans="1:8" ht="13.2" x14ac:dyDescent="0.25">
      <c r="A4760" s="1" t="str">
        <f ca="1">IFERROR(__xludf.DUMMYFUNCTION("GOOGLETRANSLATE(English!A4760, ""en"", ""bg"")"),"qa_05427")</f>
        <v>qa_05427</v>
      </c>
      <c r="B4760" s="1" t="str">
        <f ca="1">IFERROR(__xludf.DUMMYFUNCTION("GOOGLETRANSLATE(English!B4760, ""en"", ""bg"")"),"биология")</f>
        <v>биология</v>
      </c>
      <c r="C4760" s="1" t="str">
        <f ca="1">IFERROR(__xludf.DUMMYFUNCTION("GOOGLETRANSLATE(English!C4760, ""en"", ""bg"")"),"високо")</f>
        <v>високо</v>
      </c>
      <c r="D4760" s="1" t="str">
        <f ca="1">IFERROR(__xludf.DUMMYFUNCTION("GOOGLETRANSLATE(English!D4760, ""en"", ""bg"")"),"Структура на ДНК")</f>
        <v>Структура на ДНК</v>
      </c>
      <c r="E4760" s="1" t="str">
        <f ca="1">IFERROR(__xludf.DUMMYFUNCTION("GOOGLETRANSLATE(English!E4760, ""en"", ""bg"")"),"Защо структурата на ДНК е важна в биологията?")</f>
        <v>Защо структурата на ДНК е важна в биологията?</v>
      </c>
      <c r="F4760" s="1" t="str">
        <f ca="1">IFERROR(__xludf.DUMMYFUNCTION("GOOGLETRANSLATE(English!F4760, ""en"", ""bg"")"),"Структурата на ДНК е важна, защото ни помага да разберем живота и как живите същества оцеляват.")</f>
        <v>Структурата на ДНК е важна, защото ни помага да разберем живота и как живите същества оцеляват.</v>
      </c>
      <c r="G4760" s="1" t="str">
        <f ca="1">IFERROR(__xludf.DUMMYFUNCTION("GOOGLETRANSLATE(English!G4760, ""en"", ""bg"")"),"direct_qa")</f>
        <v>direct_qa</v>
      </c>
      <c r="H4760" s="1" t="str">
        <f ca="1">IFERROR(__xludf.DUMMYFUNCTION("GOOGLETRANSLATE(English!H4760, ""en"", ""bg"")"),"заявка_за_знание")</f>
        <v>заявка_за_знание</v>
      </c>
    </row>
    <row r="4761" spans="1:8" ht="13.2" x14ac:dyDescent="0.25">
      <c r="A4761" s="1" t="str">
        <f ca="1">IFERROR(__xludf.DUMMYFUNCTION("GOOGLETRANSLATE(English!A4761, ""en"", ""bg"")"),"qa_05365")</f>
        <v>qa_05365</v>
      </c>
      <c r="B4761" s="1" t="str">
        <f ca="1">IFERROR(__xludf.DUMMYFUNCTION("GOOGLETRANSLATE(English!B4761, ""en"", ""bg"")"),"биология")</f>
        <v>биология</v>
      </c>
      <c r="C4761" s="1" t="str">
        <f ca="1">IFERROR(__xludf.DUMMYFUNCTION("GOOGLETRANSLATE(English!C4761, ""en"", ""bg"")"),"високо")</f>
        <v>високо</v>
      </c>
      <c r="D4761" s="1" t="str">
        <f ca="1">IFERROR(__xludf.DUMMYFUNCTION("GOOGLETRANSLATE(English!D4761, ""en"", ""bg"")"),"Структура на ДНК")</f>
        <v>Структура на ДНК</v>
      </c>
      <c r="E4761" s="1" t="str">
        <f ca="1">IFERROR(__xludf.DUMMYFUNCTION("GOOGLETRANSLATE(English!E4761, ""en"", ""bg"")"),"Какво е важно да знаем за структурата на ДНК?")</f>
        <v>Какво е важно да знаем за структурата на ДНК?</v>
      </c>
      <c r="F4761" s="1" t="str">
        <f ca="1">IFERROR(__xludf.DUMMYFUNCTION("GOOGLETRANSLATE(English!F4761,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4761" s="1" t="str">
        <f ca="1">IFERROR(__xludf.DUMMYFUNCTION("GOOGLETRANSLATE(English!G4761, ""en"", ""bg"")"),"direct_qa")</f>
        <v>direct_qa</v>
      </c>
      <c r="H4761" s="1" t="str">
        <f ca="1">IFERROR(__xludf.DUMMYFUNCTION("GOOGLETRANSLATE(English!H4761, ""en"", ""bg"")"),"заявка_за_знание")</f>
        <v>заявка_за_знание</v>
      </c>
    </row>
    <row r="4762" spans="1:8" ht="13.2" x14ac:dyDescent="0.25">
      <c r="A4762" s="1" t="str">
        <f ca="1">IFERROR(__xludf.DUMMYFUNCTION("GOOGLETRANSLATE(English!A4762, ""en"", ""bg"")"),"qa_11632")</f>
        <v>qa_11632</v>
      </c>
      <c r="B4762" s="1" t="str">
        <f ca="1">IFERROR(__xludf.DUMMYFUNCTION("GOOGLETRANSLATE(English!B4762, ""en"", ""bg"")"),"химия")</f>
        <v>химия</v>
      </c>
      <c r="C4762" s="1" t="str">
        <f ca="1">IFERROR(__xludf.DUMMYFUNCTION("GOOGLETRANSLATE(English!C4762, ""en"", ""bg"")"),"средата")</f>
        <v>средата</v>
      </c>
      <c r="D4762" s="1" t="str">
        <f ca="1">IFERROR(__xludf.DUMMYFUNCTION("GOOGLETRANSLATE(English!D4762, ""en"", ""bg"")"),"киселини и основи")</f>
        <v>киселини и основи</v>
      </c>
      <c r="E4762" s="1" t="str">
        <f ca="1">IFERROR(__xludf.DUMMYFUNCTION("GOOGLETRANSLATE(English!E4762, ""en"", ""bg"")"),"Какво представляват киселините и основите?")</f>
        <v>Какво представляват киселините и основите?</v>
      </c>
      <c r="F4762" s="1" t="str">
        <f ca="1">IFERROR(__xludf.DUMMYFUNCTION("GOOGLETRANSLATE(English!F4762,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4762" s="1" t="str">
        <f ca="1">IFERROR(__xludf.DUMMYFUNCTION("GOOGLETRANSLATE(English!G4762, ""en"", ""bg"")"),"direct_qa")</f>
        <v>direct_qa</v>
      </c>
      <c r="H4762" s="1" t="str">
        <f ca="1">IFERROR(__xludf.DUMMYFUNCTION("GOOGLETRANSLATE(English!H4762, ""en"", ""bg"")"),"заявка_за_знание")</f>
        <v>заявка_за_знание</v>
      </c>
    </row>
    <row r="4763" spans="1:8" ht="13.2" x14ac:dyDescent="0.25">
      <c r="A4763" s="1" t="str">
        <f ca="1">IFERROR(__xludf.DUMMYFUNCTION("GOOGLETRANSLATE(English!A4763, ""en"", ""bg"")"),"qa_11271")</f>
        <v>qa_11271</v>
      </c>
      <c r="B4763" s="1" t="str">
        <f ca="1">IFERROR(__xludf.DUMMYFUNCTION("GOOGLETRANSLATE(English!B4763, ""en"", ""bg"")"),"биология")</f>
        <v>биология</v>
      </c>
      <c r="C4763" s="1" t="str">
        <f ca="1">IFERROR(__xludf.DUMMYFUNCTION("GOOGLETRANSLATE(English!C4763, ""en"", ""bg"")"),"средата")</f>
        <v>средата</v>
      </c>
      <c r="D4763" s="1" t="str">
        <f ca="1">IFERROR(__xludf.DUMMYFUNCTION("GOOGLETRANSLATE(English!D4763, ""en"", ""bg"")"),"клетки")</f>
        <v>клетки</v>
      </c>
      <c r="E4763" s="1" t="str">
        <f ca="1">IFERROR(__xludf.DUMMYFUNCTION("GOOGLETRANSLATE(English!E4763, ""en"", ""bg"")"),"По какво се различават растителните и животинските клетки?")</f>
        <v>По какво се различават растителните и животинските клетки?</v>
      </c>
      <c r="F4763" s="1" t="str">
        <f ca="1">IFERROR(__xludf.DUMMYFUNCTION("GOOGLETRANSLATE(English!F4763, ""en"", ""bg"")"),"Растителните клетки имат клетъчна стена и хлоропласти, които животинските клетки нямат. Животинските клетки са по-гъвкави.")</f>
        <v>Растителните клетки имат клетъчна стена и хлоропласти, които животинските клетки нямат. Животинските клетки са по-гъвкави.</v>
      </c>
      <c r="G4763" s="1" t="str">
        <f ca="1">IFERROR(__xludf.DUMMYFUNCTION("GOOGLETRANSLATE(English!G4763, ""en"", ""bg"")"),"direct_qa")</f>
        <v>direct_qa</v>
      </c>
      <c r="H4763" s="1" t="str">
        <f ca="1">IFERROR(__xludf.DUMMYFUNCTION("GOOGLETRANSLATE(English!H4763, ""en"", ""bg"")"),"заявка_за_знание")</f>
        <v>заявка_за_знание</v>
      </c>
    </row>
    <row r="4764" spans="1:8" ht="13.2" x14ac:dyDescent="0.25">
      <c r="A4764" s="1" t="str">
        <f ca="1">IFERROR(__xludf.DUMMYFUNCTION("GOOGLETRANSLATE(English!A4764, ""en"", ""bg"")"),"conv_03706")</f>
        <v>conv_03706</v>
      </c>
      <c r="B4764" s="1" t="str">
        <f ca="1">IFERROR(__xludf.DUMMYFUNCTION("GOOGLETRANSLATE(English!B4764, ""en"", ""bg"")"),"биология")</f>
        <v>биология</v>
      </c>
      <c r="C4764" s="1" t="str">
        <f ca="1">IFERROR(__xludf.DUMMYFUNCTION("GOOGLETRANSLATE(English!C4764, ""en"", ""bg"")"),"високо")</f>
        <v>високо</v>
      </c>
      <c r="D4764" s="1" t="str">
        <f ca="1">IFERROR(__xludf.DUMMYFUNCTION("GOOGLETRANSLATE(English!D4764, ""en"", ""bg"")"),"Структура на ДНК")</f>
        <v>Структура на ДНК</v>
      </c>
      <c r="E4764" s="1" t="str">
        <f ca="1">IFERROR(__xludf.DUMMYFUNCTION("GOOGLETRANSLATE(English!E4764, ""en"", ""bg"")"),"Можете ли да ми обясните това? Какво е важно да знаем за структурата на ДНК?")</f>
        <v>Можете ли да ми обясните това? Какво е важно да знаем за структурата на ДНК?</v>
      </c>
      <c r="F4764" s="1" t="str">
        <f ca="1">IFERROR(__xludf.DUMMYFUNCTION("GOOGLETRANSLATE(English!F4764,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4764" s="1" t="str">
        <f ca="1">IFERROR(__xludf.DUMMYFUNCTION("GOOGLETRANSLATE(English!G4764, ""en"", ""bg"")"),"разговор")</f>
        <v>разговор</v>
      </c>
      <c r="H4764" s="1" t="str">
        <f ca="1">IFERROR(__xludf.DUMMYFUNCTION("GOOGLETRANSLATE(English!H4764, ""en"", ""bg"")"),"образователна_помощ")</f>
        <v>образователна_помощ</v>
      </c>
    </row>
    <row r="4765" spans="1:8" ht="13.2" x14ac:dyDescent="0.25">
      <c r="A4765" s="1" t="str">
        <f ca="1">IFERROR(__xludf.DUMMYFUNCTION("GOOGLETRANSLATE(English!A4765, ""en"", ""bg"")"),"qa_14321")</f>
        <v>qa_14321</v>
      </c>
      <c r="B4765" s="1" t="str">
        <f ca="1">IFERROR(__xludf.DUMMYFUNCTION("GOOGLETRANSLATE(English!B4765, ""en"", ""bg"")"),"биология")</f>
        <v>биология</v>
      </c>
      <c r="C4765" s="1" t="str">
        <f ca="1">IFERROR(__xludf.DUMMYFUNCTION("GOOGLETRANSLATE(English!C4765, ""en"", ""bg"")"),"високо")</f>
        <v>високо</v>
      </c>
      <c r="D4765" s="1" t="str">
        <f ca="1">IFERROR(__xludf.DUMMYFUNCTION("GOOGLETRANSLATE(English!D4765, ""en"", ""bg"")"),"клетъчно дишане")</f>
        <v>клетъчно дишане</v>
      </c>
      <c r="E4765" s="1" t="str">
        <f ca="1">IFERROR(__xludf.DUMMYFUNCTION("GOOGLETRANSLATE(English!E4765, ""en"", ""bg"")"),"Какво е важно да знаем за клетъчното дишане?")</f>
        <v>Какво е важно да знаем за клетъчното дишане?</v>
      </c>
      <c r="F4765" s="1" t="str">
        <f ca="1">IFERROR(__xludf.DUMMYFUNCTION("GOOGLETRANSLATE(English!F4765, ""en"", ""bg"")"),"Най-важното нещо за клетъчното дишане е как то се свързва с други части на живота и природата.")</f>
        <v>Най-важното нещо за клетъчното дишане е как то се свързва с други части на живота и природата.</v>
      </c>
      <c r="G4765" s="1" t="str">
        <f ca="1">IFERROR(__xludf.DUMMYFUNCTION("GOOGLETRANSLATE(English!G4765, ""en"", ""bg"")"),"direct_qa")</f>
        <v>direct_qa</v>
      </c>
      <c r="H4765" s="1" t="str">
        <f ca="1">IFERROR(__xludf.DUMMYFUNCTION("GOOGLETRANSLATE(English!H4765, ""en"", ""bg"")"),"заявка_за_знание")</f>
        <v>заявка_за_знание</v>
      </c>
    </row>
    <row r="4766" spans="1:8" ht="13.2" x14ac:dyDescent="0.25">
      <c r="A4766" s="1" t="str">
        <f ca="1">IFERROR(__xludf.DUMMYFUNCTION("GOOGLETRANSLATE(English!A4766, ""en"", ""bg"")"),"hw_05249")</f>
        <v>hw_05249</v>
      </c>
      <c r="B4766" s="1" t="str">
        <f ca="1">IFERROR(__xludf.DUMMYFUNCTION("GOOGLETRANSLATE(English!B4766, ""en"", ""bg"")"),"биология")</f>
        <v>биология</v>
      </c>
      <c r="C4766" s="1" t="str">
        <f ca="1">IFERROR(__xludf.DUMMYFUNCTION("GOOGLETRANSLATE(English!C4766, ""en"", ""bg"")"),"високо")</f>
        <v>високо</v>
      </c>
      <c r="D4766" s="1" t="str">
        <f ca="1">IFERROR(__xludf.DUMMYFUNCTION("GOOGLETRANSLATE(English!D4766, ""en"", ""bg"")"),"Структура на ДНК")</f>
        <v>Структура на ДНК</v>
      </c>
      <c r="E4766" s="1" t="str">
        <f ca="1">IFERROR(__xludf.DUMMYFUNCTION("GOOGLETRANSLATE(English!E4766, ""en"", ""bg"")"),"Домашното ми пита за структурата на ДНК. Не я разбирам.")</f>
        <v>Домашното ми пита за структурата на ДНК. Не я разбирам.</v>
      </c>
      <c r="F4766" s="1" t="str">
        <f ca="1">IFERROR(__xludf.DUMMYFUNCTION("GOOGLETRANSLATE(English!F4766, ""en"", ""bg"")"),"Ще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"&amp;"да започнете?")</f>
        <v>Ще се радвам да ви помогна със структурата на ДНК! Нека разделя това на прости стъпки. Първо, нека обясня какво означава структурата на ДНК и защо е важна в биологията. След това можем да разгледаме заедно някои примери. С коя конкретна част бихте искали да започнете?</v>
      </c>
      <c r="G4766" s="1" t="str">
        <f ca="1">IFERROR(__xludf.DUMMYFUNCTION("GOOGLETRANSLATE(English!G4766, ""en"", ""bg"")"),"помощ_за_домашно_изпълнение")</f>
        <v>помощ_за_домашно_изпълнение</v>
      </c>
      <c r="H4766" s="1" t="str">
        <f ca="1">IFERROR(__xludf.DUMMYFUNCTION("GOOGLETRANSLATE(English!H4766, ""en"", ""bg"")"),"помощ_за_домашно_задаване")</f>
        <v>помощ_за_домашно_задаване</v>
      </c>
    </row>
    <row r="4767" spans="1:8" ht="13.2" x14ac:dyDescent="0.25">
      <c r="A4767" s="1" t="str">
        <f ca="1">IFERROR(__xludf.DUMMYFUNCTION("GOOGLETRANSLATE(English!A4767, ""en"", ""bg"")"),"conv_17765")</f>
        <v>conv_17765</v>
      </c>
      <c r="B4767" s="1" t="str">
        <f ca="1">IFERROR(__xludf.DUMMYFUNCTION("GOOGLETRANSLATE(English!B4767, ""en"", ""bg"")"),"химия")</f>
        <v>химия</v>
      </c>
      <c r="C4767" s="1" t="str">
        <f ca="1">IFERROR(__xludf.DUMMYFUNCTION("GOOGLETRANSLATE(English!C4767, ""en"", ""bg"")"),"високо")</f>
        <v>високо</v>
      </c>
      <c r="D4767" s="1" t="str">
        <f ca="1">IFERROR(__xludf.DUMMYFUNCTION("GOOGLETRANSLATE(English!D4767, ""en"", ""bg"")"),"равновесие")</f>
        <v>равновесие</v>
      </c>
      <c r="E4767" s="1" t="str">
        <f ca="1">IFERROR(__xludf.DUMMYFUNCTION("GOOGLETRANSLATE(English!E4767, ""en"", ""bg"")"),"Имам научен въпрос. Защо е важно да се учи равновесие?")</f>
        <v>Имам научен въпрос. Защо е важно да се учи равновесие?</v>
      </c>
      <c r="F4767" s="1" t="str">
        <f ca="1">IFERROR(__xludf.DUMMYFUNCTION("GOOGLETRANSLATE(English!F4767, ""en"", ""bg"")"),"Изучаването на равновесието ни помага да разберем света около нас и как протичат химичните процеси в природата и технологиите.")</f>
        <v>Изучаването на равновесието ни помага да разберем света около нас и как протичат химичните процеси в природата и технологиите.</v>
      </c>
      <c r="G4767" s="1" t="str">
        <f ca="1">IFERROR(__xludf.DUMMYFUNCTION("GOOGLETRANSLATE(English!G4767, ""en"", ""bg"")"),"разговор")</f>
        <v>разговор</v>
      </c>
      <c r="H4767" s="1" t="str">
        <f ca="1">IFERROR(__xludf.DUMMYFUNCTION("GOOGLETRANSLATE(English!H4767, ""en"", ""bg"")"),"образователна_помощ")</f>
        <v>образователна_помощ</v>
      </c>
    </row>
    <row r="4768" spans="1:8" ht="13.2" x14ac:dyDescent="0.25">
      <c r="A4768" s="1" t="str">
        <f ca="1">IFERROR(__xludf.DUMMYFUNCTION("GOOGLETRANSLATE(English!A4768, ""en"", ""bg"")"),"hw_06811")</f>
        <v>hw_06811</v>
      </c>
      <c r="B4768" s="1" t="str">
        <f ca="1">IFERROR(__xludf.DUMMYFUNCTION("GOOGLETRANSLATE(English!B4768, ""en"", ""bg"")"),"химия")</f>
        <v>химия</v>
      </c>
      <c r="C4768" s="1" t="str">
        <f ca="1">IFERROR(__xludf.DUMMYFUNCTION("GOOGLETRANSLATE(English!C4768, ""en"", ""bg"")"),"елементарен")</f>
        <v>елементарен</v>
      </c>
      <c r="D4768" s="1" t="str">
        <f ca="1">IFERROR(__xludf.DUMMYFUNCTION("GOOGLETRANSLATE(English!D4768, ""en"", ""bg"")"),"твърди вещества, течности, газове")</f>
        <v>твърди вещества, течности, газове</v>
      </c>
      <c r="E4768" s="1" t="str">
        <f ca="1">IFERROR(__xludf.DUMMYFUNCTION("GOOGLETRANSLATE(English!E4768, ""en"", ""bg"")"),"В домашното си се затруднявам с твърди вещества, течности, газове.")</f>
        <v>В домашното си се затруднявам с твърди вещества, течности, газове.</v>
      </c>
      <c r="F4768" s="1" t="str">
        <f ca="1">IFERROR(__xludf.DUMMYFUNCTION("GOOGLETRANSLATE(English!F4768, ""en"", ""bg"")"),"Ще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к"&amp;"онкретна част бихте искали да започнете?")</f>
        <v>Ще се радвам да ви помогна с твърди вещества, течности, газове! Нека разделя това на прости стъпки. Първо, нека обясня какво означават твърди вещества, течности, газове и защо са важни в химията. След това можем да разгледаме заедно някои примери. С коя конкретна част бихте искали да започнете?</v>
      </c>
      <c r="G4768" s="1" t="str">
        <f ca="1">IFERROR(__xludf.DUMMYFUNCTION("GOOGLETRANSLATE(English!G4768, ""en"", ""bg"")"),"помощ_за_домашно_изпълнение")</f>
        <v>помощ_за_домашно_изпълнение</v>
      </c>
      <c r="H4768" s="1" t="str">
        <f ca="1">IFERROR(__xludf.DUMMYFUNCTION("GOOGLETRANSLATE(English!H4768, ""en"", ""bg"")"),"помощ_за_домашно_задаване")</f>
        <v>помощ_за_домашно_задаване</v>
      </c>
    </row>
    <row r="4769" spans="1:8" ht="13.2" x14ac:dyDescent="0.25">
      <c r="A4769" s="1" t="str">
        <f ca="1">IFERROR(__xludf.DUMMYFUNCTION("GOOGLETRANSLATE(English!A4769, ""en"", ""bg"")"),"conv_12870")</f>
        <v>conv_12870</v>
      </c>
      <c r="B4769" s="1" t="str">
        <f ca="1">IFERROR(__xludf.DUMMYFUNCTION("GOOGLETRANSLATE(English!B4769, ""en"", ""bg"")"),"биология")</f>
        <v>биология</v>
      </c>
      <c r="C4769" s="1" t="str">
        <f ca="1">IFERROR(__xludf.DUMMYFUNCTION("GOOGLETRANSLATE(English!C4769, ""en"", ""bg"")"),"високо")</f>
        <v>високо</v>
      </c>
      <c r="D4769" s="1" t="str">
        <f ca="1">IFERROR(__xludf.DUMMYFUNCTION("GOOGLETRANSLATE(English!D4769, ""en"", ""bg"")"),"митоза и мейоза")</f>
        <v>митоза и мейоза</v>
      </c>
      <c r="E4769" s="1" t="str">
        <f ca="1">IFERROR(__xludf.DUMMYFUNCTION("GOOGLETRANSLATE(English!E4769, ""en"", ""bg"")"),"Не разбирам тази тема. Какво е важно да знаем за митозата и мейозата?")</f>
        <v>Не разбирам тази тема. Какво е важно да знаем за митозата и мейозата?</v>
      </c>
      <c r="F4769" s="1" t="str">
        <f ca="1">IFERROR(__xludf.DUMMYFUNCTION("GOOGLETRANSLATE(English!F4769, ""en"", ""bg"")"),"Най-важното нещо за митозата и мейозата е как те се свързват с други части на живота и природата.")</f>
        <v>Най-важното нещо за митозата и мейозата е как те се свързват с други части на живота и природата.</v>
      </c>
      <c r="G4769" s="1" t="str">
        <f ca="1">IFERROR(__xludf.DUMMYFUNCTION("GOOGLETRANSLATE(English!G4769, ""en"", ""bg"")"),"разговор")</f>
        <v>разговор</v>
      </c>
      <c r="H4769" s="1" t="str">
        <f ca="1">IFERROR(__xludf.DUMMYFUNCTION("GOOGLETRANSLATE(English!H4769, ""en"", ""bg"")"),"образователна_помощ")</f>
        <v>образователна_помощ</v>
      </c>
    </row>
    <row r="4770" spans="1:8" ht="13.2" x14ac:dyDescent="0.25">
      <c r="A4770" s="1" t="str">
        <f ca="1">IFERROR(__xludf.DUMMYFUNCTION("GOOGLETRANSLATE(English!A4770, ""en"", ""bg"")"),"qa_05657")</f>
        <v>qa_05657</v>
      </c>
      <c r="B4770" s="1" t="str">
        <f ca="1">IFERROR(__xludf.DUMMYFUNCTION("GOOGLETRANSLATE(English!B4770, ""en"", ""bg"")"),"физика")</f>
        <v>физика</v>
      </c>
      <c r="C4770" s="1" t="str">
        <f ca="1">IFERROR(__xludf.DUMMYFUNCTION("GOOGLETRANSLATE(English!C4770, ""en"", ""bg"")"),"средата")</f>
        <v>средата</v>
      </c>
      <c r="D4770" s="1" t="str">
        <f ca="1">IFERROR(__xludf.DUMMYFUNCTION("GOOGLETRANSLATE(English!D4770, ""en"", ""bg"")"),"състояния на материята")</f>
        <v>състояния на материята</v>
      </c>
      <c r="E4770" s="1" t="str">
        <f ca="1">IFERROR(__xludf.DUMMYFUNCTION("GOOGLETRANSLATE(English!E4770, ""en"", ""bg"")"),"Защо състоянията на материята са важни?")</f>
        <v>Защо състоянията на материята са важни?</v>
      </c>
      <c r="F4770" s="1" t="str">
        <f ca="1">IFERROR(__xludf.DUMMYFUNCTION("GOOGLETRANSLATE(English!F4770, ""en"", ""bg"")"),"Състоянията на материята са важни, защото ни помагат да разберем физическия свят около нас.")</f>
        <v>Състоянията на материята са важни, защото ни помагат да разберем физическия свят около нас.</v>
      </c>
      <c r="G4770" s="1" t="str">
        <f ca="1">IFERROR(__xludf.DUMMYFUNCTION("GOOGLETRANSLATE(English!G4770, ""en"", ""bg"")"),"direct_qa")</f>
        <v>direct_qa</v>
      </c>
      <c r="H4770" s="1" t="str">
        <f ca="1">IFERROR(__xludf.DUMMYFUNCTION("GOOGLETRANSLATE(English!H4770, ""en"", ""bg"")"),"заявка_за_знание")</f>
        <v>заявка_за_знание</v>
      </c>
    </row>
    <row r="4771" spans="1:8" ht="13.2" x14ac:dyDescent="0.25">
      <c r="A4771" s="1" t="str">
        <f ca="1">IFERROR(__xludf.DUMMYFUNCTION("GOOGLETRANSLATE(English!A4771, ""en"", ""bg"")"),"hw_00901")</f>
        <v>hw_00901</v>
      </c>
      <c r="B4771" s="1" t="str">
        <f ca="1">IFERROR(__xludf.DUMMYFUNCTION("GOOGLETRANSLATE(English!B4771, ""en"", ""bg"")"),"химия")</f>
        <v>химия</v>
      </c>
      <c r="C4771" s="1" t="str">
        <f ca="1">IFERROR(__xludf.DUMMYFUNCTION("GOOGLETRANSLATE(English!C4771, ""en"", ""bg"")"),"високо")</f>
        <v>високо</v>
      </c>
      <c r="D4771" s="1" t="str">
        <f ca="1">IFERROR(__xludf.DUMMYFUNCTION("GOOGLETRANSLATE(English!D4771, ""en"", ""bg"")"),"химическо свързване")</f>
        <v>химическо свързване</v>
      </c>
      <c r="E4771" s="1" t="str">
        <f ca="1">IFERROR(__xludf.DUMMYFUNCTION("GOOGLETRANSLATE(English!E4771, ""en"", ""bg"")"),"Имам проблеми с химичните връзки в домашното си.")</f>
        <v>Имам проблеми с химичните връзки в домашното си.</v>
      </c>
      <c r="F4771" s="1" t="str">
        <f ca="1">IFERROR(__xludf.DUMMYFUNCTION("GOOGLETRANSLATE(English!F4771, ""en"", ""bg"")"),"Ще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v>
      </c>
      <c r="G4771" s="1" t="str">
        <f ca="1">IFERROR(__xludf.DUMMYFUNCTION("GOOGLETRANSLATE(English!G4771, ""en"", ""bg"")"),"помощ_за_домашно_изпълнение")</f>
        <v>помощ_за_домашно_изпълнение</v>
      </c>
      <c r="H4771" s="1" t="str">
        <f ca="1">IFERROR(__xludf.DUMMYFUNCTION("GOOGLETRANSLATE(English!H4771, ""en"", ""bg"")"),"помощ_за_домашно_задаване")</f>
        <v>помощ_за_домашно_задаване</v>
      </c>
    </row>
    <row r="4772" spans="1:8" ht="13.2" x14ac:dyDescent="0.25">
      <c r="A4772" s="1" t="str">
        <f ca="1">IFERROR(__xludf.DUMMYFUNCTION("GOOGLETRANSLATE(English!A4772, ""en"", ""bg"")"),"qa_08530")</f>
        <v>qa_08530</v>
      </c>
      <c r="B4772" s="1" t="str">
        <f ca="1">IFERROR(__xludf.DUMMYFUNCTION("GOOGLETRANSLATE(English!B4772, ""en"", ""bg"")"),"физика")</f>
        <v>физика</v>
      </c>
      <c r="C4772" s="1" t="str">
        <f ca="1">IFERROR(__xludf.DUMMYFUNCTION("GOOGLETRANSLATE(English!C4772, ""en"", ""bg"")"),"високо")</f>
        <v>високо</v>
      </c>
      <c r="D4772" s="1" t="str">
        <f ca="1">IFERROR(__xludf.DUMMYFUNCTION("GOOGLETRANSLATE(English!D4772, ""en"", ""bg"")"),"механика")</f>
        <v>механика</v>
      </c>
      <c r="E4772" s="1" t="str">
        <f ca="1">IFERROR(__xludf.DUMMYFUNCTION("GOOGLETRANSLATE(English!E4772, ""en"", ""bg"")"),"Какво трябва да знам за механиката?")</f>
        <v>Какво трябва да знам за механиката?</v>
      </c>
      <c r="F4772" s="1" t="str">
        <f ca="1">IFERROR(__xludf.DUMMYFUNCTION("GOOGLETRANSLATE(English!F4772, ""en"", ""bg"")"),"Ключовото нещо за механиката е как тя следва законите на физиката, които управляват нашата вселена.")</f>
        <v>Ключовото нещо за механиката е как тя следва законите на физиката, които управляват нашата вселена.</v>
      </c>
      <c r="G4772" s="1" t="str">
        <f ca="1">IFERROR(__xludf.DUMMYFUNCTION("GOOGLETRANSLATE(English!G4772, ""en"", ""bg"")"),"direct_qa")</f>
        <v>direct_qa</v>
      </c>
      <c r="H4772" s="1" t="str">
        <f ca="1">IFERROR(__xludf.DUMMYFUNCTION("GOOGLETRANSLATE(English!H4772, ""en"", ""bg"")"),"заявка_за_знание")</f>
        <v>заявка_за_знание</v>
      </c>
    </row>
    <row r="4773" spans="1:8" ht="13.2" x14ac:dyDescent="0.25">
      <c r="A4773" s="1" t="str">
        <f ca="1">IFERROR(__xludf.DUMMYFUNCTION("GOOGLETRANSLATE(English!A4773, ""en"", ""bg"")"),"conv_11933")</f>
        <v>conv_11933</v>
      </c>
      <c r="B4773" s="1" t="str">
        <f ca="1">IFERROR(__xludf.DUMMYFUNCTION("GOOGLETRANSLATE(English!B4773, ""en"", ""bg"")"),"химия")</f>
        <v>химия</v>
      </c>
      <c r="C4773" s="1" t="str">
        <f ca="1">IFERROR(__xludf.DUMMYFUNCTION("GOOGLETRANSLATE(English!C4773, ""en"", ""bg"")"),"елементарен")</f>
        <v>елементарен</v>
      </c>
      <c r="D4773" s="1" t="str">
        <f ca="1">IFERROR(__xludf.DUMMYFUNCTION("GOOGLETRANSLATE(English!D4773, ""en"", ""bg"")"),"промени в материалите")</f>
        <v>промени в материалите</v>
      </c>
      <c r="E4773" s="1" t="str">
        <f ca="1">IFERROR(__xludf.DUMMYFUNCTION("GOOGLETRANSLATE(English!E4773, ""en"", ""bg"")"),"Можете ли да ми помогнете? Как протичат промените в материалите в химията?")</f>
        <v>Можете ли да ми помогнете? Как протичат промените в материалите в химията?</v>
      </c>
      <c r="F4773" s="1" t="str">
        <f ca="1">IFERROR(__xludf.DUMMYFUNCTION("GOOGLETRANSLATE(English!F4773,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4773" s="1" t="str">
        <f ca="1">IFERROR(__xludf.DUMMYFUNCTION("GOOGLETRANSLATE(English!G4773, ""en"", ""bg"")"),"разговор")</f>
        <v>разговор</v>
      </c>
      <c r="H4773" s="1" t="str">
        <f ca="1">IFERROR(__xludf.DUMMYFUNCTION("GOOGLETRANSLATE(English!H4773, ""en"", ""bg"")"),"образователна_помощ")</f>
        <v>образователна_помощ</v>
      </c>
    </row>
    <row r="4774" spans="1:8" ht="13.2" x14ac:dyDescent="0.25">
      <c r="A4774" s="1" t="str">
        <f ca="1">IFERROR(__xludf.DUMMYFUNCTION("GOOGLETRANSLATE(English!A4774, ""en"", ""bg"")"),"qa_04960")</f>
        <v>qa_04960</v>
      </c>
      <c r="B4774" s="1" t="str">
        <f ca="1">IFERROR(__xludf.DUMMYFUNCTION("GOOGLETRANSLATE(English!B4774, ""en"", ""bg"")"),"химия")</f>
        <v>химия</v>
      </c>
      <c r="C4774" s="1" t="str">
        <f ca="1">IFERROR(__xludf.DUMMYFUNCTION("GOOGLETRANSLATE(English!C4774, ""en"", ""bg"")"),"високо")</f>
        <v>високо</v>
      </c>
      <c r="D4774" s="1" t="str">
        <f ca="1">IFERROR(__xludf.DUMMYFUNCTION("GOOGLETRANSLATE(English!D4774, ""en"", ""bg"")"),"скорости на реакция")</f>
        <v>скорости на реакция</v>
      </c>
      <c r="E4774" s="1" t="str">
        <f ca="1">IFERROR(__xludf.DUMMYFUNCTION("GOOGLETRANSLATE(English!E4774, ""en"", ""bg"")"),"Как работят скоростите на реакциите в химията?")</f>
        <v>Как работят скоростите на реакциите в химията?</v>
      </c>
      <c r="F4774" s="1" t="str">
        <f ca="1">IFERROR(__xludf.DUMMYFUNCTION("GOOGLETRANSLATE(English!F4774,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4774" s="1" t="str">
        <f ca="1">IFERROR(__xludf.DUMMYFUNCTION("GOOGLETRANSLATE(English!G4774, ""en"", ""bg"")"),"direct_qa")</f>
        <v>direct_qa</v>
      </c>
      <c r="H4774" s="1" t="str">
        <f ca="1">IFERROR(__xludf.DUMMYFUNCTION("GOOGLETRANSLATE(English!H4774, ""en"", ""bg"")"),"заявка_за_знание")</f>
        <v>заявка_за_знание</v>
      </c>
    </row>
    <row r="4775" spans="1:8" ht="13.2" x14ac:dyDescent="0.25">
      <c r="A4775" s="1" t="str">
        <f ca="1">IFERROR(__xludf.DUMMYFUNCTION("GOOGLETRANSLATE(English!A4775, ""en"", ""bg"")"),"qa_09512")</f>
        <v>qa_09512</v>
      </c>
      <c r="B4775" s="1" t="str">
        <f ca="1">IFERROR(__xludf.DUMMYFUNCTION("GOOGLETRANSLATE(English!B4775, ""en"", ""bg"")"),"физика")</f>
        <v>физика</v>
      </c>
      <c r="C4775" s="1" t="str">
        <f ca="1">IFERROR(__xludf.DUMMYFUNCTION("GOOGLETRANSLATE(English!C4775, ""en"", ""bg"")"),"средата")</f>
        <v>средата</v>
      </c>
      <c r="D4775" s="1" t="str">
        <f ca="1">IFERROR(__xludf.DUMMYFUNCTION("GOOGLETRANSLATE(English!D4775, ""en"", ""bg"")"),"плътност")</f>
        <v>плътност</v>
      </c>
      <c r="E4775" s="1" t="str">
        <f ca="1">IFERROR(__xludf.DUMMYFUNCTION("GOOGLETRANSLATE(English!E4775, ""en"", ""bg"")"),"Как работи плътността във физиката?")</f>
        <v>Как работи плътността във физиката?</v>
      </c>
      <c r="F4775" s="1" t="str">
        <f ca="1">IFERROR(__xludf.DUMMYFUNCTION("GOOGLETRANSLATE(English!F4775, ""en"", ""bg"")"),"Плътността работи според научни принципи, които можем да наблюдаваме и измерваме.")</f>
        <v>Плътността работи според научни принципи, които можем да наблюдаваме и измерваме.</v>
      </c>
      <c r="G4775" s="1" t="str">
        <f ca="1">IFERROR(__xludf.DUMMYFUNCTION("GOOGLETRANSLATE(English!G4775, ""en"", ""bg"")"),"direct_qa")</f>
        <v>direct_qa</v>
      </c>
      <c r="H4775" s="1" t="str">
        <f ca="1">IFERROR(__xludf.DUMMYFUNCTION("GOOGLETRANSLATE(English!H4775, ""en"", ""bg"")"),"заявка_за_знание")</f>
        <v>заявка_за_знание</v>
      </c>
    </row>
    <row r="4776" spans="1:8" ht="13.2" x14ac:dyDescent="0.25">
      <c r="A4776" s="1" t="str">
        <f ca="1">IFERROR(__xludf.DUMMYFUNCTION("GOOGLETRANSLATE(English!A4776, ""en"", ""bg"")"),"qa_04273")</f>
        <v>qa_04273</v>
      </c>
      <c r="B4776" s="1" t="str">
        <f ca="1">IFERROR(__xludf.DUMMYFUNCTION("GOOGLETRANSLATE(English!B4776, ""en"", ""bg"")"),"физика")</f>
        <v>физика</v>
      </c>
      <c r="C4776" s="1" t="str">
        <f ca="1">IFERROR(__xludf.DUMMYFUNCTION("GOOGLETRANSLATE(English!C4776, ""en"", ""bg"")"),"елементарен")</f>
        <v>елементарен</v>
      </c>
      <c r="D4776" s="1" t="str">
        <f ca="1">IFERROR(__xludf.DUMMYFUNCTION("GOOGLETRANSLATE(English!D4776, ""en"", ""bg"")"),"бутане и дърпане")</f>
        <v>бутане и дърпане</v>
      </c>
      <c r="E4776" s="1" t="str">
        <f ca="1">IFERROR(__xludf.DUMMYFUNCTION("GOOGLETRANSLATE(English!E4776, ""en"", ""bg"")"),"Какво трябва да знам за бутането и дърпането?")</f>
        <v>Какво трябва да знам за бутането и дърпането?</v>
      </c>
      <c r="F4776" s="1" t="str">
        <f ca="1">IFERROR(__xludf.DUMMYFUNCTION("GOOGLETRANSLATE(English!F4776, ""en"", ""bg"")"),"Ключовото нещо при бутането и дърпането е как то следва законите на физиката, които управляват нашата вселена.")</f>
        <v>Ключовото нещо при бутането и дърпането е как то следва законите на физиката, които управляват нашата вселена.</v>
      </c>
      <c r="G4776" s="1" t="str">
        <f ca="1">IFERROR(__xludf.DUMMYFUNCTION("GOOGLETRANSLATE(English!G4776, ""en"", ""bg"")"),"direct_qa")</f>
        <v>direct_qa</v>
      </c>
      <c r="H4776" s="1" t="str">
        <f ca="1">IFERROR(__xludf.DUMMYFUNCTION("GOOGLETRANSLATE(English!H4776, ""en"", ""bg"")"),"заявка_за_знание")</f>
        <v>заявка_за_знание</v>
      </c>
    </row>
    <row r="4777" spans="1:8" ht="13.2" x14ac:dyDescent="0.25">
      <c r="A4777" s="1" t="str">
        <f ca="1">IFERROR(__xludf.DUMMYFUNCTION("GOOGLETRANSLATE(English!A4777, ""en"", ""bg"")"),"conv_03389")</f>
        <v>conv_03389</v>
      </c>
      <c r="B4777" s="1" t="str">
        <f ca="1">IFERROR(__xludf.DUMMYFUNCTION("GOOGLETRANSLATE(English!B4777, ""en"", ""bg"")"),"химия")</f>
        <v>химия</v>
      </c>
      <c r="C4777" s="1" t="str">
        <f ca="1">IFERROR(__xludf.DUMMYFUNCTION("GOOGLETRANSLATE(English!C4777, ""en"", ""bg"")"),"високо")</f>
        <v>високо</v>
      </c>
      <c r="D4777" s="1" t="str">
        <f ca="1">IFERROR(__xludf.DUMMYFUNCTION("GOOGLETRANSLATE(English!D4777, ""en"", ""bg"")"),"електрохимия")</f>
        <v>електрохимия</v>
      </c>
      <c r="E4777" s="1" t="str">
        <f ca="1">IFERROR(__xludf.DUMMYFUNCTION("GOOGLETRANSLATE(English!E4777, ""en"", ""bg"")"),"Можете ли да ми обясните това? Защо е важно да се учи електрохимия?")</f>
        <v>Можете ли да ми обясните това? Защо е важно да се учи електрохимия?</v>
      </c>
      <c r="F4777" s="1" t="str">
        <f ca="1">IFERROR(__xludf.DUMMYFUNCTION("GOOGLETRANSLATE(English!F4777, ""en"", ""bg"")"),"Изучаването на електрохимията ни помага да разберем света около нас и как протичат химичните процеси в природата и технологиите.")</f>
        <v>Изучаването на електрохимията ни помага да разберем света около нас и как протичат химичните процеси в природата и технологиите.</v>
      </c>
      <c r="G4777" s="1" t="str">
        <f ca="1">IFERROR(__xludf.DUMMYFUNCTION("GOOGLETRANSLATE(English!G4777, ""en"", ""bg"")"),"разговор")</f>
        <v>разговор</v>
      </c>
      <c r="H4777" s="1" t="str">
        <f ca="1">IFERROR(__xludf.DUMMYFUNCTION("GOOGLETRANSLATE(English!H4777, ""en"", ""bg"")"),"образователна_помощ")</f>
        <v>образователна_помощ</v>
      </c>
    </row>
    <row r="4778" spans="1:8" ht="13.2" x14ac:dyDescent="0.25">
      <c r="A4778" s="1" t="str">
        <f ca="1">IFERROR(__xludf.DUMMYFUNCTION("GOOGLETRANSLATE(English!A4778, ""en"", ""bg"")"),"hw_13156")</f>
        <v>hw_13156</v>
      </c>
      <c r="B4778" s="1" t="str">
        <f ca="1">IFERROR(__xludf.DUMMYFUNCTION("GOOGLETRANSLATE(English!B4778, ""en"", ""bg"")"),"химия")</f>
        <v>химия</v>
      </c>
      <c r="C4778" s="1" t="str">
        <f ca="1">IFERROR(__xludf.DUMMYFUNCTION("GOOGLETRANSLATE(English!C4778, ""en"", ""bg"")"),"високо")</f>
        <v>високо</v>
      </c>
      <c r="D4778" s="1" t="str">
        <f ca="1">IFERROR(__xludf.DUMMYFUNCTION("GOOGLETRANSLATE(English!D4778, ""en"", ""bg"")"),"равновесие")</f>
        <v>равновесие</v>
      </c>
      <c r="E4778" s="1" t="str">
        <f ca="1">IFERROR(__xludf.DUMMYFUNCTION("GOOGLETRANSLATE(English!E4778, ""en"", ""bg"")"),"Не разбирам тази концепция за равновесие. Моля, обяснете!")</f>
        <v>Не разбирам тази концепция за равновесие. Моля, обяснете!</v>
      </c>
      <c r="F4778" s="1" t="str">
        <f ca="1">IFERROR(__xludf.DUMMYFUNCTION("GOOGLETRANSLATE(English!F4778,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4778" s="1" t="str">
        <f ca="1">IFERROR(__xludf.DUMMYFUNCTION("GOOGLETRANSLATE(English!G4778, ""en"", ""bg"")"),"помощ_за_домашно_изпълнение")</f>
        <v>помощ_за_домашно_изпълнение</v>
      </c>
      <c r="H4778" s="1" t="str">
        <f ca="1">IFERROR(__xludf.DUMMYFUNCTION("GOOGLETRANSLATE(English!H4778, ""en"", ""bg"")"),"помощ_за_домашно_задаване")</f>
        <v>помощ_за_домашно_задаване</v>
      </c>
    </row>
    <row r="4779" spans="1:8" ht="13.2" x14ac:dyDescent="0.25">
      <c r="A4779" s="1" t="str">
        <f ca="1">IFERROR(__xludf.DUMMYFUNCTION("GOOGLETRANSLATE(English!A4779, ""en"", ""bg"")"),"hw_09640")</f>
        <v>hw_09640</v>
      </c>
      <c r="B4779" s="1" t="str">
        <f ca="1">IFERROR(__xludf.DUMMYFUNCTION("GOOGLETRANSLATE(English!B4779, ""en"", ""bg"")"),"химия")</f>
        <v>химия</v>
      </c>
      <c r="C4779" s="1" t="str">
        <f ca="1">IFERROR(__xludf.DUMMYFUNCTION("GOOGLETRANSLATE(English!C4779, ""en"", ""bg"")"),"високо")</f>
        <v>високо</v>
      </c>
      <c r="D4779" s="1" t="str">
        <f ca="1">IFERROR(__xludf.DUMMYFUNCTION("GOOGLETRANSLATE(English!D4779, ""en"", ""bg"")"),"органична химия")</f>
        <v>органична химия</v>
      </c>
      <c r="E4779" s="1" t="str">
        <f ca="1">IFERROR(__xludf.DUMMYFUNCTION("GOOGLETRANSLATE(English!E4779,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4779" s="1" t="str">
        <f ca="1">IFERROR(__xludf.DUMMYFUNCTION("GOOGLETRANSLATE(English!F4779,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779" s="1" t="str">
        <f ca="1">IFERROR(__xludf.DUMMYFUNCTION("GOOGLETRANSLATE(English!G4779, ""en"", ""bg"")"),"помощ_за_домашно_изпълнение")</f>
        <v>помощ_за_домашно_изпълнение</v>
      </c>
      <c r="H4779" s="1" t="str">
        <f ca="1">IFERROR(__xludf.DUMMYFUNCTION("GOOGLETRANSLATE(English!H4779, ""en"", ""bg"")"),"помощ_за_домашно_задаване")</f>
        <v>помощ_за_домашно_задаване</v>
      </c>
    </row>
    <row r="4780" spans="1:8" ht="13.2" x14ac:dyDescent="0.25">
      <c r="A4780" s="1" t="str">
        <f ca="1">IFERROR(__xludf.DUMMYFUNCTION("GOOGLETRANSLATE(English!A4780, ""en"", ""bg"")"),"qa_12740")</f>
        <v>qa_12740</v>
      </c>
      <c r="B4780" s="1" t="str">
        <f ca="1">IFERROR(__xludf.DUMMYFUNCTION("GOOGLETRANSLATE(English!B4780, ""en"", ""bg"")"),"химия")</f>
        <v>химия</v>
      </c>
      <c r="C4780" s="1" t="str">
        <f ca="1">IFERROR(__xludf.DUMMYFUNCTION("GOOGLETRANSLATE(English!C4780, ""en"", ""bg"")"),"високо")</f>
        <v>високо</v>
      </c>
      <c r="D4780" s="1" t="str">
        <f ca="1">IFERROR(__xludf.DUMMYFUNCTION("GOOGLETRANSLATE(English!D4780, ""en"", ""bg"")"),"органична химия")</f>
        <v>органична химия</v>
      </c>
      <c r="E4780" s="1" t="str">
        <f ca="1">IFERROR(__xludf.DUMMYFUNCTION("GOOGLETRANSLATE(English!E4780, ""en"", ""bg"")"),"Как работи органичната химия в химията?")</f>
        <v>Как работи органичната химия в химията?</v>
      </c>
      <c r="F4780" s="1" t="str">
        <f ca="1">IFERROR(__xludf.DUMMYFUNCTION("GOOGLETRANSLATE(English!F4780,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4780" s="1" t="str">
        <f ca="1">IFERROR(__xludf.DUMMYFUNCTION("GOOGLETRANSLATE(English!G4780, ""en"", ""bg"")"),"direct_qa")</f>
        <v>direct_qa</v>
      </c>
      <c r="H4780" s="1" t="str">
        <f ca="1">IFERROR(__xludf.DUMMYFUNCTION("GOOGLETRANSLATE(English!H4780, ""en"", ""bg"")"),"заявка_за_знание")</f>
        <v>заявка_за_знание</v>
      </c>
    </row>
    <row r="4781" spans="1:8" ht="13.2" x14ac:dyDescent="0.25">
      <c r="A4781" s="1" t="str">
        <f ca="1">IFERROR(__xludf.DUMMYFUNCTION("GOOGLETRANSLATE(English!A4781, ""en"", ""bg"")"),"conv_08314")</f>
        <v>conv_08314</v>
      </c>
      <c r="B4781" s="1" t="str">
        <f ca="1">IFERROR(__xludf.DUMMYFUNCTION("GOOGLETRANSLATE(English!B4781, ""en"", ""bg"")"),"биология")</f>
        <v>биология</v>
      </c>
      <c r="C4781" s="1" t="str">
        <f ca="1">IFERROR(__xludf.DUMMYFUNCTION("GOOGLETRANSLATE(English!C4781, ""en"", ""bg"")"),"средата")</f>
        <v>средата</v>
      </c>
      <c r="D4781" s="1" t="str">
        <f ca="1">IFERROR(__xludf.DUMMYFUNCTION("GOOGLETRANSLATE(English!D4781, ""en"", ""bg"")"),"основи на генетиката")</f>
        <v>основи на генетиката</v>
      </c>
      <c r="E4781" s="1" t="str">
        <f ca="1">IFERROR(__xludf.DUMMYFUNCTION("GOOGLETRANSLATE(English!E4781, ""en"", ""bg"")"),"Здравей, преподавателю! Защо основите на генетиката са важни в биологията?")</f>
        <v>Здравей, преподавателю! Защо основите на генетиката са важни в биологията?</v>
      </c>
      <c r="F4781" s="1" t="str">
        <f ca="1">IFERROR(__xludf.DUMMYFUNCTION("GOOGLETRANSLATE(English!F4781, ""en"", ""bg"")"),"Основите на генетиката са важни, защото ни помагат да разберем живота и как живите същества оцеляват.")</f>
        <v>Основите на генетиката са важни, защото ни помагат да разберем живота и как живите същества оцеляват.</v>
      </c>
      <c r="G4781" s="1" t="str">
        <f ca="1">IFERROR(__xludf.DUMMYFUNCTION("GOOGLETRANSLATE(English!G4781, ""en"", ""bg"")"),"разговор")</f>
        <v>разговор</v>
      </c>
      <c r="H4781" s="1" t="str">
        <f ca="1">IFERROR(__xludf.DUMMYFUNCTION("GOOGLETRANSLATE(English!H4781, ""en"", ""bg"")"),"образователна_помощ")</f>
        <v>образователна_помощ</v>
      </c>
    </row>
    <row r="4782" spans="1:8" ht="13.2" x14ac:dyDescent="0.25">
      <c r="A4782" s="1" t="str">
        <f ca="1">IFERROR(__xludf.DUMMYFUNCTION("GOOGLETRANSLATE(English!A4782, ""en"", ""bg"")"),"qa_02629")</f>
        <v>qa_02629</v>
      </c>
      <c r="B4782" s="1" t="str">
        <f ca="1">IFERROR(__xludf.DUMMYFUNCTION("GOOGLETRANSLATE(English!B4782, ""en"", ""bg"")"),"химия")</f>
        <v>химия</v>
      </c>
      <c r="C4782" s="1" t="str">
        <f ca="1">IFERROR(__xludf.DUMMYFUNCTION("GOOGLETRANSLATE(English!C4782, ""en"", ""bg"")"),"средата")</f>
        <v>средата</v>
      </c>
      <c r="D4782" s="1" t="str">
        <f ca="1">IFERROR(__xludf.DUMMYFUNCTION("GOOGLETRANSLATE(English!D4782, ""en"", ""bg"")"),"киселини и основи")</f>
        <v>киселини и основи</v>
      </c>
      <c r="E4782" s="1" t="str">
        <f ca="1">IFERROR(__xludf.DUMMYFUNCTION("GOOGLETRANSLATE(English!E4782, ""en"", ""bg"")"),"Какво представляват киселините и основите?")</f>
        <v>Какво представляват киселините и основите?</v>
      </c>
      <c r="F4782" s="1" t="str">
        <f ca="1">IFERROR(__xludf.DUMMYFUNCTION("GOOGLETRANSLATE(English!F4782, ""en"", ""bg"")"),"Киселините и основите са свързани с взаимодействията между различните видове материя и енергия.")</f>
        <v>Киселините и основите са свързани с взаимодействията между различните видове материя и енергия.</v>
      </c>
      <c r="G4782" s="1" t="str">
        <f ca="1">IFERROR(__xludf.DUMMYFUNCTION("GOOGLETRANSLATE(English!G4782, ""en"", ""bg"")"),"direct_qa")</f>
        <v>direct_qa</v>
      </c>
      <c r="H4782" s="1" t="str">
        <f ca="1">IFERROR(__xludf.DUMMYFUNCTION("GOOGLETRANSLATE(English!H4782, ""en"", ""bg"")"),"заявка_за_знание")</f>
        <v>заявка_за_знание</v>
      </c>
    </row>
    <row r="4783" spans="1:8" ht="13.2" x14ac:dyDescent="0.25">
      <c r="A4783" s="1" t="str">
        <f ca="1">IFERROR(__xludf.DUMMYFUNCTION("GOOGLETRANSLATE(English!A4783, ""en"", ""bg"")"),"qa_07166")</f>
        <v>qa_07166</v>
      </c>
      <c r="B4783" s="1" t="str">
        <f ca="1">IFERROR(__xludf.DUMMYFUNCTION("GOOGLETRANSLATE(English!B4783, ""en"", ""bg"")"),"биология")</f>
        <v>биология</v>
      </c>
      <c r="C4783" s="1" t="str">
        <f ca="1">IFERROR(__xludf.DUMMYFUNCTION("GOOGLETRANSLATE(English!C4783, ""en"", ""bg"")"),"средата")</f>
        <v>средата</v>
      </c>
      <c r="D4783" s="1" t="str">
        <f ca="1">IFERROR(__xludf.DUMMYFUNCTION("GOOGLETRANSLATE(English!D4783, ""en"", ""bg"")"),"фотосинтеза")</f>
        <v>фотосинтеза</v>
      </c>
      <c r="E4783" s="1" t="str">
        <f ca="1">IFERROR(__xludf.DUMMYFUNCTION("GOOGLETRANSLATE(English!E4783, ""en"", ""bg"")"),"Как работи фотосинтезата?")</f>
        <v>Как работи фотосинтезата?</v>
      </c>
      <c r="F4783" s="1" t="str">
        <f ca="1">IFERROR(__xludf.DUMMYFUNCTION("GOOGLETRANSLATE(English!F4783,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4783" s="1" t="str">
        <f ca="1">IFERROR(__xludf.DUMMYFUNCTION("GOOGLETRANSLATE(English!G4783, ""en"", ""bg"")"),"direct_qa")</f>
        <v>direct_qa</v>
      </c>
      <c r="H4783" s="1" t="str">
        <f ca="1">IFERROR(__xludf.DUMMYFUNCTION("GOOGLETRANSLATE(English!H4783, ""en"", ""bg"")"),"заявка_за_знание")</f>
        <v>заявка_за_знание</v>
      </c>
    </row>
    <row r="4784" spans="1:8" ht="13.2" x14ac:dyDescent="0.25">
      <c r="A4784" s="1" t="str">
        <f ca="1">IFERROR(__xludf.DUMMYFUNCTION("GOOGLETRANSLATE(English!A4784, ""en"", ""bg"")"),"conv_08163")</f>
        <v>conv_08163</v>
      </c>
      <c r="B4784" s="1" t="str">
        <f ca="1">IFERROR(__xludf.DUMMYFUNCTION("GOOGLETRANSLATE(English!B4784, ""en"", ""bg"")"),"химия")</f>
        <v>химия</v>
      </c>
      <c r="C4784" s="1" t="str">
        <f ca="1">IFERROR(__xludf.DUMMYFUNCTION("GOOGLETRANSLATE(English!C4784, ""en"", ""bg"")"),"елементарен")</f>
        <v>елементарен</v>
      </c>
      <c r="D4784" s="1" t="str">
        <f ca="1">IFERROR(__xludf.DUMMYFUNCTION("GOOGLETRANSLATE(English!D4784, ""en"", ""bg"")"),"промени в материалите")</f>
        <v>промени в материалите</v>
      </c>
      <c r="E4784" s="1" t="str">
        <f ca="1">IFERROR(__xludf.DUMMYFUNCTION("GOOGLETRANSLATE(English!E4784, ""en"", ""bg"")"),"Имам научен въпрос. Можете ли да ми помогнете да разбера промените в материалите?")</f>
        <v>Имам научен въпрос. Можете ли да ми помогнете да разбера промените в материалите?</v>
      </c>
      <c r="F4784" s="1" t="str">
        <f ca="1">IFERROR(__xludf.DUMMYFUNCTION("GOOGLETRANSLATE(English!F4784,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4784" s="1" t="str">
        <f ca="1">IFERROR(__xludf.DUMMYFUNCTION("GOOGLETRANSLATE(English!G4784, ""en"", ""bg"")"),"разговор")</f>
        <v>разговор</v>
      </c>
      <c r="H4784" s="1" t="str">
        <f ca="1">IFERROR(__xludf.DUMMYFUNCTION("GOOGLETRANSLATE(English!H4784, ""en"", ""bg"")"),"образователна_помощ")</f>
        <v>образователна_помощ</v>
      </c>
    </row>
    <row r="4785" spans="1:8" ht="13.2" x14ac:dyDescent="0.25">
      <c r="A4785" s="1" t="str">
        <f ca="1">IFERROR(__xludf.DUMMYFUNCTION("GOOGLETRANSLATE(English!A4785, ""en"", ""bg"")"),"hw_13347")</f>
        <v>hw_13347</v>
      </c>
      <c r="B4785" s="1" t="str">
        <f ca="1">IFERROR(__xludf.DUMMYFUNCTION("GOOGLETRANSLATE(English!B4785, ""en"", ""bg"")"),"физика")</f>
        <v>физика</v>
      </c>
      <c r="C4785" s="1" t="str">
        <f ca="1">IFERROR(__xludf.DUMMYFUNCTION("GOOGLETRANSLATE(English!C4785, ""en"", ""bg"")"),"средата")</f>
        <v>средата</v>
      </c>
      <c r="D4785" s="1" t="str">
        <f ca="1">IFERROR(__xludf.DUMMYFUNCTION("GOOGLETRANSLATE(English!D4785, ""en"", ""bg"")"),"плътност")</f>
        <v>плътност</v>
      </c>
      <c r="E4785" s="1" t="str">
        <f ca="1">IFERROR(__xludf.DUMMYFUNCTION("GOOGLETRANSLATE(English!E4785, ""en"", ""bg"")"),"Заседнал съм с този проблем с плътността. Можете ли да помогнете?")</f>
        <v>Заседнал съм с този проблем с плътността. Можете ли да помогнете?</v>
      </c>
      <c r="F4785" s="1" t="str">
        <f ca="1">IFERROR(__xludf.DUMMYFUNCTION("GOOGLETRANSLATE(English!F4785,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4785" s="1" t="str">
        <f ca="1">IFERROR(__xludf.DUMMYFUNCTION("GOOGLETRANSLATE(English!G4785, ""en"", ""bg"")"),"помощ_за_домашно_изпълнение")</f>
        <v>помощ_за_домашно_изпълнение</v>
      </c>
      <c r="H4785" s="1" t="str">
        <f ca="1">IFERROR(__xludf.DUMMYFUNCTION("GOOGLETRANSLATE(English!H4785, ""en"", ""bg"")"),"помощ_за_домашно_задаване")</f>
        <v>помощ_за_домашно_задаване</v>
      </c>
    </row>
    <row r="4786" spans="1:8" ht="13.2" x14ac:dyDescent="0.25">
      <c r="A4786" s="1" t="str">
        <f ca="1">IFERROR(__xludf.DUMMYFUNCTION("GOOGLETRANSLATE(English!A4786, ""en"", ""bg"")"),"qa_10542")</f>
        <v>qa_10542</v>
      </c>
      <c r="B4786" s="1" t="str">
        <f ca="1">IFERROR(__xludf.DUMMYFUNCTION("GOOGLETRANSLATE(English!B4786, ""en"", ""bg"")"),"физика")</f>
        <v>физика</v>
      </c>
      <c r="C4786" s="1" t="str">
        <f ca="1">IFERROR(__xludf.DUMMYFUNCTION("GOOGLETRANSLATE(English!C4786, ""en"", ""bg"")"),"елементарен")</f>
        <v>елементарен</v>
      </c>
      <c r="D4786" s="1" t="str">
        <f ca="1">IFERROR(__xludf.DUMMYFUNCTION("GOOGLETRANSLATE(English!D4786, ""en"", ""bg"")"),"светлина и сянка")</f>
        <v>светлина и сянка</v>
      </c>
      <c r="E4786" s="1" t="str">
        <f ca="1">IFERROR(__xludf.DUMMYFUNCTION("GOOGLETRANSLATE(English!E4786, ""en"", ""bg"")"),"Какво се случва, когато светлината попадне в огледало?")</f>
        <v>Какво се случва, когато светлината попадне в огледало?</v>
      </c>
      <c r="F4786" s="1" t="str">
        <f ca="1">IFERROR(__xludf.DUMMYFUNCTION("GOOGLETRANSLATE(English!F4786, ""en"", ""bg"")"),"Когато светлината попадне в огледало, тя се отразява обратно, за да можем да видим себе си!")</f>
        <v>Когато светлината попадне в огледало, тя се отразява обратно, за да можем да видим себе си!</v>
      </c>
      <c r="G4786" s="1" t="str">
        <f ca="1">IFERROR(__xludf.DUMMYFUNCTION("GOOGLETRANSLATE(English!G4786, ""en"", ""bg"")"),"direct_qa")</f>
        <v>direct_qa</v>
      </c>
      <c r="H4786" s="1" t="str">
        <f ca="1">IFERROR(__xludf.DUMMYFUNCTION("GOOGLETRANSLATE(English!H4786, ""en"", ""bg"")"),"заявка_за_знание")</f>
        <v>заявка_за_знание</v>
      </c>
    </row>
    <row r="4787" spans="1:8" ht="13.2" x14ac:dyDescent="0.25">
      <c r="A4787" s="1" t="str">
        <f ca="1">IFERROR(__xludf.DUMMYFUNCTION("GOOGLETRANSLATE(English!A4787, ""en"", ""bg"")"),"conv_02787")</f>
        <v>conv_02787</v>
      </c>
      <c r="B4787" s="1" t="str">
        <f ca="1">IFERROR(__xludf.DUMMYFUNCTION("GOOGLETRANSLATE(English!B4787, ""en"", ""bg"")"),"биология")</f>
        <v>биология</v>
      </c>
      <c r="C4787" s="1" t="str">
        <f ca="1">IFERROR(__xludf.DUMMYFUNCTION("GOOGLETRANSLATE(English!C4787, ""en"", ""bg"")"),"средата")</f>
        <v>средата</v>
      </c>
      <c r="D4787" s="1" t="str">
        <f ca="1">IFERROR(__xludf.DUMMYFUNCTION("GOOGLETRANSLATE(English!D4787, ""en"", ""bg"")"),"фотосинтеза")</f>
        <v>фотосинтеза</v>
      </c>
      <c r="E4787" s="1" t="str">
        <f ca="1">IFERROR(__xludf.DUMMYFUNCTION("GOOGLETRANSLATE(English!E4787, ""en"", ""bg"")"),"Имам нужда от помощ с домашното си. Какво е важно да знаем за фотосинтезата?")</f>
        <v>Имам нужда от помощ с домашното си. Какво е важно да знаем за фотосинтезата?</v>
      </c>
      <c r="F4787" s="1" t="str">
        <f ca="1">IFERROR(__xludf.DUMMYFUNCTION("GOOGLETRANSLATE(English!F4787,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4787" s="1" t="str">
        <f ca="1">IFERROR(__xludf.DUMMYFUNCTION("GOOGLETRANSLATE(English!G4787, ""en"", ""bg"")"),"разговор")</f>
        <v>разговор</v>
      </c>
      <c r="H4787" s="1" t="str">
        <f ca="1">IFERROR(__xludf.DUMMYFUNCTION("GOOGLETRANSLATE(English!H4787, ""en"", ""bg"")"),"образователна_помощ")</f>
        <v>образователна_помощ</v>
      </c>
    </row>
    <row r="4788" spans="1:8" ht="13.2" x14ac:dyDescent="0.25">
      <c r="A4788" s="1" t="str">
        <f ca="1">IFERROR(__xludf.DUMMYFUNCTION("GOOGLETRANSLATE(English!A4788, ""en"", ""bg"")"),"hw_11769")</f>
        <v>hw_11769</v>
      </c>
      <c r="B4788" s="1" t="str">
        <f ca="1">IFERROR(__xludf.DUMMYFUNCTION("GOOGLETRANSLATE(English!B4788, ""en"", ""bg"")"),"химия")</f>
        <v>химия</v>
      </c>
      <c r="C4788" s="1" t="str">
        <f ca="1">IFERROR(__xludf.DUMMYFUNCTION("GOOGLETRANSLATE(English!C4788, ""en"", ""bg"")"),"средата")</f>
        <v>средата</v>
      </c>
      <c r="D4788" s="1" t="str">
        <f ca="1">IFERROR(__xludf.DUMMYFUNCTION("GOOGLETRANSLATE(English!D4788, ""en"", ""bg"")"),"основи на периодичната таблица")</f>
        <v>основи на периодичната таблица</v>
      </c>
      <c r="E4788" s="1" t="str">
        <f ca="1">IFERROR(__xludf.DUMMYFUNCTION("GOOGLETRANSLATE(English!E4788, ""en"", ""bg"")"),"Можете ли да ми помогнете с основните изчисления на периодичната таблица?")</f>
        <v>Можете ли да ми помогнете с основните изчисления на периодичната таблица?</v>
      </c>
      <c r="F4788" s="1" t="str">
        <f ca="1">IFERROR(__xludf.DUMMYFUNCTION("GOOGLETRANSLATE(English!F4788,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4788" s="1" t="str">
        <f ca="1">IFERROR(__xludf.DUMMYFUNCTION("GOOGLETRANSLATE(English!G4788, ""en"", ""bg"")"),"помощ_за_домашно_изпълнение")</f>
        <v>помощ_за_домашно_изпълнение</v>
      </c>
      <c r="H4788" s="1" t="str">
        <f ca="1">IFERROR(__xludf.DUMMYFUNCTION("GOOGLETRANSLATE(English!H4788, ""en"", ""bg"")"),"помощ_за_домашно_задаване")</f>
        <v>помощ_за_домашно_задаване</v>
      </c>
    </row>
    <row r="4789" spans="1:8" ht="13.2" x14ac:dyDescent="0.25">
      <c r="A4789" s="1" t="str">
        <f ca="1">IFERROR(__xludf.DUMMYFUNCTION("GOOGLETRANSLATE(English!A4789, ""en"", ""bg"")"),"qa_10793")</f>
        <v>qa_10793</v>
      </c>
      <c r="B4789" s="1" t="str">
        <f ca="1">IFERROR(__xludf.DUMMYFUNCTION("GOOGLETRANSLATE(English!B4789, ""en"", ""bg"")"),"химия")</f>
        <v>химия</v>
      </c>
      <c r="C4789" s="1" t="str">
        <f ca="1">IFERROR(__xludf.DUMMYFUNCTION("GOOGLETRANSLATE(English!C4789, ""en"", ""bg"")"),"елементарен")</f>
        <v>елементарен</v>
      </c>
      <c r="D4789" s="1" t="str">
        <f ca="1">IFERROR(__xludf.DUMMYFUNCTION("GOOGLETRANSLATE(English!D4789, ""en"", ""bg"")"),"смесване на материали")</f>
        <v>смесване на материали</v>
      </c>
      <c r="E4789" s="1" t="str">
        <f ca="1">IFERROR(__xludf.DUMMYFUNCTION("GOOGLETRANSLATE(English!E4789, ""en"", ""bg"")"),"Как можете да отделите солта от водата?")</f>
        <v>Как можете да отделите солта от водата?</v>
      </c>
      <c r="F4789" s="1" t="str">
        <f ca="1">IFERROR(__xludf.DUMMYFUNCTION("GOOGLETRANSLATE(English!F4789, ""en"", ""bg"")"),"Можете да отделите солта от водата, като я нагреете, докато се изпари, оставяйки солта.")</f>
        <v>Можете да отделите солта от водата, като я нагреете, докато се изпари, оставяйки солта.</v>
      </c>
      <c r="G4789" s="1" t="str">
        <f ca="1">IFERROR(__xludf.DUMMYFUNCTION("GOOGLETRANSLATE(English!G4789, ""en"", ""bg"")"),"direct_qa")</f>
        <v>direct_qa</v>
      </c>
      <c r="H4789" s="1" t="str">
        <f ca="1">IFERROR(__xludf.DUMMYFUNCTION("GOOGLETRANSLATE(English!H4789, ""en"", ""bg"")"),"заявка_за_знание")</f>
        <v>заявка_за_знание</v>
      </c>
    </row>
    <row r="4790" spans="1:8" ht="13.2" x14ac:dyDescent="0.25">
      <c r="A4790" s="1" t="str">
        <f ca="1">IFERROR(__xludf.DUMMYFUNCTION("GOOGLETRANSLATE(English!A4790, ""en"", ""bg"")"),"conv_01713")</f>
        <v>conv_01713</v>
      </c>
      <c r="B4790" s="1" t="str">
        <f ca="1">IFERROR(__xludf.DUMMYFUNCTION("GOOGLETRANSLATE(English!B4790, ""en"", ""bg"")"),"химия")</f>
        <v>химия</v>
      </c>
      <c r="C4790" s="1" t="str">
        <f ca="1">IFERROR(__xludf.DUMMYFUNCTION("GOOGLETRANSLATE(English!C4790, ""en"", ""bg"")"),"средата")</f>
        <v>средата</v>
      </c>
      <c r="D4790" s="1" t="str">
        <f ca="1">IFERROR(__xludf.DUMMYFUNCTION("GOOGLETRANSLATE(English!D4790, ""en"", ""bg"")"),"химични промени")</f>
        <v>химични промени</v>
      </c>
      <c r="E4790" s="1" t="str">
        <f ca="1">IFERROR(__xludf.DUMMYFUNCTION("GOOGLETRANSLATE(English!E4790, ""en"", ""bg"")"),"Не разбирам тази тема. Какво представляват химичните промени?")</f>
        <v>Не разбирам тази тема. Какво представляват химичните промени?</v>
      </c>
      <c r="F4790" s="1" t="str">
        <f ca="1">IFERROR(__xludf.DUMMYFUNCTION("GOOGLETRANSLATE(English!F4790, ""en"", ""bg"")"),"Химичните промени са свързани с взаимодействията между различните видове материя и енергия.")</f>
        <v>Химичните промени са свързани с взаимодействията между различните видове материя и енергия.</v>
      </c>
      <c r="G4790" s="1" t="str">
        <f ca="1">IFERROR(__xludf.DUMMYFUNCTION("GOOGLETRANSLATE(English!G4790, ""en"", ""bg"")"),"разговор")</f>
        <v>разговор</v>
      </c>
      <c r="H4790" s="1" t="str">
        <f ca="1">IFERROR(__xludf.DUMMYFUNCTION("GOOGLETRANSLATE(English!H4790, ""en"", ""bg"")"),"образователна_помощ")</f>
        <v>образователна_помощ</v>
      </c>
    </row>
    <row r="4791" spans="1:8" ht="13.2" x14ac:dyDescent="0.25">
      <c r="A4791" s="1" t="str">
        <f ca="1">IFERROR(__xludf.DUMMYFUNCTION("GOOGLETRANSLATE(English!A4791, ""en"", ""bg"")"),"qa_04725")</f>
        <v>qa_04725</v>
      </c>
      <c r="B4791" s="1" t="str">
        <f ca="1">IFERROR(__xludf.DUMMYFUNCTION("GOOGLETRANSLATE(English!B4791, ""en"", ""bg"")"),"химия")</f>
        <v>химия</v>
      </c>
      <c r="C4791" s="1" t="str">
        <f ca="1">IFERROR(__xludf.DUMMYFUNCTION("GOOGLETRANSLATE(English!C4791, ""en"", ""bg"")"),"високо")</f>
        <v>високо</v>
      </c>
      <c r="D4791" s="1" t="str">
        <f ca="1">IFERROR(__xludf.DUMMYFUNCTION("GOOGLETRANSLATE(English!D4791, ""en"", ""bg"")"),"равновесие")</f>
        <v>равновесие</v>
      </c>
      <c r="E4791" s="1" t="str">
        <f ca="1">IFERROR(__xludf.DUMMYFUNCTION("GOOGLETRANSLATE(English!E4791, ""en"", ""bg"")"),"Можете ли да ми помогнете да разбера какво е равновесие?")</f>
        <v>Можете ли да ми помогнете да разбера какво е равновесие?</v>
      </c>
      <c r="F4791" s="1" t="str">
        <f ca="1">IFERROR(__xludf.DUMMYFUNCTION("GOOGLETRANSLATE(English!F4791, ""en"", ""bg"")"),"Равновесието е важна химическа концепция, която ни помага да разберем как се държи и променя материята!")</f>
        <v>Равновесието е важна химическа концепция, която ни помага да разберем как се държи и променя материята!</v>
      </c>
      <c r="G4791" s="1" t="str">
        <f ca="1">IFERROR(__xludf.DUMMYFUNCTION("GOOGLETRANSLATE(English!G4791, ""en"", ""bg"")"),"direct_qa")</f>
        <v>direct_qa</v>
      </c>
      <c r="H4791" s="1" t="str">
        <f ca="1">IFERROR(__xludf.DUMMYFUNCTION("GOOGLETRANSLATE(English!H4791, ""en"", ""bg"")"),"заявка_за_знание")</f>
        <v>заявка_за_знание</v>
      </c>
    </row>
    <row r="4792" spans="1:8" ht="13.2" x14ac:dyDescent="0.25">
      <c r="A4792" s="1" t="str">
        <f ca="1">IFERROR(__xludf.DUMMYFUNCTION("GOOGLETRANSLATE(English!A4792, ""en"", ""bg"")"),"conv_10025")</f>
        <v>conv_10025</v>
      </c>
      <c r="B4792" s="1" t="str">
        <f ca="1">IFERROR(__xludf.DUMMYFUNCTION("GOOGLETRANSLATE(English!B4792, ""en"", ""bg"")"),"химия")</f>
        <v>химия</v>
      </c>
      <c r="C4792" s="1" t="str">
        <f ca="1">IFERROR(__xludf.DUMMYFUNCTION("GOOGLETRANSLATE(English!C4792, ""en"", ""bg"")"),"средата")</f>
        <v>средата</v>
      </c>
      <c r="D4792" s="1" t="str">
        <f ca="1">IFERROR(__xludf.DUMMYFUNCTION("GOOGLETRANSLATE(English!D4792, ""en"", ""bg"")"),"химични реакции")</f>
        <v>химични реакции</v>
      </c>
      <c r="E4792" s="1" t="str">
        <f ca="1">IFERROR(__xludf.DUMMYFUNCTION("GOOGLETRANSLATE(English!E4792, ""en"", ""bg"")"),"Имам научен въпрос. Какво е химична реакция?")</f>
        <v>Имам научен въпрос. Какво е химична реакция?</v>
      </c>
      <c r="F4792" s="1" t="str">
        <f ca="1">IFERROR(__xludf.DUMMYFUNCTION("GOOGLETRANSLATE(English!F4792,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4792" s="1" t="str">
        <f ca="1">IFERROR(__xludf.DUMMYFUNCTION("GOOGLETRANSLATE(English!G4792, ""en"", ""bg"")"),"разговор")</f>
        <v>разговор</v>
      </c>
      <c r="H4792" s="1" t="str">
        <f ca="1">IFERROR(__xludf.DUMMYFUNCTION("GOOGLETRANSLATE(English!H4792, ""en"", ""bg"")"),"образователна_помощ")</f>
        <v>образователна_помощ</v>
      </c>
    </row>
    <row r="4793" spans="1:8" ht="13.2" x14ac:dyDescent="0.25">
      <c r="A4793" s="1" t="str">
        <f ca="1">IFERROR(__xludf.DUMMYFUNCTION("GOOGLETRANSLATE(English!A4793, ""en"", ""bg"")"),"conv_04416")</f>
        <v>conv_04416</v>
      </c>
      <c r="B4793" s="1" t="str">
        <f ca="1">IFERROR(__xludf.DUMMYFUNCTION("GOOGLETRANSLATE(English!B4793, ""en"", ""bg"")"),"биология")</f>
        <v>биология</v>
      </c>
      <c r="C4793" s="1" t="str">
        <f ca="1">IFERROR(__xludf.DUMMYFUNCTION("GOOGLETRANSLATE(English!C4793, ""en"", ""bg"")"),"високо")</f>
        <v>високо</v>
      </c>
      <c r="D4793" s="1" t="str">
        <f ca="1">IFERROR(__xludf.DUMMYFUNCTION("GOOGLETRANSLATE(English!D4793, ""en"", ""bg"")"),"Структура на ДНК")</f>
        <v>Структура на ДНК</v>
      </c>
      <c r="E4793" s="1" t="str">
        <f ca="1">IFERROR(__xludf.DUMMYFUNCTION("GOOGLETRANSLATE(English!E4793, ""en"", ""bg"")"),"Помогнете ми да уча за теста си. Какво е важно да знаем за структурата на ДНК?")</f>
        <v>Помогнете ми да уча за теста си. Какво е важно да знаем за структурата на ДНК?</v>
      </c>
      <c r="F4793" s="1" t="str">
        <f ca="1">IFERROR(__xludf.DUMMYFUNCTION("GOOGLETRANSLATE(English!F4793,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4793" s="1" t="str">
        <f ca="1">IFERROR(__xludf.DUMMYFUNCTION("GOOGLETRANSLATE(English!G4793, ""en"", ""bg"")"),"разговор")</f>
        <v>разговор</v>
      </c>
      <c r="H4793" s="1" t="str">
        <f ca="1">IFERROR(__xludf.DUMMYFUNCTION("GOOGLETRANSLATE(English!H4793, ""en"", ""bg"")"),"образователна_помощ")</f>
        <v>образователна_помощ</v>
      </c>
    </row>
    <row r="4794" spans="1:8" ht="13.2" x14ac:dyDescent="0.25">
      <c r="A4794" s="1" t="str">
        <f ca="1">IFERROR(__xludf.DUMMYFUNCTION("GOOGLETRANSLATE(English!A4794, ""en"", ""bg"")"),"qa_10765")</f>
        <v>qa_10765</v>
      </c>
      <c r="B4794" s="1" t="str">
        <f ca="1">IFERROR(__xludf.DUMMYFUNCTION("GOOGLETRANSLATE(English!B4794, ""en"", ""bg"")"),"химия")</f>
        <v>химия</v>
      </c>
      <c r="C4794" s="1" t="str">
        <f ca="1">IFERROR(__xludf.DUMMYFUNCTION("GOOGLETRANSLATE(English!C4794, ""en"", ""bg"")"),"високо")</f>
        <v>високо</v>
      </c>
      <c r="D4794" s="1" t="str">
        <f ca="1">IFERROR(__xludf.DUMMYFUNCTION("GOOGLETRANSLATE(English!D4794, ""en"", ""bg"")"),"електрохимия")</f>
        <v>електрохимия</v>
      </c>
      <c r="E4794" s="1" t="str">
        <f ca="1">IFERROR(__xludf.DUMMYFUNCTION("GOOGLETRANSLATE(English!E4794, ""en"", ""bg"")"),"Какво представлява електрохимията?")</f>
        <v>Какво представлява електрохимията?</v>
      </c>
      <c r="F4794" s="1" t="str">
        <f ca="1">IFERROR(__xludf.DUMMYFUNCTION("GOOGLETRANSLATE(English!F4794,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4794" s="1" t="str">
        <f ca="1">IFERROR(__xludf.DUMMYFUNCTION("GOOGLETRANSLATE(English!G4794, ""en"", ""bg"")"),"direct_qa")</f>
        <v>direct_qa</v>
      </c>
      <c r="H4794" s="1" t="str">
        <f ca="1">IFERROR(__xludf.DUMMYFUNCTION("GOOGLETRANSLATE(English!H4794, ""en"", ""bg"")"),"заявка_за_знание")</f>
        <v>заявка_за_знание</v>
      </c>
    </row>
    <row r="4795" spans="1:8" ht="13.2" x14ac:dyDescent="0.25">
      <c r="A4795" s="1" t="str">
        <f ca="1">IFERROR(__xludf.DUMMYFUNCTION("GOOGLETRANSLATE(English!A4795, ""en"", ""bg"")"),"conv_11570")</f>
        <v>conv_11570</v>
      </c>
      <c r="B4795" s="1" t="str">
        <f ca="1">IFERROR(__xludf.DUMMYFUNCTION("GOOGLETRANSLATE(English!B4795, ""en"", ""bg"")"),"биология")</f>
        <v>биология</v>
      </c>
      <c r="C4795" s="1" t="str">
        <f ca="1">IFERROR(__xludf.DUMMYFUNCTION("GOOGLETRANSLATE(English!C4795, ""en"", ""bg"")"),"елементарен")</f>
        <v>елементарен</v>
      </c>
      <c r="D4795" s="1" t="str">
        <f ca="1">IFERROR(__xludf.DUMMYFUNCTION("GOOGLETRANSLATE(English!D4795, ""en"", ""bg"")"),"хранителни вериги")</f>
        <v>хранителни вериги</v>
      </c>
      <c r="E4795" s="1" t="str">
        <f ca="1">IFERROR(__xludf.DUMMYFUNCTION("GOOGLETRANSLATE(English!E4795, ""en"", ""bg"")"),"Можете ли да ми помогнете? Защо хранителните вериги са важни в биологията?")</f>
        <v>Можете ли да ми помогнете? Защо хранителните вериги са важни в биологията?</v>
      </c>
      <c r="F4795" s="1" t="str">
        <f ca="1">IFERROR(__xludf.DUMMYFUNCTION("GOOGLETRANSLATE(English!F4795, ""en"", ""bg"")"),"Хранителните вериги са важни, защото ни помагат да разберем живота и как живите същества оцеляват.")</f>
        <v>Хранителните вериги са важни, защото ни помагат да разберем живота и как живите същества оцеляват.</v>
      </c>
      <c r="G4795" s="1" t="str">
        <f ca="1">IFERROR(__xludf.DUMMYFUNCTION("GOOGLETRANSLATE(English!G4795, ""en"", ""bg"")"),"разговор")</f>
        <v>разговор</v>
      </c>
      <c r="H4795" s="1" t="str">
        <f ca="1">IFERROR(__xludf.DUMMYFUNCTION("GOOGLETRANSLATE(English!H4795, ""en"", ""bg"")"),"образователна_помощ")</f>
        <v>образователна_помощ</v>
      </c>
    </row>
    <row r="4796" spans="1:8" ht="13.2" x14ac:dyDescent="0.25">
      <c r="A4796" s="1" t="str">
        <f ca="1">IFERROR(__xludf.DUMMYFUNCTION("GOOGLETRANSLATE(English!A4796, ""en"", ""bg"")"),"qa_08320")</f>
        <v>qa_08320</v>
      </c>
      <c r="B4796" s="1" t="str">
        <f ca="1">IFERROR(__xludf.DUMMYFUNCTION("GOOGLETRANSLATE(English!B4796, ""en"", ""bg"")"),"физика")</f>
        <v>физика</v>
      </c>
      <c r="C4796" s="1" t="str">
        <f ca="1">IFERROR(__xludf.DUMMYFUNCTION("GOOGLETRANSLATE(English!C4796, ""en"", ""bg"")"),"елементарен")</f>
        <v>елементарен</v>
      </c>
      <c r="D4796" s="1" t="str">
        <f ca="1">IFERROR(__xludf.DUMMYFUNCTION("GOOGLETRANSLATE(English!D4796, ""en"", ""bg"")"),"магнити")</f>
        <v>магнити</v>
      </c>
      <c r="E4796" s="1" t="str">
        <f ca="1">IFERROR(__xludf.DUMMYFUNCTION("GOOGLETRANSLATE(English!E4796, ""en"", ""bg"")"),"Можете ли да направите магнит по-силен?")</f>
        <v>Можете ли да направите магнит по-силен?</v>
      </c>
      <c r="F4796" s="1" t="str">
        <f ca="1">IFERROR(__xludf.DUMMYFUNCTION("GOOGLETRANSLATE(English!F4796, ""en"", ""bg"")"),"Да! Можете да направите магнита по-силен, като добавите повече магнитен материал или като използвате електричество, за да създадете електромагнит.")</f>
        <v>Да! Можете да направите магнита по-силен, като добавите повече магнитен материал или като използвате електричество, за да създадете електромагнит.</v>
      </c>
      <c r="G4796" s="1" t="str">
        <f ca="1">IFERROR(__xludf.DUMMYFUNCTION("GOOGLETRANSLATE(English!G4796, ""en"", ""bg"")"),"direct_qa")</f>
        <v>direct_qa</v>
      </c>
      <c r="H4796" s="1" t="str">
        <f ca="1">IFERROR(__xludf.DUMMYFUNCTION("GOOGLETRANSLATE(English!H4796, ""en"", ""bg"")"),"заявка_за_знание")</f>
        <v>заявка_за_знание</v>
      </c>
    </row>
    <row r="4797" spans="1:8" ht="13.2" x14ac:dyDescent="0.25">
      <c r="A4797" s="1" t="str">
        <f ca="1">IFERROR(__xludf.DUMMYFUNCTION("GOOGLETRANSLATE(English!A4797, ""en"", ""bg"")"),"qa_10690")</f>
        <v>qa_10690</v>
      </c>
      <c r="B4797" s="1" t="str">
        <f ca="1">IFERROR(__xludf.DUMMYFUNCTION("GOOGLETRANSLATE(English!B4797, ""en"", ""bg"")"),"физика")</f>
        <v>физика</v>
      </c>
      <c r="C4797" s="1" t="str">
        <f ca="1">IFERROR(__xludf.DUMMYFUNCTION("GOOGLETRANSLATE(English!C4797, ""en"", ""bg"")"),"елементарен")</f>
        <v>елементарен</v>
      </c>
      <c r="D4797" s="1" t="str">
        <f ca="1">IFERROR(__xludf.DUMMYFUNCTION("GOOGLETRANSLATE(English!D4797, ""en"", ""bg"")"),"светлина и сянка")</f>
        <v>светлина и сянка</v>
      </c>
      <c r="E4797" s="1" t="str">
        <f ca="1">IFERROR(__xludf.DUMMYFUNCTION("GOOGLETRANSLATE(English!E4797, ""en"", ""bg"")"),"Какво е светлина?")</f>
        <v>Какво е светлина?</v>
      </c>
      <c r="F4797" s="1" t="str">
        <f ca="1">IFERROR(__xludf.DUMMYFUNCTION("GOOGLETRANSLATE(English!F4797, ""en"", ""bg"")"),"Светлината е форма на енергия, която се разпространява много бързо и ни помага да виждаме нещата около нас!")</f>
        <v>Светлината е форма на енергия, която се разпространява много бързо и ни помага да виждаме нещата около нас!</v>
      </c>
      <c r="G4797" s="1" t="str">
        <f ca="1">IFERROR(__xludf.DUMMYFUNCTION("GOOGLETRANSLATE(English!G4797, ""en"", ""bg"")"),"direct_qa")</f>
        <v>direct_qa</v>
      </c>
      <c r="H4797" s="1" t="str">
        <f ca="1">IFERROR(__xludf.DUMMYFUNCTION("GOOGLETRANSLATE(English!H4797, ""en"", ""bg"")"),"заявка_за_знание")</f>
        <v>заявка_за_знание</v>
      </c>
    </row>
    <row r="4798" spans="1:8" ht="13.2" x14ac:dyDescent="0.25">
      <c r="A4798" s="1" t="str">
        <f ca="1">IFERROR(__xludf.DUMMYFUNCTION("GOOGLETRANSLATE(English!A4798, ""en"", ""bg"")"),"hw_10393")</f>
        <v>hw_10393</v>
      </c>
      <c r="B4798" s="1" t="str">
        <f ca="1">IFERROR(__xludf.DUMMYFUNCTION("GOOGLETRANSLATE(English!B4798, ""en"", ""bg"")"),"физика")</f>
        <v>физика</v>
      </c>
      <c r="C4798" s="1" t="str">
        <f ca="1">IFERROR(__xludf.DUMMYFUNCTION("GOOGLETRANSLATE(English!C4798, ""en"", ""bg"")"),"високо")</f>
        <v>високо</v>
      </c>
      <c r="D4798" s="1" t="str">
        <f ca="1">IFERROR(__xludf.DUMMYFUNCTION("GOOGLETRANSLATE(English!D4798, ""en"", ""bg"")"),"електромагнетизъм")</f>
        <v>електромагнетизъм</v>
      </c>
      <c r="E4798" s="1" t="str">
        <f ca="1">IFERROR(__xludf.DUMMYFUNCTION("GOOGLETRANSLATE(English!E4798, ""en"", ""bg"")"),"Домашното ми по физика е за електромагнетизъм. Объркващо е!")</f>
        <v>Домашното ми по физика е за електромагнетизъм. Объркващо е!</v>
      </c>
      <c r="F4798" s="1" t="str">
        <f ca="1">IFERROR(__xludf.DUMMYFUNCTION("GOOGLETRANSLATE(English!F4798, ""en"", ""bg"")"),"Ще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зап"&amp;"очнете?")</f>
        <v>Ще се радвам да ви помогна с електромагнетизма! Нека го разделя на прости стъпки. Първо, нека обясня какво означава електромагнетизъм и защо е важен във физиката. След това можем да разгледаме заедно някои примери. С коя конкретна част бихте искали да започнете?</v>
      </c>
      <c r="G4798" s="1" t="str">
        <f ca="1">IFERROR(__xludf.DUMMYFUNCTION("GOOGLETRANSLATE(English!G4798, ""en"", ""bg"")"),"помощ_за_домашно_изпълнение")</f>
        <v>помощ_за_домашно_изпълнение</v>
      </c>
      <c r="H4798" s="1" t="str">
        <f ca="1">IFERROR(__xludf.DUMMYFUNCTION("GOOGLETRANSLATE(English!H4798, ""en"", ""bg"")"),"помощ_за_домашно_задаване")</f>
        <v>помощ_за_домашно_задаване</v>
      </c>
    </row>
    <row r="4799" spans="1:8" ht="13.2" x14ac:dyDescent="0.25">
      <c r="A4799" s="1" t="str">
        <f ca="1">IFERROR(__xludf.DUMMYFUNCTION("GOOGLETRANSLATE(English!A4799, ""en"", ""bg"")"),"conv_04045")</f>
        <v>conv_04045</v>
      </c>
      <c r="B4799" s="1" t="str">
        <f ca="1">IFERROR(__xludf.DUMMYFUNCTION("GOOGLETRANSLATE(English!B4799, ""en"", ""bg"")"),"биология")</f>
        <v>биология</v>
      </c>
      <c r="C4799" s="1" t="str">
        <f ca="1">IFERROR(__xludf.DUMMYFUNCTION("GOOGLETRANSLATE(English!C4799, ""en"", ""bg"")"),"средата")</f>
        <v>средата</v>
      </c>
      <c r="D4799" s="1" t="str">
        <f ca="1">IFERROR(__xludf.DUMMYFUNCTION("GOOGLETRANSLATE(English!D4799, ""en"", ""bg"")"),"дишане")</f>
        <v>дишане</v>
      </c>
      <c r="E4799" s="1" t="str">
        <f ca="1">IFERROR(__xludf.DUMMYFUNCTION("GOOGLETRANSLATE(English!E4799, ""en"", ""bg"")"),"Помогни ми да уча за теста. Можеш ли да ми кажеш нещо за дишането?")</f>
        <v>Помогни ми да уча за теста. Можеш ли да ми кажеш нещо за дишането?</v>
      </c>
      <c r="F4799" s="1" t="str">
        <f ca="1">IFERROR(__xludf.DUMMYFUNCTION("GOOGLETRANSLATE(English!F4799,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4799" s="1" t="str">
        <f ca="1">IFERROR(__xludf.DUMMYFUNCTION("GOOGLETRANSLATE(English!G4799, ""en"", ""bg"")"),"разговор")</f>
        <v>разговор</v>
      </c>
      <c r="H4799" s="1" t="str">
        <f ca="1">IFERROR(__xludf.DUMMYFUNCTION("GOOGLETRANSLATE(English!H4799, ""en"", ""bg"")"),"образователна_помощ")</f>
        <v>образователна_помощ</v>
      </c>
    </row>
    <row r="4800" spans="1:8" ht="13.2" x14ac:dyDescent="0.25">
      <c r="A4800" s="1" t="str">
        <f ca="1">IFERROR(__xludf.DUMMYFUNCTION("GOOGLETRANSLATE(English!A4800, ""en"", ""bg"")"),"conv_18037")</f>
        <v>conv_18037</v>
      </c>
      <c r="B4800" s="1" t="str">
        <f ca="1">IFERROR(__xludf.DUMMYFUNCTION("GOOGLETRANSLATE(English!B4800, ""en"", ""bg"")"),"химия")</f>
        <v>химия</v>
      </c>
      <c r="C4800" s="1" t="str">
        <f ca="1">IFERROR(__xludf.DUMMYFUNCTION("GOOGLETRANSLATE(English!C4800, ""en"", ""bg"")"),"средата")</f>
        <v>средата</v>
      </c>
      <c r="D4800" s="1" t="str">
        <f ca="1">IFERROR(__xludf.DUMMYFUNCTION("GOOGLETRANSLATE(English!D4800, ""en"", ""bg"")"),"киселини и основи")</f>
        <v>киселини и основи</v>
      </c>
      <c r="E4800" s="1" t="str">
        <f ca="1">IFERROR(__xludf.DUMMYFUNCTION("GOOGLETRANSLATE(English!E4800, ""en"", ""bg"")"),"Здравей, преподавателю! Можеш ли да ми помогнеш да разбера киселините и основите?")</f>
        <v>Здравей, преподавателю! Можеш ли да ми помогнеш да разбера киселините и основите?</v>
      </c>
      <c r="F4800" s="1" t="str">
        <f ca="1">IFERROR(__xludf.DUMMYFUNCTION("GOOGLETRANSLATE(English!F4800, ""en"", ""bg"")"),"Киселините и основите са важна химическа концепция, която ни помага да разберем как се държи и променя материята!")</f>
        <v>Киселините и основите са важна химическа концепция, която ни помага да разберем как се държи и променя материята!</v>
      </c>
      <c r="G4800" s="1" t="str">
        <f ca="1">IFERROR(__xludf.DUMMYFUNCTION("GOOGLETRANSLATE(English!G4800, ""en"", ""bg"")"),"разговор")</f>
        <v>разговор</v>
      </c>
      <c r="H4800" s="1" t="str">
        <f ca="1">IFERROR(__xludf.DUMMYFUNCTION("GOOGLETRANSLATE(English!H4800, ""en"", ""bg"")"),"образователна_помощ")</f>
        <v>образователна_помощ</v>
      </c>
    </row>
    <row r="4801" spans="1:8" ht="13.2" x14ac:dyDescent="0.25">
      <c r="A4801" s="1" t="str">
        <f ca="1">IFERROR(__xludf.DUMMYFUNCTION("GOOGLETRANSLATE(English!A4801, ""en"", ""bg"")"),"conv_03915")</f>
        <v>conv_03915</v>
      </c>
      <c r="B4801" s="1" t="str">
        <f ca="1">IFERROR(__xludf.DUMMYFUNCTION("GOOGLETRANSLATE(English!B4801, ""en"", ""bg"")"),"физика")</f>
        <v>физика</v>
      </c>
      <c r="C4801" s="1" t="str">
        <f ca="1">IFERROR(__xludf.DUMMYFUNCTION("GOOGLETRANSLATE(English!C4801, ""en"", ""bg"")"),"елементарен")</f>
        <v>елементарен</v>
      </c>
      <c r="D4801" s="1" t="str">
        <f ca="1">IFERROR(__xludf.DUMMYFUNCTION("GOOGLETRANSLATE(English!D4801, ""en"", ""bg"")"),"бутане и дърпане")</f>
        <v>бутане и дърпане</v>
      </c>
      <c r="E4801" s="1" t="str">
        <f ca="1">IFERROR(__xludf.DUMMYFUNCTION("GOOGLETRANSLATE(English!E4801, ""en"", ""bg"")"),"Имам нужда от помощ с домашното. Защо бутането и дърпането са важни?")</f>
        <v>Имам нужда от помощ с домашното. Защо бутането и дърпането са важни?</v>
      </c>
      <c r="F4801" s="1" t="str">
        <f ca="1">IFERROR(__xludf.DUMMYFUNCTION("GOOGLETRANSLATE(English!F4801, ""en"", ""bg"")"),"Бутането и дърпането е важно, защото ни помага да разберем физическия свят около нас.")</f>
        <v>Бутането и дърпането е важно, защото ни помага да разберем физическия свят около нас.</v>
      </c>
      <c r="G4801" s="1" t="str">
        <f ca="1">IFERROR(__xludf.DUMMYFUNCTION("GOOGLETRANSLATE(English!G4801, ""en"", ""bg"")"),"разговор")</f>
        <v>разговор</v>
      </c>
      <c r="H4801" s="1" t="str">
        <f ca="1">IFERROR(__xludf.DUMMYFUNCTION("GOOGLETRANSLATE(English!H4801, ""en"", ""bg"")"),"образователна_помощ")</f>
        <v>образователна_помощ</v>
      </c>
    </row>
    <row r="4802" spans="1:8" ht="13.2" x14ac:dyDescent="0.25">
      <c r="A4802" s="1" t="str">
        <f ca="1">IFERROR(__xludf.DUMMYFUNCTION("GOOGLETRANSLATE(English!A4802, ""en"", ""bg"")"),"qa_14468")</f>
        <v>qa_14468</v>
      </c>
      <c r="B4802" s="1" t="str">
        <f ca="1">IFERROR(__xludf.DUMMYFUNCTION("GOOGLETRANSLATE(English!B4802, ""en"", ""bg"")"),"биология")</f>
        <v>биология</v>
      </c>
      <c r="C4802" s="1" t="str">
        <f ca="1">IFERROR(__xludf.DUMMYFUNCTION("GOOGLETRANSLATE(English!C4802, ""en"", ""bg"")"),"елементарен")</f>
        <v>елементарен</v>
      </c>
      <c r="D4802" s="1" t="str">
        <f ca="1">IFERROR(__xludf.DUMMYFUNCTION("GOOGLETRANSLATE(English!D4802, ""en"", ""bg"")"),"сетива")</f>
        <v>сетива</v>
      </c>
      <c r="E4802" s="1" t="str">
        <f ca="1">IFERROR(__xludf.DUMMYFUNCTION("GOOGLETRANSLATE(English!E4802, ""en"", ""bg"")"),"Какво е важно да знаем за сетивата?")</f>
        <v>Какво е важно да знаем за сетивата?</v>
      </c>
      <c r="F4802" s="1" t="str">
        <f ca="1">IFERROR(__xludf.DUMMYFUNCTION("GOOGLETRANSLATE(English!F4802,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4802" s="1" t="str">
        <f ca="1">IFERROR(__xludf.DUMMYFUNCTION("GOOGLETRANSLATE(English!G4802, ""en"", ""bg"")"),"direct_qa")</f>
        <v>direct_qa</v>
      </c>
      <c r="H4802" s="1" t="str">
        <f ca="1">IFERROR(__xludf.DUMMYFUNCTION("GOOGLETRANSLATE(English!H4802, ""en"", ""bg"")"),"заявка_за_знание")</f>
        <v>заявка_за_знание</v>
      </c>
    </row>
    <row r="4803" spans="1:8" ht="13.2" x14ac:dyDescent="0.25">
      <c r="A4803" s="1" t="str">
        <f ca="1">IFERROR(__xludf.DUMMYFUNCTION("GOOGLETRANSLATE(English!A4803, ""en"", ""bg"")"),"hw_00159")</f>
        <v>hw_00159</v>
      </c>
      <c r="B4803" s="1" t="str">
        <f ca="1">IFERROR(__xludf.DUMMYFUNCTION("GOOGLETRANSLATE(English!B4803, ""en"", ""bg"")"),"физика")</f>
        <v>физика</v>
      </c>
      <c r="C4803" s="1" t="str">
        <f ca="1">IFERROR(__xludf.DUMMYFUNCTION("GOOGLETRANSLATE(English!C4803, ""en"", ""bg"")"),"високо")</f>
        <v>високо</v>
      </c>
      <c r="D4803" s="1" t="str">
        <f ca="1">IFERROR(__xludf.DUMMYFUNCTION("GOOGLETRANSLATE(English!D4803, ""en"", ""bg"")"),"радиоактивност")</f>
        <v>радиоактивност</v>
      </c>
      <c r="E4803" s="1" t="str">
        <f ca="1">IFERROR(__xludf.DUMMYFUNCTION("GOOGLETRANSLATE(English!E4803, ""en"", ""bg"")"),"Можете ли да решите този въпрос за радиоактивността с мен?")</f>
        <v>Можете ли да решите този въпрос за радиоактивността с мен?</v>
      </c>
      <c r="F4803" s="1" t="str">
        <f ca="1">IFERROR(__xludf.DUMMYFUNCTION("GOOGLETRANSLATE(English!F4803, ""en"", ""bg"")"),"Ще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започ"&amp;"нете?")</f>
        <v>Ще се радвам да ви помогна с радиоактивността! Нека разделя това на прости стъпки. Първо, нека обясня какво означава радиоактивност и защо е важна във физиката. След това можем да разгледаме заедно някои примери. С коя конкретна част бихте искали да започнете?</v>
      </c>
      <c r="G4803" s="1" t="str">
        <f ca="1">IFERROR(__xludf.DUMMYFUNCTION("GOOGLETRANSLATE(English!G4803, ""en"", ""bg"")"),"помощ_за_домашно_изпълнение")</f>
        <v>помощ_за_домашно_изпълнение</v>
      </c>
      <c r="H4803" s="1" t="str">
        <f ca="1">IFERROR(__xludf.DUMMYFUNCTION("GOOGLETRANSLATE(English!H4803, ""en"", ""bg"")"),"помощ_за_домашно_задаване")</f>
        <v>помощ_за_домашно_задаване</v>
      </c>
    </row>
    <row r="4804" spans="1:8" ht="13.2" x14ac:dyDescent="0.25">
      <c r="A4804" s="1" t="str">
        <f ca="1">IFERROR(__xludf.DUMMYFUNCTION("GOOGLETRANSLATE(English!A4804, ""en"", ""bg"")"),"conv_02247")</f>
        <v>conv_02247</v>
      </c>
      <c r="B4804" s="1" t="str">
        <f ca="1">IFERROR(__xludf.DUMMYFUNCTION("GOOGLETRANSLATE(English!B4804, ""en"", ""bg"")"),"химия")</f>
        <v>химия</v>
      </c>
      <c r="C4804" s="1" t="str">
        <f ca="1">IFERROR(__xludf.DUMMYFUNCTION("GOOGLETRANSLATE(English!C4804, ""en"", ""bg"")"),"високо")</f>
        <v>високо</v>
      </c>
      <c r="D4804" s="1" t="str">
        <f ca="1">IFERROR(__xludf.DUMMYFUNCTION("GOOGLETRANSLATE(English!D4804, ""en"", ""bg"")"),"скорости на реакция")</f>
        <v>скорости на реакция</v>
      </c>
      <c r="E4804" s="1" t="str">
        <f ca="1">IFERROR(__xludf.DUMMYFUNCTION("GOOGLETRANSLATE(English!E4804, ""en"", ""bg"")"),"Имам научен въпрос. Можете ли да ми помогнете да разбера скоростите на реакциите?")</f>
        <v>Имам научен въпрос. Можете ли да ми помогнете да разбера скоростите на реакциите?</v>
      </c>
      <c r="F4804" s="1" t="str">
        <f ca="1">IFERROR(__xludf.DUMMYFUNCTION("GOOGLETRANSLATE(English!F4804,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804" s="1" t="str">
        <f ca="1">IFERROR(__xludf.DUMMYFUNCTION("GOOGLETRANSLATE(English!G4804, ""en"", ""bg"")"),"разговор")</f>
        <v>разговор</v>
      </c>
      <c r="H4804" s="1" t="str">
        <f ca="1">IFERROR(__xludf.DUMMYFUNCTION("GOOGLETRANSLATE(English!H4804, ""en"", ""bg"")"),"образователна_помощ")</f>
        <v>образователна_помощ</v>
      </c>
    </row>
    <row r="4805" spans="1:8" ht="13.2" x14ac:dyDescent="0.25">
      <c r="A4805" s="1" t="str">
        <f ca="1">IFERROR(__xludf.DUMMYFUNCTION("GOOGLETRANSLATE(English!A4805, ""en"", ""bg"")"),"hw_08028")</f>
        <v>hw_08028</v>
      </c>
      <c r="B4805" s="1" t="str">
        <f ca="1">IFERROR(__xludf.DUMMYFUNCTION("GOOGLETRANSLATE(English!B4805, ""en"", ""bg"")"),"химия")</f>
        <v>химия</v>
      </c>
      <c r="C4805" s="1" t="str">
        <f ca="1">IFERROR(__xludf.DUMMYFUNCTION("GOOGLETRANSLATE(English!C4805, ""en"", ""bg"")"),"елементарен")</f>
        <v>елементарен</v>
      </c>
      <c r="D4805" s="1" t="str">
        <f ca="1">IFERROR(__xludf.DUMMYFUNCTION("GOOGLETRANSLATE(English!D4805, ""en"", ""bg"")"),"ежедневни химикали")</f>
        <v>ежедневни химикали</v>
      </c>
      <c r="E4805" s="1" t="str">
        <f ca="1">IFERROR(__xludf.DUMMYFUNCTION("GOOGLETRANSLATE(English!E4805, ""en"", ""bg"")"),"Трудя се с ежедневните химикали в домашните си.")</f>
        <v>Трудя се с ежедневните химикали в домашните си.</v>
      </c>
      <c r="F4805" s="1" t="str">
        <f ca="1">IFERROR(__xludf.DUMMYFUNCTION("GOOGLETRANSLATE(English!F4805, ""en"", ""bg"")"),"Ще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д"&amp;"а започнете?")</f>
        <v>Ще се радвам да ви помогна с ежедневните химикали! Нека разделя това на прости стъпки. Първо, нека обясня какво означава „ежедневни химикали“ и защо е важно в химията. След това можем да разгледаме заедно някои примери. С коя конкретна част бихте искали да започнете?</v>
      </c>
      <c r="G4805" s="1" t="str">
        <f ca="1">IFERROR(__xludf.DUMMYFUNCTION("GOOGLETRANSLATE(English!G4805, ""en"", ""bg"")"),"помощ_за_домашно_изпълнение")</f>
        <v>помощ_за_домашно_изпълнение</v>
      </c>
      <c r="H4805" s="1" t="str">
        <f ca="1">IFERROR(__xludf.DUMMYFUNCTION("GOOGLETRANSLATE(English!H4805, ""en"", ""bg"")"),"помощ_за_домашно_задаване")</f>
        <v>помощ_за_домашно_задаване</v>
      </c>
    </row>
    <row r="4806" spans="1:8" ht="13.2" x14ac:dyDescent="0.25">
      <c r="A4806" s="1" t="str">
        <f ca="1">IFERROR(__xludf.DUMMYFUNCTION("GOOGLETRANSLATE(English!A4806, ""en"", ""bg"")"),"hw_13909")</f>
        <v>hw_13909</v>
      </c>
      <c r="B4806" s="1" t="str">
        <f ca="1">IFERROR(__xludf.DUMMYFUNCTION("GOOGLETRANSLATE(English!B4806, ""en"", ""bg"")"),"физика")</f>
        <v>физика</v>
      </c>
      <c r="C4806" s="1" t="str">
        <f ca="1">IFERROR(__xludf.DUMMYFUNCTION("GOOGLETRANSLATE(English!C4806, ""en"", ""bg"")"),"средата")</f>
        <v>средата</v>
      </c>
      <c r="D4806" s="1" t="str">
        <f ca="1">IFERROR(__xludf.DUMMYFUNCTION("GOOGLETRANSLATE(English!D4806, ""en"", ""bg"")"),"видове енергия")</f>
        <v>видове енергия</v>
      </c>
      <c r="E4806" s="1" t="str">
        <f ca="1">IFERROR(__xludf.DUMMYFUNCTION("GOOGLETRANSLATE(English!E4806, ""en"", ""bg"")"),"Трябва да разбера видовете енергия за изпита си.")</f>
        <v>Трябва да разбера видовете енергия за изпита си.</v>
      </c>
      <c r="F4806" s="1" t="str">
        <f ca="1">IFERROR(__xludf.DUMMYFUNCTION("GOOGLETRANSLATE(English!F4806,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4806" s="1" t="str">
        <f ca="1">IFERROR(__xludf.DUMMYFUNCTION("GOOGLETRANSLATE(English!G4806, ""en"", ""bg"")"),"помощ_за_домашно_изпълнение")</f>
        <v>помощ_за_домашно_изпълнение</v>
      </c>
      <c r="H4806" s="1" t="str">
        <f ca="1">IFERROR(__xludf.DUMMYFUNCTION("GOOGLETRANSLATE(English!H4806, ""en"", ""bg"")"),"помощ_за_домашно_задаване")</f>
        <v>помощ_за_домашно_задаване</v>
      </c>
    </row>
    <row r="4807" spans="1:8" ht="13.2" x14ac:dyDescent="0.25">
      <c r="A4807" s="1" t="str">
        <f ca="1">IFERROR(__xludf.DUMMYFUNCTION("GOOGLETRANSLATE(English!A4807, ""en"", ""bg"")"),"conv_01149")</f>
        <v>conv_01149</v>
      </c>
      <c r="B4807" s="1" t="str">
        <f ca="1">IFERROR(__xludf.DUMMYFUNCTION("GOOGLETRANSLATE(English!B4807, ""en"", ""bg"")"),"биология")</f>
        <v>биология</v>
      </c>
      <c r="C4807" s="1" t="str">
        <f ca="1">IFERROR(__xludf.DUMMYFUNCTION("GOOGLETRANSLATE(English!C4807, ""en"", ""bg"")"),"средата")</f>
        <v>средата</v>
      </c>
      <c r="D4807" s="1" t="str">
        <f ca="1">IFERROR(__xludf.DUMMYFUNCTION("GOOGLETRANSLATE(English!D4807, ""en"", ""bg"")"),"клетки")</f>
        <v>клетки</v>
      </c>
      <c r="E4807" s="1" t="str">
        <f ca="1">IFERROR(__xludf.DUMMYFUNCTION("GOOGLETRANSLATE(English!E4807, ""en"", ""bg"")"),"Можете ли да ми обясните това? Кои са основните части на клетката?")</f>
        <v>Можете ли да ми обясните това? Кои са основните части на клетката?</v>
      </c>
      <c r="F4807" s="1" t="str">
        <f ca="1">IFERROR(__xludf.DUMMYFUNCTION("GOOGLETRANSLATE(English!F4807,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4807" s="1" t="str">
        <f ca="1">IFERROR(__xludf.DUMMYFUNCTION("GOOGLETRANSLATE(English!G4807, ""en"", ""bg"")"),"разговор")</f>
        <v>разговор</v>
      </c>
      <c r="H4807" s="1" t="str">
        <f ca="1">IFERROR(__xludf.DUMMYFUNCTION("GOOGLETRANSLATE(English!H4807, ""en"", ""bg"")"),"образователна_помощ")</f>
        <v>образователна_помощ</v>
      </c>
    </row>
    <row r="4808" spans="1:8" ht="13.2" x14ac:dyDescent="0.25">
      <c r="A4808" s="1" t="str">
        <f ca="1">IFERROR(__xludf.DUMMYFUNCTION("GOOGLETRANSLATE(English!A4808, ""en"", ""bg"")"),"hw_04682")</f>
        <v>hw_04682</v>
      </c>
      <c r="B4808" s="1" t="str">
        <f ca="1">IFERROR(__xludf.DUMMYFUNCTION("GOOGLETRANSLATE(English!B4808, ""en"", ""bg"")"),"химия")</f>
        <v>химия</v>
      </c>
      <c r="C4808" s="1" t="str">
        <f ca="1">IFERROR(__xludf.DUMMYFUNCTION("GOOGLETRANSLATE(English!C4808, ""en"", ""bg"")"),"средата")</f>
        <v>средата</v>
      </c>
      <c r="D4808" s="1" t="str">
        <f ca="1">IFERROR(__xludf.DUMMYFUNCTION("GOOGLETRANSLATE(English!D4808, ""en"", ""bg"")"),"химични промени")</f>
        <v>химични промени</v>
      </c>
      <c r="E4808" s="1" t="str">
        <f ca="1">IFERROR(__xludf.DUMMYFUNCTION("GOOGLETRANSLATE(English!E4808, ""en"", ""bg"")"),"Моят доклад по химия е за химични промени. Помогнете ми да разбера.")</f>
        <v>Моят доклад по химия е за химични промени. Помогнете ми да разбера.</v>
      </c>
      <c r="F4808" s="1" t="str">
        <f ca="1">IFERROR(__xludf.DUMMYFUNCTION("GOOGLETRANSLATE(English!F4808,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808" s="1" t="str">
        <f ca="1">IFERROR(__xludf.DUMMYFUNCTION("GOOGLETRANSLATE(English!G4808, ""en"", ""bg"")"),"помощ_за_домашно_изпълнение")</f>
        <v>помощ_за_домашно_изпълнение</v>
      </c>
      <c r="H4808" s="1" t="str">
        <f ca="1">IFERROR(__xludf.DUMMYFUNCTION("GOOGLETRANSLATE(English!H4808, ""en"", ""bg"")"),"помощ_за_домашно_задаване")</f>
        <v>помощ_за_домашно_задаване</v>
      </c>
    </row>
    <row r="4809" spans="1:8" ht="13.2" x14ac:dyDescent="0.25">
      <c r="A4809" s="1" t="str">
        <f ca="1">IFERROR(__xludf.DUMMYFUNCTION("GOOGLETRANSLATE(English!A4809, ""en"", ""bg"")"),"hw_03490")</f>
        <v>hw_03490</v>
      </c>
      <c r="B4809" s="1" t="str">
        <f ca="1">IFERROR(__xludf.DUMMYFUNCTION("GOOGLETRANSLATE(English!B4809, ""en"", ""bg"")"),"химия")</f>
        <v>химия</v>
      </c>
      <c r="C4809" s="1" t="str">
        <f ca="1">IFERROR(__xludf.DUMMYFUNCTION("GOOGLETRANSLATE(English!C4809, ""en"", ""bg"")"),"елементарен")</f>
        <v>елементарен</v>
      </c>
      <c r="D4809" s="1" t="str">
        <f ca="1">IFERROR(__xludf.DUMMYFUNCTION("GOOGLETRANSLATE(English!D4809, ""en"", ""bg"")"),"смесване на материали")</f>
        <v>смесване на материали</v>
      </c>
      <c r="E4809" s="1" t="str">
        <f ca="1">IFERROR(__xludf.DUMMYFUNCTION("GOOGLETRANSLATE(English!E4809, ""en"", ""bg"")"),"Не разбирам тази концепция за смесване на материали. Моля, обяснете!")</f>
        <v>Не разбирам тази концепция за смесване на материали. Моля, обяснете!</v>
      </c>
      <c r="F4809" s="1" t="str">
        <f ca="1">IFERROR(__xludf.DUMMYFUNCTION("GOOGLETRANSLATE(English!F4809, ""en"", ""bg"")"),"Ще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ис"&amp;"кали да започнете?")</f>
        <v>Ще се радвам да ви помогна със смесването на материали! Нека разделя това на прости стъпки. Първо, нека обясня какво означава смесване на материали и защо е важно в химията. След това можем да разгледаме заедно някои примери. С коя конкретна част бихте искали да започнете?</v>
      </c>
      <c r="G4809" s="1" t="str">
        <f ca="1">IFERROR(__xludf.DUMMYFUNCTION("GOOGLETRANSLATE(English!G4809, ""en"", ""bg"")"),"помощ_за_домашно_изпълнение")</f>
        <v>помощ_за_домашно_изпълнение</v>
      </c>
      <c r="H4809" s="1" t="str">
        <f ca="1">IFERROR(__xludf.DUMMYFUNCTION("GOOGLETRANSLATE(English!H4809, ""en"", ""bg"")"),"помощ_за_домашно_задаване")</f>
        <v>помощ_за_домашно_задаване</v>
      </c>
    </row>
    <row r="4810" spans="1:8" ht="13.2" x14ac:dyDescent="0.25">
      <c r="A4810" s="1" t="str">
        <f ca="1">IFERROR(__xludf.DUMMYFUNCTION("GOOGLETRANSLATE(English!A4810, ""en"", ""bg"")"),"qa_05110")</f>
        <v>qa_05110</v>
      </c>
      <c r="B4810" s="1" t="str">
        <f ca="1">IFERROR(__xludf.DUMMYFUNCTION("GOOGLETRANSLATE(English!B4810, ""en"", ""bg"")"),"физика")</f>
        <v>физика</v>
      </c>
      <c r="C4810" s="1" t="str">
        <f ca="1">IFERROR(__xludf.DUMMYFUNCTION("GOOGLETRANSLATE(English!C4810, ""en"", ""bg"")"),"средата")</f>
        <v>средата</v>
      </c>
      <c r="D4810" s="1" t="str">
        <f ca="1">IFERROR(__xludf.DUMMYFUNCTION("GOOGLETRANSLATE(English!D4810, ""en"", ""bg"")"),"видове енергия")</f>
        <v>видове енергия</v>
      </c>
      <c r="E4810" s="1" t="str">
        <f ca="1">IFERROR(__xludf.DUMMYFUNCTION("GOOGLETRANSLATE(English!E4810, ""en"", ""bg"")"),"Какво е кинетична енергия?")</f>
        <v>Какво е кинетична енергия?</v>
      </c>
      <c r="F4810" s="1" t="str">
        <f ca="1">IFERROR(__xludf.DUMMYFUNCTION("GOOGLETRANSLATE(English!F4810,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4810" s="1" t="str">
        <f ca="1">IFERROR(__xludf.DUMMYFUNCTION("GOOGLETRANSLATE(English!G4810, ""en"", ""bg"")"),"direct_qa")</f>
        <v>direct_qa</v>
      </c>
      <c r="H4810" s="1" t="str">
        <f ca="1">IFERROR(__xludf.DUMMYFUNCTION("GOOGLETRANSLATE(English!H4810, ""en"", ""bg"")"),"заявка_за_знание")</f>
        <v>заявка_за_знание</v>
      </c>
    </row>
    <row r="4811" spans="1:8" ht="13.2" x14ac:dyDescent="0.25">
      <c r="A4811" s="1" t="str">
        <f ca="1">IFERROR(__xludf.DUMMYFUNCTION("GOOGLETRANSLATE(English!A4811, ""en"", ""bg"")"),"hw_11851")</f>
        <v>hw_11851</v>
      </c>
      <c r="B4811" s="1" t="str">
        <f ca="1">IFERROR(__xludf.DUMMYFUNCTION("GOOGLETRANSLATE(English!B4811, ""en"", ""bg"")"),"химия")</f>
        <v>химия</v>
      </c>
      <c r="C4811" s="1" t="str">
        <f ca="1">IFERROR(__xludf.DUMMYFUNCTION("GOOGLETRANSLATE(English!C4811, ""en"", ""bg"")"),"средата")</f>
        <v>средата</v>
      </c>
      <c r="D4811" s="1" t="str">
        <f ca="1">IFERROR(__xludf.DUMMYFUNCTION("GOOGLETRANSLATE(English!D4811, ""en"", ""bg"")"),"атоми и молекули")</f>
        <v>атоми и молекули</v>
      </c>
      <c r="E4811" s="1" t="str">
        <f ca="1">IFERROR(__xludf.DUMMYFUNCTION("GOOGLETRANSLATE(English!E4811,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4811" s="1" t="str">
        <f ca="1">IFERROR(__xludf.DUMMYFUNCTION("GOOGLETRANSLATE(English!F4811,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811" s="1" t="str">
        <f ca="1">IFERROR(__xludf.DUMMYFUNCTION("GOOGLETRANSLATE(English!G4811, ""en"", ""bg"")"),"помощ_за_домашно_изпълнение")</f>
        <v>помощ_за_домашно_изпълнение</v>
      </c>
      <c r="H4811" s="1" t="str">
        <f ca="1">IFERROR(__xludf.DUMMYFUNCTION("GOOGLETRANSLATE(English!H4811, ""en"", ""bg"")"),"помощ_за_домашно_задаване")</f>
        <v>помощ_за_домашно_задаване</v>
      </c>
    </row>
    <row r="4812" spans="1:8" ht="13.2" x14ac:dyDescent="0.25">
      <c r="A4812" s="1" t="str">
        <f ca="1">IFERROR(__xludf.DUMMYFUNCTION("GOOGLETRANSLATE(English!A4812, ""en"", ""bg"")"),"hw_02822")</f>
        <v>hw_02822</v>
      </c>
      <c r="B4812" s="1" t="str">
        <f ca="1">IFERROR(__xludf.DUMMYFUNCTION("GOOGLETRANSLATE(English!B4812, ""en"", ""bg"")"),"физика")</f>
        <v>физика</v>
      </c>
      <c r="C4812" s="1" t="str">
        <f ca="1">IFERROR(__xludf.DUMMYFUNCTION("GOOGLETRANSLATE(English!C4812, ""en"", ""bg"")"),"средата")</f>
        <v>средата</v>
      </c>
      <c r="D4812" s="1" t="str">
        <f ca="1">IFERROR(__xludf.DUMMYFUNCTION("GOOGLETRANSLATE(English!D4812, ""en"", ""bg"")"),"прости схеми")</f>
        <v>прости схеми</v>
      </c>
      <c r="E4812" s="1" t="str">
        <f ca="1">IFERROR(__xludf.DUMMYFUNCTION("GOOGLETRANSLATE(English!E4812, ""en"", ""bg"")"),"Можете ли да решите тази проста задача с електрически вериги заедно с мен?")</f>
        <v>Можете ли да решите тази проста задача с електрически вериги заедно с мен?</v>
      </c>
      <c r="F4812" s="1" t="str">
        <f ca="1">IFERROR(__xludf.DUMMYFUNCTION("GOOGLETRANSLATE(English!F4812,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4812" s="1" t="str">
        <f ca="1">IFERROR(__xludf.DUMMYFUNCTION("GOOGLETRANSLATE(English!G4812, ""en"", ""bg"")"),"помощ_за_домашно_изпълнение")</f>
        <v>помощ_за_домашно_изпълнение</v>
      </c>
      <c r="H4812" s="1" t="str">
        <f ca="1">IFERROR(__xludf.DUMMYFUNCTION("GOOGLETRANSLATE(English!H4812, ""en"", ""bg"")"),"помощ_за_домашно_задаване")</f>
        <v>помощ_за_домашно_задаване</v>
      </c>
    </row>
    <row r="4813" spans="1:8" ht="13.2" x14ac:dyDescent="0.25">
      <c r="A4813" s="1" t="str">
        <f ca="1">IFERROR(__xludf.DUMMYFUNCTION("GOOGLETRANSLATE(English!A4813, ""en"", ""bg"")"),"conv_18512")</f>
        <v>conv_18512</v>
      </c>
      <c r="B4813" s="1" t="str">
        <f ca="1">IFERROR(__xludf.DUMMYFUNCTION("GOOGLETRANSLATE(English!B4813, ""en"", ""bg"")"),"биология")</f>
        <v>биология</v>
      </c>
      <c r="C4813" s="1" t="str">
        <f ca="1">IFERROR(__xludf.DUMMYFUNCTION("GOOGLETRANSLATE(English!C4813, ""en"", ""bg"")"),"елементарен")</f>
        <v>елементарен</v>
      </c>
      <c r="D4813" s="1" t="str">
        <f ca="1">IFERROR(__xludf.DUMMYFUNCTION("GOOGLETRANSLATE(English!D4813, ""en"", ""bg"")"),"хранителни вериги")</f>
        <v>хранителни вериги</v>
      </c>
      <c r="E4813" s="1" t="str">
        <f ca="1">IFERROR(__xludf.DUMMYFUNCTION("GOOGLETRANSLATE(English!E4813, ""en"", ""bg"")"),"Можете ли да ми помогнете? Можете ли да ми разкажете за хранителните вериги?")</f>
        <v>Можете ли да ми помогнете? Можете ли да ми разкажете за хранителните вериги?</v>
      </c>
      <c r="F4813" s="1" t="str">
        <f ca="1">IFERROR(__xludf.DUMMYFUNCTION("GOOGLETRANSLATE(English!F4813, ""en"", ""bg"")"),"Хранителните вериги са завладяваща част от биологията! Те ни помагат да разберем как функционират живите същества.")</f>
        <v>Хранителните вериги са завладяваща част от биологията! Те ни помагат да разберем как функционират живите същества.</v>
      </c>
      <c r="G4813" s="1" t="str">
        <f ca="1">IFERROR(__xludf.DUMMYFUNCTION("GOOGLETRANSLATE(English!G4813, ""en"", ""bg"")"),"разговор")</f>
        <v>разговор</v>
      </c>
      <c r="H4813" s="1" t="str">
        <f ca="1">IFERROR(__xludf.DUMMYFUNCTION("GOOGLETRANSLATE(English!H4813, ""en"", ""bg"")"),"образователна_помощ")</f>
        <v>образователна_помощ</v>
      </c>
    </row>
    <row r="4814" spans="1:8" ht="13.2" x14ac:dyDescent="0.25">
      <c r="A4814" s="1" t="str">
        <f ca="1">IFERROR(__xludf.DUMMYFUNCTION("GOOGLETRANSLATE(English!A4814, ""en"", ""bg"")"),"hw_02479")</f>
        <v>hw_02479</v>
      </c>
      <c r="B4814" s="1" t="str">
        <f ca="1">IFERROR(__xludf.DUMMYFUNCTION("GOOGLETRANSLATE(English!B4814, ""en"", ""bg"")"),"химия")</f>
        <v>химия</v>
      </c>
      <c r="C4814" s="1" t="str">
        <f ca="1">IFERROR(__xludf.DUMMYFUNCTION("GOOGLETRANSLATE(English!C4814, ""en"", ""bg"")"),"елементарен")</f>
        <v>елементарен</v>
      </c>
      <c r="D4814" s="1" t="str">
        <f ca="1">IFERROR(__xludf.DUMMYFUNCTION("GOOGLETRANSLATE(English!D4814, ""en"", ""bg"")"),"промени в материалите")</f>
        <v>промени в материалите</v>
      </c>
      <c r="E4814" s="1" t="str">
        <f ca="1">IFERROR(__xludf.DUMMYFUNCTION("GOOGLETRANSLATE(English!E4814,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4814" s="1" t="str">
        <f ca="1">IFERROR(__xludf.DUMMYFUNCTION("GOOGLETRANSLATE(English!F4814,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4814" s="1" t="str">
        <f ca="1">IFERROR(__xludf.DUMMYFUNCTION("GOOGLETRANSLATE(English!G4814, ""en"", ""bg"")"),"помощ_за_домашно_изпълнение")</f>
        <v>помощ_за_домашно_изпълнение</v>
      </c>
      <c r="H4814" s="1" t="str">
        <f ca="1">IFERROR(__xludf.DUMMYFUNCTION("GOOGLETRANSLATE(English!H4814, ""en"", ""bg"")"),"помощ_за_домашно_задаване")</f>
        <v>помощ_за_домашно_задаване</v>
      </c>
    </row>
    <row r="4815" spans="1:8" ht="13.2" x14ac:dyDescent="0.25">
      <c r="A4815" s="1" t="str">
        <f ca="1">IFERROR(__xludf.DUMMYFUNCTION("GOOGLETRANSLATE(English!A4815, ""en"", ""bg"")"),"qa_03738")</f>
        <v>qa_03738</v>
      </c>
      <c r="B4815" s="1" t="str">
        <f ca="1">IFERROR(__xludf.DUMMYFUNCTION("GOOGLETRANSLATE(English!B4815, ""en"", ""bg"")"),"биология")</f>
        <v>биология</v>
      </c>
      <c r="C4815" s="1" t="str">
        <f ca="1">IFERROR(__xludf.DUMMYFUNCTION("GOOGLETRANSLATE(English!C4815, ""en"", ""bg"")"),"средата")</f>
        <v>средата</v>
      </c>
      <c r="D4815" s="1" t="str">
        <f ca="1">IFERROR(__xludf.DUMMYFUNCTION("GOOGLETRANSLATE(English!D4815, ""en"", ""bg"")"),"дишане")</f>
        <v>дишане</v>
      </c>
      <c r="E4815" s="1" t="str">
        <f ca="1">IFERROR(__xludf.DUMMYFUNCTION("GOOGLETRANSLATE(English!E4815, ""en"", ""bg"")"),"Можете ли да ми разкажете за дишането?")</f>
        <v>Можете ли да ми разкажете за дишането?</v>
      </c>
      <c r="F4815" s="1" t="str">
        <f ca="1">IFERROR(__xludf.DUMMYFUNCTION("GOOGLETRANSLATE(English!F4815,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4815" s="1" t="str">
        <f ca="1">IFERROR(__xludf.DUMMYFUNCTION("GOOGLETRANSLATE(English!G4815, ""en"", ""bg"")"),"direct_qa")</f>
        <v>direct_qa</v>
      </c>
      <c r="H4815" s="1" t="str">
        <f ca="1">IFERROR(__xludf.DUMMYFUNCTION("GOOGLETRANSLATE(English!H4815, ""en"", ""bg"")"),"заявка_за_знание")</f>
        <v>заявка_за_знание</v>
      </c>
    </row>
    <row r="4816" spans="1:8" ht="13.2" x14ac:dyDescent="0.25">
      <c r="A4816" s="1" t="str">
        <f ca="1">IFERROR(__xludf.DUMMYFUNCTION("GOOGLETRANSLATE(English!A4816, ""en"", ""bg"")"),"hw_09436")</f>
        <v>hw_09436</v>
      </c>
      <c r="B4816" s="1" t="str">
        <f ca="1">IFERROR(__xludf.DUMMYFUNCTION("GOOGLETRANSLATE(English!B4816, ""en"", ""bg"")"),"химия")</f>
        <v>химия</v>
      </c>
      <c r="C4816" s="1" t="str">
        <f ca="1">IFERROR(__xludf.DUMMYFUNCTION("GOOGLETRANSLATE(English!C4816, ""en"", ""bg"")"),"средата")</f>
        <v>средата</v>
      </c>
      <c r="D4816" s="1" t="str">
        <f ca="1">IFERROR(__xludf.DUMMYFUNCTION("GOOGLETRANSLATE(English!D4816, ""en"", ""bg"")"),"атоми и молекули")</f>
        <v>атоми и молекули</v>
      </c>
      <c r="E4816" s="1" t="str">
        <f ca="1">IFERROR(__xludf.DUMMYFUNCTION("GOOGLETRANSLATE(English!E4816, ""en"", ""bg"")"),"Не разбирам тази концепция за атоми и молекули. Моля, обяснете!")</f>
        <v>Не разбирам тази концепция за атоми и молекули. Моля, обяснете!</v>
      </c>
      <c r="F4816" s="1" t="str">
        <f ca="1">IFERROR(__xludf.DUMMYFUNCTION("GOOGLETRANSLATE(English!F4816,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816" s="1" t="str">
        <f ca="1">IFERROR(__xludf.DUMMYFUNCTION("GOOGLETRANSLATE(English!G4816, ""en"", ""bg"")"),"помощ_за_домашно_изпълнение")</f>
        <v>помощ_за_домашно_изпълнение</v>
      </c>
      <c r="H4816" s="1" t="str">
        <f ca="1">IFERROR(__xludf.DUMMYFUNCTION("GOOGLETRANSLATE(English!H4816, ""en"", ""bg"")"),"помощ_за_домашно_задаване")</f>
        <v>помощ_за_домашно_задаване</v>
      </c>
    </row>
    <row r="4817" spans="1:8" ht="13.2" x14ac:dyDescent="0.25">
      <c r="A4817" s="1" t="str">
        <f ca="1">IFERROR(__xludf.DUMMYFUNCTION("GOOGLETRANSLATE(English!A4817, ""en"", ""bg"")"),"qa_11409")</f>
        <v>qa_11409</v>
      </c>
      <c r="B4817" s="1" t="str">
        <f ca="1">IFERROR(__xludf.DUMMYFUNCTION("GOOGLETRANSLATE(English!B4817, ""en"", ""bg"")"),"химия")</f>
        <v>химия</v>
      </c>
      <c r="C4817" s="1" t="str">
        <f ca="1">IFERROR(__xludf.DUMMYFUNCTION("GOOGLETRANSLATE(English!C4817, ""en"", ""bg"")"),"високо")</f>
        <v>високо</v>
      </c>
      <c r="D4817" s="1" t="str">
        <f ca="1">IFERROR(__xludf.DUMMYFUNCTION("GOOGLETRANSLATE(English!D4817, ""en"", ""bg"")"),"химическо свързване")</f>
        <v>химическо свързване</v>
      </c>
      <c r="E4817" s="1" t="str">
        <f ca="1">IFERROR(__xludf.DUMMYFUNCTION("GOOGLETRANSLATE(English!E4817, ""en"", ""bg"")"),"Можете ли да ми помогнете да разбера какво представлява химичната връзка?")</f>
        <v>Можете ли да ми помогнете да разбера какво представлява химичната връзка?</v>
      </c>
      <c r="F4817" s="1" t="str">
        <f ca="1">IFERROR(__xludf.DUMMYFUNCTION("GOOGLETRANSLATE(English!F4817, ""en"", ""bg"")"),"Химичното свързване е важна химическа концепция, която ни помага да разберем как се държи и променя материята!")</f>
        <v>Химичното свързване е важна химическа концепция, която ни помага да разберем как се държи и променя материята!</v>
      </c>
      <c r="G4817" s="1" t="str">
        <f ca="1">IFERROR(__xludf.DUMMYFUNCTION("GOOGLETRANSLATE(English!G4817, ""en"", ""bg"")"),"direct_qa")</f>
        <v>direct_qa</v>
      </c>
      <c r="H4817" s="1" t="str">
        <f ca="1">IFERROR(__xludf.DUMMYFUNCTION("GOOGLETRANSLATE(English!H4817, ""en"", ""bg"")"),"заявка_за_знание")</f>
        <v>заявка_за_знание</v>
      </c>
    </row>
    <row r="4818" spans="1:8" ht="13.2" x14ac:dyDescent="0.25">
      <c r="A4818" s="1" t="str">
        <f ca="1">IFERROR(__xludf.DUMMYFUNCTION("GOOGLETRANSLATE(English!A4818, ""en"", ""bg"")"),"qa_10785")</f>
        <v>qa_10785</v>
      </c>
      <c r="B4818" s="1" t="str">
        <f ca="1">IFERROR(__xludf.DUMMYFUNCTION("GOOGLETRANSLATE(English!B4818, ""en"", ""bg"")"),"биология")</f>
        <v>биология</v>
      </c>
      <c r="C4818" s="1" t="str">
        <f ca="1">IFERROR(__xludf.DUMMYFUNCTION("GOOGLETRANSLATE(English!C4818, ""en"", ""bg"")"),"средата")</f>
        <v>средата</v>
      </c>
      <c r="D4818" s="1" t="str">
        <f ca="1">IFERROR(__xludf.DUMMYFUNCTION("GOOGLETRANSLATE(English!D4818, ""en"", ""bg"")"),"класификация")</f>
        <v>класификация</v>
      </c>
      <c r="E4818" s="1" t="str">
        <f ca="1">IFERROR(__xludf.DUMMYFUNCTION("GOOGLETRANSLATE(English!E4818, ""en"", ""bg"")"),"Защо класификацията е важна в биологията?")</f>
        <v>Защо класификацията е важна в биологията?</v>
      </c>
      <c r="F4818" s="1" t="str">
        <f ca="1">IFERROR(__xludf.DUMMYFUNCTION("GOOGLETRANSLATE(English!F4818, ""en"", ""bg"")"),"Класификацията е важна, защото ни помага да разберем живота и как живите същества оцеляват.")</f>
        <v>Класификацията е важна, защото ни помага да разберем живота и как живите същества оцеляват.</v>
      </c>
      <c r="G4818" s="1" t="str">
        <f ca="1">IFERROR(__xludf.DUMMYFUNCTION("GOOGLETRANSLATE(English!G4818, ""en"", ""bg"")"),"direct_qa")</f>
        <v>direct_qa</v>
      </c>
      <c r="H4818" s="1" t="str">
        <f ca="1">IFERROR(__xludf.DUMMYFUNCTION("GOOGLETRANSLATE(English!H4818, ""en"", ""bg"")"),"заявка_за_знание")</f>
        <v>заявка_за_знание</v>
      </c>
    </row>
    <row r="4819" spans="1:8" ht="13.2" x14ac:dyDescent="0.25">
      <c r="A4819" s="1" t="str">
        <f ca="1">IFERROR(__xludf.DUMMYFUNCTION("GOOGLETRANSLATE(English!A4819, ""en"", ""bg"")"),"hw_03584")</f>
        <v>hw_03584</v>
      </c>
      <c r="B4819" s="1" t="str">
        <f ca="1">IFERROR(__xludf.DUMMYFUNCTION("GOOGLETRANSLATE(English!B4819, ""en"", ""bg"")"),"химия")</f>
        <v>химия</v>
      </c>
      <c r="C4819" s="1" t="str">
        <f ca="1">IFERROR(__xludf.DUMMYFUNCTION("GOOGLETRANSLATE(English!C4819, ""en"", ""bg"")"),"средата")</f>
        <v>средата</v>
      </c>
      <c r="D4819" s="1" t="str">
        <f ca="1">IFERROR(__xludf.DUMMYFUNCTION("GOOGLETRANSLATE(English!D4819, ""en"", ""bg"")"),"химични реакции")</f>
        <v>химични реакции</v>
      </c>
      <c r="E4819" s="1" t="str">
        <f ca="1">IFERROR(__xludf.DUMMYFUNCTION("GOOGLETRANSLATE(English!E4819, ""en"", ""bg"")"),"Моят доклад по химия е за химични реакции. Помогнете ми да разбера.")</f>
        <v>Моят доклад по химия е за химични реакции. Помогнете ми да разбера.</v>
      </c>
      <c r="F4819" s="1" t="str">
        <f ca="1">IFERROR(__xludf.DUMMYFUNCTION("GOOGLETRANSLATE(English!F4819,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4819" s="1" t="str">
        <f ca="1">IFERROR(__xludf.DUMMYFUNCTION("GOOGLETRANSLATE(English!G4819, ""en"", ""bg"")"),"помощ_за_домашно_изпълнение")</f>
        <v>помощ_за_домашно_изпълнение</v>
      </c>
      <c r="H4819" s="1" t="str">
        <f ca="1">IFERROR(__xludf.DUMMYFUNCTION("GOOGLETRANSLATE(English!H4819, ""en"", ""bg"")"),"помощ_за_домашно_задаване")</f>
        <v>помощ_за_домашно_задаване</v>
      </c>
    </row>
    <row r="4820" spans="1:8" ht="13.2" x14ac:dyDescent="0.25">
      <c r="A4820" s="1" t="str">
        <f ca="1">IFERROR(__xludf.DUMMYFUNCTION("GOOGLETRANSLATE(English!A4820, ""en"", ""bg"")"),"hw_05780")</f>
        <v>hw_05780</v>
      </c>
      <c r="B4820" s="1" t="str">
        <f ca="1">IFERROR(__xludf.DUMMYFUNCTION("GOOGLETRANSLATE(English!B4820, ""en"", ""bg"")"),"биология")</f>
        <v>биология</v>
      </c>
      <c r="C4820" s="1" t="str">
        <f ca="1">IFERROR(__xludf.DUMMYFUNCTION("GOOGLETRANSLATE(English!C4820, ""en"", ""bg"")"),"високо")</f>
        <v>високо</v>
      </c>
      <c r="D4820" s="1" t="str">
        <f ca="1">IFERROR(__xludf.DUMMYFUNCTION("GOOGLETRANSLATE(English!D4820, ""en"", ""bg"")"),"клетъчно дишане")</f>
        <v>клетъчно дишане</v>
      </c>
      <c r="E4820" s="1" t="str">
        <f ca="1">IFERROR(__xludf.DUMMYFUNCTION("GOOGLETRANSLATE(English!E4820, ""en"", ""bg"")"),"Можете ли да обясните клетъчното дишане за моя научен проект?")</f>
        <v>Можете ли да обясните клетъчното дишане за моя научен проект?</v>
      </c>
      <c r="F4820" s="1" t="str">
        <f ca="1">IFERROR(__xludf.DUMMYFUNCTION("GOOGLETRANSLATE(English!F4820,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4820" s="1" t="str">
        <f ca="1">IFERROR(__xludf.DUMMYFUNCTION("GOOGLETRANSLATE(English!G4820, ""en"", ""bg"")"),"помощ_за_домашно_изпълнение")</f>
        <v>помощ_за_домашно_изпълнение</v>
      </c>
      <c r="H4820" s="1" t="str">
        <f ca="1">IFERROR(__xludf.DUMMYFUNCTION("GOOGLETRANSLATE(English!H4820, ""en"", ""bg"")"),"помощ_за_домашно_задаване")</f>
        <v>помощ_за_домашно_задаване</v>
      </c>
    </row>
    <row r="4821" spans="1:8" ht="13.2" x14ac:dyDescent="0.25">
      <c r="A4821" s="1" t="str">
        <f ca="1">IFERROR(__xludf.DUMMYFUNCTION("GOOGLETRANSLATE(English!A4821, ""en"", ""bg"")"),"conv_06794")</f>
        <v>conv_06794</v>
      </c>
      <c r="B4821" s="1" t="str">
        <f ca="1">IFERROR(__xludf.DUMMYFUNCTION("GOOGLETRANSLATE(English!B4821, ""en"", ""bg"")"),"химия")</f>
        <v>химия</v>
      </c>
      <c r="C4821" s="1" t="str">
        <f ca="1">IFERROR(__xludf.DUMMYFUNCTION("GOOGLETRANSLATE(English!C4821, ""en"", ""bg"")"),"средата")</f>
        <v>средата</v>
      </c>
      <c r="D4821" s="1" t="str">
        <f ca="1">IFERROR(__xludf.DUMMYFUNCTION("GOOGLETRANSLATE(English!D4821, ""en"", ""bg"")"),"химични промени")</f>
        <v>химични промени</v>
      </c>
      <c r="E4821" s="1" t="str">
        <f ca="1">IFERROR(__xludf.DUMMYFUNCTION("GOOGLETRANSLATE(English!E4821, ""en"", ""bg"")"),"Можете ли да ми обясните това? Как протичат химичните промени в химията?")</f>
        <v>Можете ли да ми обясните това? Как протичат химичните промени в химията?</v>
      </c>
      <c r="F4821" s="1" t="str">
        <f ca="1">IFERROR(__xludf.DUMMYFUNCTION("GOOGLETRANSLATE(English!F4821, ""en"", ""bg"")"),"Химичните промени протичат според химични принципи, които обясняват как атомите и молекулите взаимодействат.")</f>
        <v>Химичните промени протичат според химични принципи, които обясняват как атомите и молекулите взаимодействат.</v>
      </c>
      <c r="G4821" s="1" t="str">
        <f ca="1">IFERROR(__xludf.DUMMYFUNCTION("GOOGLETRANSLATE(English!G4821, ""en"", ""bg"")"),"разговор")</f>
        <v>разговор</v>
      </c>
      <c r="H4821" s="1" t="str">
        <f ca="1">IFERROR(__xludf.DUMMYFUNCTION("GOOGLETRANSLATE(English!H4821, ""en"", ""bg"")"),"образователна_помощ")</f>
        <v>образователна_помощ</v>
      </c>
    </row>
    <row r="4822" spans="1:8" ht="13.2" x14ac:dyDescent="0.25">
      <c r="A4822" s="1" t="str">
        <f ca="1">IFERROR(__xludf.DUMMYFUNCTION("GOOGLETRANSLATE(English!A4822, ""en"", ""bg"")"),"conv_11962")</f>
        <v>conv_11962</v>
      </c>
      <c r="B4822" s="1" t="str">
        <f ca="1">IFERROR(__xludf.DUMMYFUNCTION("GOOGLETRANSLATE(English!B4822, ""en"", ""bg"")"),"химия")</f>
        <v>химия</v>
      </c>
      <c r="C4822" s="1" t="str">
        <f ca="1">IFERROR(__xludf.DUMMYFUNCTION("GOOGLETRANSLATE(English!C4822, ""en"", ""bg"")"),"средата")</f>
        <v>средата</v>
      </c>
      <c r="D4822" s="1" t="str">
        <f ca="1">IFERROR(__xludf.DUMMYFUNCTION("GOOGLETRANSLATE(English!D4822, ""en"", ""bg"")"),"химични реакции")</f>
        <v>химични реакции</v>
      </c>
      <c r="E4822" s="1" t="str">
        <f ca="1">IFERROR(__xludf.DUMMYFUNCTION("GOOGLETRANSLATE(English!E4822, ""en"", ""bg"")"),"Имам нужда от помощ с домашното си. Какво е химична реакция?")</f>
        <v>Имам нужда от помощ с домашното си. Какво е химична реакция?</v>
      </c>
      <c r="F4822" s="1" t="str">
        <f ca="1">IFERROR(__xludf.DUMMYFUNCTION("GOOGLETRANSLATE(English!F4822, ""en"", ""bg"")"),"Химична реакция е процес, при който веществата се превръщат в напълно нови вещества с различни свойства.")</f>
        <v>Химична реакция е процес, при който веществата се превръщат в напълно нови вещества с различни свойства.</v>
      </c>
      <c r="G4822" s="1" t="str">
        <f ca="1">IFERROR(__xludf.DUMMYFUNCTION("GOOGLETRANSLATE(English!G4822, ""en"", ""bg"")"),"разговор")</f>
        <v>разговор</v>
      </c>
      <c r="H4822" s="1" t="str">
        <f ca="1">IFERROR(__xludf.DUMMYFUNCTION("GOOGLETRANSLATE(English!H4822, ""en"", ""bg"")"),"образователна_помощ")</f>
        <v>образователна_помощ</v>
      </c>
    </row>
    <row r="4823" spans="1:8" ht="13.2" x14ac:dyDescent="0.25">
      <c r="A4823" s="1" t="str">
        <f ca="1">IFERROR(__xludf.DUMMYFUNCTION("GOOGLETRANSLATE(English!A4823, ""en"", ""bg"")"),"qa_09760")</f>
        <v>qa_09760</v>
      </c>
      <c r="B4823" s="1" t="str">
        <f ca="1">IFERROR(__xludf.DUMMYFUNCTION("GOOGLETRANSLATE(English!B4823, ""en"", ""bg"")"),"химия")</f>
        <v>химия</v>
      </c>
      <c r="C4823" s="1" t="str">
        <f ca="1">IFERROR(__xludf.DUMMYFUNCTION("GOOGLETRANSLATE(English!C4823, ""en"", ""bg"")"),"високо")</f>
        <v>високо</v>
      </c>
      <c r="D4823" s="1" t="str">
        <f ca="1">IFERROR(__xludf.DUMMYFUNCTION("GOOGLETRANSLATE(English!D4823, ""en"", ""bg"")"),"стехиометрия")</f>
        <v>стехиометрия</v>
      </c>
      <c r="E4823" s="1" t="str">
        <f ca="1">IFERROR(__xludf.DUMMYFUNCTION("GOOGLETRANSLATE(English!E4823, ""en"", ""bg"")"),"Можете ли да ми помогнете да разбера стехиометрията?")</f>
        <v>Можете ли да ми помогнете да разбера стехиометрията?</v>
      </c>
      <c r="F4823" s="1" t="str">
        <f ca="1">IFERROR(__xludf.DUMMYFUNCTION("GOOGLETRANSLATE(English!F4823,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4823" s="1" t="str">
        <f ca="1">IFERROR(__xludf.DUMMYFUNCTION("GOOGLETRANSLATE(English!G4823, ""en"", ""bg"")"),"direct_qa")</f>
        <v>direct_qa</v>
      </c>
      <c r="H4823" s="1" t="str">
        <f ca="1">IFERROR(__xludf.DUMMYFUNCTION("GOOGLETRANSLATE(English!H4823, ""en"", ""bg"")"),"заявка_за_знание")</f>
        <v>заявка_за_знание</v>
      </c>
    </row>
    <row r="4824" spans="1:8" ht="13.2" x14ac:dyDescent="0.25">
      <c r="A4824" s="1" t="str">
        <f ca="1">IFERROR(__xludf.DUMMYFUNCTION("GOOGLETRANSLATE(English!A4824, ""en"", ""bg"")"),"qa_05620")</f>
        <v>qa_05620</v>
      </c>
      <c r="B4824" s="1" t="str">
        <f ca="1">IFERROR(__xludf.DUMMYFUNCTION("GOOGLETRANSLATE(English!B4824, ""en"", ""bg"")"),"физика")</f>
        <v>физика</v>
      </c>
      <c r="C4824" s="1" t="str">
        <f ca="1">IFERROR(__xludf.DUMMYFUNCTION("GOOGLETRANSLATE(English!C4824, ""en"", ""bg"")"),"елементарен")</f>
        <v>елементарен</v>
      </c>
      <c r="D4824" s="1" t="str">
        <f ca="1">IFERROR(__xludf.DUMMYFUNCTION("GOOGLETRANSLATE(English!D4824, ""en"", ""bg"")"),"прости машини")</f>
        <v>прости машини</v>
      </c>
      <c r="E4824" s="1" t="str">
        <f ca="1">IFERROR(__xludf.DUMMYFUNCTION("GOOGLETRANSLATE(English!E4824, ""en"", ""bg"")"),"Как работят прости машини във физиката?")</f>
        <v>Как работят прости машини във физиката?</v>
      </c>
      <c r="F4824" s="1" t="str">
        <f ca="1">IFERROR(__xludf.DUMMYFUNCTION("GOOGLETRANSLATE(English!F4824, ""en"", ""bg"")"),"Простите машини работят според научни принципи, които можем да наблюдаваме и измерваме.")</f>
        <v>Простите машини работят според научни принципи, които можем да наблюдаваме и измерваме.</v>
      </c>
      <c r="G4824" s="1" t="str">
        <f ca="1">IFERROR(__xludf.DUMMYFUNCTION("GOOGLETRANSLATE(English!G4824, ""en"", ""bg"")"),"direct_qa")</f>
        <v>direct_qa</v>
      </c>
      <c r="H4824" s="1" t="str">
        <f ca="1">IFERROR(__xludf.DUMMYFUNCTION("GOOGLETRANSLATE(English!H4824, ""en"", ""bg"")"),"заявка_за_знание")</f>
        <v>заявка_за_знание</v>
      </c>
    </row>
    <row r="4825" spans="1:8" ht="13.2" x14ac:dyDescent="0.25">
      <c r="A4825" s="1" t="str">
        <f ca="1">IFERROR(__xludf.DUMMYFUNCTION("GOOGLETRANSLATE(English!A4825, ""en"", ""bg"")"),"conv_05252")</f>
        <v>conv_05252</v>
      </c>
      <c r="B4825" s="1" t="str">
        <f ca="1">IFERROR(__xludf.DUMMYFUNCTION("GOOGLETRANSLATE(English!B4825, ""en"", ""bg"")"),"физика")</f>
        <v>физика</v>
      </c>
      <c r="C4825" s="1" t="str">
        <f ca="1">IFERROR(__xludf.DUMMYFUNCTION("GOOGLETRANSLATE(English!C4825, ""en"", ""bg"")"),"високо")</f>
        <v>високо</v>
      </c>
      <c r="D4825" s="1" t="str">
        <f ca="1">IFERROR(__xludf.DUMMYFUNCTION("GOOGLETRANSLATE(English!D4825, ""en"", ""bg"")"),"термодинамика")</f>
        <v>термодинамика</v>
      </c>
      <c r="E4825" s="1" t="str">
        <f ca="1">IFERROR(__xludf.DUMMYFUNCTION("GOOGLETRANSLATE(English!E4825, ""en"", ""bg"")"),"Имам нужда от помощ с домашното си. Как работи термодинамиката във физиката?")</f>
        <v>Имам нужда от помощ с домашното си. Как работи термодинамиката във физиката?</v>
      </c>
      <c r="F4825" s="1" t="str">
        <f ca="1">IFERROR(__xludf.DUMMYFUNCTION("GOOGLETRANSLATE(English!F4825,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4825" s="1" t="str">
        <f ca="1">IFERROR(__xludf.DUMMYFUNCTION("GOOGLETRANSLATE(English!G4825, ""en"", ""bg"")"),"разговор")</f>
        <v>разговор</v>
      </c>
      <c r="H4825" s="1" t="str">
        <f ca="1">IFERROR(__xludf.DUMMYFUNCTION("GOOGLETRANSLATE(English!H4825, ""en"", ""bg"")"),"образователна_помощ")</f>
        <v>образователна_помощ</v>
      </c>
    </row>
    <row r="4826" spans="1:8" ht="13.2" x14ac:dyDescent="0.25">
      <c r="A4826" s="1" t="str">
        <f ca="1">IFERROR(__xludf.DUMMYFUNCTION("GOOGLETRANSLATE(English!A4826, ""en"", ""bg"")"),"qa_10150")</f>
        <v>qa_10150</v>
      </c>
      <c r="B4826" s="1" t="str">
        <f ca="1">IFERROR(__xludf.DUMMYFUNCTION("GOOGLETRANSLATE(English!B4826, ""en"", ""bg"")"),"биология")</f>
        <v>биология</v>
      </c>
      <c r="C4826" s="1" t="str">
        <f ca="1">IFERROR(__xludf.DUMMYFUNCTION("GOOGLETRANSLATE(English!C4826, ""en"", ""bg"")"),"високо")</f>
        <v>високо</v>
      </c>
      <c r="D4826" s="1" t="str">
        <f ca="1">IFERROR(__xludf.DUMMYFUNCTION("GOOGLETRANSLATE(English!D4826, ""en"", ""bg"")"),"молекулярна биология")</f>
        <v>молекулярна биология</v>
      </c>
      <c r="E4826" s="1" t="str">
        <f ca="1">IFERROR(__xludf.DUMMYFUNCTION("GOOGLETRANSLATE(English!E4826, ""en"", ""bg"")"),"Какво е важно да знаем за молекулярната биология?")</f>
        <v>Какво е важно да знаем за молекулярната биология?</v>
      </c>
      <c r="F4826" s="1" t="str">
        <f ca="1">IFERROR(__xludf.DUMMYFUNCTION("GOOGLETRANSLATE(English!F4826, ""en"", ""bg"")"),"Най-важното нещо за молекулярната биология е как тя се свързва с други части на живота и природата.")</f>
        <v>Най-важното нещо за молекулярната биология е как тя се свързва с други части на живота и природата.</v>
      </c>
      <c r="G4826" s="1" t="str">
        <f ca="1">IFERROR(__xludf.DUMMYFUNCTION("GOOGLETRANSLATE(English!G4826, ""en"", ""bg"")"),"direct_qa")</f>
        <v>direct_qa</v>
      </c>
      <c r="H4826" s="1" t="str">
        <f ca="1">IFERROR(__xludf.DUMMYFUNCTION("GOOGLETRANSLATE(English!H4826, ""en"", ""bg"")"),"заявка_за_знание")</f>
        <v>заявка_за_знание</v>
      </c>
    </row>
    <row r="4827" spans="1:8" ht="13.2" x14ac:dyDescent="0.25">
      <c r="A4827" s="1" t="str">
        <f ca="1">IFERROR(__xludf.DUMMYFUNCTION("GOOGLETRANSLATE(English!A4827, ""en"", ""bg"")"),"qa_04722")</f>
        <v>qa_04722</v>
      </c>
      <c r="B4827" s="1" t="str">
        <f ca="1">IFERROR(__xludf.DUMMYFUNCTION("GOOGLETRANSLATE(English!B4827, ""en"", ""bg"")"),"химия")</f>
        <v>химия</v>
      </c>
      <c r="C4827" s="1" t="str">
        <f ca="1">IFERROR(__xludf.DUMMYFUNCTION("GOOGLETRANSLATE(English!C4827, ""en"", ""bg"")"),"високо")</f>
        <v>високо</v>
      </c>
      <c r="D4827" s="1" t="str">
        <f ca="1">IFERROR(__xludf.DUMMYFUNCTION("GOOGLETRANSLATE(English!D4827, ""en"", ""bg"")"),"органична химия")</f>
        <v>органична химия</v>
      </c>
      <c r="E4827" s="1" t="str">
        <f ca="1">IFERROR(__xludf.DUMMYFUNCTION("GOOGLETRANSLATE(English!E4827, ""en"", ""bg"")"),"Как работи органичната химия в химията?")</f>
        <v>Как работи органичната химия в химията?</v>
      </c>
      <c r="F4827" s="1" t="str">
        <f ca="1">IFERROR(__xludf.DUMMYFUNCTION("GOOGLETRANSLATE(English!F4827, ""en"", ""bg"")"),"Органичната химия работи според химични принципи, които обясняват как атомите и молекулите взаимодействат.")</f>
        <v>Органичната химия работи според химични принципи, които обясняват как атомите и молекулите взаимодействат.</v>
      </c>
      <c r="G4827" s="1" t="str">
        <f ca="1">IFERROR(__xludf.DUMMYFUNCTION("GOOGLETRANSLATE(English!G4827, ""en"", ""bg"")"),"direct_qa")</f>
        <v>direct_qa</v>
      </c>
      <c r="H4827" s="1" t="str">
        <f ca="1">IFERROR(__xludf.DUMMYFUNCTION("GOOGLETRANSLATE(English!H4827, ""en"", ""bg"")"),"заявка_за_знание")</f>
        <v>заявка_за_знание</v>
      </c>
    </row>
    <row r="4828" spans="1:8" ht="13.2" x14ac:dyDescent="0.25">
      <c r="A4828" s="1" t="str">
        <f ca="1">IFERROR(__xludf.DUMMYFUNCTION("GOOGLETRANSLATE(English!A4828, ""en"", ""bg"")"),"hw_13321")</f>
        <v>hw_13321</v>
      </c>
      <c r="B4828" s="1" t="str">
        <f ca="1">IFERROR(__xludf.DUMMYFUNCTION("GOOGLETRANSLATE(English!B4828, ""en"", ""bg"")"),"химия")</f>
        <v>химия</v>
      </c>
      <c r="C4828" s="1" t="str">
        <f ca="1">IFERROR(__xludf.DUMMYFUNCTION("GOOGLETRANSLATE(English!C4828, ""en"", ""bg"")"),"високо")</f>
        <v>високо</v>
      </c>
      <c r="D4828" s="1" t="str">
        <f ca="1">IFERROR(__xludf.DUMMYFUNCTION("GOOGLETRANSLATE(English!D4828, ""en"", ""bg"")"),"равновесие")</f>
        <v>равновесие</v>
      </c>
      <c r="E4828" s="1" t="str">
        <f ca="1">IFERROR(__xludf.DUMMYFUNCTION("GOOGLETRANSLATE(English!E4828, ""en"", ""bg"")"),"Докладът ми по химия е за равновесието. Помогнете ми да разбера.")</f>
        <v>Докладът ми по химия е за равновесието. Помогнете ми да разбера.</v>
      </c>
      <c r="F4828" s="1" t="str">
        <f ca="1">IFERROR(__xludf.DUMMYFUNCTION("GOOGLETRANSLATE(English!F4828,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4828" s="1" t="str">
        <f ca="1">IFERROR(__xludf.DUMMYFUNCTION("GOOGLETRANSLATE(English!G4828, ""en"", ""bg"")"),"помощ_за_домашно_изпълнение")</f>
        <v>помощ_за_домашно_изпълнение</v>
      </c>
      <c r="H4828" s="1" t="str">
        <f ca="1">IFERROR(__xludf.DUMMYFUNCTION("GOOGLETRANSLATE(English!H4828, ""en"", ""bg"")"),"помощ_за_домашно_задаване")</f>
        <v>помощ_за_домашно_задаване</v>
      </c>
    </row>
    <row r="4829" spans="1:8" ht="13.2" x14ac:dyDescent="0.25">
      <c r="A4829" s="1" t="str">
        <f ca="1">IFERROR(__xludf.DUMMYFUNCTION("GOOGLETRANSLATE(English!A4829, ""en"", ""bg"")"),"conv_14433")</f>
        <v>conv_14433</v>
      </c>
      <c r="B4829" s="1" t="str">
        <f ca="1">IFERROR(__xludf.DUMMYFUNCTION("GOOGLETRANSLATE(English!B4829, ""en"", ""bg"")"),"химия")</f>
        <v>химия</v>
      </c>
      <c r="C4829" s="1" t="str">
        <f ca="1">IFERROR(__xludf.DUMMYFUNCTION("GOOGLETRANSLATE(English!C4829, ""en"", ""bg"")"),"средата")</f>
        <v>средата</v>
      </c>
      <c r="D4829" s="1" t="str">
        <f ca="1">IFERROR(__xludf.DUMMYFUNCTION("GOOGLETRANSLATE(English!D4829, ""en"", ""bg"")"),"химични промени")</f>
        <v>химични промени</v>
      </c>
      <c r="E4829" s="1" t="str">
        <f ca="1">IFERROR(__xludf.DUMMYFUNCTION("GOOGLETRANSLATE(English!E4829, ""en"", ""bg"")"),"Не разбирам тази тема. Защо е важно да се изучават химичните промени?")</f>
        <v>Не разбирам тази тема. Защо е важно да се изучават химичните промени?</v>
      </c>
      <c r="F4829" s="1" t="str">
        <f ca="1">IFERROR(__xludf.DUMMYFUNCTION("GOOGLETRANSLATE(English!F4829, ""en"", ""bg"")"),"Изучаването на химичните промени ни помага да разберем света около нас и как протичат химичните процеси в природата и технологиите.")</f>
        <v>Изучаването на химичните промени ни помага да разберем света около нас и как протичат химичните процеси в природата и технологиите.</v>
      </c>
      <c r="G4829" s="1" t="str">
        <f ca="1">IFERROR(__xludf.DUMMYFUNCTION("GOOGLETRANSLATE(English!G4829, ""en"", ""bg"")"),"разговор")</f>
        <v>разговор</v>
      </c>
      <c r="H4829" s="1" t="str">
        <f ca="1">IFERROR(__xludf.DUMMYFUNCTION("GOOGLETRANSLATE(English!H4829, ""en"", ""bg"")"),"образователна_помощ")</f>
        <v>образователна_помощ</v>
      </c>
    </row>
    <row r="4830" spans="1:8" ht="13.2" x14ac:dyDescent="0.25">
      <c r="A4830" s="1" t="str">
        <f ca="1">IFERROR(__xludf.DUMMYFUNCTION("GOOGLETRANSLATE(English!A4830, ""en"", ""bg"")"),"conv_15672")</f>
        <v>conv_15672</v>
      </c>
      <c r="B4830" s="1" t="str">
        <f ca="1">IFERROR(__xludf.DUMMYFUNCTION("GOOGLETRANSLATE(English!B4830, ""en"", ""bg"")"),"физика")</f>
        <v>физика</v>
      </c>
      <c r="C4830" s="1" t="str">
        <f ca="1">IFERROR(__xludf.DUMMYFUNCTION("GOOGLETRANSLATE(English!C4830, ""en"", ""bg"")"),"средата")</f>
        <v>средата</v>
      </c>
      <c r="D4830" s="1" t="str">
        <f ca="1">IFERROR(__xludf.DUMMYFUNCTION("GOOGLETRANSLATE(English!D4830, ""en"", ""bg"")"),"основи на електричеството")</f>
        <v>основи на електричеството</v>
      </c>
      <c r="E4830" s="1" t="str">
        <f ca="1">IFERROR(__xludf.DUMMYFUNCTION("GOOGLETRANSLATE(English!E4830, ""en"", ""bg"")"),"Имам научен въпрос. Как работят основите на електричеството във физиката?")</f>
        <v>Имам научен въпрос. Как работят основите на електричеството във физиката?</v>
      </c>
      <c r="F4830" s="1" t="str">
        <f ca="1">IFERROR(__xludf.DUMMYFUNCTION("GOOGLETRANSLATE(English!F4830,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4830" s="1" t="str">
        <f ca="1">IFERROR(__xludf.DUMMYFUNCTION("GOOGLETRANSLATE(English!G4830, ""en"", ""bg"")"),"разговор")</f>
        <v>разговор</v>
      </c>
      <c r="H4830" s="1" t="str">
        <f ca="1">IFERROR(__xludf.DUMMYFUNCTION("GOOGLETRANSLATE(English!H4830, ""en"", ""bg"")"),"образователна_помощ")</f>
        <v>образователна_помощ</v>
      </c>
    </row>
    <row r="4831" spans="1:8" ht="13.2" x14ac:dyDescent="0.25">
      <c r="A4831" s="1" t="str">
        <f ca="1">IFERROR(__xludf.DUMMYFUNCTION("GOOGLETRANSLATE(English!A4831, ""en"", ""bg"")"),"conv_12486")</f>
        <v>conv_12486</v>
      </c>
      <c r="B4831" s="1" t="str">
        <f ca="1">IFERROR(__xludf.DUMMYFUNCTION("GOOGLETRANSLATE(English!B4831, ""en"", ""bg"")"),"химия")</f>
        <v>химия</v>
      </c>
      <c r="C4831" s="1" t="str">
        <f ca="1">IFERROR(__xludf.DUMMYFUNCTION("GOOGLETRANSLATE(English!C4831, ""en"", ""bg"")"),"елементарен")</f>
        <v>елементарен</v>
      </c>
      <c r="D4831" s="1" t="str">
        <f ca="1">IFERROR(__xludf.DUMMYFUNCTION("GOOGLETRANSLATE(English!D4831, ""en"", ""bg"")"),"ежедневни химикали")</f>
        <v>ежедневни химикали</v>
      </c>
      <c r="E4831" s="1" t="str">
        <f ca="1">IFERROR(__xludf.DUMMYFUNCTION("GOOGLETRANSLATE(English!E4831, ""en"", ""bg"")"),"Не разбирам тази тема. Какво представляват ежедневните химикали?")</f>
        <v>Не разбирам тази тема. Какво представляват ежедневните химикали?</v>
      </c>
      <c r="F4831" s="1" t="str">
        <f ca="1">IFERROR(__xludf.DUMMYFUNCTION("GOOGLETRANSLATE(English!F4831,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4831" s="1" t="str">
        <f ca="1">IFERROR(__xludf.DUMMYFUNCTION("GOOGLETRANSLATE(English!G4831, ""en"", ""bg"")"),"разговор")</f>
        <v>разговор</v>
      </c>
      <c r="H4831" s="1" t="str">
        <f ca="1">IFERROR(__xludf.DUMMYFUNCTION("GOOGLETRANSLATE(English!H4831, ""en"", ""bg"")"),"образователна_помощ")</f>
        <v>образователна_помощ</v>
      </c>
    </row>
    <row r="4832" spans="1:8" ht="13.2" x14ac:dyDescent="0.25">
      <c r="A4832" s="1" t="str">
        <f ca="1">IFERROR(__xludf.DUMMYFUNCTION("GOOGLETRANSLATE(English!A4832, ""en"", ""bg"")"),"qa_07329")</f>
        <v>qa_07329</v>
      </c>
      <c r="B4832" s="1" t="str">
        <f ca="1">IFERROR(__xludf.DUMMYFUNCTION("GOOGLETRANSLATE(English!B4832, ""en"", ""bg"")"),"биология")</f>
        <v>биология</v>
      </c>
      <c r="C4832" s="1" t="str">
        <f ca="1">IFERROR(__xludf.DUMMYFUNCTION("GOOGLETRANSLATE(English!C4832, ""en"", ""bg"")"),"високо")</f>
        <v>високо</v>
      </c>
      <c r="D4832" s="1" t="str">
        <f ca="1">IFERROR(__xludf.DUMMYFUNCTION("GOOGLETRANSLATE(English!D4832, ""en"", ""bg"")"),"модели на наследяване")</f>
        <v>модели на наследяване</v>
      </c>
      <c r="E4832" s="1" t="str">
        <f ca="1">IFERROR(__xludf.DUMMYFUNCTION("GOOGLETRANSLATE(English!E4832, ""en"", ""bg"")"),"Защо моделите на наследяване са важни в биологията?")</f>
        <v>Защо моделите на наследяване са важни в биологията?</v>
      </c>
      <c r="F4832" s="1" t="str">
        <f ca="1">IFERROR(__xludf.DUMMYFUNCTION("GOOGLETRANSLATE(English!F4832, ""en"", ""bg"")"),"Моделите на наследяване са важни, защото ни помагат да разберем живота и как живите същества оцеляват.")</f>
        <v>Моделите на наследяване са важни, защото ни помагат да разберем живота и как живите същества оцеляват.</v>
      </c>
      <c r="G4832" s="1" t="str">
        <f ca="1">IFERROR(__xludf.DUMMYFUNCTION("GOOGLETRANSLATE(English!G4832, ""en"", ""bg"")"),"direct_qa")</f>
        <v>direct_qa</v>
      </c>
      <c r="H4832" s="1" t="str">
        <f ca="1">IFERROR(__xludf.DUMMYFUNCTION("GOOGLETRANSLATE(English!H4832, ""en"", ""bg"")"),"заявка_за_знание")</f>
        <v>заявка_за_знание</v>
      </c>
    </row>
    <row r="4833" spans="1:8" ht="13.2" x14ac:dyDescent="0.25">
      <c r="A4833" s="1" t="str">
        <f ca="1">IFERROR(__xludf.DUMMYFUNCTION("GOOGLETRANSLATE(English!A4833, ""en"", ""bg"")"),"conv_04530")</f>
        <v>conv_04530</v>
      </c>
      <c r="B4833" s="1" t="str">
        <f ca="1">IFERROR(__xludf.DUMMYFUNCTION("GOOGLETRANSLATE(English!B4833, ""en"", ""bg"")"),"биология")</f>
        <v>биология</v>
      </c>
      <c r="C4833" s="1" t="str">
        <f ca="1">IFERROR(__xludf.DUMMYFUNCTION("GOOGLETRANSLATE(English!C4833, ""en"", ""bg"")"),"средата")</f>
        <v>средата</v>
      </c>
      <c r="D4833" s="1" t="str">
        <f ca="1">IFERROR(__xludf.DUMMYFUNCTION("GOOGLETRANSLATE(English!D4833, ""en"", ""bg"")"),"екосистеми")</f>
        <v>екосистеми</v>
      </c>
      <c r="E4833" s="1" t="str">
        <f ca="1">IFERROR(__xludf.DUMMYFUNCTION("GOOGLETRANSLATE(English!E4833, ""en"", ""bg"")"),"Имам научен въпрос. Защо екосистемите са важни в биологията?")</f>
        <v>Имам научен въпрос. Защо екосистемите са важни в биологията?</v>
      </c>
      <c r="F4833" s="1" t="str">
        <f ca="1">IFERROR(__xludf.DUMMYFUNCTION("GOOGLETRANSLATE(English!F4833,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4833" s="1" t="str">
        <f ca="1">IFERROR(__xludf.DUMMYFUNCTION("GOOGLETRANSLATE(English!G4833, ""en"", ""bg"")"),"разговор")</f>
        <v>разговор</v>
      </c>
      <c r="H4833" s="1" t="str">
        <f ca="1">IFERROR(__xludf.DUMMYFUNCTION("GOOGLETRANSLATE(English!H4833, ""en"", ""bg"")"),"образователна_помощ")</f>
        <v>образователна_помощ</v>
      </c>
    </row>
    <row r="4834" spans="1:8" ht="13.2" x14ac:dyDescent="0.25">
      <c r="A4834" s="1" t="str">
        <f ca="1">IFERROR(__xludf.DUMMYFUNCTION("GOOGLETRANSLATE(English!A4834, ""en"", ""bg"")"),"conv_00557")</f>
        <v>conv_00557</v>
      </c>
      <c r="B4834" s="1" t="str">
        <f ca="1">IFERROR(__xludf.DUMMYFUNCTION("GOOGLETRANSLATE(English!B4834, ""en"", ""bg"")"),"физика")</f>
        <v>физика</v>
      </c>
      <c r="C4834" s="1" t="str">
        <f ca="1">IFERROR(__xludf.DUMMYFUNCTION("GOOGLETRANSLATE(English!C4834, ""en"", ""bg"")"),"средата")</f>
        <v>средата</v>
      </c>
      <c r="D4834" s="1" t="str">
        <f ca="1">IFERROR(__xludf.DUMMYFUNCTION("GOOGLETRANSLATE(English!D4834, ""en"", ""bg"")"),"състояния на материята")</f>
        <v>състояния на материята</v>
      </c>
      <c r="E4834" s="1" t="str">
        <f ca="1">IFERROR(__xludf.DUMMYFUNCTION("GOOGLETRANSLATE(English!E4834, ""en"", ""bg"")"),"Здравей, преподавателю! Можеш ли да ми обясниш състоянията на материята?")</f>
        <v>Здравей, преподавателю! Можеш ли да ми обясниш състоянията на материята?</v>
      </c>
      <c r="F4834" s="1" t="str">
        <f ca="1">IFERROR(__xludf.DUMMYFUNCTION("GOOGLETRANSLATE(English!F4834, ""en"", ""bg"")"),"Състоянията на материята са интересна физическа концепция, която ни помага да разберем как работят нещата в нашия свят!")</f>
        <v>Състоянията на материята са интересна физическа концепция, която ни помага да разберем как работят нещата в нашия свят!</v>
      </c>
      <c r="G4834" s="1" t="str">
        <f ca="1">IFERROR(__xludf.DUMMYFUNCTION("GOOGLETRANSLATE(English!G4834, ""en"", ""bg"")"),"разговор")</f>
        <v>разговор</v>
      </c>
      <c r="H4834" s="1" t="str">
        <f ca="1">IFERROR(__xludf.DUMMYFUNCTION("GOOGLETRANSLATE(English!H4834, ""en"", ""bg"")"),"образователна_помощ")</f>
        <v>образователна_помощ</v>
      </c>
    </row>
    <row r="4835" spans="1:8" ht="13.2" x14ac:dyDescent="0.25">
      <c r="A4835" s="1" t="str">
        <f ca="1">IFERROR(__xludf.DUMMYFUNCTION("GOOGLETRANSLATE(English!A4835, ""en"", ""bg"")"),"qa_02171")</f>
        <v>qa_02171</v>
      </c>
      <c r="B4835" s="1" t="str">
        <f ca="1">IFERROR(__xludf.DUMMYFUNCTION("GOOGLETRANSLATE(English!B4835, ""en"", ""bg"")"),"биология")</f>
        <v>биология</v>
      </c>
      <c r="C4835" s="1" t="str">
        <f ca="1">IFERROR(__xludf.DUMMYFUNCTION("GOOGLETRANSLATE(English!C4835, ""en"", ""bg"")"),"елементарен")</f>
        <v>елементарен</v>
      </c>
      <c r="D4835" s="1" t="str">
        <f ca="1">IFERROR(__xludf.DUMMYFUNCTION("GOOGLETRANSLATE(English!D4835, ""en"", ""bg"")"),"жизнени цикли")</f>
        <v>жизнени цикли</v>
      </c>
      <c r="E4835" s="1" t="str">
        <f ca="1">IFERROR(__xludf.DUMMYFUNCTION("GOOGLETRANSLATE(English!E4835, ""en"", ""bg"")"),"Как функционират жизнените цикли?")</f>
        <v>Как функционират жизнените цикли?</v>
      </c>
      <c r="F4835" s="1" t="str">
        <f ca="1">IFERROR(__xludf.DUMMYFUNCTION("GOOGLETRANSLATE(English!F4835, ""en"", ""bg"")"),"Жизнените цикли протичат чрез естествени процеси, които учените изучават от много години.")</f>
        <v>Жизнените цикли протичат чрез естествени процеси, които учените изучават от много години.</v>
      </c>
      <c r="G4835" s="1" t="str">
        <f ca="1">IFERROR(__xludf.DUMMYFUNCTION("GOOGLETRANSLATE(English!G4835, ""en"", ""bg"")"),"direct_qa")</f>
        <v>direct_qa</v>
      </c>
      <c r="H4835" s="1" t="str">
        <f ca="1">IFERROR(__xludf.DUMMYFUNCTION("GOOGLETRANSLATE(English!H4835, ""en"", ""bg"")"),"заявка_за_знание")</f>
        <v>заявка_за_знание</v>
      </c>
    </row>
    <row r="4836" spans="1:8" ht="13.2" x14ac:dyDescent="0.25">
      <c r="A4836" s="1" t="str">
        <f ca="1">IFERROR(__xludf.DUMMYFUNCTION("GOOGLETRANSLATE(English!A4836, ""en"", ""bg"")"),"conv_14739")</f>
        <v>conv_14739</v>
      </c>
      <c r="B4836" s="1" t="str">
        <f ca="1">IFERROR(__xludf.DUMMYFUNCTION("GOOGLETRANSLATE(English!B4836, ""en"", ""bg"")"),"биология")</f>
        <v>биология</v>
      </c>
      <c r="C4836" s="1" t="str">
        <f ca="1">IFERROR(__xludf.DUMMYFUNCTION("GOOGLETRANSLATE(English!C4836, ""en"", ""bg"")"),"средата")</f>
        <v>средата</v>
      </c>
      <c r="D4836" s="1" t="str">
        <f ca="1">IFERROR(__xludf.DUMMYFUNCTION("GOOGLETRANSLATE(English!D4836, ""en"", ""bg"")"),"фотосинтеза")</f>
        <v>фотосинтеза</v>
      </c>
      <c r="E4836" s="1" t="str">
        <f ca="1">IFERROR(__xludf.DUMMYFUNCTION("GOOGLETRANSLATE(English!E4836, ""en"", ""bg"")"),"Имам научен въпрос. Как работи фотосинтезата?")</f>
        <v>Имам научен въпрос. Как работи фотосинтезата?</v>
      </c>
      <c r="F4836" s="1" t="str">
        <f ca="1">IFERROR(__xludf.DUMMYFUNCTION("GOOGLETRANSLATE(English!F4836, ""en"", ""bg"")"),"Фотосинтезата протича чрез естествени процеси, които учените изучават от много години.")</f>
        <v>Фотосинтезата протича чрез естествени процеси, които учените изучават от много години.</v>
      </c>
      <c r="G4836" s="1" t="str">
        <f ca="1">IFERROR(__xludf.DUMMYFUNCTION("GOOGLETRANSLATE(English!G4836, ""en"", ""bg"")"),"разговор")</f>
        <v>разговор</v>
      </c>
      <c r="H4836" s="1" t="str">
        <f ca="1">IFERROR(__xludf.DUMMYFUNCTION("GOOGLETRANSLATE(English!H4836, ""en"", ""bg"")"),"образователна_помощ")</f>
        <v>образователна_помощ</v>
      </c>
    </row>
    <row r="4837" spans="1:8" ht="13.2" x14ac:dyDescent="0.25">
      <c r="A4837" s="1" t="str">
        <f ca="1">IFERROR(__xludf.DUMMYFUNCTION("GOOGLETRANSLATE(English!A4837, ""en"", ""bg"")"),"hw_06573")</f>
        <v>hw_06573</v>
      </c>
      <c r="B4837" s="1" t="str">
        <f ca="1">IFERROR(__xludf.DUMMYFUNCTION("GOOGLETRANSLATE(English!B4837, ""en"", ""bg"")"),"химия")</f>
        <v>химия</v>
      </c>
      <c r="C4837" s="1" t="str">
        <f ca="1">IFERROR(__xludf.DUMMYFUNCTION("GOOGLETRANSLATE(English!C4837, ""en"", ""bg"")"),"високо")</f>
        <v>високо</v>
      </c>
      <c r="D4837" s="1" t="str">
        <f ca="1">IFERROR(__xludf.DUMMYFUNCTION("GOOGLETRANSLATE(English!D4837, ""en"", ""bg"")"),"стехиометрия")</f>
        <v>стехиометрия</v>
      </c>
      <c r="E4837" s="1" t="str">
        <f ca="1">IFERROR(__xludf.DUMMYFUNCTION("GOOGLETRANSLATE(English!E4837, ""en"", ""bg"")"),"Не разбирам тази стехиометрична концепция. Моля, обяснете!")</f>
        <v>Не разбирам тази стехиометрична концепция. Моля, обяснете!</v>
      </c>
      <c r="F4837" s="1" t="str">
        <f ca="1">IFERROR(__xludf.DUMMYFUNCTION("GOOGLETRANSLATE(English!F4837,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4837" s="1" t="str">
        <f ca="1">IFERROR(__xludf.DUMMYFUNCTION("GOOGLETRANSLATE(English!G4837, ""en"", ""bg"")"),"помощ_за_домашно_изпълнение")</f>
        <v>помощ_за_домашно_изпълнение</v>
      </c>
      <c r="H4837" s="1" t="str">
        <f ca="1">IFERROR(__xludf.DUMMYFUNCTION("GOOGLETRANSLATE(English!H4837, ""en"", ""bg"")"),"помощ_за_домашно_задаване")</f>
        <v>помощ_за_домашно_задаване</v>
      </c>
    </row>
    <row r="4838" spans="1:8" ht="13.2" x14ac:dyDescent="0.25">
      <c r="A4838" s="1" t="str">
        <f ca="1">IFERROR(__xludf.DUMMYFUNCTION("GOOGLETRANSLATE(English!A4838, ""en"", ""bg"")"),"qa_08425")</f>
        <v>qa_08425</v>
      </c>
      <c r="B4838" s="1" t="str">
        <f ca="1">IFERROR(__xludf.DUMMYFUNCTION("GOOGLETRANSLATE(English!B4838, ""en"", ""bg"")"),"физика")</f>
        <v>физика</v>
      </c>
      <c r="C4838" s="1" t="str">
        <f ca="1">IFERROR(__xludf.DUMMYFUNCTION("GOOGLETRANSLATE(English!C4838, ""en"", ""bg"")"),"средата")</f>
        <v>средата</v>
      </c>
      <c r="D4838" s="1" t="str">
        <f ca="1">IFERROR(__xludf.DUMMYFUNCTION("GOOGLETRANSLATE(English!D4838, ""en"", ""bg"")"),"сили и движение")</f>
        <v>сили и движение</v>
      </c>
      <c r="E4838" s="1" t="str">
        <f ca="1">IFERROR(__xludf.DUMMYFUNCTION("GOOGLETRANSLATE(English!E4838, ""en"", ""bg"")"),"Защо обектите падат с еднаква скорост?")</f>
        <v>Защо обектите падат с еднаква скорост?</v>
      </c>
      <c r="F4838" s="1" t="str">
        <f ca="1">IFERROR(__xludf.DUMMYFUNCTION("GOOGLETRANSLATE(English!F4838,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4838" s="1" t="str">
        <f ca="1">IFERROR(__xludf.DUMMYFUNCTION("GOOGLETRANSLATE(English!G4838, ""en"", ""bg"")"),"direct_qa")</f>
        <v>direct_qa</v>
      </c>
      <c r="H4838" s="1" t="str">
        <f ca="1">IFERROR(__xludf.DUMMYFUNCTION("GOOGLETRANSLATE(English!H4838, ""en"", ""bg"")"),"заявка_за_знание")</f>
        <v>заявка_за_знание</v>
      </c>
    </row>
    <row r="4839" spans="1:8" ht="13.2" x14ac:dyDescent="0.25">
      <c r="A4839" s="1" t="str">
        <f ca="1">IFERROR(__xludf.DUMMYFUNCTION("GOOGLETRANSLATE(English!A4839, ""en"", ""bg"")"),"qa_07900")</f>
        <v>qa_07900</v>
      </c>
      <c r="B4839" s="1" t="str">
        <f ca="1">IFERROR(__xludf.DUMMYFUNCTION("GOOGLETRANSLATE(English!B4839, ""en"", ""bg"")"),"химия")</f>
        <v>химия</v>
      </c>
      <c r="C4839" s="1" t="str">
        <f ca="1">IFERROR(__xludf.DUMMYFUNCTION("GOOGLETRANSLATE(English!C4839, ""en"", ""bg"")"),"средата")</f>
        <v>средата</v>
      </c>
      <c r="D4839" s="1" t="str">
        <f ca="1">IFERROR(__xludf.DUMMYFUNCTION("GOOGLETRANSLATE(English!D4839, ""en"", ""bg"")"),"съединения срещу елементи")</f>
        <v>съединения срещу елементи</v>
      </c>
      <c r="E4839" s="1" t="str">
        <f ca="1">IFERROR(__xludf.DUMMYFUNCTION("GOOGLETRANSLATE(English!E4839, ""en"", ""bg"")"),"Как работят съединенията срещу елементите в химията?")</f>
        <v>Как работят съединенията срещу елементите в химията?</v>
      </c>
      <c r="F4839" s="1" t="str">
        <f ca="1">IFERROR(__xludf.DUMMYFUNCTION("GOOGLETRANSLATE(English!F4839, ""en"", ""bg"")"),"Съединенията срещу елементите работят според химичните принципи, които обясняват как взаимодействат атомите и молекулите.")</f>
        <v>Съединенията срещу елементите работят според химичните принципи, които обясняват как взаимодействат атомите и молекулите.</v>
      </c>
      <c r="G4839" s="1" t="str">
        <f ca="1">IFERROR(__xludf.DUMMYFUNCTION("GOOGLETRANSLATE(English!G4839, ""en"", ""bg"")"),"direct_qa")</f>
        <v>direct_qa</v>
      </c>
      <c r="H4839" s="1" t="str">
        <f ca="1">IFERROR(__xludf.DUMMYFUNCTION("GOOGLETRANSLATE(English!H4839, ""en"", ""bg"")"),"заявка_за_знание")</f>
        <v>заявка_за_знание</v>
      </c>
    </row>
    <row r="4840" spans="1:8" ht="13.2" x14ac:dyDescent="0.25">
      <c r="A4840" s="1" t="str">
        <f ca="1">IFERROR(__xludf.DUMMYFUNCTION("GOOGLETRANSLATE(English!A4840, ""en"", ""bg"")"),"conv_09889")</f>
        <v>conv_09889</v>
      </c>
      <c r="B4840" s="1" t="str">
        <f ca="1">IFERROR(__xludf.DUMMYFUNCTION("GOOGLETRANSLATE(English!B4840, ""en"", ""bg"")"),"химия")</f>
        <v>химия</v>
      </c>
      <c r="C4840" s="1" t="str">
        <f ca="1">IFERROR(__xludf.DUMMYFUNCTION("GOOGLETRANSLATE(English!C4840, ""en"", ""bg"")"),"елементарен")</f>
        <v>елементарен</v>
      </c>
      <c r="D4840" s="1" t="str">
        <f ca="1">IFERROR(__xludf.DUMMYFUNCTION("GOOGLETRANSLATE(English!D4840, ""en"", ""bg"")"),"безопасност")</f>
        <v>безопасност</v>
      </c>
      <c r="E4840" s="1" t="str">
        <f ca="1">IFERROR(__xludf.DUMMYFUNCTION("GOOGLETRANSLATE(English!E4840, ""en"", ""bg"")"),"Можете ли да ми обясните това? Можете ли да ми помогнете да разбера безопасността?")</f>
        <v>Можете ли да ми обясните това? Можете ли да ми помогнете да разбера безопасността?</v>
      </c>
      <c r="F4840" s="1" t="str">
        <f ca="1">IFERROR(__xludf.DUMMYFUNCTION("GOOGLETRANSLATE(English!F4840,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4840" s="1" t="str">
        <f ca="1">IFERROR(__xludf.DUMMYFUNCTION("GOOGLETRANSLATE(English!G4840, ""en"", ""bg"")"),"разговор")</f>
        <v>разговор</v>
      </c>
      <c r="H4840" s="1" t="str">
        <f ca="1">IFERROR(__xludf.DUMMYFUNCTION("GOOGLETRANSLATE(English!H4840, ""en"", ""bg"")"),"образователна_помощ")</f>
        <v>образователна_помощ</v>
      </c>
    </row>
    <row r="4841" spans="1:8" ht="13.2" x14ac:dyDescent="0.25">
      <c r="A4841" s="1" t="str">
        <f ca="1">IFERROR(__xludf.DUMMYFUNCTION("GOOGLETRANSLATE(English!A4841, ""en"", ""bg"")"),"hw_01094")</f>
        <v>hw_01094</v>
      </c>
      <c r="B4841" s="1" t="str">
        <f ca="1">IFERROR(__xludf.DUMMYFUNCTION("GOOGLETRANSLATE(English!B4841, ""en"", ""bg"")"),"химия")</f>
        <v>химия</v>
      </c>
      <c r="C4841" s="1" t="str">
        <f ca="1">IFERROR(__xludf.DUMMYFUNCTION("GOOGLETRANSLATE(English!C4841, ""en"", ""bg"")"),"високо")</f>
        <v>високо</v>
      </c>
      <c r="D4841" s="1" t="str">
        <f ca="1">IFERROR(__xludf.DUMMYFUNCTION("GOOGLETRANSLATE(English!D4841, ""en"", ""bg"")"),"органична химия")</f>
        <v>органична химия</v>
      </c>
      <c r="E4841" s="1" t="str">
        <f ca="1">IFERROR(__xludf.DUMMYFUNCTION("GOOGLETRANSLATE(English!E4841, ""en"", ""bg"")"),"Моят доклад по химия е за органична химия. Помогнете ми да разбера.")</f>
        <v>Моят доклад по химия е за органична химия. Помогнете ми да разбера.</v>
      </c>
      <c r="F4841" s="1" t="str">
        <f ca="1">IFERROR(__xludf.DUMMYFUNCTION("GOOGLETRANSLATE(English!F4841,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841" s="1" t="str">
        <f ca="1">IFERROR(__xludf.DUMMYFUNCTION("GOOGLETRANSLATE(English!G4841, ""en"", ""bg"")"),"помощ_за_домашно_изпълнение")</f>
        <v>помощ_за_домашно_изпълнение</v>
      </c>
      <c r="H4841" s="1" t="str">
        <f ca="1">IFERROR(__xludf.DUMMYFUNCTION("GOOGLETRANSLATE(English!H4841, ""en"", ""bg"")"),"помощ_за_домашно_задаване")</f>
        <v>помощ_за_домашно_задаване</v>
      </c>
    </row>
    <row r="4842" spans="1:8" ht="13.2" x14ac:dyDescent="0.25">
      <c r="A4842" s="1" t="str">
        <f ca="1">IFERROR(__xludf.DUMMYFUNCTION("GOOGLETRANSLATE(English!A4842, ""en"", ""bg"")"),"conv_00475")</f>
        <v>conv_00475</v>
      </c>
      <c r="B4842" s="1" t="str">
        <f ca="1">IFERROR(__xludf.DUMMYFUNCTION("GOOGLETRANSLATE(English!B4842, ""en"", ""bg"")"),"химия")</f>
        <v>химия</v>
      </c>
      <c r="C4842" s="1" t="str">
        <f ca="1">IFERROR(__xludf.DUMMYFUNCTION("GOOGLETRANSLATE(English!C4842, ""en"", ""bg"")"),"високо")</f>
        <v>високо</v>
      </c>
      <c r="D4842" s="1" t="str">
        <f ca="1">IFERROR(__xludf.DUMMYFUNCTION("GOOGLETRANSLATE(English!D4842, ""en"", ""bg"")"),"химическо свързване")</f>
        <v>химическо свързване</v>
      </c>
      <c r="E4842" s="1" t="str">
        <f ca="1">IFERROR(__xludf.DUMMYFUNCTION("GOOGLETRANSLATE(English!E4842, ""en"", ""bg"")"),"Имам научен въпрос. Как работи химическата връзка в химията?")</f>
        <v>Имам научен въпрос. Как работи химическата връзка в химията?</v>
      </c>
      <c r="F4842" s="1" t="str">
        <f ca="1">IFERROR(__xludf.DUMMYFUNCTION("GOOGLETRANSLATE(English!F4842, ""en"", ""bg"")"),"Химичното свързване работи според химични принципи, които обясняват как атомите и молекулите взаимодействат.")</f>
        <v>Химичното свързване работи според химични принципи, които обясняват как атомите и молекулите взаимодействат.</v>
      </c>
      <c r="G4842" s="1" t="str">
        <f ca="1">IFERROR(__xludf.DUMMYFUNCTION("GOOGLETRANSLATE(English!G4842, ""en"", ""bg"")"),"разговор")</f>
        <v>разговор</v>
      </c>
      <c r="H4842" s="1" t="str">
        <f ca="1">IFERROR(__xludf.DUMMYFUNCTION("GOOGLETRANSLATE(English!H4842, ""en"", ""bg"")"),"образователна_помощ")</f>
        <v>образователна_помощ</v>
      </c>
    </row>
    <row r="4843" spans="1:8" ht="13.2" x14ac:dyDescent="0.25">
      <c r="A4843" s="1" t="str">
        <f ca="1">IFERROR(__xludf.DUMMYFUNCTION("GOOGLETRANSLATE(English!A4843, ""en"", ""bg"")"),"conv_18506")</f>
        <v>conv_18506</v>
      </c>
      <c r="B4843" s="1" t="str">
        <f ca="1">IFERROR(__xludf.DUMMYFUNCTION("GOOGLETRANSLATE(English!B4843, ""en"", ""bg"")"),"химия")</f>
        <v>химия</v>
      </c>
      <c r="C4843" s="1" t="str">
        <f ca="1">IFERROR(__xludf.DUMMYFUNCTION("GOOGLETRANSLATE(English!C4843, ""en"", ""bg"")"),"високо")</f>
        <v>високо</v>
      </c>
      <c r="D4843" s="1" t="str">
        <f ca="1">IFERROR(__xludf.DUMMYFUNCTION("GOOGLETRANSLATE(English!D4843, ""en"", ""bg"")"),"химическо свързване")</f>
        <v>химическо свързване</v>
      </c>
      <c r="E4843" s="1" t="str">
        <f ca="1">IFERROR(__xludf.DUMMYFUNCTION("GOOGLETRANSLATE(English!E4843, ""en"", ""bg"")"),"Помогнете ми да уча за теста. Защо е важно да се учи химично свързване?")</f>
        <v>Помогнете ми да уча за теста. Защо е важно да се учи химично свързване?</v>
      </c>
      <c r="F4843" s="1" t="str">
        <f ca="1">IFERROR(__xludf.DUMMYFUNCTION("GOOGLETRANSLATE(English!F4843, ""en"", ""bg"")"),"Изучаването на химичните връзки ни помага да разберем света около нас и как протичат химичните процеси в природата и технологиите.")</f>
        <v>Изучаването на химичните връзки ни помага да разберем света около нас и как протичат химичните процеси в природата и технологиите.</v>
      </c>
      <c r="G4843" s="1" t="str">
        <f ca="1">IFERROR(__xludf.DUMMYFUNCTION("GOOGLETRANSLATE(English!G4843, ""en"", ""bg"")"),"разговор")</f>
        <v>разговор</v>
      </c>
      <c r="H4843" s="1" t="str">
        <f ca="1">IFERROR(__xludf.DUMMYFUNCTION("GOOGLETRANSLATE(English!H4843, ""en"", ""bg"")"),"образователна_помощ")</f>
        <v>образователна_помощ</v>
      </c>
    </row>
    <row r="4844" spans="1:8" ht="13.2" x14ac:dyDescent="0.25">
      <c r="A4844" s="1" t="str">
        <f ca="1">IFERROR(__xludf.DUMMYFUNCTION("GOOGLETRANSLATE(English!A4844, ""en"", ""bg"")"),"conv_15142")</f>
        <v>conv_15142</v>
      </c>
      <c r="B4844" s="1" t="str">
        <f ca="1">IFERROR(__xludf.DUMMYFUNCTION("GOOGLETRANSLATE(English!B4844, ""en"", ""bg"")"),"химия")</f>
        <v>химия</v>
      </c>
      <c r="C4844" s="1" t="str">
        <f ca="1">IFERROR(__xludf.DUMMYFUNCTION("GOOGLETRANSLATE(English!C4844, ""en"", ""bg"")"),"средата")</f>
        <v>средата</v>
      </c>
      <c r="D4844" s="1" t="str">
        <f ca="1">IFERROR(__xludf.DUMMYFUNCTION("GOOGLETRANSLATE(English!D4844, ""en"", ""bg"")"),"атоми и молекули")</f>
        <v>атоми и молекули</v>
      </c>
      <c r="E4844" s="1" t="str">
        <f ca="1">IFERROR(__xludf.DUMMYFUNCTION("GOOGLETRANSLATE(English!E4844, ""en"", ""bg"")"),"Можете ли да ми обясните това? От кои части се състои един атом?")</f>
        <v>Можете ли да ми обясните това? От кои части се състои един атом?</v>
      </c>
      <c r="F4844" s="1" t="str">
        <f ca="1">IFERROR(__xludf.DUMMYFUNCTION("GOOGLETRANSLATE(English!F4844, ""en"", ""bg"")"),"Атомите имат три основни части: протони (положителен заряд), неутрони (без заряд) и електрони (отрицателен заряд).")</f>
        <v>Атомите имат три основни части: протони (положителен заряд), неутрони (без заряд) и електрони (отрицателен заряд).</v>
      </c>
      <c r="G4844" s="1" t="str">
        <f ca="1">IFERROR(__xludf.DUMMYFUNCTION("GOOGLETRANSLATE(English!G4844, ""en"", ""bg"")"),"разговор")</f>
        <v>разговор</v>
      </c>
      <c r="H4844" s="1" t="str">
        <f ca="1">IFERROR(__xludf.DUMMYFUNCTION("GOOGLETRANSLATE(English!H4844, ""en"", ""bg"")"),"образователна_помощ")</f>
        <v>образователна_помощ</v>
      </c>
    </row>
    <row r="4845" spans="1:8" ht="13.2" x14ac:dyDescent="0.25">
      <c r="A4845" s="1" t="str">
        <f ca="1">IFERROR(__xludf.DUMMYFUNCTION("GOOGLETRANSLATE(English!A4845, ""en"", ""bg"")"),"hw_09659")</f>
        <v>hw_09659</v>
      </c>
      <c r="B4845" s="1" t="str">
        <f ca="1">IFERROR(__xludf.DUMMYFUNCTION("GOOGLETRANSLATE(English!B4845, ""en"", ""bg"")"),"химия")</f>
        <v>химия</v>
      </c>
      <c r="C4845" s="1" t="str">
        <f ca="1">IFERROR(__xludf.DUMMYFUNCTION("GOOGLETRANSLATE(English!C4845, ""en"", ""bg"")"),"високо")</f>
        <v>високо</v>
      </c>
      <c r="D4845" s="1" t="str">
        <f ca="1">IFERROR(__xludf.DUMMYFUNCTION("GOOGLETRANSLATE(English!D4845, ""en"", ""bg"")"),"електрохимия")</f>
        <v>електрохимия</v>
      </c>
      <c r="E4845" s="1" t="str">
        <f ca="1">IFERROR(__xludf.DUMMYFUNCTION("GOOGLETRANSLATE(English!E4845, ""en"", ""bg"")"),"Моят доклад по химия е за електрохимия. Помогнете ми да разбера.")</f>
        <v>Моят доклад по химия е за електрохимия. Помогнете ми да разбера.</v>
      </c>
      <c r="F4845" s="1" t="str">
        <f ca="1">IFERROR(__xludf.DUMMYFUNCTION("GOOGLETRANSLATE(English!F4845, ""en"", ""bg"")"),"Ще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започнете"&amp;"?")</f>
        <v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v>
      </c>
      <c r="G4845" s="1" t="str">
        <f ca="1">IFERROR(__xludf.DUMMYFUNCTION("GOOGLETRANSLATE(English!G4845, ""en"", ""bg"")"),"помощ_за_домашно_изпълнение")</f>
        <v>помощ_за_домашно_изпълнение</v>
      </c>
      <c r="H4845" s="1" t="str">
        <f ca="1">IFERROR(__xludf.DUMMYFUNCTION("GOOGLETRANSLATE(English!H4845, ""en"", ""bg"")"),"помощ_за_домашно_задаване")</f>
        <v>помощ_за_домашно_задаване</v>
      </c>
    </row>
    <row r="4846" spans="1:8" ht="13.2" x14ac:dyDescent="0.25">
      <c r="A4846" s="1" t="str">
        <f ca="1">IFERROR(__xludf.DUMMYFUNCTION("GOOGLETRANSLATE(English!A4846, ""en"", ""bg"")"),"qa_05273")</f>
        <v>qa_05273</v>
      </c>
      <c r="B4846" s="1" t="str">
        <f ca="1">IFERROR(__xludf.DUMMYFUNCTION("GOOGLETRANSLATE(English!B4846, ""en"", ""bg"")"),"физика")</f>
        <v>физика</v>
      </c>
      <c r="C4846" s="1" t="str">
        <f ca="1">IFERROR(__xludf.DUMMYFUNCTION("GOOGLETRANSLATE(English!C4846, ""en"", ""bg"")"),"елементарен")</f>
        <v>елементарен</v>
      </c>
      <c r="D4846" s="1" t="str">
        <f ca="1">IFERROR(__xludf.DUMMYFUNCTION("GOOGLETRANSLATE(English!D4846, ""en"", ""bg"")"),"горещо и студено")</f>
        <v>горещо и студено</v>
      </c>
      <c r="E4846" s="1" t="str">
        <f ca="1">IFERROR(__xludf.DUMMYFUNCTION("GOOGLETRANSLATE(English!E4846, ""en"", ""bg"")"),"Можете ли да ми обясните какво е топло и студено?")</f>
        <v>Можете ли да ми обясните какво е топло и студено?</v>
      </c>
      <c r="F4846" s="1" t="str">
        <f ca="1">IFERROR(__xludf.DUMMYFUNCTION("GOOGLETRANSLATE(English!F4846, ""en"", ""bg"")"),"Топлината и студът са интересна физическа концепция, която ни помага да разберем как работят нещата в нашия свят!")</f>
        <v>Топлината и студът са интересна физическа концепция, която ни помага да разберем как работят нещата в нашия свят!</v>
      </c>
      <c r="G4846" s="1" t="str">
        <f ca="1">IFERROR(__xludf.DUMMYFUNCTION("GOOGLETRANSLATE(English!G4846, ""en"", ""bg"")"),"direct_qa")</f>
        <v>direct_qa</v>
      </c>
      <c r="H4846" s="1" t="str">
        <f ca="1">IFERROR(__xludf.DUMMYFUNCTION("GOOGLETRANSLATE(English!H4846, ""en"", ""bg"")"),"заявка_за_знание")</f>
        <v>заявка_за_знание</v>
      </c>
    </row>
    <row r="4847" spans="1:8" ht="13.2" x14ac:dyDescent="0.25">
      <c r="A4847" s="1" t="str">
        <f ca="1">IFERROR(__xludf.DUMMYFUNCTION("GOOGLETRANSLATE(English!A4847, ""en"", ""bg"")"),"qa_07110")</f>
        <v>qa_07110</v>
      </c>
      <c r="B4847" s="1" t="str">
        <f ca="1">IFERROR(__xludf.DUMMYFUNCTION("GOOGLETRANSLATE(English!B4847, ""en"", ""bg"")"),"биология")</f>
        <v>биология</v>
      </c>
      <c r="C4847" s="1" t="str">
        <f ca="1">IFERROR(__xludf.DUMMYFUNCTION("GOOGLETRANSLATE(English!C4847, ""en"", ""bg"")"),"елементарен")</f>
        <v>елементарен</v>
      </c>
      <c r="D4847" s="1" t="str">
        <f ca="1">IFERROR(__xludf.DUMMYFUNCTION("GOOGLETRANSLATE(English!D4847, ""en"", ""bg"")"),"растения")</f>
        <v>растения</v>
      </c>
      <c r="E4847" s="1" t="str">
        <f ca="1">IFERROR(__xludf.DUMMYFUNCTION("GOOGLETRANSLATE(English!E4847, ""en"", ""bg"")"),"От какво се нуждаят растенията, за да растат?")</f>
        <v>От какво се нуждаят растенията, за да растат?</v>
      </c>
      <c r="F4847" s="1" t="str">
        <f ca="1">IFERROR(__xludf.DUMMYFUNCTION("GOOGLETRANSLATE(English!F4847, ""en"", ""bg"")"),"Растенията се нуждаят от слънчева светлина, вода, въздух и хранителни вещества от почвата, за да растат големи и силни!")</f>
        <v>Растенията се нуждаят от слънчева светлина, вода, въздух и хранителни вещества от почвата, за да растат големи и силни!</v>
      </c>
      <c r="G4847" s="1" t="str">
        <f ca="1">IFERROR(__xludf.DUMMYFUNCTION("GOOGLETRANSLATE(English!G4847, ""en"", ""bg"")"),"direct_qa")</f>
        <v>direct_qa</v>
      </c>
      <c r="H4847" s="1" t="str">
        <f ca="1">IFERROR(__xludf.DUMMYFUNCTION("GOOGLETRANSLATE(English!H4847, ""en"", ""bg"")"),"заявка_за_знание")</f>
        <v>заявка_за_знание</v>
      </c>
    </row>
    <row r="4848" spans="1:8" ht="13.2" x14ac:dyDescent="0.25">
      <c r="A4848" s="1" t="str">
        <f ca="1">IFERROR(__xludf.DUMMYFUNCTION("GOOGLETRANSLATE(English!A4848, ""en"", ""bg"")"),"hw_12206")</f>
        <v>hw_12206</v>
      </c>
      <c r="B4848" s="1" t="str">
        <f ca="1">IFERROR(__xludf.DUMMYFUNCTION("GOOGLETRANSLATE(English!B4848, ""en"", ""bg"")"),"биология")</f>
        <v>биология</v>
      </c>
      <c r="C4848" s="1" t="str">
        <f ca="1">IFERROR(__xludf.DUMMYFUNCTION("GOOGLETRANSLATE(English!C4848, ""en"", ""bg"")"),"средата")</f>
        <v>средата</v>
      </c>
      <c r="D4848" s="1" t="str">
        <f ca="1">IFERROR(__xludf.DUMMYFUNCTION("GOOGLETRANSLATE(English!D4848, ""en"", ""bg"")"),"основи на генетиката")</f>
        <v>основи на генетиката</v>
      </c>
      <c r="E4848" s="1" t="str">
        <f ca="1">IFERROR(__xludf.DUMMYFUNCTION("GOOGLETRANSLATE(English!E4848, ""en"", ""bg"")"),"Можете ли да обясните основите на генетиката за моя научен проект?")</f>
        <v>Можете ли да обясните основите на генетиката за моя научен проект?</v>
      </c>
      <c r="F4848" s="1" t="str">
        <f ca="1">IFERROR(__xludf.DUMMYFUNCTION("GOOGLETRANSLATE(English!F4848, ""en"", ""bg"")"),"Ще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v>
      </c>
      <c r="G4848" s="1" t="str">
        <f ca="1">IFERROR(__xludf.DUMMYFUNCTION("GOOGLETRANSLATE(English!G4848, ""en"", ""bg"")"),"помощ_за_домашно_изпълнение")</f>
        <v>помощ_за_домашно_изпълнение</v>
      </c>
      <c r="H4848" s="1" t="str">
        <f ca="1">IFERROR(__xludf.DUMMYFUNCTION("GOOGLETRANSLATE(English!H4848, ""en"", ""bg"")"),"помощ_за_домашно_задаване")</f>
        <v>помощ_за_домашно_задаване</v>
      </c>
    </row>
    <row r="4849" spans="1:8" ht="13.2" x14ac:dyDescent="0.25">
      <c r="A4849" s="1" t="str">
        <f ca="1">IFERROR(__xludf.DUMMYFUNCTION("GOOGLETRANSLATE(English!A4849, ""en"", ""bg"")"),"hw_08124")</f>
        <v>hw_08124</v>
      </c>
      <c r="B4849" s="1" t="str">
        <f ca="1">IFERROR(__xludf.DUMMYFUNCTION("GOOGLETRANSLATE(English!B4849, ""en"", ""bg"")"),"химия")</f>
        <v>химия</v>
      </c>
      <c r="C4849" s="1" t="str">
        <f ca="1">IFERROR(__xludf.DUMMYFUNCTION("GOOGLETRANSLATE(English!C4849, ""en"", ""bg"")"),"елементарен")</f>
        <v>елементарен</v>
      </c>
      <c r="D4849" s="1" t="str">
        <f ca="1">IFERROR(__xludf.DUMMYFUNCTION("GOOGLETRANSLATE(English!D4849, ""en"", ""bg"")"),"безопасност")</f>
        <v>безопасност</v>
      </c>
      <c r="E4849" s="1" t="str">
        <f ca="1">IFERROR(__xludf.DUMMYFUNCTION("GOOGLETRANSLATE(English!E4849, ""en"", ""bg"")"),"Докладът ми по химия е за безопасността. Помогнете ми да разбера.")</f>
        <v>Докладът ми по химия е за безопасността. Помогнете ми да разбера.</v>
      </c>
      <c r="F4849" s="1" t="str">
        <f ca="1">IFERROR(__xludf.DUMMYFUNCTION("GOOGLETRANSLATE(English!F4849, ""en"", ""bg"")"),"Ще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започнете?")</f>
        <v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v>
      </c>
      <c r="G4849" s="1" t="str">
        <f ca="1">IFERROR(__xludf.DUMMYFUNCTION("GOOGLETRANSLATE(English!G4849, ""en"", ""bg"")"),"помощ_за_домашно_изпълнение")</f>
        <v>помощ_за_домашно_изпълнение</v>
      </c>
      <c r="H4849" s="1" t="str">
        <f ca="1">IFERROR(__xludf.DUMMYFUNCTION("GOOGLETRANSLATE(English!H4849, ""en"", ""bg"")"),"помощ_за_домашно_задаване")</f>
        <v>помощ_за_домашно_задаване</v>
      </c>
    </row>
    <row r="4850" spans="1:8" ht="13.2" x14ac:dyDescent="0.25">
      <c r="A4850" s="1" t="str">
        <f ca="1">IFERROR(__xludf.DUMMYFUNCTION("GOOGLETRANSLATE(English!A4850, ""en"", ""bg"")"),"hw_14590")</f>
        <v>hw_14590</v>
      </c>
      <c r="B4850" s="1" t="str">
        <f ca="1">IFERROR(__xludf.DUMMYFUNCTION("GOOGLETRANSLATE(English!B4850, ""en"", ""bg"")"),"биология")</f>
        <v>биология</v>
      </c>
      <c r="C4850" s="1" t="str">
        <f ca="1">IFERROR(__xludf.DUMMYFUNCTION("GOOGLETRANSLATE(English!C4850, ""en"", ""bg"")"),"високо")</f>
        <v>високо</v>
      </c>
      <c r="D4850" s="1" t="str">
        <f ca="1">IFERROR(__xludf.DUMMYFUNCTION("GOOGLETRANSLATE(English!D4850, ""en"", ""bg"")"),"клетъчно дишане")</f>
        <v>клетъчно дишане</v>
      </c>
      <c r="E4850" s="1" t="str">
        <f ca="1">IFERROR(__xludf.DUMMYFUNCTION("GOOGLETRANSLATE(English!E4850, ""en"", ""bg"")"),"Домашното ми пита за клетъчното дишане. Не го разбирам.")</f>
        <v>Домашното ми пита за клетъчното дишане. Не го разбирам.</v>
      </c>
      <c r="F4850" s="1" t="str">
        <f ca="1">IFERROR(__xludf.DUMMYFUNCTION("GOOGLETRANSLATE(English!F4850,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4850" s="1" t="str">
        <f ca="1">IFERROR(__xludf.DUMMYFUNCTION("GOOGLETRANSLATE(English!G4850, ""en"", ""bg"")"),"помощ_за_домашно_изпълнение")</f>
        <v>помощ_за_домашно_изпълнение</v>
      </c>
      <c r="H4850" s="1" t="str">
        <f ca="1">IFERROR(__xludf.DUMMYFUNCTION("GOOGLETRANSLATE(English!H4850, ""en"", ""bg"")"),"помощ_за_домашно_задаване")</f>
        <v>помощ_за_домашно_задаване</v>
      </c>
    </row>
    <row r="4851" spans="1:8" ht="13.2" x14ac:dyDescent="0.25">
      <c r="A4851" s="1" t="str">
        <f ca="1">IFERROR(__xludf.DUMMYFUNCTION("GOOGLETRANSLATE(English!A4851, ""en"", ""bg"")"),"qa_04736")</f>
        <v>qa_04736</v>
      </c>
      <c r="B4851" s="1" t="str">
        <f ca="1">IFERROR(__xludf.DUMMYFUNCTION("GOOGLETRANSLATE(English!B4851, ""en"", ""bg"")"),"химия")</f>
        <v>химия</v>
      </c>
      <c r="C4851" s="1" t="str">
        <f ca="1">IFERROR(__xludf.DUMMYFUNCTION("GOOGLETRANSLATE(English!C4851, ""en"", ""bg"")"),"елементарен")</f>
        <v>елементарен</v>
      </c>
      <c r="D4851" s="1" t="str">
        <f ca="1">IFERROR(__xludf.DUMMYFUNCTION("GOOGLETRANSLATE(English!D4851, ""en"", ""bg"")"),"разтваряне")</f>
        <v>разтваряне</v>
      </c>
      <c r="E4851" s="1" t="str">
        <f ca="1">IFERROR(__xludf.DUMMYFUNCTION("GOOGLETRANSLATE(English!E4851, ""en"", ""bg"")"),"Защо е важно да се научим да разтваряме?")</f>
        <v>Защо е важно да се научим да разтваряме?</v>
      </c>
      <c r="F4851" s="1" t="str">
        <f ca="1">IFERROR(__xludf.DUMMYFUNCTION("GOOGLETRANSLATE(English!F4851,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4851" s="1" t="str">
        <f ca="1">IFERROR(__xludf.DUMMYFUNCTION("GOOGLETRANSLATE(English!G4851, ""en"", ""bg"")"),"direct_qa")</f>
        <v>direct_qa</v>
      </c>
      <c r="H4851" s="1" t="str">
        <f ca="1">IFERROR(__xludf.DUMMYFUNCTION("GOOGLETRANSLATE(English!H4851, ""en"", ""bg"")"),"заявка_за_знание")</f>
        <v>заявка_за_знание</v>
      </c>
    </row>
    <row r="4852" spans="1:8" ht="13.2" x14ac:dyDescent="0.25">
      <c r="A4852" s="1" t="str">
        <f ca="1">IFERROR(__xludf.DUMMYFUNCTION("GOOGLETRANSLATE(English!A4852, ""en"", ""bg"")"),"hw_13378")</f>
        <v>hw_13378</v>
      </c>
      <c r="B4852" s="1" t="str">
        <f ca="1">IFERROR(__xludf.DUMMYFUNCTION("GOOGLETRANSLATE(English!B4852, ""en"", ""bg"")"),"химия")</f>
        <v>химия</v>
      </c>
      <c r="C4852" s="1" t="str">
        <f ca="1">IFERROR(__xludf.DUMMYFUNCTION("GOOGLETRANSLATE(English!C4852, ""en"", ""bg"")"),"средата")</f>
        <v>средата</v>
      </c>
      <c r="D4852" s="1" t="str">
        <f ca="1">IFERROR(__xludf.DUMMYFUNCTION("GOOGLETRANSLATE(English!D4852, ""en"", ""bg"")"),"киселини и основи")</f>
        <v>киселини и основи</v>
      </c>
      <c r="E4852" s="1" t="str">
        <f ca="1">IFERROR(__xludf.DUMMYFUNCTION("GOOGLETRANSLATE(English!E4852,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4852" s="1" t="str">
        <f ca="1">IFERROR(__xludf.DUMMYFUNCTION("GOOGLETRANSLATE(English!F4852,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852" s="1" t="str">
        <f ca="1">IFERROR(__xludf.DUMMYFUNCTION("GOOGLETRANSLATE(English!G4852, ""en"", ""bg"")"),"помощ_за_домашно_изпълнение")</f>
        <v>помощ_за_домашно_изпълнение</v>
      </c>
      <c r="H4852" s="1" t="str">
        <f ca="1">IFERROR(__xludf.DUMMYFUNCTION("GOOGLETRANSLATE(English!H4852, ""en"", ""bg"")"),"помощ_за_домашно_задаване")</f>
        <v>помощ_за_домашно_задаване</v>
      </c>
    </row>
    <row r="4853" spans="1:8" ht="13.2" x14ac:dyDescent="0.25">
      <c r="A4853" s="1" t="str">
        <f ca="1">IFERROR(__xludf.DUMMYFUNCTION("GOOGLETRANSLATE(English!A4853, ""en"", ""bg"")"),"conv_14503")</f>
        <v>conv_14503</v>
      </c>
      <c r="B4853" s="1" t="str">
        <f ca="1">IFERROR(__xludf.DUMMYFUNCTION("GOOGLETRANSLATE(English!B4853, ""en"", ""bg"")"),"физика")</f>
        <v>физика</v>
      </c>
      <c r="C4853" s="1" t="str">
        <f ca="1">IFERROR(__xludf.DUMMYFUNCTION("GOOGLETRANSLATE(English!C4853, ""en"", ""bg"")"),"високо")</f>
        <v>високо</v>
      </c>
      <c r="D4853" s="1" t="str">
        <f ca="1">IFERROR(__xludf.DUMMYFUNCTION("GOOGLETRANSLATE(English!D4853, ""en"", ""bg"")"),"атомна структура")</f>
        <v>атомна структура</v>
      </c>
      <c r="E4853" s="1" t="str">
        <f ca="1">IFERROR(__xludf.DUMMYFUNCTION("GOOGLETRANSLATE(English!E4853, ""en"", ""bg"")"),"Имам научен въпрос. Как работи атомната структура във физиката?")</f>
        <v>Имам научен въпрос. Как работи атомната структура във физиката?</v>
      </c>
      <c r="F4853" s="1" t="str">
        <f ca="1">IFERROR(__xludf.DUMMYFUNCTION("GOOGLETRANSLATE(English!F4853, ""en"", ""bg"")"),"Атомната структура работи според научни принципи, които можем да наблюдаваме и измерваме.")</f>
        <v>Атомната структура работи според научни принципи, които можем да наблюдаваме и измерваме.</v>
      </c>
      <c r="G4853" s="1" t="str">
        <f ca="1">IFERROR(__xludf.DUMMYFUNCTION("GOOGLETRANSLATE(English!G4853, ""en"", ""bg"")"),"разговор")</f>
        <v>разговор</v>
      </c>
      <c r="H4853" s="1" t="str">
        <f ca="1">IFERROR(__xludf.DUMMYFUNCTION("GOOGLETRANSLATE(English!H4853, ""en"", ""bg"")"),"образователна_помощ")</f>
        <v>образователна_помощ</v>
      </c>
    </row>
    <row r="4854" spans="1:8" ht="13.2" x14ac:dyDescent="0.25">
      <c r="A4854" s="1" t="str">
        <f ca="1">IFERROR(__xludf.DUMMYFUNCTION("GOOGLETRANSLATE(English!A4854, ""en"", ""bg"")"),"conv_10161")</f>
        <v>conv_10161</v>
      </c>
      <c r="B4854" s="1" t="str">
        <f ca="1">IFERROR(__xludf.DUMMYFUNCTION("GOOGLETRANSLATE(English!B4854, ""en"", ""bg"")"),"химия")</f>
        <v>химия</v>
      </c>
      <c r="C4854" s="1" t="str">
        <f ca="1">IFERROR(__xludf.DUMMYFUNCTION("GOOGLETRANSLATE(English!C4854, ""en"", ""bg"")"),"средата")</f>
        <v>средата</v>
      </c>
      <c r="D4854" s="1" t="str">
        <f ca="1">IFERROR(__xludf.DUMMYFUNCTION("GOOGLETRANSLATE(English!D4854, ""en"", ""bg"")"),"атоми и молекули")</f>
        <v>атоми и молекули</v>
      </c>
      <c r="E4854" s="1" t="str">
        <f ca="1">IFERROR(__xludf.DUMMYFUNCTION("GOOGLETRANSLATE(English!E4854, ""en"", ""bg"")"),"Имам научен въпрос. Защо атомите се свързват?")</f>
        <v>Имам научен въпрос. Защо атомите се свързват?</v>
      </c>
      <c r="F4854" s="1" t="str">
        <f ca="1">IFERROR(__xludf.DUMMYFUNCTION("GOOGLETRANSLATE(English!F4854, ""en"", ""bg"")"),"Атомите се свързват помежду си, за да станат по-стабилни и да споделят или обменят електрони във външните си обвивки.")</f>
        <v>Атомите се свързват помежду си, за да станат по-стабилни и да споделят или обменят електрони във външните си обвивки.</v>
      </c>
      <c r="G4854" s="1" t="str">
        <f ca="1">IFERROR(__xludf.DUMMYFUNCTION("GOOGLETRANSLATE(English!G4854, ""en"", ""bg"")"),"разговор")</f>
        <v>разговор</v>
      </c>
      <c r="H4854" s="1" t="str">
        <f ca="1">IFERROR(__xludf.DUMMYFUNCTION("GOOGLETRANSLATE(English!H4854, ""en"", ""bg"")"),"образователна_помощ")</f>
        <v>образователна_помощ</v>
      </c>
    </row>
    <row r="4855" spans="1:8" ht="13.2" x14ac:dyDescent="0.25">
      <c r="A4855" s="1" t="str">
        <f ca="1">IFERROR(__xludf.DUMMYFUNCTION("GOOGLETRANSLATE(English!A4855, ""en"", ""bg"")"),"qa_12878")</f>
        <v>qa_12878</v>
      </c>
      <c r="B4855" s="1" t="str">
        <f ca="1">IFERROR(__xludf.DUMMYFUNCTION("GOOGLETRANSLATE(English!B4855, ""en"", ""bg"")"),"физика")</f>
        <v>физика</v>
      </c>
      <c r="C4855" s="1" t="str">
        <f ca="1">IFERROR(__xludf.DUMMYFUNCTION("GOOGLETRANSLATE(English!C4855, ""en"", ""bg"")"),"средата")</f>
        <v>средата</v>
      </c>
      <c r="D4855" s="1" t="str">
        <f ca="1">IFERROR(__xludf.DUMMYFUNCTION("GOOGLETRANSLATE(English!D4855, ""en"", ""bg"")"),"състояния на материята")</f>
        <v>състояния на материята</v>
      </c>
      <c r="E4855" s="1" t="str">
        <f ca="1">IFERROR(__xludf.DUMMYFUNCTION("GOOGLETRANSLATE(English!E4855, ""en"", ""bg"")"),"Какво трябва да знам за състоянията на материята?")</f>
        <v>Какво трябва да знам за състоянията на материята?</v>
      </c>
      <c r="F4855" s="1" t="str">
        <f ca="1">IFERROR(__xludf.DUMMYFUNCTION("GOOGLETRANSLATE(English!F4855, ""en"", ""bg"")"),"Ключовото нещо за състоянията на материята е как тя следва законите на физиката, които управляват нашата вселена.")</f>
        <v>Ключовото нещо за състоянията на материята е как тя следва законите на физиката, които управляват нашата вселена.</v>
      </c>
      <c r="G4855" s="1" t="str">
        <f ca="1">IFERROR(__xludf.DUMMYFUNCTION("GOOGLETRANSLATE(English!G4855, ""en"", ""bg"")"),"direct_qa")</f>
        <v>direct_qa</v>
      </c>
      <c r="H4855" s="1" t="str">
        <f ca="1">IFERROR(__xludf.DUMMYFUNCTION("GOOGLETRANSLATE(English!H4855, ""en"", ""bg"")"),"заявка_за_знание")</f>
        <v>заявка_за_знание</v>
      </c>
    </row>
    <row r="4856" spans="1:8" ht="13.2" x14ac:dyDescent="0.25">
      <c r="A4856" s="1" t="str">
        <f ca="1">IFERROR(__xludf.DUMMYFUNCTION("GOOGLETRANSLATE(English!A4856, ""en"", ""bg"")"),"hw_13096")</f>
        <v>hw_13096</v>
      </c>
      <c r="B4856" s="1" t="str">
        <f ca="1">IFERROR(__xludf.DUMMYFUNCTION("GOOGLETRANSLATE(English!B4856, ""en"", ""bg"")"),"физика")</f>
        <v>физика</v>
      </c>
      <c r="C4856" s="1" t="str">
        <f ca="1">IFERROR(__xludf.DUMMYFUNCTION("GOOGLETRANSLATE(English!C4856, ""en"", ""bg"")"),"средата")</f>
        <v>средата</v>
      </c>
      <c r="D4856" s="1" t="str">
        <f ca="1">IFERROR(__xludf.DUMMYFUNCTION("GOOGLETRANSLATE(English!D4856, ""en"", ""bg"")"),"плътност")</f>
        <v>плътност</v>
      </c>
      <c r="E4856" s="1" t="str">
        <f ca="1">IFERROR(__xludf.DUMMYFUNCTION("GOOGLETRANSLATE(English!E4856, ""en"", ""bg"")"),"Домашното ми по физика е за плътността. Объркващо е!")</f>
        <v>Домашното ми по физика е за плътността. Объркващо е!</v>
      </c>
      <c r="F4856" s="1" t="str">
        <f ca="1">IFERROR(__xludf.DUMMYFUNCTION("GOOGLETRANSLATE(English!F4856,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4856" s="1" t="str">
        <f ca="1">IFERROR(__xludf.DUMMYFUNCTION("GOOGLETRANSLATE(English!G4856, ""en"", ""bg"")"),"помощ_за_домашно_изпълнение")</f>
        <v>помощ_за_домашно_изпълнение</v>
      </c>
      <c r="H4856" s="1" t="str">
        <f ca="1">IFERROR(__xludf.DUMMYFUNCTION("GOOGLETRANSLATE(English!H4856, ""en"", ""bg"")"),"помощ_за_домашно_задаване")</f>
        <v>помощ_за_домашно_задаване</v>
      </c>
    </row>
    <row r="4857" spans="1:8" ht="13.2" x14ac:dyDescent="0.25">
      <c r="A4857" s="1" t="str">
        <f ca="1">IFERROR(__xludf.DUMMYFUNCTION("GOOGLETRANSLATE(English!A4857, ""en"", ""bg"")"),"qa_01211")</f>
        <v>qa_01211</v>
      </c>
      <c r="B4857" s="1" t="str">
        <f ca="1">IFERROR(__xludf.DUMMYFUNCTION("GOOGLETRANSLATE(English!B4857, ""en"", ""bg"")"),"физика")</f>
        <v>физика</v>
      </c>
      <c r="C4857" s="1" t="str">
        <f ca="1">IFERROR(__xludf.DUMMYFUNCTION("GOOGLETRANSLATE(English!C4857, ""en"", ""bg"")"),"високо")</f>
        <v>високо</v>
      </c>
      <c r="D4857" s="1" t="str">
        <f ca="1">IFERROR(__xludf.DUMMYFUNCTION("GOOGLETRANSLATE(English!D4857, ""en"", ""bg"")"),"атомна структура")</f>
        <v>атомна структура</v>
      </c>
      <c r="E4857" s="1" t="str">
        <f ca="1">IFERROR(__xludf.DUMMYFUNCTION("GOOGLETRANSLATE(English!E4857, ""en"", ""bg"")"),"Защо атомната структура е важна?")</f>
        <v>Защо атомната структура е важна?</v>
      </c>
      <c r="F4857" s="1" t="str">
        <f ca="1">IFERROR(__xludf.DUMMYFUNCTION("GOOGLETRANSLATE(English!F4857, ""en"", ""bg"")"),"Атомната структура е важна, защото ни помага да разберем физическия свят около нас.")</f>
        <v>Атомната структура е важна, защото ни помага да разберем физическия свят около нас.</v>
      </c>
      <c r="G4857" s="1" t="str">
        <f ca="1">IFERROR(__xludf.DUMMYFUNCTION("GOOGLETRANSLATE(English!G4857, ""en"", ""bg"")"),"direct_qa")</f>
        <v>direct_qa</v>
      </c>
      <c r="H4857" s="1" t="str">
        <f ca="1">IFERROR(__xludf.DUMMYFUNCTION("GOOGLETRANSLATE(English!H4857, ""en"", ""bg"")"),"заявка_за_знание")</f>
        <v>заявка_за_знание</v>
      </c>
    </row>
    <row r="4858" spans="1:8" ht="13.2" x14ac:dyDescent="0.25">
      <c r="A4858" s="1" t="str">
        <f ca="1">IFERROR(__xludf.DUMMYFUNCTION("GOOGLETRANSLATE(English!A4858, ""en"", ""bg"")"),"hw_04296")</f>
        <v>hw_04296</v>
      </c>
      <c r="B4858" s="1" t="str">
        <f ca="1">IFERROR(__xludf.DUMMYFUNCTION("GOOGLETRANSLATE(English!B4858, ""en"", ""bg"")"),"химия")</f>
        <v>химия</v>
      </c>
      <c r="C4858" s="1" t="str">
        <f ca="1">IFERROR(__xludf.DUMMYFUNCTION("GOOGLETRANSLATE(English!C4858, ""en"", ""bg"")"),"средата")</f>
        <v>средата</v>
      </c>
      <c r="D4858" s="1" t="str">
        <f ca="1">IFERROR(__xludf.DUMMYFUNCTION("GOOGLETRANSLATE(English!D4858, ""en"", ""bg"")"),"киселини и основи")</f>
        <v>киселини и основи</v>
      </c>
      <c r="E4858" s="1" t="str">
        <f ca="1">IFERROR(__xludf.DUMMYFUNCTION("GOOGLETRANSLATE(English!E4858, ""en"", ""bg"")"),"Имам затруднения с киселините и основите в домашното си.")</f>
        <v>Имам затруднения с киселините и основите в домашното си.</v>
      </c>
      <c r="F4858" s="1" t="str">
        <f ca="1">IFERROR(__xludf.DUMMYFUNCTION("GOOGLETRANSLATE(English!F4858,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858" s="1" t="str">
        <f ca="1">IFERROR(__xludf.DUMMYFUNCTION("GOOGLETRANSLATE(English!G4858, ""en"", ""bg"")"),"помощ_за_домашно_изпълнение")</f>
        <v>помощ_за_домашно_изпълнение</v>
      </c>
      <c r="H4858" s="1" t="str">
        <f ca="1">IFERROR(__xludf.DUMMYFUNCTION("GOOGLETRANSLATE(English!H4858, ""en"", ""bg"")"),"помощ_за_домашно_задаване")</f>
        <v>помощ_за_домашно_задаване</v>
      </c>
    </row>
    <row r="4859" spans="1:8" ht="13.2" x14ac:dyDescent="0.25">
      <c r="A4859" s="1" t="str">
        <f ca="1">IFERROR(__xludf.DUMMYFUNCTION("GOOGLETRANSLATE(English!A4859, ""en"", ""bg"")"),"hw_12787")</f>
        <v>hw_12787</v>
      </c>
      <c r="B4859" s="1" t="str">
        <f ca="1">IFERROR(__xludf.DUMMYFUNCTION("GOOGLETRANSLATE(English!B4859, ""en"", ""bg"")"),"физика")</f>
        <v>физика</v>
      </c>
      <c r="C4859" s="1" t="str">
        <f ca="1">IFERROR(__xludf.DUMMYFUNCTION("GOOGLETRANSLATE(English!C4859, ""en"", ""bg"")"),"средата")</f>
        <v>средата</v>
      </c>
      <c r="D4859" s="1" t="str">
        <f ca="1">IFERROR(__xludf.DUMMYFUNCTION("GOOGLETRANSLATE(English!D4859, ""en"", ""bg"")"),"вълни")</f>
        <v>вълни</v>
      </c>
      <c r="E4859" s="1" t="str">
        <f ca="1">IFERROR(__xludf.DUMMYFUNCTION("GOOGLETRANSLATE(English!E4859, ""en"", ""bg"")"),"Можеш ли да решиш тази задача за вълните с мен?")</f>
        <v>Можеш ли да решиш тази задача за вълните с мен?</v>
      </c>
      <c r="F4859" s="1" t="str">
        <f ca="1">IFERROR(__xludf.DUMMYFUNCTION("GOOGLETRANSLATE(English!F4859,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4859" s="1" t="str">
        <f ca="1">IFERROR(__xludf.DUMMYFUNCTION("GOOGLETRANSLATE(English!G4859, ""en"", ""bg"")"),"помощ_за_домашно_изпълнение")</f>
        <v>помощ_за_домашно_изпълнение</v>
      </c>
      <c r="H4859" s="1" t="str">
        <f ca="1">IFERROR(__xludf.DUMMYFUNCTION("GOOGLETRANSLATE(English!H4859, ""en"", ""bg"")"),"помощ_за_домашно_задаване")</f>
        <v>помощ_за_домашно_задаване</v>
      </c>
    </row>
    <row r="4860" spans="1:8" ht="13.2" x14ac:dyDescent="0.25">
      <c r="A4860" s="1" t="str">
        <f ca="1">IFERROR(__xludf.DUMMYFUNCTION("GOOGLETRANSLATE(English!A4860, ""en"", ""bg"")"),"qa_04795")</f>
        <v>qa_04795</v>
      </c>
      <c r="B4860" s="1" t="str">
        <f ca="1">IFERROR(__xludf.DUMMYFUNCTION("GOOGLETRANSLATE(English!B4860, ""en"", ""bg"")"),"физика")</f>
        <v>физика</v>
      </c>
      <c r="C4860" s="1" t="str">
        <f ca="1">IFERROR(__xludf.DUMMYFUNCTION("GOOGLETRANSLATE(English!C4860, ""en"", ""bg"")"),"средата")</f>
        <v>средата</v>
      </c>
      <c r="D4860" s="1" t="str">
        <f ca="1">IFERROR(__xludf.DUMMYFUNCTION("GOOGLETRANSLATE(English!D4860, ""en"", ""bg"")"),"сили и движение")</f>
        <v>сили и движение</v>
      </c>
      <c r="E4860" s="1" t="str">
        <f ca="1">IFERROR(__xludf.DUMMYFUNCTION("GOOGLETRANSLATE(English!E4860, ""en"", ""bg"")"),"Каква е разликата между скорост и ускорение?")</f>
        <v>Каква е разликата между скорост и ускорение?</v>
      </c>
      <c r="F4860" s="1" t="str">
        <f ca="1">IFERROR(__xludf.DUMMYFUNCTION("GOOGLETRANSLATE(English!F4860, ""en"", ""bg"")"),"Скоростта е колко бързо се движи нещо, докато скоростта включва както скорост, така и посока.")</f>
        <v>Скоростта е колко бързо се движи нещо, докато скоростта включва както скорост, така и посока.</v>
      </c>
      <c r="G4860" s="1" t="str">
        <f ca="1">IFERROR(__xludf.DUMMYFUNCTION("GOOGLETRANSLATE(English!G4860, ""en"", ""bg"")"),"direct_qa")</f>
        <v>direct_qa</v>
      </c>
      <c r="H4860" s="1" t="str">
        <f ca="1">IFERROR(__xludf.DUMMYFUNCTION("GOOGLETRANSLATE(English!H4860, ""en"", ""bg"")"),"заявка_за_знание")</f>
        <v>заявка_за_знание</v>
      </c>
    </row>
    <row r="4861" spans="1:8" ht="13.2" x14ac:dyDescent="0.25">
      <c r="A4861" s="1" t="str">
        <f ca="1">IFERROR(__xludf.DUMMYFUNCTION("GOOGLETRANSLATE(English!A4861, ""en"", ""bg"")"),"conv_17527")</f>
        <v>conv_17527</v>
      </c>
      <c r="B4861" s="1" t="str">
        <f ca="1">IFERROR(__xludf.DUMMYFUNCTION("GOOGLETRANSLATE(English!B4861, ""en"", ""bg"")"),"биология")</f>
        <v>биология</v>
      </c>
      <c r="C4861" s="1" t="str">
        <f ca="1">IFERROR(__xludf.DUMMYFUNCTION("GOOGLETRANSLATE(English!C4861, ""en"", ""bg"")"),"елементарен")</f>
        <v>елементарен</v>
      </c>
      <c r="D4861" s="1" t="str">
        <f ca="1">IFERROR(__xludf.DUMMYFUNCTION("GOOGLETRANSLATE(English!D4861, ""en"", ""bg"")"),"жизнени цикли")</f>
        <v>жизнени цикли</v>
      </c>
      <c r="E4861" s="1" t="str">
        <f ca="1">IFERROR(__xludf.DUMMYFUNCTION("GOOGLETRANSLATE(English!E4861, ""en"", ""bg"")"),"Имам нужда от помощ с домашното. Защо жизнените цикли са важни в биологията?")</f>
        <v>Имам нужда от помощ с домашното. Защо жизнените цикли са важни в биологията?</v>
      </c>
      <c r="F4861" s="1" t="str">
        <f ca="1">IFERROR(__xludf.DUMMYFUNCTION("GOOGLETRANSLATE(English!F4861,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4861" s="1" t="str">
        <f ca="1">IFERROR(__xludf.DUMMYFUNCTION("GOOGLETRANSLATE(English!G4861, ""en"", ""bg"")"),"разговор")</f>
        <v>разговор</v>
      </c>
      <c r="H4861" s="1" t="str">
        <f ca="1">IFERROR(__xludf.DUMMYFUNCTION("GOOGLETRANSLATE(English!H4861, ""en"", ""bg"")"),"образователна_помощ")</f>
        <v>образователна_помощ</v>
      </c>
    </row>
    <row r="4862" spans="1:8" ht="13.2" x14ac:dyDescent="0.25">
      <c r="A4862" s="1" t="str">
        <f ca="1">IFERROR(__xludf.DUMMYFUNCTION("GOOGLETRANSLATE(English!A4862, ""en"", ""bg"")"),"conv_07609")</f>
        <v>conv_07609</v>
      </c>
      <c r="B4862" s="1" t="str">
        <f ca="1">IFERROR(__xludf.DUMMYFUNCTION("GOOGLETRANSLATE(English!B4862, ""en"", ""bg"")"),"биология")</f>
        <v>биология</v>
      </c>
      <c r="C4862" s="1" t="str">
        <f ca="1">IFERROR(__xludf.DUMMYFUNCTION("GOOGLETRANSLATE(English!C4862, ""en"", ""bg"")"),"високо")</f>
        <v>високо</v>
      </c>
      <c r="D4862" s="1" t="str">
        <f ca="1">IFERROR(__xludf.DUMMYFUNCTION("GOOGLETRANSLATE(English!D4862, ""en"", ""bg"")"),"молекулярна биология")</f>
        <v>молекулярна биология</v>
      </c>
      <c r="E4862" s="1" t="str">
        <f ca="1">IFERROR(__xludf.DUMMYFUNCTION("GOOGLETRANSLATE(English!E4862, ""en"", ""bg"")"),"Здравей, преподавателю! Можеш ли да ми кажеш нещо за молекулярната биология?")</f>
        <v>Здравей, преподавателю! Можеш ли да ми кажеш нещо за молекулярната биология?</v>
      </c>
      <c r="F4862" s="1" t="str">
        <f ca="1">IFERROR(__xludf.DUMMYFUNCTION("GOOGLETRANSLATE(English!F4862, ""en"", ""bg"")"),"Молекулярната биология е завладяваща част от биологията! Тя ни помага да разберем как функционират живите организми.")</f>
        <v>Молекулярната биология е завладяваща част от биологията! Тя ни помага да разберем как функционират живите организми.</v>
      </c>
      <c r="G4862" s="1" t="str">
        <f ca="1">IFERROR(__xludf.DUMMYFUNCTION("GOOGLETRANSLATE(English!G4862, ""en"", ""bg"")"),"разговор")</f>
        <v>разговор</v>
      </c>
      <c r="H4862" s="1" t="str">
        <f ca="1">IFERROR(__xludf.DUMMYFUNCTION("GOOGLETRANSLATE(English!H4862, ""en"", ""bg"")"),"образователна_помощ")</f>
        <v>образователна_помощ</v>
      </c>
    </row>
    <row r="4863" spans="1:8" ht="13.2" x14ac:dyDescent="0.25">
      <c r="A4863" s="1" t="str">
        <f ca="1">IFERROR(__xludf.DUMMYFUNCTION("GOOGLETRANSLATE(English!A4863, ""en"", ""bg"")"),"qa_09899")</f>
        <v>qa_09899</v>
      </c>
      <c r="B4863" s="1" t="str">
        <f ca="1">IFERROR(__xludf.DUMMYFUNCTION("GOOGLETRANSLATE(English!B4863, ""en"", ""bg"")"),"химия")</f>
        <v>химия</v>
      </c>
      <c r="C4863" s="1" t="str">
        <f ca="1">IFERROR(__xludf.DUMMYFUNCTION("GOOGLETRANSLATE(English!C4863, ""en"", ""bg"")"),"елементарен")</f>
        <v>елементарен</v>
      </c>
      <c r="D4863" s="1" t="str">
        <f ca="1">IFERROR(__xludf.DUMMYFUNCTION("GOOGLETRANSLATE(English!D4863, ""en"", ""bg"")"),"ежедневни химикали")</f>
        <v>ежедневни химикали</v>
      </c>
      <c r="E4863" s="1" t="str">
        <f ca="1">IFERROR(__xludf.DUMMYFUNCTION("GOOGLETRANSLATE(English!E4863, ""en"", ""bg"")"),"Как действат ежедневните химикали в химията?")</f>
        <v>Как действат ежедневните химикали в химията?</v>
      </c>
      <c r="F4863" s="1" t="str">
        <f ca="1">IFERROR(__xludf.DUMMYFUNCTION("GOOGLETRANSLATE(English!F4863, ""en"", ""bg"")"),"Ежедневните химикали работят според химични принципи, които обясняват как взаимодействат атомите и молекулите.")</f>
        <v>Ежедневните химикали работят според химични принципи, които обясняват как взаимодействат атомите и молекулите.</v>
      </c>
      <c r="G4863" s="1" t="str">
        <f ca="1">IFERROR(__xludf.DUMMYFUNCTION("GOOGLETRANSLATE(English!G4863, ""en"", ""bg"")"),"direct_qa")</f>
        <v>direct_qa</v>
      </c>
      <c r="H4863" s="1" t="str">
        <f ca="1">IFERROR(__xludf.DUMMYFUNCTION("GOOGLETRANSLATE(English!H4863, ""en"", ""bg"")"),"заявка_за_знание")</f>
        <v>заявка_за_знание</v>
      </c>
    </row>
    <row r="4864" spans="1:8" ht="13.2" x14ac:dyDescent="0.25">
      <c r="A4864" s="1" t="str">
        <f ca="1">IFERROR(__xludf.DUMMYFUNCTION("GOOGLETRANSLATE(English!A4864, ""en"", ""bg"")"),"conv_03337")</f>
        <v>conv_03337</v>
      </c>
      <c r="B4864" s="1" t="str">
        <f ca="1">IFERROR(__xludf.DUMMYFUNCTION("GOOGLETRANSLATE(English!B4864, ""en"", ""bg"")"),"биология")</f>
        <v>биология</v>
      </c>
      <c r="C4864" s="1" t="str">
        <f ca="1">IFERROR(__xludf.DUMMYFUNCTION("GOOGLETRANSLATE(English!C4864, ""en"", ""bg"")"),"елементарен")</f>
        <v>елементарен</v>
      </c>
      <c r="D4864" s="1" t="str">
        <f ca="1">IFERROR(__xludf.DUMMYFUNCTION("GOOGLETRANSLATE(English!D4864, ""en"", ""bg"")"),"домашни любимци срещу диви животни")</f>
        <v>домашни любимци срещу диви животни</v>
      </c>
      <c r="E4864" s="1" t="str">
        <f ca="1">IFERROR(__xludf.DUMMYFUNCTION("GOOGLETRANSLATE(English!E4864, ""en"", ""bg"")"),"Имам научен въпрос. Защо домашните любимци срещу дивите животни са важни в биологията?")</f>
        <v>Имам научен въпрос. Защо домашните любимци срещу дивите животни са важни в биологията?</v>
      </c>
      <c r="F4864" s="1" t="str">
        <f ca="1">IFERROR(__xludf.DUMMYFUNCTION("GOOGLETRANSLATE(English!F4864, ""en"", ""bg"")"),"Домашните любимци срещу дивите животни са важни, защото ни помагат да разберем живота и как живите същества оцеляват.")</f>
        <v>Домашните любимци срещу дивите животни са важни, защото ни помагат да разберем живота и как живите същества оцеляват.</v>
      </c>
      <c r="G4864" s="1" t="str">
        <f ca="1">IFERROR(__xludf.DUMMYFUNCTION("GOOGLETRANSLATE(English!G4864, ""en"", ""bg"")"),"разговор")</f>
        <v>разговор</v>
      </c>
      <c r="H4864" s="1" t="str">
        <f ca="1">IFERROR(__xludf.DUMMYFUNCTION("GOOGLETRANSLATE(English!H4864, ""en"", ""bg"")"),"образователна_помощ")</f>
        <v>образователна_помощ</v>
      </c>
    </row>
    <row r="4865" spans="1:8" ht="13.2" x14ac:dyDescent="0.25">
      <c r="A4865" s="1" t="str">
        <f ca="1">IFERROR(__xludf.DUMMYFUNCTION("GOOGLETRANSLATE(English!A4865, ""en"", ""bg"")"),"conv_11907")</f>
        <v>conv_11907</v>
      </c>
      <c r="B4865" s="1" t="str">
        <f ca="1">IFERROR(__xludf.DUMMYFUNCTION("GOOGLETRANSLATE(English!B4865, ""en"", ""bg"")"),"биология")</f>
        <v>биология</v>
      </c>
      <c r="C4865" s="1" t="str">
        <f ca="1">IFERROR(__xludf.DUMMYFUNCTION("GOOGLETRANSLATE(English!C4865, ""en"", ""bg"")"),"елементарен")</f>
        <v>елементарен</v>
      </c>
      <c r="D4865" s="1" t="str">
        <f ca="1">IFERROR(__xludf.DUMMYFUNCTION("GOOGLETRANSLATE(English!D4865, ""en"", ""bg"")"),"жизнени цикли")</f>
        <v>жизнени цикли</v>
      </c>
      <c r="E4865" s="1" t="str">
        <f ca="1">IFERROR(__xludf.DUMMYFUNCTION("GOOGLETRANSLATE(English!E4865, ""en"", ""bg"")"),"Помогнете ми да уча за теста си. Защо жизнените цикли са важни в биологията?")</f>
        <v>Помогнете ми да уча за теста си. Защо жизнените цикли са важни в биологията?</v>
      </c>
      <c r="F4865" s="1" t="str">
        <f ca="1">IFERROR(__xludf.DUMMYFUNCTION("GOOGLETRANSLATE(English!F4865, ""en"", ""bg"")"),"Жизнените цикли са важни, защото ни помагат да разберем живота и как живите същества оцеляват.")</f>
        <v>Жизнените цикли са важни, защото ни помагат да разберем живота и как живите същества оцеляват.</v>
      </c>
      <c r="G4865" s="1" t="str">
        <f ca="1">IFERROR(__xludf.DUMMYFUNCTION("GOOGLETRANSLATE(English!G4865, ""en"", ""bg"")"),"разговор")</f>
        <v>разговор</v>
      </c>
      <c r="H4865" s="1" t="str">
        <f ca="1">IFERROR(__xludf.DUMMYFUNCTION("GOOGLETRANSLATE(English!H4865, ""en"", ""bg"")"),"образователна_помощ")</f>
        <v>образователна_помощ</v>
      </c>
    </row>
    <row r="4866" spans="1:8" ht="13.2" x14ac:dyDescent="0.25">
      <c r="A4866" s="1" t="str">
        <f ca="1">IFERROR(__xludf.DUMMYFUNCTION("GOOGLETRANSLATE(English!A4866, ""en"", ""bg"")"),"qa_05519")</f>
        <v>qa_05519</v>
      </c>
      <c r="B4866" s="1" t="str">
        <f ca="1">IFERROR(__xludf.DUMMYFUNCTION("GOOGLETRANSLATE(English!B4866, ""en"", ""bg"")"),"химия")</f>
        <v>химия</v>
      </c>
      <c r="C4866" s="1" t="str">
        <f ca="1">IFERROR(__xludf.DUMMYFUNCTION("GOOGLETRANSLATE(English!C4866, ""en"", ""bg"")"),"средата")</f>
        <v>средата</v>
      </c>
      <c r="D4866" s="1" t="str">
        <f ca="1">IFERROR(__xludf.DUMMYFUNCTION("GOOGLETRANSLATE(English!D4866, ""en"", ""bg"")"),"атоми и молекули")</f>
        <v>атоми и молекули</v>
      </c>
      <c r="E4866" s="1" t="str">
        <f ca="1">IFERROR(__xludf.DUMMYFUNCTION("GOOGLETRANSLATE(English!E4866, ""en"", ""bg"")"),"Какво е атом?")</f>
        <v>Какво е атом?</v>
      </c>
      <c r="F4866" s="1" t="str">
        <f ca="1">IFERROR(__xludf.DUMMYFUNCTION("GOOGLETRANSLATE(English!F4866, ""en"", ""bg"")"),"Атомът е най-малката единица от даден елемент, която все още притежава свойствата на този елемент. Той е като мъничък градивен елемент на всичко!")</f>
        <v>Атомът е най-малката единица от даден елемент, която все още притежава свойствата на този елемент. Той е като мъничък градивен елемент на всичко!</v>
      </c>
      <c r="G4866" s="1" t="str">
        <f ca="1">IFERROR(__xludf.DUMMYFUNCTION("GOOGLETRANSLATE(English!G4866, ""en"", ""bg"")"),"direct_qa")</f>
        <v>direct_qa</v>
      </c>
      <c r="H4866" s="1" t="str">
        <f ca="1">IFERROR(__xludf.DUMMYFUNCTION("GOOGLETRANSLATE(English!H4866, ""en"", ""bg"")"),"заявка_за_знание")</f>
        <v>заявка_за_знание</v>
      </c>
    </row>
    <row r="4867" spans="1:8" ht="13.2" x14ac:dyDescent="0.25">
      <c r="A4867" s="1" t="str">
        <f ca="1">IFERROR(__xludf.DUMMYFUNCTION("GOOGLETRANSLATE(English!A4867, ""en"", ""bg"")"),"conv_19231")</f>
        <v>conv_19231</v>
      </c>
      <c r="B4867" s="1" t="str">
        <f ca="1">IFERROR(__xludf.DUMMYFUNCTION("GOOGLETRANSLATE(English!B4867, ""en"", ""bg"")"),"физика")</f>
        <v>физика</v>
      </c>
      <c r="C4867" s="1" t="str">
        <f ca="1">IFERROR(__xludf.DUMMYFUNCTION("GOOGLETRANSLATE(English!C4867, ""en"", ""bg"")"),"елементарен")</f>
        <v>елементарен</v>
      </c>
      <c r="D4867" s="1" t="str">
        <f ca="1">IFERROR(__xludf.DUMMYFUNCTION("GOOGLETRANSLATE(English!D4867, ""en"", ""bg"")"),"прости машини")</f>
        <v>прости машини</v>
      </c>
      <c r="E4867" s="1" t="str">
        <f ca="1">IFERROR(__xludf.DUMMYFUNCTION("GOOGLETRANSLATE(English!E4867, ""en"", ""bg"")"),"Помогнете ми да уча за теста си. Защо простите машини са важни?")</f>
        <v>Помогнете ми да уча за теста си. Защо простите машини са важни?</v>
      </c>
      <c r="F4867" s="1" t="str">
        <f ca="1">IFERROR(__xludf.DUMMYFUNCTION("GOOGLETRANSLATE(English!F4867, ""en"", ""bg"")"),"Простите машини са важни, защото ни помагат да разберем физическия свят около нас.")</f>
        <v>Простите машини са важни, защото ни помагат да разберем физическия свят около нас.</v>
      </c>
      <c r="G4867" s="1" t="str">
        <f ca="1">IFERROR(__xludf.DUMMYFUNCTION("GOOGLETRANSLATE(English!G4867, ""en"", ""bg"")"),"разговор")</f>
        <v>разговор</v>
      </c>
      <c r="H4867" s="1" t="str">
        <f ca="1">IFERROR(__xludf.DUMMYFUNCTION("GOOGLETRANSLATE(English!H4867, ""en"", ""bg"")"),"образователна_помощ")</f>
        <v>образователна_помощ</v>
      </c>
    </row>
    <row r="4868" spans="1:8" ht="13.2" x14ac:dyDescent="0.25">
      <c r="A4868" s="1" t="str">
        <f ca="1">IFERROR(__xludf.DUMMYFUNCTION("GOOGLETRANSLATE(English!A4868, ""en"", ""bg"")"),"conv_12707")</f>
        <v>conv_12707</v>
      </c>
      <c r="B4868" s="1" t="str">
        <f ca="1">IFERROR(__xludf.DUMMYFUNCTION("GOOGLETRANSLATE(English!B4868, ""en"", ""bg"")"),"химия")</f>
        <v>химия</v>
      </c>
      <c r="C4868" s="1" t="str">
        <f ca="1">IFERROR(__xludf.DUMMYFUNCTION("GOOGLETRANSLATE(English!C4868, ""en"", ""bg"")"),"елементарен")</f>
        <v>елементарен</v>
      </c>
      <c r="D4868" s="1" t="str">
        <f ca="1">IFERROR(__xludf.DUMMYFUNCTION("GOOGLETRANSLATE(English!D4868, ""en"", ""bg"")"),"безопасност")</f>
        <v>безопасност</v>
      </c>
      <c r="E4868" s="1" t="str">
        <f ca="1">IFERROR(__xludf.DUMMYFUNCTION("GOOGLETRANSLATE(English!E4868, ""en"", ""bg"")"),"Можете ли да ми помогнете? Как работи безопасността в химията?")</f>
        <v>Можете ли да ми помогнете? Как работи безопасността в химията?</v>
      </c>
      <c r="F4868" s="1" t="str">
        <f ca="1">IFERROR(__xludf.DUMMYFUNCTION("GOOGLETRANSLATE(English!F4868,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4868" s="1" t="str">
        <f ca="1">IFERROR(__xludf.DUMMYFUNCTION("GOOGLETRANSLATE(English!G4868, ""en"", ""bg"")"),"разговор")</f>
        <v>разговор</v>
      </c>
      <c r="H4868" s="1" t="str">
        <f ca="1">IFERROR(__xludf.DUMMYFUNCTION("GOOGLETRANSLATE(English!H4868, ""en"", ""bg"")"),"образователна_помощ")</f>
        <v>образователна_помощ</v>
      </c>
    </row>
    <row r="4869" spans="1:8" ht="13.2" x14ac:dyDescent="0.25">
      <c r="A4869" s="1" t="str">
        <f ca="1">IFERROR(__xludf.DUMMYFUNCTION("GOOGLETRANSLATE(English!A4869, ""en"", ""bg"")"),"conv_00567")</f>
        <v>conv_00567</v>
      </c>
      <c r="B4869" s="1" t="str">
        <f ca="1">IFERROR(__xludf.DUMMYFUNCTION("GOOGLETRANSLATE(English!B4869, ""en"", ""bg"")"),"биология")</f>
        <v>биология</v>
      </c>
      <c r="C4869" s="1" t="str">
        <f ca="1">IFERROR(__xludf.DUMMYFUNCTION("GOOGLETRANSLATE(English!C4869, ""en"", ""bg"")"),"средата")</f>
        <v>средата</v>
      </c>
      <c r="D4869" s="1" t="str">
        <f ca="1">IFERROR(__xludf.DUMMYFUNCTION("GOOGLETRANSLATE(English!D4869, ""en"", ""bg"")"),"екосистеми")</f>
        <v>екосистеми</v>
      </c>
      <c r="E4869" s="1" t="str">
        <f ca="1">IFERROR(__xludf.DUMMYFUNCTION("GOOGLETRANSLATE(English!E4869, ""en"", ""bg"")"),"Имам нужда от помощ с домашното. Защо екосистемите са важни в биологията?")</f>
        <v>Имам нужда от помощ с домашното. Защо екосистемите са важни в биологията?</v>
      </c>
      <c r="F4869" s="1" t="str">
        <f ca="1">IFERROR(__xludf.DUMMYFUNCTION("GOOGLETRANSLATE(English!F4869,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4869" s="1" t="str">
        <f ca="1">IFERROR(__xludf.DUMMYFUNCTION("GOOGLETRANSLATE(English!G4869, ""en"", ""bg"")"),"разговор")</f>
        <v>разговор</v>
      </c>
      <c r="H4869" s="1" t="str">
        <f ca="1">IFERROR(__xludf.DUMMYFUNCTION("GOOGLETRANSLATE(English!H4869, ""en"", ""bg"")"),"образователна_помощ")</f>
        <v>образователна_помощ</v>
      </c>
    </row>
    <row r="4870" spans="1:8" ht="13.2" x14ac:dyDescent="0.25">
      <c r="A4870" s="1" t="str">
        <f ca="1">IFERROR(__xludf.DUMMYFUNCTION("GOOGLETRANSLATE(English!A4870, ""en"", ""bg"")"),"qa_07463")</f>
        <v>qa_07463</v>
      </c>
      <c r="B4870" s="1" t="str">
        <f ca="1">IFERROR(__xludf.DUMMYFUNCTION("GOOGLETRANSLATE(English!B4870, ""en"", ""bg"")"),"химия")</f>
        <v>химия</v>
      </c>
      <c r="C4870" s="1" t="str">
        <f ca="1">IFERROR(__xludf.DUMMYFUNCTION("GOOGLETRANSLATE(English!C4870, ""en"", ""bg"")"),"елементарен")</f>
        <v>елементарен</v>
      </c>
      <c r="D4870" s="1" t="str">
        <f ca="1">IFERROR(__xludf.DUMMYFUNCTION("GOOGLETRANSLATE(English!D4870, ""en"", ""bg"")"),"безопасност")</f>
        <v>безопасност</v>
      </c>
      <c r="E4870" s="1" t="str">
        <f ca="1">IFERROR(__xludf.DUMMYFUNCTION("GOOGLETRANSLATE(English!E4870, ""en"", ""bg"")"),"Как работи безопасността в химията?")</f>
        <v>Как работи безопасността в химията?</v>
      </c>
      <c r="F4870" s="1" t="str">
        <f ca="1">IFERROR(__xludf.DUMMYFUNCTION("GOOGLETRANSLATE(English!F4870, ""en"", ""bg"")"),"Безопасността работи според химични принципи, които обясняват как взаимодействат атомите и молекулите.")</f>
        <v>Безопасността работи според химични принципи, които обясняват как взаимодействат атомите и молекулите.</v>
      </c>
      <c r="G4870" s="1" t="str">
        <f ca="1">IFERROR(__xludf.DUMMYFUNCTION("GOOGLETRANSLATE(English!G4870, ""en"", ""bg"")"),"direct_qa")</f>
        <v>direct_qa</v>
      </c>
      <c r="H4870" s="1" t="str">
        <f ca="1">IFERROR(__xludf.DUMMYFUNCTION("GOOGLETRANSLATE(English!H4870, ""en"", ""bg"")"),"заявка_за_знание")</f>
        <v>заявка_за_знание</v>
      </c>
    </row>
    <row r="4871" spans="1:8" ht="13.2" x14ac:dyDescent="0.25">
      <c r="A4871" s="1" t="str">
        <f ca="1">IFERROR(__xludf.DUMMYFUNCTION("GOOGLETRANSLATE(English!A4871, ""en"", ""bg"")"),"hw_13217")</f>
        <v>hw_13217</v>
      </c>
      <c r="B4871" s="1" t="str">
        <f ca="1">IFERROR(__xludf.DUMMYFUNCTION("GOOGLETRANSLATE(English!B4871, ""en"", ""bg"")"),"химия")</f>
        <v>химия</v>
      </c>
      <c r="C4871" s="1" t="str">
        <f ca="1">IFERROR(__xludf.DUMMYFUNCTION("GOOGLETRANSLATE(English!C4871, ""en"", ""bg"")"),"високо")</f>
        <v>високо</v>
      </c>
      <c r="D4871" s="1" t="str">
        <f ca="1">IFERROR(__xludf.DUMMYFUNCTION("GOOGLETRANSLATE(English!D4871, ""en"", ""bg"")"),"органична химия")</f>
        <v>органична химия</v>
      </c>
      <c r="E4871" s="1" t="str">
        <f ca="1">IFERROR(__xludf.DUMMYFUNCTION("GOOGLETRANSLATE(English!E4871, ""en"", ""bg"")"),"Имам затруднения с органичната химия в домашното си.")</f>
        <v>Имам затруднения с органичната химия в домашното си.</v>
      </c>
      <c r="F4871" s="1" t="str">
        <f ca="1">IFERROR(__xludf.DUMMYFUNCTION("GOOGLETRANSLATE(English!F4871,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871" s="1" t="str">
        <f ca="1">IFERROR(__xludf.DUMMYFUNCTION("GOOGLETRANSLATE(English!G4871, ""en"", ""bg"")"),"помощ_за_домашно_изпълнение")</f>
        <v>помощ_за_домашно_изпълнение</v>
      </c>
      <c r="H4871" s="1" t="str">
        <f ca="1">IFERROR(__xludf.DUMMYFUNCTION("GOOGLETRANSLATE(English!H4871, ""en"", ""bg"")"),"помощ_за_домашно_задаване")</f>
        <v>помощ_за_домашно_задаване</v>
      </c>
    </row>
    <row r="4872" spans="1:8" ht="13.2" x14ac:dyDescent="0.25">
      <c r="A4872" s="1" t="str">
        <f ca="1">IFERROR(__xludf.DUMMYFUNCTION("GOOGLETRANSLATE(English!A4872, ""en"", ""bg"")"),"qa_04873")</f>
        <v>qa_04873</v>
      </c>
      <c r="B4872" s="1" t="str">
        <f ca="1">IFERROR(__xludf.DUMMYFUNCTION("GOOGLETRANSLATE(English!B4872, ""en"", ""bg"")"),"физика")</f>
        <v>физика</v>
      </c>
      <c r="C4872" s="1" t="str">
        <f ca="1">IFERROR(__xludf.DUMMYFUNCTION("GOOGLETRANSLATE(English!C4872, ""en"", ""bg"")"),"средата")</f>
        <v>средата</v>
      </c>
      <c r="D4872" s="1" t="str">
        <f ca="1">IFERROR(__xludf.DUMMYFUNCTION("GOOGLETRANSLATE(English!D4872, ""en"", ""bg"")"),"видове енергия")</f>
        <v>видове енергия</v>
      </c>
      <c r="E4872" s="1" t="str">
        <f ca="1">IFERROR(__xludf.DUMMYFUNCTION("GOOGLETRANSLATE(English!E4872, ""en"", ""bg"")"),"Какво е кинетична енергия?")</f>
        <v>Какво е кинетична енергия?</v>
      </c>
      <c r="F4872" s="1" t="str">
        <f ca="1">IFERROR(__xludf.DUMMYFUNCTION("GOOGLETRANSLATE(English!F4872, ""en"", ""bg"")"),"Кинетичната енергия е енергията на движението - всичко, което се движи, има кинетична енергия.")</f>
        <v>Кинетичната енергия е енергията на движението - всичко, което се движи, има кинетична енергия.</v>
      </c>
      <c r="G4872" s="1" t="str">
        <f ca="1">IFERROR(__xludf.DUMMYFUNCTION("GOOGLETRANSLATE(English!G4872, ""en"", ""bg"")"),"direct_qa")</f>
        <v>direct_qa</v>
      </c>
      <c r="H4872" s="1" t="str">
        <f ca="1">IFERROR(__xludf.DUMMYFUNCTION("GOOGLETRANSLATE(English!H4872, ""en"", ""bg"")"),"заявка_за_знание")</f>
        <v>заявка_за_знание</v>
      </c>
    </row>
    <row r="4873" spans="1:8" ht="13.2" x14ac:dyDescent="0.25">
      <c r="A4873" s="1" t="str">
        <f ca="1">IFERROR(__xludf.DUMMYFUNCTION("GOOGLETRANSLATE(English!A4873, ""en"", ""bg"")"),"qa_04373")</f>
        <v>qa_04373</v>
      </c>
      <c r="B4873" s="1" t="str">
        <f ca="1">IFERROR(__xludf.DUMMYFUNCTION("GOOGLETRANSLATE(English!B4873, ""en"", ""bg"")"),"биология")</f>
        <v>биология</v>
      </c>
      <c r="C4873" s="1" t="str">
        <f ca="1">IFERROR(__xludf.DUMMYFUNCTION("GOOGLETRANSLATE(English!C4873, ""en"", ""bg"")"),"елементарен")</f>
        <v>елементарен</v>
      </c>
      <c r="D4873" s="1" t="str">
        <f ca="1">IFERROR(__xludf.DUMMYFUNCTION("GOOGLETRANSLATE(English!D4873, ""en"", ""bg"")"),"сетива")</f>
        <v>сетива</v>
      </c>
      <c r="E4873" s="1" t="str">
        <f ca="1">IFERROR(__xludf.DUMMYFUNCTION("GOOGLETRANSLATE(English!E4873, ""en"", ""bg"")"),"Какво е важно да знаем за сетивата?")</f>
        <v>Какво е важно да знаем за сетивата?</v>
      </c>
      <c r="F4873" s="1" t="str">
        <f ca="1">IFERROR(__xludf.DUMMYFUNCTION("GOOGLETRANSLATE(English!F4873, ""en"", ""bg"")"),"Най-важното нещо за сетивата е как те се свързват с други части на живота и природата.")</f>
        <v>Най-важното нещо за сетивата е как те се свързват с други части на живота и природата.</v>
      </c>
      <c r="G4873" s="1" t="str">
        <f ca="1">IFERROR(__xludf.DUMMYFUNCTION("GOOGLETRANSLATE(English!G4873, ""en"", ""bg"")"),"direct_qa")</f>
        <v>direct_qa</v>
      </c>
      <c r="H4873" s="1" t="str">
        <f ca="1">IFERROR(__xludf.DUMMYFUNCTION("GOOGLETRANSLATE(English!H4873, ""en"", ""bg"")"),"заявка_за_знание")</f>
        <v>заявка_за_знание</v>
      </c>
    </row>
    <row r="4874" spans="1:8" ht="13.2" x14ac:dyDescent="0.25">
      <c r="A4874" s="1" t="str">
        <f ca="1">IFERROR(__xludf.DUMMYFUNCTION("GOOGLETRANSLATE(English!A4874, ""en"", ""bg"")"),"hw_13950")</f>
        <v>hw_13950</v>
      </c>
      <c r="B4874" s="1" t="str">
        <f ca="1">IFERROR(__xludf.DUMMYFUNCTION("GOOGLETRANSLATE(English!B4874, ""en"", ""bg"")"),"физика")</f>
        <v>физика</v>
      </c>
      <c r="C4874" s="1" t="str">
        <f ca="1">IFERROR(__xludf.DUMMYFUNCTION("GOOGLETRANSLATE(English!C4874, ""en"", ""bg"")"),"средата")</f>
        <v>средата</v>
      </c>
      <c r="D4874" s="1" t="str">
        <f ca="1">IFERROR(__xludf.DUMMYFUNCTION("GOOGLETRANSLATE(English!D4874, ""en"", ""bg"")"),"състояния на материята")</f>
        <v>състояния на материята</v>
      </c>
      <c r="E4874" s="1" t="str">
        <f ca="1">IFERROR(__xludf.DUMMYFUNCTION("GOOGLETRANSLATE(English!E4874, ""en"", ""bg"")"),"Домашното ми по физика е за състоянията на материята. Объркващо е!")</f>
        <v>Домашното ми по физика е за състоянията на материята. Объркващо е!</v>
      </c>
      <c r="F4874" s="1" t="str">
        <f ca="1">IFERROR(__xludf.DUMMYFUNCTION("GOOGLETRANSLATE(English!F4874, ""en"", ""bg"")"),"Ще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б"&amp;"ихте искали да започнете?")</f>
        <v>Ще се радвам да ви помогна със състоянията на материята! Нека разделя това на прости стъпки. Първо, нека обясня какво означава „състояния на материята“ и защо е важно във физиката. След това можем да разгледаме заедно някои примери. С коя конкретна част бихте искали да започнете?</v>
      </c>
      <c r="G4874" s="1" t="str">
        <f ca="1">IFERROR(__xludf.DUMMYFUNCTION("GOOGLETRANSLATE(English!G4874, ""en"", ""bg"")"),"помощ_за_домашно_изпълнение")</f>
        <v>помощ_за_домашно_изпълнение</v>
      </c>
      <c r="H4874" s="1" t="str">
        <f ca="1">IFERROR(__xludf.DUMMYFUNCTION("GOOGLETRANSLATE(English!H4874, ""en"", ""bg"")"),"помощ_за_домашно_задаване")</f>
        <v>помощ_за_домашно_задаване</v>
      </c>
    </row>
    <row r="4875" spans="1:8" ht="13.2" x14ac:dyDescent="0.25">
      <c r="A4875" s="1" t="str">
        <f ca="1">IFERROR(__xludf.DUMMYFUNCTION("GOOGLETRANSLATE(English!A4875, ""en"", ""bg"")"),"hw_11020")</f>
        <v>hw_11020</v>
      </c>
      <c r="B4875" s="1" t="str">
        <f ca="1">IFERROR(__xludf.DUMMYFUNCTION("GOOGLETRANSLATE(English!B4875, ""en"", ""bg"")"),"биология")</f>
        <v>биология</v>
      </c>
      <c r="C4875" s="1" t="str">
        <f ca="1">IFERROR(__xludf.DUMMYFUNCTION("GOOGLETRANSLATE(English!C4875, ""en"", ""bg"")"),"средата")</f>
        <v>средата</v>
      </c>
      <c r="D4875" s="1" t="str">
        <f ca="1">IFERROR(__xludf.DUMMYFUNCTION("GOOGLETRANSLATE(English!D4875, ""en"", ""bg"")"),"клетки")</f>
        <v>клетки</v>
      </c>
      <c r="E4875" s="1" t="str">
        <f ca="1">IFERROR(__xludf.DUMMYFUNCTION("GOOGLETRANSLATE(English!E4875, ""en"", ""bg"")"),"Домашното ми пита за клетки. Не го разбирам.")</f>
        <v>Домашното ми пита за клетки. Не го разбирам.</v>
      </c>
      <c r="F4875" s="1" t="str">
        <f ca="1">IFERROR(__xludf.DUMMYFUNCTION("GOOGLETRANSLATE(English!F4875, ""en"", ""bg"")"),"Ще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клетките! Нека разделя това на прости стъпки. Първо, нека обясня какво означава клетка и защо е важна в биологията. След това можем да разгледаме заедно някои примери. С коя конкретна част бихте искали да започнете?</v>
      </c>
      <c r="G4875" s="1" t="str">
        <f ca="1">IFERROR(__xludf.DUMMYFUNCTION("GOOGLETRANSLATE(English!G4875, ""en"", ""bg"")"),"помощ_за_домашно_изпълнение")</f>
        <v>помощ_за_домашно_изпълнение</v>
      </c>
      <c r="H4875" s="1" t="str">
        <f ca="1">IFERROR(__xludf.DUMMYFUNCTION("GOOGLETRANSLATE(English!H4875, ""en"", ""bg"")"),"помощ_за_домашно_задаване")</f>
        <v>помощ_за_домашно_задаване</v>
      </c>
    </row>
    <row r="4876" spans="1:8" ht="13.2" x14ac:dyDescent="0.25">
      <c r="A4876" s="1" t="str">
        <f ca="1">IFERROR(__xludf.DUMMYFUNCTION("GOOGLETRANSLATE(English!A4876, ""en"", ""bg"")"),"hw_07643")</f>
        <v>hw_07643</v>
      </c>
      <c r="B4876" s="1" t="str">
        <f ca="1">IFERROR(__xludf.DUMMYFUNCTION("GOOGLETRANSLATE(English!B4876, ""en"", ""bg"")"),"химия")</f>
        <v>химия</v>
      </c>
      <c r="C4876" s="1" t="str">
        <f ca="1">IFERROR(__xludf.DUMMYFUNCTION("GOOGLETRANSLATE(English!C4876, ""en"", ""bg"")"),"средата")</f>
        <v>средата</v>
      </c>
      <c r="D4876" s="1" t="str">
        <f ca="1">IFERROR(__xludf.DUMMYFUNCTION("GOOGLETRANSLATE(English!D4876, ""en"", ""bg"")"),"киселини и основи")</f>
        <v>киселини и основи</v>
      </c>
      <c r="E4876" s="1" t="str">
        <f ca="1">IFERROR(__xludf.DUMMYFUNCTION("GOOGLETRANSLATE(English!E4876, ""en"", ""bg"")"),"Моят доклад по химия е за киселини и основи. Помогнете ми да разбера.")</f>
        <v>Моят доклад по химия е за киселини и основи. Помогнете ми да разбера.</v>
      </c>
      <c r="F4876" s="1" t="str">
        <f ca="1">IFERROR(__xludf.DUMMYFUNCTION("GOOGLETRANSLATE(English!F4876, ""en"", ""bg"")"),"Ще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киселини и основи! Нека разделя това на прости стъпки. Първо, нека обясня какво означават киселини и основи и защо са важни в химията. След това можем да разгледаме заедно някои примери. С коя конкретна част бихте искали да започнете?</v>
      </c>
      <c r="G4876" s="1" t="str">
        <f ca="1">IFERROR(__xludf.DUMMYFUNCTION("GOOGLETRANSLATE(English!G4876, ""en"", ""bg"")"),"помощ_за_домашно_изпълнение")</f>
        <v>помощ_за_домашно_изпълнение</v>
      </c>
      <c r="H4876" s="1" t="str">
        <f ca="1">IFERROR(__xludf.DUMMYFUNCTION("GOOGLETRANSLATE(English!H4876, ""en"", ""bg"")"),"помощ_за_домашно_задаване")</f>
        <v>помощ_за_домашно_задаване</v>
      </c>
    </row>
    <row r="4877" spans="1:8" ht="13.2" x14ac:dyDescent="0.25">
      <c r="A4877" s="1" t="str">
        <f ca="1">IFERROR(__xludf.DUMMYFUNCTION("GOOGLETRANSLATE(English!A4877, ""en"", ""bg"")"),"conv_10552")</f>
        <v>conv_10552</v>
      </c>
      <c r="B4877" s="1" t="str">
        <f ca="1">IFERROR(__xludf.DUMMYFUNCTION("GOOGLETRANSLATE(English!B4877, ""en"", ""bg"")"),"биология")</f>
        <v>биология</v>
      </c>
      <c r="C4877" s="1" t="str">
        <f ca="1">IFERROR(__xludf.DUMMYFUNCTION("GOOGLETRANSLATE(English!C4877, ""en"", ""bg"")"),"елементарен")</f>
        <v>елементарен</v>
      </c>
      <c r="D4877" s="1" t="str">
        <f ca="1">IFERROR(__xludf.DUMMYFUNCTION("GOOGLETRANSLATE(English!D4877, ""en"", ""bg"")"),"хранителни вериги")</f>
        <v>хранителни вериги</v>
      </c>
      <c r="E4877" s="1" t="str">
        <f ca="1">IFERROR(__xludf.DUMMYFUNCTION("GOOGLETRANSLATE(English!E4877, ""en"", ""bg"")"),"Здравей, преподавателю! Какво е важно да знаеш за хранителните вериги?")</f>
        <v>Здравей, преподавателю! Какво е важно да знаеш за хранителните вериги?</v>
      </c>
      <c r="F4877" s="1" t="str">
        <f ca="1">IFERROR(__xludf.DUMMYFUNCTION("GOOGLETRANSLATE(English!F4877, ""en"", ""bg"")"),"Най-важното нещо за хранителните вериги е как те се свързват с други части на живота и природата.")</f>
        <v>Най-важното нещо за хранителните вериги е как те се свързват с други части на живота и природата.</v>
      </c>
      <c r="G4877" s="1" t="str">
        <f ca="1">IFERROR(__xludf.DUMMYFUNCTION("GOOGLETRANSLATE(English!G4877, ""en"", ""bg"")"),"разговор")</f>
        <v>разговор</v>
      </c>
      <c r="H4877" s="1" t="str">
        <f ca="1">IFERROR(__xludf.DUMMYFUNCTION("GOOGLETRANSLATE(English!H4877, ""en"", ""bg"")"),"образователна_помощ")</f>
        <v>образователна_помощ</v>
      </c>
    </row>
    <row r="4878" spans="1:8" ht="13.2" x14ac:dyDescent="0.25">
      <c r="A4878" s="1" t="str">
        <f ca="1">IFERROR(__xludf.DUMMYFUNCTION("GOOGLETRANSLATE(English!A4878, ""en"", ""bg"")"),"hw_11464")</f>
        <v>hw_11464</v>
      </c>
      <c r="B4878" s="1" t="str">
        <f ca="1">IFERROR(__xludf.DUMMYFUNCTION("GOOGLETRANSLATE(English!B4878, ""en"", ""bg"")"),"биология")</f>
        <v>биология</v>
      </c>
      <c r="C4878" s="1" t="str">
        <f ca="1">IFERROR(__xludf.DUMMYFUNCTION("GOOGLETRANSLATE(English!C4878, ""en"", ""bg"")"),"средата")</f>
        <v>средата</v>
      </c>
      <c r="D4878" s="1" t="str">
        <f ca="1">IFERROR(__xludf.DUMMYFUNCTION("GOOGLETRANSLATE(English!D4878, ""en"", ""bg"")"),"размножаване")</f>
        <v>размножаване</v>
      </c>
      <c r="E4878" s="1" t="str">
        <f ca="1">IFERROR(__xludf.DUMMYFUNCTION("GOOGLETRANSLATE(English!E4878, ""en"", ""bg"")"),"Домашното ми пита за размножаването. Не го разбирам.")</f>
        <v>Домашното ми пита за размножаването. Не го разбирам.</v>
      </c>
      <c r="F4878" s="1" t="str">
        <f ca="1">IFERROR(__xludf.DUMMYFUNCTION("GOOGLETRANSLATE(English!F4878,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878" s="1" t="str">
        <f ca="1">IFERROR(__xludf.DUMMYFUNCTION("GOOGLETRANSLATE(English!G4878, ""en"", ""bg"")"),"помощ_за_домашно_изпълнение")</f>
        <v>помощ_за_домашно_изпълнение</v>
      </c>
      <c r="H4878" s="1" t="str">
        <f ca="1">IFERROR(__xludf.DUMMYFUNCTION("GOOGLETRANSLATE(English!H4878, ""en"", ""bg"")"),"помощ_за_домашно_задаване")</f>
        <v>помощ_за_домашно_задаване</v>
      </c>
    </row>
    <row r="4879" spans="1:8" ht="13.2" x14ac:dyDescent="0.25">
      <c r="A4879" s="1" t="str">
        <f ca="1">IFERROR(__xludf.DUMMYFUNCTION("GOOGLETRANSLATE(English!A4879, ""en"", ""bg"")"),"hw_12516")</f>
        <v>hw_12516</v>
      </c>
      <c r="B4879" s="1" t="str">
        <f ca="1">IFERROR(__xludf.DUMMYFUNCTION("GOOGLETRANSLATE(English!B4879, ""en"", ""bg"")"),"биология")</f>
        <v>биология</v>
      </c>
      <c r="C4879" s="1" t="str">
        <f ca="1">IFERROR(__xludf.DUMMYFUNCTION("GOOGLETRANSLATE(English!C4879, ""en"", ""bg"")"),"средата")</f>
        <v>средата</v>
      </c>
      <c r="D4879" s="1" t="str">
        <f ca="1">IFERROR(__xludf.DUMMYFUNCTION("GOOGLETRANSLATE(English!D4879, ""en"", ""bg"")"),"основи на еволюцията")</f>
        <v>основи на еволюцията</v>
      </c>
      <c r="E4879" s="1" t="str">
        <f ca="1">IFERROR(__xludf.DUMMYFUNCTION("GOOGLETRANSLATE(English!E4879, ""en"", ""bg"")"),"Утре имам тест по основи на еволюцията. Помогни ми да уча!")</f>
        <v>Утре имам тест по основи на еволюцията. Помогни ми да уча!</v>
      </c>
      <c r="F4879" s="1" t="str">
        <f ca="1">IFERROR(__xludf.DUMMYFUNCTION("GOOGLETRANSLATE(English!F4879, ""en"", ""bg"")"),"Ще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основите на еволюцията! Нека разделя това на прости стъпки. Първо, нека обясня какво означават основите на еволюцията и защо са важни в биологията. След това можем да разгледаме заедно някои примери. С коя конкретна част бихте искали да започнете?</v>
      </c>
      <c r="G4879" s="1" t="str">
        <f ca="1">IFERROR(__xludf.DUMMYFUNCTION("GOOGLETRANSLATE(English!G4879, ""en"", ""bg"")"),"помощ_за_домашно_изпълнение")</f>
        <v>помощ_за_домашно_изпълнение</v>
      </c>
      <c r="H4879" s="1" t="str">
        <f ca="1">IFERROR(__xludf.DUMMYFUNCTION("GOOGLETRANSLATE(English!H4879, ""en"", ""bg"")"),"помощ_за_домашно_задаване")</f>
        <v>помощ_за_домашно_задаване</v>
      </c>
    </row>
    <row r="4880" spans="1:8" ht="13.2" x14ac:dyDescent="0.25">
      <c r="A4880" s="1" t="str">
        <f ca="1">IFERROR(__xludf.DUMMYFUNCTION("GOOGLETRANSLATE(English!A4880, ""en"", ""bg"")"),"qa_03284")</f>
        <v>qa_03284</v>
      </c>
      <c r="B4880" s="1" t="str">
        <f ca="1">IFERROR(__xludf.DUMMYFUNCTION("GOOGLETRANSLATE(English!B4880, ""en"", ""bg"")"),"физика")</f>
        <v>физика</v>
      </c>
      <c r="C4880" s="1" t="str">
        <f ca="1">IFERROR(__xludf.DUMMYFUNCTION("GOOGLETRANSLATE(English!C4880, ""en"", ""bg"")"),"средата")</f>
        <v>средата</v>
      </c>
      <c r="D4880" s="1" t="str">
        <f ca="1">IFERROR(__xludf.DUMMYFUNCTION("GOOGLETRANSLATE(English!D4880, ""en"", ""bg"")"),"плътност")</f>
        <v>плътност</v>
      </c>
      <c r="E4880" s="1" t="str">
        <f ca="1">IFERROR(__xludf.DUMMYFUNCTION("GOOGLETRANSLATE(English!E4880, ""en"", ""bg"")"),"Какво трябва да знам за плътността?")</f>
        <v>Какво трябва да знам за плътността?</v>
      </c>
      <c r="F4880" s="1" t="str">
        <f ca="1">IFERROR(__xludf.DUMMYFUNCTION("GOOGLETRANSLATE(English!F4880, ""en"", ""bg"")"),"Ключовото нещо за плътността е как тя следва законите на физиката, които управляват нашата вселена.")</f>
        <v>Ключовото нещо за плътността е как тя следва законите на физиката, които управляват нашата вселена.</v>
      </c>
      <c r="G4880" s="1" t="str">
        <f ca="1">IFERROR(__xludf.DUMMYFUNCTION("GOOGLETRANSLATE(English!G4880, ""en"", ""bg"")"),"direct_qa")</f>
        <v>direct_qa</v>
      </c>
      <c r="H4880" s="1" t="str">
        <f ca="1">IFERROR(__xludf.DUMMYFUNCTION("GOOGLETRANSLATE(English!H4880, ""en"", ""bg"")"),"заявка_за_знание")</f>
        <v>заявка_за_знание</v>
      </c>
    </row>
    <row r="4881" spans="1:8" ht="13.2" x14ac:dyDescent="0.25">
      <c r="A4881" s="1" t="str">
        <f ca="1">IFERROR(__xludf.DUMMYFUNCTION("GOOGLETRANSLATE(English!A4881, ""en"", ""bg"")"),"hw_07378")</f>
        <v>hw_07378</v>
      </c>
      <c r="B4881" s="1" t="str">
        <f ca="1">IFERROR(__xludf.DUMMYFUNCTION("GOOGLETRANSLATE(English!B4881, ""en"", ""bg"")"),"физика")</f>
        <v>физика</v>
      </c>
      <c r="C4881" s="1" t="str">
        <f ca="1">IFERROR(__xludf.DUMMYFUNCTION("GOOGLETRANSLATE(English!C4881, ""en"", ""bg"")"),"средата")</f>
        <v>средата</v>
      </c>
      <c r="D4881" s="1" t="str">
        <f ca="1">IFERROR(__xludf.DUMMYFUNCTION("GOOGLETRANSLATE(English!D4881, ""en"", ""bg"")"),"прости схеми")</f>
        <v>прости схеми</v>
      </c>
      <c r="E4881" s="1" t="str">
        <f ca="1">IFERROR(__xludf.DUMMYFUNCTION("GOOGLETRANSLATE(English!E4881, ""en"", ""bg"")"),"Заседнал съм с този прост проблем с електрическите схеми. Можете ли да помогнете?")</f>
        <v>Заседнал съм с този прост проблем с електрическите схеми. Можете ли да помогнете?</v>
      </c>
      <c r="F4881" s="1" t="str">
        <f ca="1">IFERROR(__xludf.DUMMYFUNCTION("GOOGLETRANSLATE(English!F4881, ""en"", ""bg"")"),"Ще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ча"&amp;"ст бихте искали да започнете?")</f>
        <v>Ще се радвам да ви помогна с прости електрически вериги! Нека разделя това на прости стъпки. Първо, нека обясня какво означава „прости електрически вериги“ и защо е важно във физиката. След това можем да разгледаме заедно някои примери. С коя конкретна част бихте искали да започнете?</v>
      </c>
      <c r="G4881" s="1" t="str">
        <f ca="1">IFERROR(__xludf.DUMMYFUNCTION("GOOGLETRANSLATE(English!G4881, ""en"", ""bg"")"),"помощ_за_домашно_изпълнение")</f>
        <v>помощ_за_домашно_изпълнение</v>
      </c>
      <c r="H4881" s="1" t="str">
        <f ca="1">IFERROR(__xludf.DUMMYFUNCTION("GOOGLETRANSLATE(English!H4881, ""en"", ""bg"")"),"помощ_за_домашно_задаване")</f>
        <v>помощ_за_домашно_задаване</v>
      </c>
    </row>
    <row r="4882" spans="1:8" ht="13.2" x14ac:dyDescent="0.25">
      <c r="A4882" s="1" t="str">
        <f ca="1">IFERROR(__xludf.DUMMYFUNCTION("GOOGLETRANSLATE(English!A4882, ""en"", ""bg"")"),"hw_10318")</f>
        <v>hw_10318</v>
      </c>
      <c r="B4882" s="1" t="str">
        <f ca="1">IFERROR(__xludf.DUMMYFUNCTION("GOOGLETRANSLATE(English!B4882, ""en"", ""bg"")"),"физика")</f>
        <v>физика</v>
      </c>
      <c r="C4882" s="1" t="str">
        <f ca="1">IFERROR(__xludf.DUMMYFUNCTION("GOOGLETRANSLATE(English!C4882, ""en"", ""bg"")"),"високо")</f>
        <v>високо</v>
      </c>
      <c r="D4882" s="1" t="str">
        <f ca="1">IFERROR(__xludf.DUMMYFUNCTION("GOOGLETRANSLATE(English!D4882, ""en"", ""bg"")"),"механика")</f>
        <v>механика</v>
      </c>
      <c r="E4882" s="1" t="str">
        <f ca="1">IFERROR(__xludf.DUMMYFUNCTION("GOOGLETRANSLATE(English!E4882, ""en"", ""bg"")"),"Заседнал съм с този механичен проблем. Можете ли да помогнете?")</f>
        <v>Заседнал съм с този механичен проблем. Можете ли да помогнете?</v>
      </c>
      <c r="F4882" s="1" t="str">
        <f ca="1">IFERROR(__xludf.DUMMYFUNCTION("GOOGLETRANSLATE(English!F4882,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4882" s="1" t="str">
        <f ca="1">IFERROR(__xludf.DUMMYFUNCTION("GOOGLETRANSLATE(English!G4882, ""en"", ""bg"")"),"помощ_за_домашно_изпълнение")</f>
        <v>помощ_за_домашно_изпълнение</v>
      </c>
      <c r="H4882" s="1" t="str">
        <f ca="1">IFERROR(__xludf.DUMMYFUNCTION("GOOGLETRANSLATE(English!H4882, ""en"", ""bg"")"),"помощ_за_домашно_задаване")</f>
        <v>помощ_за_домашно_задаване</v>
      </c>
    </row>
    <row r="4883" spans="1:8" ht="13.2" x14ac:dyDescent="0.25">
      <c r="A4883" s="1" t="str">
        <f ca="1">IFERROR(__xludf.DUMMYFUNCTION("GOOGLETRANSLATE(English!A4883, ""en"", ""bg"")"),"hw_01780")</f>
        <v>hw_01780</v>
      </c>
      <c r="B4883" s="1" t="str">
        <f ca="1">IFERROR(__xludf.DUMMYFUNCTION("GOOGLETRANSLATE(English!B4883, ""en"", ""bg"")"),"химия")</f>
        <v>химия</v>
      </c>
      <c r="C4883" s="1" t="str">
        <f ca="1">IFERROR(__xludf.DUMMYFUNCTION("GOOGLETRANSLATE(English!C4883, ""en"", ""bg"")"),"средата")</f>
        <v>средата</v>
      </c>
      <c r="D4883" s="1" t="str">
        <f ca="1">IFERROR(__xludf.DUMMYFUNCTION("GOOGLETRANSLATE(English!D4883, ""en"", ""bg"")"),"химични реакции")</f>
        <v>химични реакции</v>
      </c>
      <c r="E4883" s="1" t="str">
        <f ca="1">IFERROR(__xludf.DUMMYFUNCTION("GOOGLETRANSLATE(English!E4883, ""en"", ""bg"")"),"Имам проблеми с химичните реакции в домашното си.")</f>
        <v>Имам проблеми с химичните реакции в домашното си.</v>
      </c>
      <c r="F4883" s="1" t="str">
        <f ca="1">IFERROR(__xludf.DUMMYFUNCTION("GOOGLETRANSLATE(English!F4883, ""en"", ""bg"")"),"Ще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започн"&amp;"ете?")</f>
        <v>Ще се радвам да ви помогна с химичните реакции! Нека разделя това на прости стъпки. Първо, нека обясня какво означава химична реакция и защо е важна в химията. След това можем да разгледаме заедно някои примери. С коя конкретна част бихте искали да започнете?</v>
      </c>
      <c r="G4883" s="1" t="str">
        <f ca="1">IFERROR(__xludf.DUMMYFUNCTION("GOOGLETRANSLATE(English!G4883, ""en"", ""bg"")"),"помощ_за_домашно_изпълнение")</f>
        <v>помощ_за_домашно_изпълнение</v>
      </c>
      <c r="H4883" s="1" t="str">
        <f ca="1">IFERROR(__xludf.DUMMYFUNCTION("GOOGLETRANSLATE(English!H4883, ""en"", ""bg"")"),"помощ_за_домашно_задаване")</f>
        <v>помощ_за_домашно_задаване</v>
      </c>
    </row>
    <row r="4884" spans="1:8" ht="13.2" x14ac:dyDescent="0.25">
      <c r="A4884" s="1" t="str">
        <f ca="1">IFERROR(__xludf.DUMMYFUNCTION("GOOGLETRANSLATE(English!A4884, ""en"", ""bg"")"),"hw_01998")</f>
        <v>hw_01998</v>
      </c>
      <c r="B4884" s="1" t="str">
        <f ca="1">IFERROR(__xludf.DUMMYFUNCTION("GOOGLETRANSLATE(English!B4884, ""en"", ""bg"")"),"химия")</f>
        <v>химия</v>
      </c>
      <c r="C4884" s="1" t="str">
        <f ca="1">IFERROR(__xludf.DUMMYFUNCTION("GOOGLETRANSLATE(English!C4884, ""en"", ""bg"")"),"средата")</f>
        <v>средата</v>
      </c>
      <c r="D4884" s="1" t="str">
        <f ca="1">IFERROR(__xludf.DUMMYFUNCTION("GOOGLETRANSLATE(English!D4884, ""en"", ""bg"")"),"химични промени")</f>
        <v>химични промени</v>
      </c>
      <c r="E4884" s="1" t="str">
        <f ca="1">IFERROR(__xludf.DUMMYFUNCTION("GOOGLETRANSLATE(English!E4884, ""en"", ""bg"")"),"Не разбирам тази концепция за химични промени. Моля, обяснете!")</f>
        <v>Не разбирам тази концепция за химични промени. Моля, обяснете!</v>
      </c>
      <c r="F4884" s="1" t="str">
        <f ca="1">IFERROR(__xludf.DUMMYFUNCTION("GOOGLETRANSLATE(English!F4884, ""en"", ""bg"")"),"Ще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за"&amp;"почнете?")</f>
        <v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v>
      </c>
      <c r="G4884" s="1" t="str">
        <f ca="1">IFERROR(__xludf.DUMMYFUNCTION("GOOGLETRANSLATE(English!G4884, ""en"", ""bg"")"),"помощ_за_домашно_изпълнение")</f>
        <v>помощ_за_домашно_изпълнение</v>
      </c>
      <c r="H4884" s="1" t="str">
        <f ca="1">IFERROR(__xludf.DUMMYFUNCTION("GOOGLETRANSLATE(English!H4884, ""en"", ""bg"")"),"помощ_за_домашно_задаване")</f>
        <v>помощ_за_домашно_задаване</v>
      </c>
    </row>
    <row r="4885" spans="1:8" ht="13.2" x14ac:dyDescent="0.25">
      <c r="A4885" s="1" t="str">
        <f ca="1">IFERROR(__xludf.DUMMYFUNCTION("GOOGLETRANSLATE(English!A4885, ""en"", ""bg"")"),"hw_01666")</f>
        <v>hw_01666</v>
      </c>
      <c r="B4885" s="1" t="str">
        <f ca="1">IFERROR(__xludf.DUMMYFUNCTION("GOOGLETRANSLATE(English!B4885, ""en"", ""bg"")"),"физика")</f>
        <v>физика</v>
      </c>
      <c r="C4885" s="1" t="str">
        <f ca="1">IFERROR(__xludf.DUMMYFUNCTION("GOOGLETRANSLATE(English!C4885, ""en"", ""bg"")"),"средата")</f>
        <v>средата</v>
      </c>
      <c r="D4885" s="1" t="str">
        <f ca="1">IFERROR(__xludf.DUMMYFUNCTION("GOOGLETRANSLATE(English!D4885, ""en"", ""bg"")"),"основи на електричеството")</f>
        <v>основи на електричеството</v>
      </c>
      <c r="E4885" s="1" t="str">
        <f ca="1">IFERROR(__xludf.DUMMYFUNCTION("GOOGLETRANSLATE(English!E4885, ""en"", ""bg"")"),"Трябва да разбирам основите на електричеството за изпита си.")</f>
        <v>Трябва да разбирам основите на електричеството за изпита си.</v>
      </c>
      <c r="F4885" s="1" t="str">
        <f ca="1">IFERROR(__xludf.DUMMYFUNCTION("GOOGLETRANSLATE(English!F4885, ""en"", ""bg"")"),"Ще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"&amp;"част бихте искали да започнете?")</f>
        <v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v>
      </c>
      <c r="G4885" s="1" t="str">
        <f ca="1">IFERROR(__xludf.DUMMYFUNCTION("GOOGLETRANSLATE(English!G4885, ""en"", ""bg"")"),"помощ_за_домашно_изпълнение")</f>
        <v>помощ_за_домашно_изпълнение</v>
      </c>
      <c r="H4885" s="1" t="str">
        <f ca="1">IFERROR(__xludf.DUMMYFUNCTION("GOOGLETRANSLATE(English!H4885, ""en"", ""bg"")"),"помощ_за_домашно_задаване")</f>
        <v>помощ_за_домашно_задаване</v>
      </c>
    </row>
    <row r="4886" spans="1:8" ht="13.2" x14ac:dyDescent="0.25">
      <c r="A4886" s="1" t="str">
        <f ca="1">IFERROR(__xludf.DUMMYFUNCTION("GOOGLETRANSLATE(English!A4886, ""en"", ""bg"")"),"hw_07420")</f>
        <v>hw_07420</v>
      </c>
      <c r="B4886" s="1" t="str">
        <f ca="1">IFERROR(__xludf.DUMMYFUNCTION("GOOGLETRANSLATE(English!B4886, ""en"", ""bg"")"),"биология")</f>
        <v>биология</v>
      </c>
      <c r="C4886" s="1" t="str">
        <f ca="1">IFERROR(__xludf.DUMMYFUNCTION("GOOGLETRANSLATE(English!C4886, ""en"", ""bg"")"),"елементарен")</f>
        <v>елементарен</v>
      </c>
      <c r="D4886" s="1" t="str">
        <f ca="1">IFERROR(__xludf.DUMMYFUNCTION("GOOGLETRANSLATE(English!D4886, ""en"", ""bg"")"),"човешкото тяло")</f>
        <v>човешкото тяло</v>
      </c>
      <c r="E4886" s="1" t="str">
        <f ca="1">IFERROR(__xludf.DUMMYFUNCTION("GOOGLETRANSLATE(English!E4886, ""en"", ""bg"")"),"Трябва да напиша доклад за човешкото тяло. Можете ли да ми помогнете да започна?")</f>
        <v>Трябва да напиша доклад за човешкото тяло. Можете ли да ми помогнете да започна?</v>
      </c>
      <c r="F4886" s="1" t="str">
        <f ca="1">IFERROR(__xludf.DUMMYFUNCTION("GOOGLETRANSLATE(English!F4886, ""en"", ""bg"")"),"Ще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човешкото тяло! Нека разделя това на прости стъпки. Първо, нека обясня какво означава човешко тяло и защо е важно в биологията. След това можем да разгледаме заедно някои примери. С коя конкретна част бихте искали да започнете?</v>
      </c>
      <c r="G4886" s="1" t="str">
        <f ca="1">IFERROR(__xludf.DUMMYFUNCTION("GOOGLETRANSLATE(English!G4886, ""en"", ""bg"")"),"помощ_за_домашно_изпълнение")</f>
        <v>помощ_за_домашно_изпълнение</v>
      </c>
      <c r="H4886" s="1" t="str">
        <f ca="1">IFERROR(__xludf.DUMMYFUNCTION("GOOGLETRANSLATE(English!H4886, ""en"", ""bg"")"),"помощ_за_домашно_задаване")</f>
        <v>помощ_за_домашно_задаване</v>
      </c>
    </row>
    <row r="4887" spans="1:8" ht="13.2" x14ac:dyDescent="0.25">
      <c r="A4887" s="1" t="str">
        <f ca="1">IFERROR(__xludf.DUMMYFUNCTION("GOOGLETRANSLATE(English!A4887, ""en"", ""bg"")"),"qa_00999")</f>
        <v>qa_00999</v>
      </c>
      <c r="B4887" s="1" t="str">
        <f ca="1">IFERROR(__xludf.DUMMYFUNCTION("GOOGLETRANSLATE(English!B4887, ""en"", ""bg"")"),"химия")</f>
        <v>химия</v>
      </c>
      <c r="C4887" s="1" t="str">
        <f ca="1">IFERROR(__xludf.DUMMYFUNCTION("GOOGLETRANSLATE(English!C4887, ""en"", ""bg"")"),"елементарен")</f>
        <v>елементарен</v>
      </c>
      <c r="D4887" s="1" t="str">
        <f ca="1">IFERROR(__xludf.DUMMYFUNCTION("GOOGLETRANSLATE(English!D4887, ""en"", ""bg"")"),"промени в материалите")</f>
        <v>промени в материалите</v>
      </c>
      <c r="E4887" s="1" t="str">
        <f ca="1">IFERROR(__xludf.DUMMYFUNCTION("GOOGLETRANSLATE(English!E4887, ""en"", ""bg"")"),"Как протичат промените в материалите в химията?")</f>
        <v>Как протичат промените в материалите в химията?</v>
      </c>
      <c r="F4887" s="1" t="str">
        <f ca="1">IFERROR(__xludf.DUMMYFUNCTION("GOOGLETRANSLATE(English!F4887, ""en"", ""bg"")"),"Промените в материалите протичат според химични принципи, които обясняват как атомите и молекулите взаимодействат.")</f>
        <v>Промените в материалите протичат според химични принципи, които обясняват как атомите и молекулите взаимодействат.</v>
      </c>
      <c r="G4887" s="1" t="str">
        <f ca="1">IFERROR(__xludf.DUMMYFUNCTION("GOOGLETRANSLATE(English!G4887, ""en"", ""bg"")"),"direct_qa")</f>
        <v>direct_qa</v>
      </c>
      <c r="H4887" s="1" t="str">
        <f ca="1">IFERROR(__xludf.DUMMYFUNCTION("GOOGLETRANSLATE(English!H4887, ""en"", ""bg"")"),"заявка_за_знание")</f>
        <v>заявка_за_знание</v>
      </c>
    </row>
    <row r="4888" spans="1:8" ht="13.2" x14ac:dyDescent="0.25">
      <c r="A4888" s="1" t="str">
        <f ca="1">IFERROR(__xludf.DUMMYFUNCTION("GOOGLETRANSLATE(English!A4888, ""en"", ""bg"")"),"hw_08801")</f>
        <v>hw_08801</v>
      </c>
      <c r="B4888" s="1" t="str">
        <f ca="1">IFERROR(__xludf.DUMMYFUNCTION("GOOGLETRANSLATE(English!B4888, ""en"", ""bg"")"),"химия")</f>
        <v>химия</v>
      </c>
      <c r="C4888" s="1" t="str">
        <f ca="1">IFERROR(__xludf.DUMMYFUNCTION("GOOGLETRANSLATE(English!C4888, ""en"", ""bg"")"),"високо")</f>
        <v>високо</v>
      </c>
      <c r="D4888" s="1" t="str">
        <f ca="1">IFERROR(__xludf.DUMMYFUNCTION("GOOGLETRANSLATE(English!D4888, ""en"", ""bg"")"),"органична химия")</f>
        <v>органична химия</v>
      </c>
      <c r="E4888" s="1" t="str">
        <f ca="1">IFERROR(__xludf.DUMMYFUNCTION("GOOGLETRANSLATE(English!E4888,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4888" s="1" t="str">
        <f ca="1">IFERROR(__xludf.DUMMYFUNCTION("GOOGLETRANSLATE(English!F4888,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888" s="1" t="str">
        <f ca="1">IFERROR(__xludf.DUMMYFUNCTION("GOOGLETRANSLATE(English!G4888, ""en"", ""bg"")"),"помощ_за_домашно_изпълнение")</f>
        <v>помощ_за_домашно_изпълнение</v>
      </c>
      <c r="H4888" s="1" t="str">
        <f ca="1">IFERROR(__xludf.DUMMYFUNCTION("GOOGLETRANSLATE(English!H4888, ""en"", ""bg"")"),"помощ_за_домашно_задаване")</f>
        <v>помощ_за_домашно_задаване</v>
      </c>
    </row>
    <row r="4889" spans="1:8" ht="13.2" x14ac:dyDescent="0.25">
      <c r="A4889" s="1" t="str">
        <f ca="1">IFERROR(__xludf.DUMMYFUNCTION("GOOGLETRANSLATE(English!A4889, ""en"", ""bg"")"),"qa_00666")</f>
        <v>qa_00666</v>
      </c>
      <c r="B4889" s="1" t="str">
        <f ca="1">IFERROR(__xludf.DUMMYFUNCTION("GOOGLETRANSLATE(English!B4889, ""en"", ""bg"")"),"химия")</f>
        <v>химия</v>
      </c>
      <c r="C4889" s="1" t="str">
        <f ca="1">IFERROR(__xludf.DUMMYFUNCTION("GOOGLETRANSLATE(English!C4889, ""en"", ""bg"")"),"високо")</f>
        <v>високо</v>
      </c>
      <c r="D4889" s="1" t="str">
        <f ca="1">IFERROR(__xludf.DUMMYFUNCTION("GOOGLETRANSLATE(English!D4889, ""en"", ""bg"")"),"електрохимия")</f>
        <v>електрохимия</v>
      </c>
      <c r="E4889" s="1" t="str">
        <f ca="1">IFERROR(__xludf.DUMMYFUNCTION("GOOGLETRANSLATE(English!E4889, ""en"", ""bg"")"),"Какво представлява електрохимията?")</f>
        <v>Какво представлява електрохимията?</v>
      </c>
      <c r="F4889" s="1" t="str">
        <f ca="1">IFERROR(__xludf.DUMMYFUNCTION("GOOGLETRANSLATE(English!F4889, ""en"", ""bg"")"),"Електрохимията е свързана с взаимодействията между различни видове материя и енергия.")</f>
        <v>Електрохимията е свързана с взаимодействията между различни видове материя и енергия.</v>
      </c>
      <c r="G4889" s="1" t="str">
        <f ca="1">IFERROR(__xludf.DUMMYFUNCTION("GOOGLETRANSLATE(English!G4889, ""en"", ""bg"")"),"direct_qa")</f>
        <v>direct_qa</v>
      </c>
      <c r="H4889" s="1" t="str">
        <f ca="1">IFERROR(__xludf.DUMMYFUNCTION("GOOGLETRANSLATE(English!H4889, ""en"", ""bg"")"),"заявка_за_знание")</f>
        <v>заявка_за_знание</v>
      </c>
    </row>
    <row r="4890" spans="1:8" ht="13.2" x14ac:dyDescent="0.25">
      <c r="A4890" s="1" t="str">
        <f ca="1">IFERROR(__xludf.DUMMYFUNCTION("GOOGLETRANSLATE(English!A4890, ""en"", ""bg"")"),"hw_11261")</f>
        <v>hw_11261</v>
      </c>
      <c r="B4890" s="1" t="str">
        <f ca="1">IFERROR(__xludf.DUMMYFUNCTION("GOOGLETRANSLATE(English!B4890, ""en"", ""bg"")"),"физика")</f>
        <v>физика</v>
      </c>
      <c r="C4890" s="1" t="str">
        <f ca="1">IFERROR(__xludf.DUMMYFUNCTION("GOOGLETRANSLATE(English!C4890, ""en"", ""bg"")"),"средата")</f>
        <v>средата</v>
      </c>
      <c r="D4890" s="1" t="str">
        <f ca="1">IFERROR(__xludf.DUMMYFUNCTION("GOOGLETRANSLATE(English!D4890, ""en"", ""bg"")"),"вълни")</f>
        <v>вълни</v>
      </c>
      <c r="E4890" s="1" t="str">
        <f ca="1">IFERROR(__xludf.DUMMYFUNCTION("GOOGLETRANSLATE(English!E4890, ""en"", ""bg"")"),"Можеш ли да решиш тази задача за вълните с мен?")</f>
        <v>Можеш ли да решиш тази задача за вълните с мен?</v>
      </c>
      <c r="F4890" s="1" t="str">
        <f ca="1">IFERROR(__xludf.DUMMYFUNCTION("GOOGLETRANSLATE(English!F4890, ""en"", ""bg"")"),"Ще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v>
      </c>
      <c r="G4890" s="1" t="str">
        <f ca="1">IFERROR(__xludf.DUMMYFUNCTION("GOOGLETRANSLATE(English!G4890, ""en"", ""bg"")"),"помощ_за_домашно_изпълнение")</f>
        <v>помощ_за_домашно_изпълнение</v>
      </c>
      <c r="H4890" s="1" t="str">
        <f ca="1">IFERROR(__xludf.DUMMYFUNCTION("GOOGLETRANSLATE(English!H4890, ""en"", ""bg"")"),"помощ_за_домашно_задаване")</f>
        <v>помощ_за_домашно_задаване</v>
      </c>
    </row>
    <row r="4891" spans="1:8" ht="13.2" x14ac:dyDescent="0.25">
      <c r="A4891" s="1" t="str">
        <f ca="1">IFERROR(__xludf.DUMMYFUNCTION("GOOGLETRANSLATE(English!A4891, ""en"", ""bg"")"),"conv_03326")</f>
        <v>conv_03326</v>
      </c>
      <c r="B4891" s="1" t="str">
        <f ca="1">IFERROR(__xludf.DUMMYFUNCTION("GOOGLETRANSLATE(English!B4891, ""en"", ""bg"")"),"биология")</f>
        <v>биология</v>
      </c>
      <c r="C4891" s="1" t="str">
        <f ca="1">IFERROR(__xludf.DUMMYFUNCTION("GOOGLETRANSLATE(English!C4891, ""en"", ""bg"")"),"високо")</f>
        <v>високо</v>
      </c>
      <c r="D4891" s="1" t="str">
        <f ca="1">IFERROR(__xludf.DUMMYFUNCTION("GOOGLETRANSLATE(English!D4891, ""en"", ""bg"")"),"молекулярна биология")</f>
        <v>молекулярна биология</v>
      </c>
      <c r="E4891" s="1" t="str">
        <f ca="1">IFERROR(__xludf.DUMMYFUNCTION("GOOGLETRANSLATE(English!E4891, ""en"", ""bg"")"),"Можете ли да ми обясните това? Как работи молекулярната биология?")</f>
        <v>Можете ли да ми обясните това? Как работи молекулярната биология?</v>
      </c>
      <c r="F4891" s="1" t="str">
        <f ca="1">IFERROR(__xludf.DUMMYFUNCTION("GOOGLETRANSLATE(English!F4891, ""en"", ""bg"")"),"Молекулярната биология работи чрез естествени процеси, които учените изучават в продължение на много години.")</f>
        <v>Молекулярната биология работи чрез естествени процеси, които учените изучават в продължение на много години.</v>
      </c>
      <c r="G4891" s="1" t="str">
        <f ca="1">IFERROR(__xludf.DUMMYFUNCTION("GOOGLETRANSLATE(English!G4891, ""en"", ""bg"")"),"разговор")</f>
        <v>разговор</v>
      </c>
      <c r="H4891" s="1" t="str">
        <f ca="1">IFERROR(__xludf.DUMMYFUNCTION("GOOGLETRANSLATE(English!H4891, ""en"", ""bg"")"),"образователна_помощ")</f>
        <v>образователна_помощ</v>
      </c>
    </row>
    <row r="4892" spans="1:8" ht="13.2" x14ac:dyDescent="0.25">
      <c r="A4892" s="1" t="str">
        <f ca="1">IFERROR(__xludf.DUMMYFUNCTION("GOOGLETRANSLATE(English!A4892, ""en"", ""bg"")"),"conv_07535")</f>
        <v>conv_07535</v>
      </c>
      <c r="B4892" s="1" t="str">
        <f ca="1">IFERROR(__xludf.DUMMYFUNCTION("GOOGLETRANSLATE(English!B4892, ""en"", ""bg"")"),"биология")</f>
        <v>биология</v>
      </c>
      <c r="C4892" s="1" t="str">
        <f ca="1">IFERROR(__xludf.DUMMYFUNCTION("GOOGLETRANSLATE(English!C4892, ""en"", ""bg"")"),"високо")</f>
        <v>високо</v>
      </c>
      <c r="D4892" s="1" t="str">
        <f ca="1">IFERROR(__xludf.DUMMYFUNCTION("GOOGLETRANSLATE(English!D4892, ""en"", ""bg"")"),"молекулярна биология")</f>
        <v>молекулярна биология</v>
      </c>
      <c r="E4892" s="1" t="str">
        <f ca="1">IFERROR(__xludf.DUMMYFUNCTION("GOOGLETRANSLATE(English!E4892, ""en"", ""bg"")"),"Можете ли да ми помогнете? Защо молекулярната биология е важна в биологията?")</f>
        <v>Можете ли да ми помогнете? Защо молекулярната биология е важна в биологията?</v>
      </c>
      <c r="F4892" s="1" t="str">
        <f ca="1">IFERROR(__xludf.DUMMYFUNCTION("GOOGLETRANSLATE(English!F4892,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4892" s="1" t="str">
        <f ca="1">IFERROR(__xludf.DUMMYFUNCTION("GOOGLETRANSLATE(English!G4892, ""en"", ""bg"")"),"разговор")</f>
        <v>разговор</v>
      </c>
      <c r="H4892" s="1" t="str">
        <f ca="1">IFERROR(__xludf.DUMMYFUNCTION("GOOGLETRANSLATE(English!H4892, ""en"", ""bg"")"),"образователна_помощ")</f>
        <v>образователна_помощ</v>
      </c>
    </row>
    <row r="4893" spans="1:8" ht="13.2" x14ac:dyDescent="0.25">
      <c r="A4893" s="1" t="str">
        <f ca="1">IFERROR(__xludf.DUMMYFUNCTION("GOOGLETRANSLATE(English!A4893, ""en"", ""bg"")"),"hw_01059")</f>
        <v>hw_01059</v>
      </c>
      <c r="B4893" s="1" t="str">
        <f ca="1">IFERROR(__xludf.DUMMYFUNCTION("GOOGLETRANSLATE(English!B4893, ""en"", ""bg"")"),"физика")</f>
        <v>физика</v>
      </c>
      <c r="C4893" s="1" t="str">
        <f ca="1">IFERROR(__xludf.DUMMYFUNCTION("GOOGLETRANSLATE(English!C4893, ""en"", ""bg"")"),"средата")</f>
        <v>средата</v>
      </c>
      <c r="D4893" s="1" t="str">
        <f ca="1">IFERROR(__xludf.DUMMYFUNCTION("GOOGLETRANSLATE(English!D4893, ""en"", ""bg"")"),"сили и движение")</f>
        <v>сили и движение</v>
      </c>
      <c r="E4893" s="1" t="str">
        <f ca="1">IFERROR(__xludf.DUMMYFUNCTION("GOOGLETRANSLATE(English!E4893, ""en"", ""bg"")"),"Заседнал съм с тази задача за сили и движение. Можете ли да помогнете?")</f>
        <v>Заседнал съм с тази задача за сили и движение. Можете ли да помогнете?</v>
      </c>
      <c r="F4893" s="1" t="str">
        <f ca="1">IFERROR(__xludf.DUMMYFUNCTION("GOOGLETRANSLATE(English!F4893,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4893" s="1" t="str">
        <f ca="1">IFERROR(__xludf.DUMMYFUNCTION("GOOGLETRANSLATE(English!G4893, ""en"", ""bg"")"),"помощ_за_домашно_изпълнение")</f>
        <v>помощ_за_домашно_изпълнение</v>
      </c>
      <c r="H4893" s="1" t="str">
        <f ca="1">IFERROR(__xludf.DUMMYFUNCTION("GOOGLETRANSLATE(English!H4893, ""en"", ""bg"")"),"помощ_за_домашно_задаване")</f>
        <v>помощ_за_домашно_задаване</v>
      </c>
    </row>
    <row r="4894" spans="1:8" ht="13.2" x14ac:dyDescent="0.25">
      <c r="A4894" s="1" t="str">
        <f ca="1">IFERROR(__xludf.DUMMYFUNCTION("GOOGLETRANSLATE(English!A4894, ""en"", ""bg"")"),"conv_03160")</f>
        <v>conv_03160</v>
      </c>
      <c r="B4894" s="1" t="str">
        <f ca="1">IFERROR(__xludf.DUMMYFUNCTION("GOOGLETRANSLATE(English!B4894, ""en"", ""bg"")"),"химия")</f>
        <v>химия</v>
      </c>
      <c r="C4894" s="1" t="str">
        <f ca="1">IFERROR(__xludf.DUMMYFUNCTION("GOOGLETRANSLATE(English!C4894, ""en"", ""bg"")"),"високо")</f>
        <v>високо</v>
      </c>
      <c r="D4894" s="1" t="str">
        <f ca="1">IFERROR(__xludf.DUMMYFUNCTION("GOOGLETRANSLATE(English!D4894, ""en"", ""bg"")"),"скорости на реакция")</f>
        <v>скорости на реакция</v>
      </c>
      <c r="E4894" s="1" t="str">
        <f ca="1">IFERROR(__xludf.DUMMYFUNCTION("GOOGLETRANSLATE(English!E4894, ""en"", ""bg"")"),"Имам научен въпрос. Какво представляват скоростите на реакциите?")</f>
        <v>Имам научен въпрос. Какво представляват скоростите на реакциите?</v>
      </c>
      <c r="F4894" s="1" t="str">
        <f ca="1">IFERROR(__xludf.DUMMYFUNCTION("GOOGLETRANSLATE(English!F4894, ""en"", ""bg"")"),"Скоростта на реакциите е свързана с взаимодействията между различните видове материя и енергия.")</f>
        <v>Скоростта на реакциите е свързана с взаимодействията между различните видове материя и енергия.</v>
      </c>
      <c r="G4894" s="1" t="str">
        <f ca="1">IFERROR(__xludf.DUMMYFUNCTION("GOOGLETRANSLATE(English!G4894, ""en"", ""bg"")"),"разговор")</f>
        <v>разговор</v>
      </c>
      <c r="H4894" s="1" t="str">
        <f ca="1">IFERROR(__xludf.DUMMYFUNCTION("GOOGLETRANSLATE(English!H4894, ""en"", ""bg"")"),"образователна_помощ")</f>
        <v>образователна_помощ</v>
      </c>
    </row>
    <row r="4895" spans="1:8" ht="13.2" x14ac:dyDescent="0.25">
      <c r="A4895" s="1" t="str">
        <f ca="1">IFERROR(__xludf.DUMMYFUNCTION("GOOGLETRANSLATE(English!A4895, ""en"", ""bg"")"),"qa_01430")</f>
        <v>qa_01430</v>
      </c>
      <c r="B4895" s="1" t="str">
        <f ca="1">IFERROR(__xludf.DUMMYFUNCTION("GOOGLETRANSLATE(English!B4895, ""en"", ""bg"")"),"химия")</f>
        <v>химия</v>
      </c>
      <c r="C4895" s="1" t="str">
        <f ca="1">IFERROR(__xludf.DUMMYFUNCTION("GOOGLETRANSLATE(English!C4895, ""en"", ""bg"")"),"елементарен")</f>
        <v>елементарен</v>
      </c>
      <c r="D4895" s="1" t="str">
        <f ca="1">IFERROR(__xludf.DUMMYFUNCTION("GOOGLETRANSLATE(English!D4895, ""en"", ""bg"")"),"безопасност")</f>
        <v>безопасност</v>
      </c>
      <c r="E4895" s="1" t="str">
        <f ca="1">IFERROR(__xludf.DUMMYFUNCTION("GOOGLETRANSLATE(English!E4895, ""en"", ""bg"")"),"Можете ли да ми помогнете да разбера безопасността?")</f>
        <v>Можете ли да ми помогнете да разбера безопасността?</v>
      </c>
      <c r="F4895" s="1" t="str">
        <f ca="1">IFERROR(__xludf.DUMMYFUNCTION("GOOGLETRANSLATE(English!F4895, ""en"", ""bg"")"),"Безопасността е важна химическа концепция, която ни помага да разберем как се държи и променя материята!")</f>
        <v>Безопасността е важна химическа концепция, която ни помага да разберем как се държи и променя материята!</v>
      </c>
      <c r="G4895" s="1" t="str">
        <f ca="1">IFERROR(__xludf.DUMMYFUNCTION("GOOGLETRANSLATE(English!G4895, ""en"", ""bg"")"),"direct_qa")</f>
        <v>direct_qa</v>
      </c>
      <c r="H4895" s="1" t="str">
        <f ca="1">IFERROR(__xludf.DUMMYFUNCTION("GOOGLETRANSLATE(English!H4895, ""en"", ""bg"")"),"заявка_за_знание")</f>
        <v>заявка_за_знание</v>
      </c>
    </row>
    <row r="4896" spans="1:8" ht="13.2" x14ac:dyDescent="0.25">
      <c r="A4896" s="1" t="str">
        <f ca="1">IFERROR(__xludf.DUMMYFUNCTION("GOOGLETRANSLATE(English!A4896, ""en"", ""bg"")"),"conv_11777")</f>
        <v>conv_11777</v>
      </c>
      <c r="B4896" s="1" t="str">
        <f ca="1">IFERROR(__xludf.DUMMYFUNCTION("GOOGLETRANSLATE(English!B4896, ""en"", ""bg"")"),"биология")</f>
        <v>биология</v>
      </c>
      <c r="C4896" s="1" t="str">
        <f ca="1">IFERROR(__xludf.DUMMYFUNCTION("GOOGLETRANSLATE(English!C4896, ""en"", ""bg"")"),"елементарен")</f>
        <v>елементарен</v>
      </c>
      <c r="D4896" s="1" t="str">
        <f ca="1">IFERROR(__xludf.DUMMYFUNCTION("GOOGLETRANSLATE(English!D4896, ""en"", ""bg"")"),"основни нужди")</f>
        <v>основни нужди</v>
      </c>
      <c r="E4896" s="1" t="str">
        <f ca="1">IFERROR(__xludf.DUMMYFUNCTION("GOOGLETRANSLATE(English!E4896, ""en"", ""bg"")"),"Можете ли да ми обясните това? Защо основните потребности са важни в биологията?")</f>
        <v>Можете ли да ми обясните това? Защо основните потребности са важни в биологията?</v>
      </c>
      <c r="F4896" s="1" t="str">
        <f ca="1">IFERROR(__xludf.DUMMYFUNCTION("GOOGLETRANSLATE(English!F4896, ""en"", ""bg"")"),"Основните потребности са важни, защото ни помагат да разберем живота и как живите същества оцеляват.")</f>
        <v>Основните потребности са важни, защото ни помагат да разберем живота и как живите същества оцеляват.</v>
      </c>
      <c r="G4896" s="1" t="str">
        <f ca="1">IFERROR(__xludf.DUMMYFUNCTION("GOOGLETRANSLATE(English!G4896, ""en"", ""bg"")"),"разговор")</f>
        <v>разговор</v>
      </c>
      <c r="H4896" s="1" t="str">
        <f ca="1">IFERROR(__xludf.DUMMYFUNCTION("GOOGLETRANSLATE(English!H4896, ""en"", ""bg"")"),"образователна_помощ")</f>
        <v>образователна_помощ</v>
      </c>
    </row>
    <row r="4897" spans="1:8" ht="13.2" x14ac:dyDescent="0.25">
      <c r="A4897" s="1" t="str">
        <f ca="1">IFERROR(__xludf.DUMMYFUNCTION("GOOGLETRANSLATE(English!A4897, ""en"", ""bg"")"),"qa_09895")</f>
        <v>qa_09895</v>
      </c>
      <c r="B4897" s="1" t="str">
        <f ca="1">IFERROR(__xludf.DUMMYFUNCTION("GOOGLETRANSLATE(English!B4897, ""en"", ""bg"")"),"физика")</f>
        <v>физика</v>
      </c>
      <c r="C4897" s="1" t="str">
        <f ca="1">IFERROR(__xludf.DUMMYFUNCTION("GOOGLETRANSLATE(English!C4897, ""en"", ""bg"")"),"елементарен")</f>
        <v>елементарен</v>
      </c>
      <c r="D4897" s="1" t="str">
        <f ca="1">IFERROR(__xludf.DUMMYFUNCTION("GOOGLETRANSLATE(English!D4897, ""en"", ""bg"")"),"магнити")</f>
        <v>магнити</v>
      </c>
      <c r="E4897" s="1" t="str">
        <f ca="1">IFERROR(__xludf.DUMMYFUNCTION("GOOGLETRANSLATE(English!E4897, ""en"", ""bg"")"),"Какво се случва, когато сложите два магнита заедно?")</f>
        <v>Какво се случва, когато сложите два магнита заедно?</v>
      </c>
      <c r="F4897" s="1" t="str">
        <f ca="1">IFERROR(__xludf.DUMMYFUNCTION("GOOGLETRANSLATE(English!F4897, ""en"", ""bg"")"),"Когато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друг!")</f>
        <v>Когато поставите два магнита заедно, те или се слепват (привличат), или се отблъскват (отблъскват), в зависимост от това кои полюси са обърнати един към друг!</v>
      </c>
      <c r="G4897" s="1" t="str">
        <f ca="1">IFERROR(__xludf.DUMMYFUNCTION("GOOGLETRANSLATE(English!G4897, ""en"", ""bg"")"),"direct_qa")</f>
        <v>direct_qa</v>
      </c>
      <c r="H4897" s="1" t="str">
        <f ca="1">IFERROR(__xludf.DUMMYFUNCTION("GOOGLETRANSLATE(English!H4897, ""en"", ""bg"")"),"заявка_за_знание")</f>
        <v>заявка_за_знание</v>
      </c>
    </row>
    <row r="4898" spans="1:8" ht="13.2" x14ac:dyDescent="0.25">
      <c r="A4898" s="1" t="str">
        <f ca="1">IFERROR(__xludf.DUMMYFUNCTION("GOOGLETRANSLATE(English!A4898, ""en"", ""bg"")"),"hw_07687")</f>
        <v>hw_07687</v>
      </c>
      <c r="B4898" s="1" t="str">
        <f ca="1">IFERROR(__xludf.DUMMYFUNCTION("GOOGLETRANSLATE(English!B4898, ""en"", ""bg"")"),"химия")</f>
        <v>химия</v>
      </c>
      <c r="C4898" s="1" t="str">
        <f ca="1">IFERROR(__xludf.DUMMYFUNCTION("GOOGLETRANSLATE(English!C4898, ""en"", ""bg"")"),"елементарен")</f>
        <v>елементарен</v>
      </c>
      <c r="D4898" s="1" t="str">
        <f ca="1">IFERROR(__xludf.DUMMYFUNCTION("GOOGLETRANSLATE(English!D4898, ""en"", ""bg"")"),"промени в материалите")</f>
        <v>промени в материалите</v>
      </c>
      <c r="E4898" s="1" t="str">
        <f ca="1">IFERROR(__xludf.DUMMYFUNCTION("GOOGLETRANSLATE(English!E4898, ""en"", ""bg"")"),"Моят доклад по химия е за промени в материалите. Помогнете ми да разбера.")</f>
        <v>Моят доклад по химия е за промени в материалите. Помогнете ми да разбера.</v>
      </c>
      <c r="F4898" s="1" t="str">
        <f ca="1">IFERROR(__xludf.DUMMYFUNCTION("GOOGLETRANSLATE(English!F4898,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4898" s="1" t="str">
        <f ca="1">IFERROR(__xludf.DUMMYFUNCTION("GOOGLETRANSLATE(English!G4898, ""en"", ""bg"")"),"помощ_за_домашно_изпълнение")</f>
        <v>помощ_за_домашно_изпълнение</v>
      </c>
      <c r="H4898" s="1" t="str">
        <f ca="1">IFERROR(__xludf.DUMMYFUNCTION("GOOGLETRANSLATE(English!H4898, ""en"", ""bg"")"),"помощ_за_домашно_задаване")</f>
        <v>помощ_за_домашно_задаване</v>
      </c>
    </row>
    <row r="4899" spans="1:8" ht="13.2" x14ac:dyDescent="0.25">
      <c r="A4899" s="1" t="str">
        <f ca="1">IFERROR(__xludf.DUMMYFUNCTION("GOOGLETRANSLATE(English!A4899, ""en"", ""bg"")"),"conv_00854")</f>
        <v>conv_00854</v>
      </c>
      <c r="B4899" s="1" t="str">
        <f ca="1">IFERROR(__xludf.DUMMYFUNCTION("GOOGLETRANSLATE(English!B4899, ""en"", ""bg"")"),"биология")</f>
        <v>биология</v>
      </c>
      <c r="C4899" s="1" t="str">
        <f ca="1">IFERROR(__xludf.DUMMYFUNCTION("GOOGLETRANSLATE(English!C4899, ""en"", ""bg"")"),"средата")</f>
        <v>средата</v>
      </c>
      <c r="D4899" s="1" t="str">
        <f ca="1">IFERROR(__xludf.DUMMYFUNCTION("GOOGLETRANSLATE(English!D4899, ""en"", ""bg"")"),"екосистеми")</f>
        <v>екосистеми</v>
      </c>
      <c r="E4899" s="1" t="str">
        <f ca="1">IFERROR(__xludf.DUMMYFUNCTION("GOOGLETRANSLATE(English!E4899, ""en"", ""bg"")"),"Имам нужда от помощ с домашното. Защо екосистемите са важни в биологията?")</f>
        <v>Имам нужда от помощ с домашното. Защо екосистемите са важни в биологията?</v>
      </c>
      <c r="F4899" s="1" t="str">
        <f ca="1">IFERROR(__xludf.DUMMYFUNCTION("GOOGLETRANSLATE(English!F4899, ""en"", ""bg"")"),"Екосистемите са важни, защото ни помагат да разберем живота и как живите същества оцеляват.")</f>
        <v>Екосистемите са важни, защото ни помагат да разберем живота и как живите същества оцеляват.</v>
      </c>
      <c r="G4899" s="1" t="str">
        <f ca="1">IFERROR(__xludf.DUMMYFUNCTION("GOOGLETRANSLATE(English!G4899, ""en"", ""bg"")"),"разговор")</f>
        <v>разговор</v>
      </c>
      <c r="H4899" s="1" t="str">
        <f ca="1">IFERROR(__xludf.DUMMYFUNCTION("GOOGLETRANSLATE(English!H4899, ""en"", ""bg"")"),"образователна_помощ")</f>
        <v>образователна_помощ</v>
      </c>
    </row>
    <row r="4900" spans="1:8" ht="13.2" x14ac:dyDescent="0.25">
      <c r="A4900" s="1" t="str">
        <f ca="1">IFERROR(__xludf.DUMMYFUNCTION("GOOGLETRANSLATE(English!A4900, ""en"", ""bg"")"),"qa_02335")</f>
        <v>qa_02335</v>
      </c>
      <c r="B4900" s="1" t="str">
        <f ca="1">IFERROR(__xludf.DUMMYFUNCTION("GOOGLETRANSLATE(English!B4900, ""en"", ""bg"")"),"химия")</f>
        <v>химия</v>
      </c>
      <c r="C4900" s="1" t="str">
        <f ca="1">IFERROR(__xludf.DUMMYFUNCTION("GOOGLETRANSLATE(English!C4900, ""en"", ""bg"")"),"средата")</f>
        <v>средата</v>
      </c>
      <c r="D4900" s="1" t="str">
        <f ca="1">IFERROR(__xludf.DUMMYFUNCTION("GOOGLETRANSLATE(English!D4900, ""en"", ""bg"")"),"основи на периодичната таблица")</f>
        <v>основи на периодичната таблица</v>
      </c>
      <c r="E4900" s="1" t="str">
        <f ca="1">IFERROR(__xludf.DUMMYFUNCTION("GOOGLETRANSLATE(English!E4900, ""en"", ""bg"")"),"Какво представляват основите на периодичната таблица?")</f>
        <v>Какво представляват основите на периодичната таблица?</v>
      </c>
      <c r="F4900" s="1" t="str">
        <f ca="1">IFERROR(__xludf.DUMMYFUNCTION("GOOGLETRANSLATE(English!F4900, ""en"", ""bg"")"),"Основите на периодичната таблица са свързани с взаимодействията между различните видове материя и енергия.")</f>
        <v>Основите на периодичната таблица са свързани с взаимодействията между различните видове материя и енергия.</v>
      </c>
      <c r="G4900" s="1" t="str">
        <f ca="1">IFERROR(__xludf.DUMMYFUNCTION("GOOGLETRANSLATE(English!G4900, ""en"", ""bg"")"),"direct_qa")</f>
        <v>direct_qa</v>
      </c>
      <c r="H4900" s="1" t="str">
        <f ca="1">IFERROR(__xludf.DUMMYFUNCTION("GOOGLETRANSLATE(English!H4900, ""en"", ""bg"")"),"заявка_за_знание")</f>
        <v>заявка_за_знание</v>
      </c>
    </row>
    <row r="4901" spans="1:8" ht="13.2" x14ac:dyDescent="0.25">
      <c r="A4901" s="1" t="str">
        <f ca="1">IFERROR(__xludf.DUMMYFUNCTION("GOOGLETRANSLATE(English!A4901, ""en"", ""bg"")"),"conv_07536")</f>
        <v>conv_07536</v>
      </c>
      <c r="B4901" s="1" t="str">
        <f ca="1">IFERROR(__xludf.DUMMYFUNCTION("GOOGLETRANSLATE(English!B4901, ""en"", ""bg"")"),"физика")</f>
        <v>физика</v>
      </c>
      <c r="C4901" s="1" t="str">
        <f ca="1">IFERROR(__xludf.DUMMYFUNCTION("GOOGLETRANSLATE(English!C4901, ""en"", ""bg"")"),"високо")</f>
        <v>високо</v>
      </c>
      <c r="D4901" s="1" t="str">
        <f ca="1">IFERROR(__xludf.DUMMYFUNCTION("GOOGLETRANSLATE(English!D4901, ""en"", ""bg"")"),"термодинамика")</f>
        <v>термодинамика</v>
      </c>
      <c r="E4901" s="1" t="str">
        <f ca="1">IFERROR(__xludf.DUMMYFUNCTION("GOOGLETRANSLATE(English!E4901, ""en"", ""bg"")"),"Помогни ми да уча за теста. Можеш ли да ми обясниш термодинамиката?")</f>
        <v>Помогни ми да уча за теста. Можеш ли да ми обясниш термодинамиката?</v>
      </c>
      <c r="F4901" s="1" t="str">
        <f ca="1">IFERROR(__xludf.DUMMYFUNCTION("GOOGLETRANSLATE(English!F4901,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4901" s="1" t="str">
        <f ca="1">IFERROR(__xludf.DUMMYFUNCTION("GOOGLETRANSLATE(English!G4901, ""en"", ""bg"")"),"разговор")</f>
        <v>разговор</v>
      </c>
      <c r="H4901" s="1" t="str">
        <f ca="1">IFERROR(__xludf.DUMMYFUNCTION("GOOGLETRANSLATE(English!H4901, ""en"", ""bg"")"),"образователна_помощ")</f>
        <v>образователна_помощ</v>
      </c>
    </row>
    <row r="4902" spans="1:8" ht="13.2" x14ac:dyDescent="0.25">
      <c r="A4902" s="1" t="str">
        <f ca="1">IFERROR(__xludf.DUMMYFUNCTION("GOOGLETRANSLATE(English!A4902, ""en"", ""bg"")"),"conv_18726")</f>
        <v>conv_18726</v>
      </c>
      <c r="B4902" s="1" t="str">
        <f ca="1">IFERROR(__xludf.DUMMYFUNCTION("GOOGLETRANSLATE(English!B4902, ""en"", ""bg"")"),"физика")</f>
        <v>физика</v>
      </c>
      <c r="C4902" s="1" t="str">
        <f ca="1">IFERROR(__xludf.DUMMYFUNCTION("GOOGLETRANSLATE(English!C4902, ""en"", ""bg"")"),"средата")</f>
        <v>средата</v>
      </c>
      <c r="D4902" s="1" t="str">
        <f ca="1">IFERROR(__xludf.DUMMYFUNCTION("GOOGLETRANSLATE(English!D4902, ""en"", ""bg"")"),"прости схеми")</f>
        <v>прости схеми</v>
      </c>
      <c r="E4902" s="1" t="str">
        <f ca="1">IFERROR(__xludf.DUMMYFUNCTION("GOOGLETRANSLATE(English!E4902, ""en"", ""bg"")"),"Можете ли да ми помогнете? Можете ли да ми обясните прости схеми?")</f>
        <v>Можете ли да ми помогнете? Можете ли да ми обясните прости схеми?</v>
      </c>
      <c r="F4902" s="1" t="str">
        <f ca="1">IFERROR(__xludf.DUMMYFUNCTION("GOOGLETRANSLATE(English!F4902, ""en"", ""bg"")"),"Простите електрически вериги са интересна физическа концепция, която ни помага да разберем как работят нещата в нашия свят!")</f>
        <v>Простите електрически вериги са интересна физическа концепция, която ни помага да разберем как работят нещата в нашия свят!</v>
      </c>
      <c r="G4902" s="1" t="str">
        <f ca="1">IFERROR(__xludf.DUMMYFUNCTION("GOOGLETRANSLATE(English!G4902, ""en"", ""bg"")"),"разговор")</f>
        <v>разговор</v>
      </c>
      <c r="H4902" s="1" t="str">
        <f ca="1">IFERROR(__xludf.DUMMYFUNCTION("GOOGLETRANSLATE(English!H4902, ""en"", ""bg"")"),"образователна_помощ")</f>
        <v>образователна_помощ</v>
      </c>
    </row>
    <row r="4903" spans="1:8" ht="13.2" x14ac:dyDescent="0.25">
      <c r="A4903" s="1" t="str">
        <f ca="1">IFERROR(__xludf.DUMMYFUNCTION("GOOGLETRANSLATE(English!A4903, ""en"", ""bg"")"),"qa_00877")</f>
        <v>qa_00877</v>
      </c>
      <c r="B4903" s="1" t="str">
        <f ca="1">IFERROR(__xludf.DUMMYFUNCTION("GOOGLETRANSLATE(English!B4903, ""en"", ""bg"")"),"химия")</f>
        <v>химия</v>
      </c>
      <c r="C4903" s="1" t="str">
        <f ca="1">IFERROR(__xludf.DUMMYFUNCTION("GOOGLETRANSLATE(English!C4903, ""en"", ""bg"")"),"високо")</f>
        <v>високо</v>
      </c>
      <c r="D4903" s="1" t="str">
        <f ca="1">IFERROR(__xludf.DUMMYFUNCTION("GOOGLETRANSLATE(English!D4903, ""en"", ""bg"")"),"стехиометрия")</f>
        <v>стехиометрия</v>
      </c>
      <c r="E4903" s="1" t="str">
        <f ca="1">IFERROR(__xludf.DUMMYFUNCTION("GOOGLETRANSLATE(English!E4903, ""en"", ""bg"")"),"Можете ли да ми помогнете да разбера стехиометрията?")</f>
        <v>Можете ли да ми помогнете да разбера стехиометрията?</v>
      </c>
      <c r="F4903" s="1" t="str">
        <f ca="1">IFERROR(__xludf.DUMMYFUNCTION("GOOGLETRANSLATE(English!F4903,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4903" s="1" t="str">
        <f ca="1">IFERROR(__xludf.DUMMYFUNCTION("GOOGLETRANSLATE(English!G4903, ""en"", ""bg"")"),"direct_qa")</f>
        <v>direct_qa</v>
      </c>
      <c r="H4903" s="1" t="str">
        <f ca="1">IFERROR(__xludf.DUMMYFUNCTION("GOOGLETRANSLATE(English!H4903, ""en"", ""bg"")"),"заявка_за_знание")</f>
        <v>заявка_за_знание</v>
      </c>
    </row>
    <row r="4904" spans="1:8" ht="13.2" x14ac:dyDescent="0.25">
      <c r="A4904" s="1" t="str">
        <f ca="1">IFERROR(__xludf.DUMMYFUNCTION("GOOGLETRANSLATE(English!A4904, ""en"", ""bg"")"),"conv_16582")</f>
        <v>conv_16582</v>
      </c>
      <c r="B4904" s="1" t="str">
        <f ca="1">IFERROR(__xludf.DUMMYFUNCTION("GOOGLETRANSLATE(English!B4904, ""en"", ""bg"")"),"биология")</f>
        <v>биология</v>
      </c>
      <c r="C4904" s="1" t="str">
        <f ca="1">IFERROR(__xludf.DUMMYFUNCTION("GOOGLETRANSLATE(English!C4904, ""en"", ""bg"")"),"високо")</f>
        <v>високо</v>
      </c>
      <c r="D4904" s="1" t="str">
        <f ca="1">IFERROR(__xludf.DUMMYFUNCTION("GOOGLETRANSLATE(English!D4904, ""en"", ""bg"")"),"модели на наследяване")</f>
        <v>модели на наследяване</v>
      </c>
      <c r="E4904" s="1" t="str">
        <f ca="1">IFERROR(__xludf.DUMMYFUNCTION("GOOGLETRANSLATE(English!E4904, ""en"", ""bg"")"),"Можете ли да ми обясните това? Какво е важно да знаем за моделите на наследяване?")</f>
        <v>Можете ли да ми обясните това? Какво е важно да знаем за моделите на наследяване?</v>
      </c>
      <c r="F4904" s="1" t="str">
        <f ca="1">IFERROR(__xludf.DUMMYFUNCTION("GOOGLETRANSLATE(English!F4904, ""en"", ""bg"")"),"Най-важното нещо за моделите на наследяване е как те се свързват с други части на живота и природата.")</f>
        <v>Най-важното нещо за моделите на наследяване е как те се свързват с други части на живота и природата.</v>
      </c>
      <c r="G4904" s="1" t="str">
        <f ca="1">IFERROR(__xludf.DUMMYFUNCTION("GOOGLETRANSLATE(English!G4904, ""en"", ""bg"")"),"разговор")</f>
        <v>разговор</v>
      </c>
      <c r="H4904" s="1" t="str">
        <f ca="1">IFERROR(__xludf.DUMMYFUNCTION("GOOGLETRANSLATE(English!H4904, ""en"", ""bg"")"),"образователна_помощ")</f>
        <v>образователна_помощ</v>
      </c>
    </row>
    <row r="4905" spans="1:8" ht="13.2" x14ac:dyDescent="0.25">
      <c r="A4905" s="1" t="str">
        <f ca="1">IFERROR(__xludf.DUMMYFUNCTION("GOOGLETRANSLATE(English!A4905, ""en"", ""bg"")"),"conv_01470")</f>
        <v>conv_01470</v>
      </c>
      <c r="B4905" s="1" t="str">
        <f ca="1">IFERROR(__xludf.DUMMYFUNCTION("GOOGLETRANSLATE(English!B4905, ""en"", ""bg"")"),"химия")</f>
        <v>химия</v>
      </c>
      <c r="C4905" s="1" t="str">
        <f ca="1">IFERROR(__xludf.DUMMYFUNCTION("GOOGLETRANSLATE(English!C4905, ""en"", ""bg"")"),"елементарен")</f>
        <v>елементарен</v>
      </c>
      <c r="D4905" s="1" t="str">
        <f ca="1">IFERROR(__xludf.DUMMYFUNCTION("GOOGLETRANSLATE(English!D4905, ""en"", ""bg"")"),"ежедневни химикали")</f>
        <v>ежедневни химикали</v>
      </c>
      <c r="E4905" s="1" t="str">
        <f ca="1">IFERROR(__xludf.DUMMYFUNCTION("GOOGLETRANSLATE(English!E4905, ""en"", ""bg"")"),"Не разбирам тази тема. Можете ли да ми помогнете да разбера ежедневните химикали?")</f>
        <v>Не разбирам тази тема. Можете ли да ми помогнете да разбера ежедневните химикали?</v>
      </c>
      <c r="F4905" s="1" t="str">
        <f ca="1">IFERROR(__xludf.DUMMYFUNCTION("GOOGLETRANSLATE(English!F4905, ""en"", ""bg"")"),"Ежедневните химикали са важна химическа концепция, която ни помага да разберем как се държи и променя материята!")</f>
        <v>Ежедневните химикали са важна химическа концепция, която ни помага да разберем как се държи и променя материята!</v>
      </c>
      <c r="G4905" s="1" t="str">
        <f ca="1">IFERROR(__xludf.DUMMYFUNCTION("GOOGLETRANSLATE(English!G4905, ""en"", ""bg"")"),"разговор")</f>
        <v>разговор</v>
      </c>
      <c r="H4905" s="1" t="str">
        <f ca="1">IFERROR(__xludf.DUMMYFUNCTION("GOOGLETRANSLATE(English!H4905, ""en"", ""bg"")"),"образователна_помощ")</f>
        <v>образователна_помощ</v>
      </c>
    </row>
    <row r="4906" spans="1:8" ht="13.2" x14ac:dyDescent="0.25">
      <c r="A4906" s="1" t="str">
        <f ca="1">IFERROR(__xludf.DUMMYFUNCTION("GOOGLETRANSLATE(English!A4906, ""en"", ""bg"")"),"conv_02861")</f>
        <v>conv_02861</v>
      </c>
      <c r="B4906" s="1" t="str">
        <f ca="1">IFERROR(__xludf.DUMMYFUNCTION("GOOGLETRANSLATE(English!B4906, ""en"", ""bg"")"),"биология")</f>
        <v>биология</v>
      </c>
      <c r="C4906" s="1" t="str">
        <f ca="1">IFERROR(__xludf.DUMMYFUNCTION("GOOGLETRANSLATE(English!C4906, ""en"", ""bg"")"),"елементарен")</f>
        <v>елементарен</v>
      </c>
      <c r="D4906" s="1" t="str">
        <f ca="1">IFERROR(__xludf.DUMMYFUNCTION("GOOGLETRANSLATE(English!D4906, ""en"", ""bg"")"),"човешкото тяло")</f>
        <v>човешкото тяло</v>
      </c>
      <c r="E4906" s="1" t="str">
        <f ca="1">IFERROR(__xludf.DUMMYFUNCTION("GOOGLETRANSLATE(English!E4906, ""en"", ""bg"")"),"Имам научен въпрос. Защо човешкото тяло е важно в биологията?")</f>
        <v>Имам научен въпрос. Защо човешкото тяло е важно в биологията?</v>
      </c>
      <c r="F4906" s="1" t="str">
        <f ca="1">IFERROR(__xludf.DUMMYFUNCTION("GOOGLETRANSLATE(English!F4906, ""en"", ""bg"")"),"Човешкото тяло е важно, защото ни помага да разберем живота и как живите същества оцеляват.")</f>
        <v>Човешкото тяло е важно, защото ни помага да разберем живота и как живите същества оцеляват.</v>
      </c>
      <c r="G4906" s="1" t="str">
        <f ca="1">IFERROR(__xludf.DUMMYFUNCTION("GOOGLETRANSLATE(English!G4906, ""en"", ""bg"")"),"разговор")</f>
        <v>разговор</v>
      </c>
      <c r="H4906" s="1" t="str">
        <f ca="1">IFERROR(__xludf.DUMMYFUNCTION("GOOGLETRANSLATE(English!H4906, ""en"", ""bg"")"),"образователна_помощ")</f>
        <v>образователна_помощ</v>
      </c>
    </row>
    <row r="4907" spans="1:8" ht="13.2" x14ac:dyDescent="0.25">
      <c r="A4907" s="1" t="str">
        <f ca="1">IFERROR(__xludf.DUMMYFUNCTION("GOOGLETRANSLATE(English!A4907, ""en"", ""bg"")"),"qa_07324")</f>
        <v>qa_07324</v>
      </c>
      <c r="B4907" s="1" t="str">
        <f ca="1">IFERROR(__xludf.DUMMYFUNCTION("GOOGLETRANSLATE(English!B4907, ""en"", ""bg"")"),"химия")</f>
        <v>химия</v>
      </c>
      <c r="C4907" s="1" t="str">
        <f ca="1">IFERROR(__xludf.DUMMYFUNCTION("GOOGLETRANSLATE(English!C4907, ""en"", ""bg"")"),"високо")</f>
        <v>високо</v>
      </c>
      <c r="D4907" s="1" t="str">
        <f ca="1">IFERROR(__xludf.DUMMYFUNCTION("GOOGLETRANSLATE(English!D4907, ""en"", ""bg"")"),"стехиометрия")</f>
        <v>стехиометрия</v>
      </c>
      <c r="E4907" s="1" t="str">
        <f ca="1">IFERROR(__xludf.DUMMYFUNCTION("GOOGLETRANSLATE(English!E4907, ""en"", ""bg"")"),"Можете ли да ми помогнете да разбера стехиометрията?")</f>
        <v>Можете ли да ми помогнете да разбера стехиометрията?</v>
      </c>
      <c r="F4907" s="1" t="str">
        <f ca="1">IFERROR(__xludf.DUMMYFUNCTION("GOOGLETRANSLATE(English!F4907, ""en"", ""bg"")"),"Стехиометрията е важна химическа концепция, която ни помага да разберем как се държи и променя материята!")</f>
        <v>Стехиометрията е важна химическа концепция, която ни помага да разберем как се държи и променя материята!</v>
      </c>
      <c r="G4907" s="1" t="str">
        <f ca="1">IFERROR(__xludf.DUMMYFUNCTION("GOOGLETRANSLATE(English!G4907, ""en"", ""bg"")"),"direct_qa")</f>
        <v>direct_qa</v>
      </c>
      <c r="H4907" s="1" t="str">
        <f ca="1">IFERROR(__xludf.DUMMYFUNCTION("GOOGLETRANSLATE(English!H4907, ""en"", ""bg"")"),"заявка_за_знание")</f>
        <v>заявка_за_знание</v>
      </c>
    </row>
    <row r="4908" spans="1:8" ht="13.2" x14ac:dyDescent="0.25">
      <c r="A4908" s="1" t="str">
        <f ca="1">IFERROR(__xludf.DUMMYFUNCTION("GOOGLETRANSLATE(English!A4908, ""en"", ""bg"")"),"qa_00415")</f>
        <v>qa_00415</v>
      </c>
      <c r="B4908" s="1" t="str">
        <f ca="1">IFERROR(__xludf.DUMMYFUNCTION("GOOGLETRANSLATE(English!B4908, ""en"", ""bg"")"),"физика")</f>
        <v>физика</v>
      </c>
      <c r="C4908" s="1" t="str">
        <f ca="1">IFERROR(__xludf.DUMMYFUNCTION("GOOGLETRANSLATE(English!C4908, ""en"", ""bg"")"),"високо")</f>
        <v>високо</v>
      </c>
      <c r="D4908" s="1" t="str">
        <f ca="1">IFERROR(__xludf.DUMMYFUNCTION("GOOGLETRANSLATE(English!D4908, ""en"", ""bg"")"),"атомна структура")</f>
        <v>атомна структура</v>
      </c>
      <c r="E4908" s="1" t="str">
        <f ca="1">IFERROR(__xludf.DUMMYFUNCTION("GOOGLETRANSLATE(English!E4908, ""en"", ""bg"")"),"Можете ли да ми обясните структурата на атома?")</f>
        <v>Можете ли да ми обясните структурата на атома?</v>
      </c>
      <c r="F4908" s="1" t="str">
        <f ca="1">IFERROR(__xludf.DUMMYFUNCTION("GOOGLETRANSLATE(English!F4908, ""en"", ""bg"")"),"Атомната структура е интересна физическа концепция, която ни помага да разберем как работят нещата в нашия свят!")</f>
        <v>Атомната структура е интересна физическа концепция, която ни помага да разберем как работят нещата в нашия свят!</v>
      </c>
      <c r="G4908" s="1" t="str">
        <f ca="1">IFERROR(__xludf.DUMMYFUNCTION("GOOGLETRANSLATE(English!G4908, ""en"", ""bg"")"),"direct_qa")</f>
        <v>direct_qa</v>
      </c>
      <c r="H4908" s="1" t="str">
        <f ca="1">IFERROR(__xludf.DUMMYFUNCTION("GOOGLETRANSLATE(English!H4908, ""en"", ""bg"")"),"заявка_за_знание")</f>
        <v>заявка_за_знание</v>
      </c>
    </row>
    <row r="4909" spans="1:8" ht="13.2" x14ac:dyDescent="0.25">
      <c r="A4909" s="1" t="str">
        <f ca="1">IFERROR(__xludf.DUMMYFUNCTION("GOOGLETRANSLATE(English!A4909, ""en"", ""bg"")"),"hw_12476")</f>
        <v>hw_12476</v>
      </c>
      <c r="B4909" s="1" t="str">
        <f ca="1">IFERROR(__xludf.DUMMYFUNCTION("GOOGLETRANSLATE(English!B4909, ""en"", ""bg"")"),"химия")</f>
        <v>химия</v>
      </c>
      <c r="C4909" s="1" t="str">
        <f ca="1">IFERROR(__xludf.DUMMYFUNCTION("GOOGLETRANSLATE(English!C4909, ""en"", ""bg"")"),"високо")</f>
        <v>високо</v>
      </c>
      <c r="D4909" s="1" t="str">
        <f ca="1">IFERROR(__xludf.DUMMYFUNCTION("GOOGLETRANSLATE(English!D4909, ""en"", ""bg"")"),"скорости на реакция")</f>
        <v>скорости на реакция</v>
      </c>
      <c r="E4909" s="1" t="str">
        <f ca="1">IFERROR(__xludf.DUMMYFUNCTION("GOOGLETRANSLATE(English!E4909, ""en"", ""bg"")"),"Не разбирам тази концепция за скоростта на реакцията. Моля, обяснете!")</f>
        <v>Не разбирам тази концепция за скоростта на реакцията. Моля, обяснете!</v>
      </c>
      <c r="F4909" s="1" t="str">
        <f ca="1">IFERROR(__xludf.DUMMYFUNCTION("GOOGLETRANSLATE(English!F4909,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4909" s="1" t="str">
        <f ca="1">IFERROR(__xludf.DUMMYFUNCTION("GOOGLETRANSLATE(English!G4909, ""en"", ""bg"")"),"помощ_за_домашно_изпълнение")</f>
        <v>помощ_за_домашно_изпълнение</v>
      </c>
      <c r="H4909" s="1" t="str">
        <f ca="1">IFERROR(__xludf.DUMMYFUNCTION("GOOGLETRANSLATE(English!H4909, ""en"", ""bg"")"),"помощ_за_домашно_задаване")</f>
        <v>помощ_за_домашно_задаване</v>
      </c>
    </row>
    <row r="4910" spans="1:8" ht="13.2" x14ac:dyDescent="0.25">
      <c r="A4910" s="1" t="str">
        <f ca="1">IFERROR(__xludf.DUMMYFUNCTION("GOOGLETRANSLATE(English!A4910, ""en"", ""bg"")"),"qa_10689")</f>
        <v>qa_10689</v>
      </c>
      <c r="B4910" s="1" t="str">
        <f ca="1">IFERROR(__xludf.DUMMYFUNCTION("GOOGLETRANSLATE(English!B4910, ""en"", ""bg"")"),"химия")</f>
        <v>химия</v>
      </c>
      <c r="C4910" s="1" t="str">
        <f ca="1">IFERROR(__xludf.DUMMYFUNCTION("GOOGLETRANSLATE(English!C4910, ""en"", ""bg"")"),"средата")</f>
        <v>средата</v>
      </c>
      <c r="D4910" s="1" t="str">
        <f ca="1">IFERROR(__xludf.DUMMYFUNCTION("GOOGLETRANSLATE(English!D4910, ""en"", ""bg"")"),"киселини и основи")</f>
        <v>киселини и основи</v>
      </c>
      <c r="E4910" s="1" t="str">
        <f ca="1">IFERROR(__xludf.DUMMYFUNCTION("GOOGLETRANSLATE(English!E4910, ""en"", ""bg"")"),"Как действат киселините и основите в химията?")</f>
        <v>Как действат киселините и основите в химията?</v>
      </c>
      <c r="F4910" s="1" t="str">
        <f ca="1">IFERROR(__xludf.DUMMYFUNCTION("GOOGLETRANSLATE(English!F4910, ""en"", ""bg"")"),"Киселините и основите действат според химични принципи, които обясняват как атомите и молекулите взаимодействат.")</f>
        <v>Киселините и основите действат според химични принципи, които обясняват как атомите и молекулите взаимодействат.</v>
      </c>
      <c r="G4910" s="1" t="str">
        <f ca="1">IFERROR(__xludf.DUMMYFUNCTION("GOOGLETRANSLATE(English!G4910, ""en"", ""bg"")"),"direct_qa")</f>
        <v>direct_qa</v>
      </c>
      <c r="H4910" s="1" t="str">
        <f ca="1">IFERROR(__xludf.DUMMYFUNCTION("GOOGLETRANSLATE(English!H4910, ""en"", ""bg"")"),"заявка_за_знание")</f>
        <v>заявка_за_знание</v>
      </c>
    </row>
    <row r="4911" spans="1:8" ht="13.2" x14ac:dyDescent="0.25">
      <c r="A4911" s="1" t="str">
        <f ca="1">IFERROR(__xludf.DUMMYFUNCTION("GOOGLETRANSLATE(English!A4911, ""en"", ""bg"")"),"hw_08869")</f>
        <v>hw_08869</v>
      </c>
      <c r="B4911" s="1" t="str">
        <f ca="1">IFERROR(__xludf.DUMMYFUNCTION("GOOGLETRANSLATE(English!B4911, ""en"", ""bg"")"),"биология")</f>
        <v>биология</v>
      </c>
      <c r="C4911" s="1" t="str">
        <f ca="1">IFERROR(__xludf.DUMMYFUNCTION("GOOGLETRANSLATE(English!C4911, ""en"", ""bg"")"),"средата")</f>
        <v>средата</v>
      </c>
      <c r="D4911" s="1" t="str">
        <f ca="1">IFERROR(__xludf.DUMMYFUNCTION("GOOGLETRANSLATE(English!D4911, ""en"", ""bg"")"),"размножаване")</f>
        <v>размножаване</v>
      </c>
      <c r="E4911" s="1" t="str">
        <f ca="1">IFERROR(__xludf.DUMMYFUNCTION("GOOGLETRANSLATE(English!E4911, ""en"", ""bg"")"),"Можете ли да обясните размножаването за моя научен проект?")</f>
        <v>Можете ли да обясните размножаването за моя научен проект?</v>
      </c>
      <c r="F4911" s="1" t="str">
        <f ca="1">IFERROR(__xludf.DUMMYFUNCTION("GOOGLETRANSLATE(English!F4911,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911" s="1" t="str">
        <f ca="1">IFERROR(__xludf.DUMMYFUNCTION("GOOGLETRANSLATE(English!G4911, ""en"", ""bg"")"),"помощ_за_домашно_изпълнение")</f>
        <v>помощ_за_домашно_изпълнение</v>
      </c>
      <c r="H4911" s="1" t="str">
        <f ca="1">IFERROR(__xludf.DUMMYFUNCTION("GOOGLETRANSLATE(English!H4911, ""en"", ""bg"")"),"помощ_за_домашно_задаване")</f>
        <v>помощ_за_домашно_задаване</v>
      </c>
    </row>
    <row r="4912" spans="1:8" ht="13.2" x14ac:dyDescent="0.25">
      <c r="A4912" s="1" t="str">
        <f ca="1">IFERROR(__xludf.DUMMYFUNCTION("GOOGLETRANSLATE(English!A4912, ""en"", ""bg"")"),"conv_10529")</f>
        <v>conv_10529</v>
      </c>
      <c r="B4912" s="1" t="str">
        <f ca="1">IFERROR(__xludf.DUMMYFUNCTION("GOOGLETRANSLATE(English!B4912, ""en"", ""bg"")"),"химия")</f>
        <v>химия</v>
      </c>
      <c r="C4912" s="1" t="str">
        <f ca="1">IFERROR(__xludf.DUMMYFUNCTION("GOOGLETRANSLATE(English!C4912, ""en"", ""bg"")"),"елементарен")</f>
        <v>елементарен</v>
      </c>
      <c r="D4912" s="1" t="str">
        <f ca="1">IFERROR(__xludf.DUMMYFUNCTION("GOOGLETRANSLATE(English!D4912, ""en"", ""bg"")"),"промени в материалите")</f>
        <v>промени в материалите</v>
      </c>
      <c r="E4912" s="1" t="str">
        <f ca="1">IFERROR(__xludf.DUMMYFUNCTION("GOOGLETRANSLATE(English!E4912, ""en"", ""bg"")"),"Имам научен въпрос. Можете ли да ми помогнете да разбера промените в материалите?")</f>
        <v>Имам научен въпрос. Можете ли да ми помогнете да разбера промените в материалите?</v>
      </c>
      <c r="F4912" s="1" t="str">
        <f ca="1">IFERROR(__xludf.DUMMYFUNCTION("GOOGLETRANSLATE(English!F4912, ""en"", ""bg"")"),"Промените в материалите са важна химическа концепция, която ни помага да разберем как се държи и променя материята!")</f>
        <v>Промените в материалите са важна химическа концепция, която ни помага да разберем как се държи и променя материята!</v>
      </c>
      <c r="G4912" s="1" t="str">
        <f ca="1">IFERROR(__xludf.DUMMYFUNCTION("GOOGLETRANSLATE(English!G4912, ""en"", ""bg"")"),"разговор")</f>
        <v>разговор</v>
      </c>
      <c r="H4912" s="1" t="str">
        <f ca="1">IFERROR(__xludf.DUMMYFUNCTION("GOOGLETRANSLATE(English!H4912, ""en"", ""bg"")"),"образователна_помощ")</f>
        <v>образователна_помощ</v>
      </c>
    </row>
    <row r="4913" spans="1:8" ht="13.2" x14ac:dyDescent="0.25">
      <c r="A4913" s="1" t="str">
        <f ca="1">IFERROR(__xludf.DUMMYFUNCTION("GOOGLETRANSLATE(English!A4913, ""en"", ""bg"")"),"conv_13155")</f>
        <v>conv_13155</v>
      </c>
      <c r="B4913" s="1" t="str">
        <f ca="1">IFERROR(__xludf.DUMMYFUNCTION("GOOGLETRANSLATE(English!B4913, ""en"", ""bg"")"),"биология")</f>
        <v>биология</v>
      </c>
      <c r="C4913" s="1" t="str">
        <f ca="1">IFERROR(__xludf.DUMMYFUNCTION("GOOGLETRANSLATE(English!C4913, ""en"", ""bg"")"),"елементарен")</f>
        <v>елементарен</v>
      </c>
      <c r="D4913" s="1" t="str">
        <f ca="1">IFERROR(__xludf.DUMMYFUNCTION("GOOGLETRANSLATE(English!D4913, ""en"", ""bg"")"),"основни нужди")</f>
        <v>основни нужди</v>
      </c>
      <c r="E4913" s="1" t="str">
        <f ca="1">IFERROR(__xludf.DUMMYFUNCTION("GOOGLETRANSLATE(English!E4913, ""en"", ""bg"")"),"Можете ли да ми помогнете? Какво е важно да знам за основните нужди?")</f>
        <v>Можете ли да ми помогнете? Какво е важно да знам за основните нужди?</v>
      </c>
      <c r="F4913" s="1" t="str">
        <f ca="1">IFERROR(__xludf.DUMMYFUNCTION("GOOGLETRANSLATE(English!F4913, ""en"", ""bg"")"),"Най-важното нещо за основните потребности е как те се свързват с други части от живота и природата.")</f>
        <v>Най-важното нещо за основните потребности е как те се свързват с други части от живота и природата.</v>
      </c>
      <c r="G4913" s="1" t="str">
        <f ca="1">IFERROR(__xludf.DUMMYFUNCTION("GOOGLETRANSLATE(English!G4913, ""en"", ""bg"")"),"разговор")</f>
        <v>разговор</v>
      </c>
      <c r="H4913" s="1" t="str">
        <f ca="1">IFERROR(__xludf.DUMMYFUNCTION("GOOGLETRANSLATE(English!H4913, ""en"", ""bg"")"),"образователна_помощ")</f>
        <v>образователна_помощ</v>
      </c>
    </row>
    <row r="4914" spans="1:8" ht="13.2" x14ac:dyDescent="0.25">
      <c r="A4914" s="1" t="str">
        <f ca="1">IFERROR(__xludf.DUMMYFUNCTION("GOOGLETRANSLATE(English!A4914, ""en"", ""bg"")"),"qa_06512")</f>
        <v>qa_06512</v>
      </c>
      <c r="B4914" s="1" t="str">
        <f ca="1">IFERROR(__xludf.DUMMYFUNCTION("GOOGLETRANSLATE(English!B4914, ""en"", ""bg"")"),"химия")</f>
        <v>химия</v>
      </c>
      <c r="C4914" s="1" t="str">
        <f ca="1">IFERROR(__xludf.DUMMYFUNCTION("GOOGLETRANSLATE(English!C4914, ""en"", ""bg"")"),"високо")</f>
        <v>високо</v>
      </c>
      <c r="D4914" s="1" t="str">
        <f ca="1">IFERROR(__xludf.DUMMYFUNCTION("GOOGLETRANSLATE(English!D4914, ""en"", ""bg"")"),"стехиометрия")</f>
        <v>стехиометрия</v>
      </c>
      <c r="E4914" s="1" t="str">
        <f ca="1">IFERROR(__xludf.DUMMYFUNCTION("GOOGLETRANSLATE(English!E4914, ""en"", ""bg"")"),"Как работи стехиометрията в химията?")</f>
        <v>Как работи стехиометрията в химията?</v>
      </c>
      <c r="F4914" s="1" t="str">
        <f ca="1">IFERROR(__xludf.DUMMYFUNCTION("GOOGLETRANSLATE(English!F4914, ""en"", ""bg"")"),"Стехиометрията работи според химични принципи, които обясняват как атомите и молекулите взаимодействат.")</f>
        <v>Стехиометрията работи според химични принципи, които обясняват как атомите и молекулите взаимодействат.</v>
      </c>
      <c r="G4914" s="1" t="str">
        <f ca="1">IFERROR(__xludf.DUMMYFUNCTION("GOOGLETRANSLATE(English!G4914, ""en"", ""bg"")"),"direct_qa")</f>
        <v>direct_qa</v>
      </c>
      <c r="H4914" s="1" t="str">
        <f ca="1">IFERROR(__xludf.DUMMYFUNCTION("GOOGLETRANSLATE(English!H4914, ""en"", ""bg"")"),"заявка_за_знание")</f>
        <v>заявка_за_знание</v>
      </c>
    </row>
    <row r="4915" spans="1:8" ht="13.2" x14ac:dyDescent="0.25">
      <c r="A4915" s="1" t="str">
        <f ca="1">IFERROR(__xludf.DUMMYFUNCTION("GOOGLETRANSLATE(English!A4915, ""en"", ""bg"")"),"hw_04342")</f>
        <v>hw_04342</v>
      </c>
      <c r="B4915" s="1" t="str">
        <f ca="1">IFERROR(__xludf.DUMMYFUNCTION("GOOGLETRANSLATE(English!B4915, ""en"", ""bg"")"),"физика")</f>
        <v>физика</v>
      </c>
      <c r="C4915" s="1" t="str">
        <f ca="1">IFERROR(__xludf.DUMMYFUNCTION("GOOGLETRANSLATE(English!C4915, ""en"", ""bg"")"),"елементарен")</f>
        <v>елементарен</v>
      </c>
      <c r="D4915" s="1" t="str">
        <f ca="1">IFERROR(__xludf.DUMMYFUNCTION("GOOGLETRANSLATE(English!D4915, ""en"", ""bg"")"),"звук")</f>
        <v>звук</v>
      </c>
      <c r="E4915" s="1" t="str">
        <f ca="1">IFERROR(__xludf.DUMMYFUNCTION("GOOGLETRANSLATE(English!E4915, ""en"", ""bg"")"),"Можете ли да решите този важен въпрос с мен?")</f>
        <v>Можете ли да решите този важен въпрос с мен?</v>
      </c>
      <c r="F4915" s="1" t="str">
        <f ca="1">IFERROR(__xludf.DUMMYFUNCTION("GOOGLETRANSLATE(English!F4915, ""en"", ""bg"")"),"Ще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започнете?")</f>
        <v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v>
      </c>
      <c r="G4915" s="1" t="str">
        <f ca="1">IFERROR(__xludf.DUMMYFUNCTION("GOOGLETRANSLATE(English!G4915, ""en"", ""bg"")"),"помощ_за_домашно_изпълнение")</f>
        <v>помощ_за_домашно_изпълнение</v>
      </c>
      <c r="H4915" s="1" t="str">
        <f ca="1">IFERROR(__xludf.DUMMYFUNCTION("GOOGLETRANSLATE(English!H4915, ""en"", ""bg"")"),"помощ_за_домашно_задаване")</f>
        <v>помощ_за_домашно_задаване</v>
      </c>
    </row>
    <row r="4916" spans="1:8" ht="13.2" x14ac:dyDescent="0.25">
      <c r="A4916" s="1" t="str">
        <f ca="1">IFERROR(__xludf.DUMMYFUNCTION("GOOGLETRANSLATE(English!A4916, ""en"", ""bg"")"),"conv_11279")</f>
        <v>conv_11279</v>
      </c>
      <c r="B4916" s="1" t="str">
        <f ca="1">IFERROR(__xludf.DUMMYFUNCTION("GOOGLETRANSLATE(English!B4916, ""en"", ""bg"")"),"биология")</f>
        <v>биология</v>
      </c>
      <c r="C4916" s="1" t="str">
        <f ca="1">IFERROR(__xludf.DUMMYFUNCTION("GOOGLETRANSLATE(English!C4916, ""en"", ""bg"")"),"средата")</f>
        <v>средата</v>
      </c>
      <c r="D4916" s="1" t="str">
        <f ca="1">IFERROR(__xludf.DUMMYFUNCTION("GOOGLETRANSLATE(English!D4916, ""en"", ""bg"")"),"основи на генетиката")</f>
        <v>основи на генетиката</v>
      </c>
      <c r="E4916" s="1" t="str">
        <f ca="1">IFERROR(__xludf.DUMMYFUNCTION("GOOGLETRANSLATE(English!E4916, ""en"", ""bg"")"),"Здравей, преподавателю! Можеш ли да ми разкажеш за основите на генетиката?")</f>
        <v>Здравей, преподавателю! Можеш ли да ми разкажеш за основите на генетиката?</v>
      </c>
      <c r="F4916" s="1" t="str">
        <f ca="1">IFERROR(__xludf.DUMMYFUNCTION("GOOGLETRANSLATE(English!F4916, ""en"", ""bg"")"),"Основите на генетиката са завладяваща част от биологията! Те ни помагат да разберем как функционират живите организми.")</f>
        <v>Основите на генетиката са завладяваща част от биологията! Те ни помагат да разберем как функционират живите организми.</v>
      </c>
      <c r="G4916" s="1" t="str">
        <f ca="1">IFERROR(__xludf.DUMMYFUNCTION("GOOGLETRANSLATE(English!G4916, ""en"", ""bg"")"),"разговор")</f>
        <v>разговор</v>
      </c>
      <c r="H4916" s="1" t="str">
        <f ca="1">IFERROR(__xludf.DUMMYFUNCTION("GOOGLETRANSLATE(English!H4916, ""en"", ""bg"")"),"образователна_помощ")</f>
        <v>образователна_помощ</v>
      </c>
    </row>
    <row r="4917" spans="1:8" ht="13.2" x14ac:dyDescent="0.25">
      <c r="A4917" s="1" t="str">
        <f ca="1">IFERROR(__xludf.DUMMYFUNCTION("GOOGLETRANSLATE(English!A4917, ""en"", ""bg"")"),"qa_13725")</f>
        <v>qa_13725</v>
      </c>
      <c r="B4917" s="1" t="str">
        <f ca="1">IFERROR(__xludf.DUMMYFUNCTION("GOOGLETRANSLATE(English!B4917, ""en"", ""bg"")"),"биология")</f>
        <v>биология</v>
      </c>
      <c r="C4917" s="1" t="str">
        <f ca="1">IFERROR(__xludf.DUMMYFUNCTION("GOOGLETRANSLATE(English!C4917, ""en"", ""bg"")"),"високо")</f>
        <v>високо</v>
      </c>
      <c r="D4917" s="1" t="str">
        <f ca="1">IFERROR(__xludf.DUMMYFUNCTION("GOOGLETRANSLATE(English!D4917, ""en"", ""bg"")"),"митоза и мейоза")</f>
        <v>митоза и мейоза</v>
      </c>
      <c r="E4917" s="1" t="str">
        <f ca="1">IFERROR(__xludf.DUMMYFUNCTION("GOOGLETRANSLATE(English!E4917, ""en"", ""bg"")"),"Защо митозата и мейозата са важни в биологията?")</f>
        <v>Защо митозата и мейозата са важни в биологията?</v>
      </c>
      <c r="F4917" s="1" t="str">
        <f ca="1">IFERROR(__xludf.DUMMYFUNCTION("GOOGLETRANSLATE(English!F4917, ""en"", ""bg"")"),"Митозата и мейозата са важни, защото ни помагат да разберем живота и как живите същества оцеляват.")</f>
        <v>Митозата и мейозата са важни, защото ни помагат да разберем живота и как живите същества оцеляват.</v>
      </c>
      <c r="G4917" s="1" t="str">
        <f ca="1">IFERROR(__xludf.DUMMYFUNCTION("GOOGLETRANSLATE(English!G4917, ""en"", ""bg"")"),"direct_qa")</f>
        <v>direct_qa</v>
      </c>
      <c r="H4917" s="1" t="str">
        <f ca="1">IFERROR(__xludf.DUMMYFUNCTION("GOOGLETRANSLATE(English!H4917, ""en"", ""bg"")"),"заявка_за_знание")</f>
        <v>заявка_за_знание</v>
      </c>
    </row>
    <row r="4918" spans="1:8" ht="13.2" x14ac:dyDescent="0.25">
      <c r="A4918" s="1" t="str">
        <f ca="1">IFERROR(__xludf.DUMMYFUNCTION("GOOGLETRANSLATE(English!A4918, ""en"", ""bg"")"),"conv_07240")</f>
        <v>conv_07240</v>
      </c>
      <c r="B4918" s="1" t="str">
        <f ca="1">IFERROR(__xludf.DUMMYFUNCTION("GOOGLETRANSLATE(English!B4918, ""en"", ""bg"")"),"химия")</f>
        <v>химия</v>
      </c>
      <c r="C4918" s="1" t="str">
        <f ca="1">IFERROR(__xludf.DUMMYFUNCTION("GOOGLETRANSLATE(English!C4918, ""en"", ""bg"")"),"елементарен")</f>
        <v>елементарен</v>
      </c>
      <c r="D4918" s="1" t="str">
        <f ca="1">IFERROR(__xludf.DUMMYFUNCTION("GOOGLETRANSLATE(English!D4918, ""en"", ""bg"")"),"смесване на материали")</f>
        <v>смесване на материали</v>
      </c>
      <c r="E4918" s="1" t="str">
        <f ca="1">IFERROR(__xludf.DUMMYFUNCTION("GOOGLETRANSLATE(English!E4918, ""en"", ""bg"")"),"Помогнете ми да уча за теста си. Какво е решение?")</f>
        <v>Помогнете ми да уча за теста си. Какво е решение?</v>
      </c>
      <c r="F4918" s="1" t="str">
        <f ca="1">IFERROR(__xludf.DUMMYFUNCTION("GOOGLETRANSLATE(English!F4918,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4918" s="1" t="str">
        <f ca="1">IFERROR(__xludf.DUMMYFUNCTION("GOOGLETRANSLATE(English!G4918, ""en"", ""bg"")"),"разговор")</f>
        <v>разговор</v>
      </c>
      <c r="H4918" s="1" t="str">
        <f ca="1">IFERROR(__xludf.DUMMYFUNCTION("GOOGLETRANSLATE(English!H4918, ""en"", ""bg"")"),"образователна_помощ")</f>
        <v>образователна_помощ</v>
      </c>
    </row>
    <row r="4919" spans="1:8" ht="13.2" x14ac:dyDescent="0.25">
      <c r="A4919" s="1" t="str">
        <f ca="1">IFERROR(__xludf.DUMMYFUNCTION("GOOGLETRANSLATE(English!A4919, ""en"", ""bg"")"),"qa_06504")</f>
        <v>qa_06504</v>
      </c>
      <c r="B4919" s="1" t="str">
        <f ca="1">IFERROR(__xludf.DUMMYFUNCTION("GOOGLETRANSLATE(English!B4919, ""en"", ""bg"")"),"биология")</f>
        <v>биология</v>
      </c>
      <c r="C4919" s="1" t="str">
        <f ca="1">IFERROR(__xludf.DUMMYFUNCTION("GOOGLETRANSLATE(English!C4919, ""en"", ""bg"")"),"елементарен")</f>
        <v>елементарен</v>
      </c>
      <c r="D4919" s="1" t="str">
        <f ca="1">IFERROR(__xludf.DUMMYFUNCTION("GOOGLETRANSLATE(English!D4919, ""en"", ""bg"")"),"основни нужди")</f>
        <v>основни нужди</v>
      </c>
      <c r="E4919" s="1" t="str">
        <f ca="1">IFERROR(__xludf.DUMMYFUNCTION("GOOGLETRANSLATE(English!E4919, ""en"", ""bg"")"),"Защо основните потребности са важни в биологията?")</f>
        <v>Защо основните потребности са важни в биологията?</v>
      </c>
      <c r="F4919" s="1" t="str">
        <f ca="1">IFERROR(__xludf.DUMMYFUNCTION("GOOGLETRANSLATE(English!F4919, ""en"", ""bg"")"),"Основните потребности са важни, защото ни помагат да разберем живота и как живите същества оцеляват.")</f>
        <v>Основните потребности са важни, защото ни помагат да разберем живота и как живите същества оцеляват.</v>
      </c>
      <c r="G4919" s="1" t="str">
        <f ca="1">IFERROR(__xludf.DUMMYFUNCTION("GOOGLETRANSLATE(English!G4919, ""en"", ""bg"")"),"direct_qa")</f>
        <v>direct_qa</v>
      </c>
      <c r="H4919" s="1" t="str">
        <f ca="1">IFERROR(__xludf.DUMMYFUNCTION("GOOGLETRANSLATE(English!H4919, ""en"", ""bg"")"),"заявка_за_знание")</f>
        <v>заявка_за_знание</v>
      </c>
    </row>
    <row r="4920" spans="1:8" ht="13.2" x14ac:dyDescent="0.25">
      <c r="A4920" s="1" t="str">
        <f ca="1">IFERROR(__xludf.DUMMYFUNCTION("GOOGLETRANSLATE(English!A4920, ""en"", ""bg"")"),"qa_03620")</f>
        <v>qa_03620</v>
      </c>
      <c r="B4920" s="1" t="str">
        <f ca="1">IFERROR(__xludf.DUMMYFUNCTION("GOOGLETRANSLATE(English!B4920, ""en"", ""bg"")"),"биология")</f>
        <v>биология</v>
      </c>
      <c r="C4920" s="1" t="str">
        <f ca="1">IFERROR(__xludf.DUMMYFUNCTION("GOOGLETRANSLATE(English!C4920, ""en"", ""bg"")"),"средата")</f>
        <v>средата</v>
      </c>
      <c r="D4920" s="1" t="str">
        <f ca="1">IFERROR(__xludf.DUMMYFUNCTION("GOOGLETRANSLATE(English!D4920, ""en"", ""bg"")"),"основи на генетиката")</f>
        <v>основи на генетиката</v>
      </c>
      <c r="E4920" s="1" t="str">
        <f ca="1">IFERROR(__xludf.DUMMYFUNCTION("GOOGLETRANSLATE(English!E4920, ""en"", ""bg"")"),"Какво е важно да знаем за основите на генетиката?")</f>
        <v>Какво е важно да знаем за основите на генетиката?</v>
      </c>
      <c r="F4920" s="1" t="str">
        <f ca="1">IFERROR(__xludf.DUMMYFUNCTION("GOOGLETRANSLATE(English!F4920, ""en"", ""bg"")"),"Най-важното нещо за основите на генетиката е как тя се свързва с други части на живота и природата.")</f>
        <v>Най-важното нещо за основите на генетиката е как тя се свързва с други части на живота и природата.</v>
      </c>
      <c r="G4920" s="1" t="str">
        <f ca="1">IFERROR(__xludf.DUMMYFUNCTION("GOOGLETRANSLATE(English!G4920, ""en"", ""bg"")"),"direct_qa")</f>
        <v>direct_qa</v>
      </c>
      <c r="H4920" s="1" t="str">
        <f ca="1">IFERROR(__xludf.DUMMYFUNCTION("GOOGLETRANSLATE(English!H4920, ""en"", ""bg"")"),"заявка_за_знание")</f>
        <v>заявка_за_знание</v>
      </c>
    </row>
    <row r="4921" spans="1:8" ht="13.2" x14ac:dyDescent="0.25">
      <c r="A4921" s="1" t="str">
        <f ca="1">IFERROR(__xludf.DUMMYFUNCTION("GOOGLETRANSLATE(English!A4921, ""en"", ""bg"")"),"conv_10783")</f>
        <v>conv_10783</v>
      </c>
      <c r="B4921" s="1" t="str">
        <f ca="1">IFERROR(__xludf.DUMMYFUNCTION("GOOGLETRANSLATE(English!B4921, ""en"", ""bg"")"),"биология")</f>
        <v>биология</v>
      </c>
      <c r="C4921" s="1" t="str">
        <f ca="1">IFERROR(__xludf.DUMMYFUNCTION("GOOGLETRANSLATE(English!C4921, ""en"", ""bg"")"),"елементарен")</f>
        <v>елементарен</v>
      </c>
      <c r="D4921" s="1" t="str">
        <f ca="1">IFERROR(__xludf.DUMMYFUNCTION("GOOGLETRANSLATE(English!D4921, ""en"", ""bg"")"),"животни")</f>
        <v>животни</v>
      </c>
      <c r="E4921" s="1" t="str">
        <f ca="1">IFERROR(__xludf.DUMMYFUNCTION("GOOGLETRANSLATE(English!E4921, ""en"", ""bg"")"),"Здравей, учителю! С какво се хранят слоновете?")</f>
        <v>Здравей, учителю! С какво се хранят слоновете?</v>
      </c>
      <c r="F4921" s="1" t="str">
        <f ca="1">IFERROR(__xludf.DUMMYFUNCTION("GOOGLETRANSLATE(English!F4921, ""en"", ""bg"")"),"Различните животни ядат различни неща! Някои ядат растения (тревопасни), други ядат месо (хищници), а трети ядат и двете (всеядни).")</f>
        <v>Различните животни ядат различни неща! Някои ядат растения (тревопасни), други ядат месо (хищници), а трети ядат и двете (всеядни).</v>
      </c>
      <c r="G4921" s="1" t="str">
        <f ca="1">IFERROR(__xludf.DUMMYFUNCTION("GOOGLETRANSLATE(English!G4921, ""en"", ""bg"")"),"разговор")</f>
        <v>разговор</v>
      </c>
      <c r="H4921" s="1" t="str">
        <f ca="1">IFERROR(__xludf.DUMMYFUNCTION("GOOGLETRANSLATE(English!H4921, ""en"", ""bg"")"),"образователна_помощ")</f>
        <v>образователна_помощ</v>
      </c>
    </row>
    <row r="4922" spans="1:8" ht="13.2" x14ac:dyDescent="0.25">
      <c r="A4922" s="1" t="str">
        <f ca="1">IFERROR(__xludf.DUMMYFUNCTION("GOOGLETRANSLATE(English!A4922, ""en"", ""bg"")"),"conv_02624")</f>
        <v>conv_02624</v>
      </c>
      <c r="B4922" s="1" t="str">
        <f ca="1">IFERROR(__xludf.DUMMYFUNCTION("GOOGLETRANSLATE(English!B4922, ""en"", ""bg"")"),"биология")</f>
        <v>биология</v>
      </c>
      <c r="C4922" s="1" t="str">
        <f ca="1">IFERROR(__xludf.DUMMYFUNCTION("GOOGLETRANSLATE(English!C4922, ""en"", ""bg"")"),"елементарен")</f>
        <v>елементарен</v>
      </c>
      <c r="D4922" s="1" t="str">
        <f ca="1">IFERROR(__xludf.DUMMYFUNCTION("GOOGLETRANSLATE(English!D4922, ""en"", ""bg"")"),"сетива")</f>
        <v>сетива</v>
      </c>
      <c r="E4922" s="1" t="str">
        <f ca="1">IFERROR(__xludf.DUMMYFUNCTION("GOOGLETRANSLATE(English!E4922, ""en"", ""bg"")"),"Имам научен въпрос. Защо сетивата са важни в биологията?")</f>
        <v>Имам научен въпрос. Защо сетивата са важни в биологията?</v>
      </c>
      <c r="F4922" s="1" t="str">
        <f ca="1">IFERROR(__xludf.DUMMYFUNCTION("GOOGLETRANSLATE(English!F4922, ""en"", ""bg"")"),"Сетивата са важни, защото ни помагат да разберем живота и как живите същества оцеляват.")</f>
        <v>Сетивата са важни, защото ни помагат да разберем живота и как живите същества оцеляват.</v>
      </c>
      <c r="G4922" s="1" t="str">
        <f ca="1">IFERROR(__xludf.DUMMYFUNCTION("GOOGLETRANSLATE(English!G4922, ""en"", ""bg"")"),"разговор")</f>
        <v>разговор</v>
      </c>
      <c r="H4922" s="1" t="str">
        <f ca="1">IFERROR(__xludf.DUMMYFUNCTION("GOOGLETRANSLATE(English!H4922, ""en"", ""bg"")"),"образователна_помощ")</f>
        <v>образователна_помощ</v>
      </c>
    </row>
    <row r="4923" spans="1:8" ht="13.2" x14ac:dyDescent="0.25">
      <c r="A4923" s="1" t="str">
        <f ca="1">IFERROR(__xludf.DUMMYFUNCTION("GOOGLETRANSLATE(English!A4923, ""en"", ""bg"")"),"hw_06495")</f>
        <v>hw_06495</v>
      </c>
      <c r="B4923" s="1" t="str">
        <f ca="1">IFERROR(__xludf.DUMMYFUNCTION("GOOGLETRANSLATE(English!B4923, ""en"", ""bg"")"),"химия")</f>
        <v>химия</v>
      </c>
      <c r="C4923" s="1" t="str">
        <f ca="1">IFERROR(__xludf.DUMMYFUNCTION("GOOGLETRANSLATE(English!C4923, ""en"", ""bg"")"),"високо")</f>
        <v>високо</v>
      </c>
      <c r="D4923" s="1" t="str">
        <f ca="1">IFERROR(__xludf.DUMMYFUNCTION("GOOGLETRANSLATE(English!D4923, ""en"", ""bg"")"),"равновесие")</f>
        <v>равновесие</v>
      </c>
      <c r="E4923" s="1" t="str">
        <f ca="1">IFERROR(__xludf.DUMMYFUNCTION("GOOGLETRANSLATE(English!E4923, ""en"", ""bg"")"),"Не разбирам тази концепция за равновесие. Моля, обяснете!")</f>
        <v>Не разбирам тази концепция за равновесие. Моля, обяснете!</v>
      </c>
      <c r="F4923" s="1" t="str">
        <f ca="1">IFERROR(__xludf.DUMMYFUNCTION("GOOGLETRANSLATE(English!F4923, ""en"", ""bg"")"),"Ще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започнете?")</f>
        <v>Ще се радвам да ви помогна с равновесието! Нека го разделя на прости стъпки. Първо, нека обясня какво означава равновесие и защо е важно в химията. След това можем да разгледаме заедно някои примери. С коя конкретна част бихте искали да започнете?</v>
      </c>
      <c r="G4923" s="1" t="str">
        <f ca="1">IFERROR(__xludf.DUMMYFUNCTION("GOOGLETRANSLATE(English!G4923, ""en"", ""bg"")"),"помощ_за_домашно_изпълнение")</f>
        <v>помощ_за_домашно_изпълнение</v>
      </c>
      <c r="H4923" s="1" t="str">
        <f ca="1">IFERROR(__xludf.DUMMYFUNCTION("GOOGLETRANSLATE(English!H4923, ""en"", ""bg"")"),"помощ_за_домашно_задаване")</f>
        <v>помощ_за_домашно_задаване</v>
      </c>
    </row>
    <row r="4924" spans="1:8" ht="13.2" x14ac:dyDescent="0.25">
      <c r="A4924" s="1" t="str">
        <f ca="1">IFERROR(__xludf.DUMMYFUNCTION("GOOGLETRANSLATE(English!A4924, ""en"", ""bg"")"),"hw_08608")</f>
        <v>hw_08608</v>
      </c>
      <c r="B4924" s="1" t="str">
        <f ca="1">IFERROR(__xludf.DUMMYFUNCTION("GOOGLETRANSLATE(English!B4924, ""en"", ""bg"")"),"физика")</f>
        <v>физика</v>
      </c>
      <c r="C4924" s="1" t="str">
        <f ca="1">IFERROR(__xludf.DUMMYFUNCTION("GOOGLETRANSLATE(English!C4924, ""en"", ""bg"")"),"високо")</f>
        <v>високо</v>
      </c>
      <c r="D4924" s="1" t="str">
        <f ca="1">IFERROR(__xludf.DUMMYFUNCTION("GOOGLETRANSLATE(English!D4924, ""en"", ""bg"")"),"механика")</f>
        <v>механика</v>
      </c>
      <c r="E4924" s="1" t="str">
        <f ca="1">IFERROR(__xludf.DUMMYFUNCTION("GOOGLETRANSLATE(English!E4924, ""en"", ""bg"")"),"Заседнал съм с този механичен проблем. Можете ли да помогнете?")</f>
        <v>Заседнал съм с този механичен проблем. Можете ли да помогнете?</v>
      </c>
      <c r="F4924" s="1" t="str">
        <f ca="1">IFERROR(__xludf.DUMMYFUNCTION("GOOGLETRANSLATE(English!F4924,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4924" s="1" t="str">
        <f ca="1">IFERROR(__xludf.DUMMYFUNCTION("GOOGLETRANSLATE(English!G4924, ""en"", ""bg"")"),"помощ_за_домашно_изпълнение")</f>
        <v>помощ_за_домашно_изпълнение</v>
      </c>
      <c r="H4924" s="1" t="str">
        <f ca="1">IFERROR(__xludf.DUMMYFUNCTION("GOOGLETRANSLATE(English!H4924, ""en"", ""bg"")"),"помощ_за_домашно_задаване")</f>
        <v>помощ_за_домашно_задаване</v>
      </c>
    </row>
    <row r="4925" spans="1:8" ht="13.2" x14ac:dyDescent="0.25">
      <c r="A4925" s="1" t="str">
        <f ca="1">IFERROR(__xludf.DUMMYFUNCTION("GOOGLETRANSLATE(English!A4925, ""en"", ""bg"")"),"qa_00050")</f>
        <v>qa_00050</v>
      </c>
      <c r="B4925" s="1" t="str">
        <f ca="1">IFERROR(__xludf.DUMMYFUNCTION("GOOGLETRANSLATE(English!B4925, ""en"", ""bg"")"),"биология")</f>
        <v>биология</v>
      </c>
      <c r="C4925" s="1" t="str">
        <f ca="1">IFERROR(__xludf.DUMMYFUNCTION("GOOGLETRANSLATE(English!C4925, ""en"", ""bg"")"),"елементарен")</f>
        <v>елементарен</v>
      </c>
      <c r="D4925" s="1" t="str">
        <f ca="1">IFERROR(__xludf.DUMMYFUNCTION("GOOGLETRANSLATE(English!D4925, ""en"", ""bg"")"),"местообитания")</f>
        <v>местообитания</v>
      </c>
      <c r="E4925" s="1" t="str">
        <f ca="1">IFERROR(__xludf.DUMMYFUNCTION("GOOGLETRANSLATE(English!E4925, ""en"", ""bg"")"),"Защо местообитанията са важни в биологията?")</f>
        <v>Защо местообитанията са важни в биологията?</v>
      </c>
      <c r="F4925" s="1" t="str">
        <f ca="1">IFERROR(__xludf.DUMMYFUNCTION("GOOGLETRANSLATE(English!F4925, ""en"", ""bg"")"),"Местообитанията са важни, защото ни помагат да разберем живота и как живите същества оцеляват.")</f>
        <v>Местообитанията са важни, защото ни помагат да разберем живота и как живите същества оцеляват.</v>
      </c>
      <c r="G4925" s="1" t="str">
        <f ca="1">IFERROR(__xludf.DUMMYFUNCTION("GOOGLETRANSLATE(English!G4925, ""en"", ""bg"")"),"direct_qa")</f>
        <v>direct_qa</v>
      </c>
      <c r="H4925" s="1" t="str">
        <f ca="1">IFERROR(__xludf.DUMMYFUNCTION("GOOGLETRANSLATE(English!H4925, ""en"", ""bg"")"),"заявка_за_знание")</f>
        <v>заявка_за_знание</v>
      </c>
    </row>
    <row r="4926" spans="1:8" ht="13.2" x14ac:dyDescent="0.25">
      <c r="A4926" s="1" t="str">
        <f ca="1">IFERROR(__xludf.DUMMYFUNCTION("GOOGLETRANSLATE(English!A4926, ""en"", ""bg"")"),"qa_12465")</f>
        <v>qa_12465</v>
      </c>
      <c r="B4926" s="1" t="str">
        <f ca="1">IFERROR(__xludf.DUMMYFUNCTION("GOOGLETRANSLATE(English!B4926, ""en"", ""bg"")"),"биология")</f>
        <v>биология</v>
      </c>
      <c r="C4926" s="1" t="str">
        <f ca="1">IFERROR(__xludf.DUMMYFUNCTION("GOOGLETRANSLATE(English!C4926, ""en"", ""bg"")"),"средата")</f>
        <v>средата</v>
      </c>
      <c r="D4926" s="1" t="str">
        <f ca="1">IFERROR(__xludf.DUMMYFUNCTION("GOOGLETRANSLATE(English!D4926, ""en"", ""bg"")"),"дишане")</f>
        <v>дишане</v>
      </c>
      <c r="E4926" s="1" t="str">
        <f ca="1">IFERROR(__xludf.DUMMYFUNCTION("GOOGLETRANSLATE(English!E4926, ""en"", ""bg"")"),"Можете ли да ми разкажете за дишането?")</f>
        <v>Можете ли да ми разкажете за дишането?</v>
      </c>
      <c r="F4926" s="1" t="str">
        <f ca="1">IFERROR(__xludf.DUMMYFUNCTION("GOOGLETRANSLATE(English!F4926, ""en"", ""bg"")"),"Дишането е завладяваща част от биологията! То ни помага да разберем как функционират живите организми.")</f>
        <v>Дишането е завладяваща част от биологията! То ни помага да разберем как функционират живите организми.</v>
      </c>
      <c r="G4926" s="1" t="str">
        <f ca="1">IFERROR(__xludf.DUMMYFUNCTION("GOOGLETRANSLATE(English!G4926, ""en"", ""bg"")"),"direct_qa")</f>
        <v>direct_qa</v>
      </c>
      <c r="H4926" s="1" t="str">
        <f ca="1">IFERROR(__xludf.DUMMYFUNCTION("GOOGLETRANSLATE(English!H4926, ""en"", ""bg"")"),"заявка_за_знание")</f>
        <v>заявка_за_знание</v>
      </c>
    </row>
    <row r="4927" spans="1:8" ht="13.2" x14ac:dyDescent="0.25">
      <c r="A4927" s="1" t="str">
        <f ca="1">IFERROR(__xludf.DUMMYFUNCTION("GOOGLETRANSLATE(English!A4927, ""en"", ""bg"")"),"hw_06153")</f>
        <v>hw_06153</v>
      </c>
      <c r="B4927" s="1" t="str">
        <f ca="1">IFERROR(__xludf.DUMMYFUNCTION("GOOGLETRANSLATE(English!B4927, ""en"", ""bg"")"),"химия")</f>
        <v>химия</v>
      </c>
      <c r="C4927" s="1" t="str">
        <f ca="1">IFERROR(__xludf.DUMMYFUNCTION("GOOGLETRANSLATE(English!C4927, ""en"", ""bg"")"),"високо")</f>
        <v>високо</v>
      </c>
      <c r="D4927" s="1" t="str">
        <f ca="1">IFERROR(__xludf.DUMMYFUNCTION("GOOGLETRANSLATE(English!D4927, ""en"", ""bg"")"),"органична химия")</f>
        <v>органична химия</v>
      </c>
      <c r="E4927" s="1" t="str">
        <f ca="1">IFERROR(__xludf.DUMMYFUNCTION("GOOGLETRANSLATE(English!E4927, ""en"", ""bg"")"),"Можете ли да ми помогнете с изчисленията в органичната химия?")</f>
        <v>Можете ли да ми помогнете с изчисленията в органичната химия?</v>
      </c>
      <c r="F4927" s="1" t="str">
        <f ca="1">IFERROR(__xludf.DUMMYFUNCTION("GOOGLETRANSLATE(English!F4927,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927" s="1" t="str">
        <f ca="1">IFERROR(__xludf.DUMMYFUNCTION("GOOGLETRANSLATE(English!G4927, ""en"", ""bg"")"),"помощ_за_домашно_изпълнение")</f>
        <v>помощ_за_домашно_изпълнение</v>
      </c>
      <c r="H4927" s="1" t="str">
        <f ca="1">IFERROR(__xludf.DUMMYFUNCTION("GOOGLETRANSLATE(English!H4927, ""en"", ""bg"")"),"помощ_за_домашно_задаване")</f>
        <v>помощ_за_домашно_задаване</v>
      </c>
    </row>
    <row r="4928" spans="1:8" ht="13.2" x14ac:dyDescent="0.25">
      <c r="A4928" s="1" t="str">
        <f ca="1">IFERROR(__xludf.DUMMYFUNCTION("GOOGLETRANSLATE(English!A4928, ""en"", ""bg"")"),"hw_12989")</f>
        <v>hw_12989</v>
      </c>
      <c r="B4928" s="1" t="str">
        <f ca="1">IFERROR(__xludf.DUMMYFUNCTION("GOOGLETRANSLATE(English!B4928, ""en"", ""bg"")"),"химия")</f>
        <v>химия</v>
      </c>
      <c r="C4928" s="1" t="str">
        <f ca="1">IFERROR(__xludf.DUMMYFUNCTION("GOOGLETRANSLATE(English!C4928, ""en"", ""bg"")"),"елементарен")</f>
        <v>елементарен</v>
      </c>
      <c r="D4928" s="1" t="str">
        <f ca="1">IFERROR(__xludf.DUMMYFUNCTION("GOOGLETRANSLATE(English!D4928, ""en"", ""bg"")"),"промени в материалите")</f>
        <v>промени в материалите</v>
      </c>
      <c r="E4928" s="1" t="str">
        <f ca="1">IFERROR(__xludf.DUMMYFUNCTION("GOOGLETRANSLATE(English!E4928, ""en"", ""bg"")"),"Можете ли да ми помогнете с промените в изчисленията на материалите?")</f>
        <v>Можете ли да ми помогнете с промените в изчисленията на материалите?</v>
      </c>
      <c r="F4928" s="1" t="str">
        <f ca="1">IFERROR(__xludf.DUMMYFUNCTION("GOOGLETRANSLATE(English!F4928, ""en"", ""bg"")"),"Ще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иска"&amp;"ли да започнете?")</f>
        <v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v>
      </c>
      <c r="G4928" s="1" t="str">
        <f ca="1">IFERROR(__xludf.DUMMYFUNCTION("GOOGLETRANSLATE(English!G4928, ""en"", ""bg"")"),"помощ_за_домашно_изпълнение")</f>
        <v>помощ_за_домашно_изпълнение</v>
      </c>
      <c r="H4928" s="1" t="str">
        <f ca="1">IFERROR(__xludf.DUMMYFUNCTION("GOOGLETRANSLATE(English!H4928, ""en"", ""bg"")"),"помощ_за_домашно_задаване")</f>
        <v>помощ_за_домашно_задаване</v>
      </c>
    </row>
    <row r="4929" spans="1:8" ht="13.2" x14ac:dyDescent="0.25">
      <c r="A4929" s="1" t="str">
        <f ca="1">IFERROR(__xludf.DUMMYFUNCTION("GOOGLETRANSLATE(English!A4929, ""en"", ""bg"")"),"hw_11647")</f>
        <v>hw_11647</v>
      </c>
      <c r="B4929" s="1" t="str">
        <f ca="1">IFERROR(__xludf.DUMMYFUNCTION("GOOGLETRANSLATE(English!B4929, ""en"", ""bg"")"),"биология")</f>
        <v>биология</v>
      </c>
      <c r="C4929" s="1" t="str">
        <f ca="1">IFERROR(__xludf.DUMMYFUNCTION("GOOGLETRANSLATE(English!C4929, ""en"", ""bg"")"),"високо")</f>
        <v>високо</v>
      </c>
      <c r="D4929" s="1" t="str">
        <f ca="1">IFERROR(__xludf.DUMMYFUNCTION("GOOGLETRANSLATE(English!D4929, ""en"", ""bg"")"),"синтез на протеини")</f>
        <v>синтез на протеини</v>
      </c>
      <c r="E4929" s="1" t="str">
        <f ca="1">IFERROR(__xludf.DUMMYFUNCTION("GOOGLETRANSLATE(English!E4929, ""en"", ""bg"")"),"Домашното ми пита за синтеза на протеини. Не го разбирам.")</f>
        <v>Домашното ми пита за синтеза на протеини. Не го разбирам.</v>
      </c>
      <c r="F4929" s="1" t="str">
        <f ca="1">IFERROR(__xludf.DUMMYFUNCTION("GOOGLETRANSLATE(English!F4929, ""en"", ""bg"")"),"Ще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д"&amp;"а започнете?")</f>
        <v>Ще се радвам да ви помогна със синтеза на протеини! Нека го разделя на прости стъпки. Първо, нека обясня какво означава синтез на протеини и защо е важен в биологията. След това можем да разгледаме заедно някои примери. С коя конкретна част бихте искали да започнете?</v>
      </c>
      <c r="G4929" s="1" t="str">
        <f ca="1">IFERROR(__xludf.DUMMYFUNCTION("GOOGLETRANSLATE(English!G4929, ""en"", ""bg"")"),"помощ_за_домашно_изпълнение")</f>
        <v>помощ_за_домашно_изпълнение</v>
      </c>
      <c r="H4929" s="1" t="str">
        <f ca="1">IFERROR(__xludf.DUMMYFUNCTION("GOOGLETRANSLATE(English!H4929, ""en"", ""bg"")"),"помощ_за_домашно_задаване")</f>
        <v>помощ_за_домашно_задаване</v>
      </c>
    </row>
    <row r="4930" spans="1:8" ht="13.2" x14ac:dyDescent="0.25">
      <c r="A4930" s="1" t="str">
        <f ca="1">IFERROR(__xludf.DUMMYFUNCTION("GOOGLETRANSLATE(English!A4930, ""en"", ""bg"")"),"conv_07699")</f>
        <v>conv_07699</v>
      </c>
      <c r="B4930" s="1" t="str">
        <f ca="1">IFERROR(__xludf.DUMMYFUNCTION("GOOGLETRANSLATE(English!B4930, ""en"", ""bg"")"),"физика")</f>
        <v>физика</v>
      </c>
      <c r="C4930" s="1" t="str">
        <f ca="1">IFERROR(__xludf.DUMMYFUNCTION("GOOGLETRANSLATE(English!C4930, ""en"", ""bg"")"),"средата")</f>
        <v>средата</v>
      </c>
      <c r="D4930" s="1" t="str">
        <f ca="1">IFERROR(__xludf.DUMMYFUNCTION("GOOGLETRANSLATE(English!D4930, ""en"", ""bg"")"),"сили и движение")</f>
        <v>сили и движение</v>
      </c>
      <c r="E4930" s="1" t="str">
        <f ca="1">IFERROR(__xludf.DUMMYFUNCTION("GOOGLETRANSLATE(English!E4930, ""en"", ""bg"")"),"Имам нужда от помощ с домашното си. Защо предметите падат с еднаква скорост?")</f>
        <v>Имам нужда от помощ с домашното си. Защо предметите падат с еднаква скорост?</v>
      </c>
      <c r="F4930" s="1" t="str">
        <f ca="1">IFERROR(__xludf.DUMMYFUNCTION("GOOGLETRANSLATE(English!F4930, ""en"", ""bg"")"),"Във вакуум всички обекти падат с еднаква скорост, защото гравитацията ги привлича еднакво, независимо от масата им.")</f>
        <v>Във вакуум всички обекти падат с еднаква скорост, защото гравитацията ги привлича еднакво, независимо от масата им.</v>
      </c>
      <c r="G4930" s="1" t="str">
        <f ca="1">IFERROR(__xludf.DUMMYFUNCTION("GOOGLETRANSLATE(English!G4930, ""en"", ""bg"")"),"разговор")</f>
        <v>разговор</v>
      </c>
      <c r="H4930" s="1" t="str">
        <f ca="1">IFERROR(__xludf.DUMMYFUNCTION("GOOGLETRANSLATE(English!H4930, ""en"", ""bg"")"),"образователна_помощ")</f>
        <v>образователна_помощ</v>
      </c>
    </row>
    <row r="4931" spans="1:8" ht="13.2" x14ac:dyDescent="0.25">
      <c r="A4931" s="1" t="str">
        <f ca="1">IFERROR(__xludf.DUMMYFUNCTION("GOOGLETRANSLATE(English!A4931, ""en"", ""bg"")"),"conv_17458")</f>
        <v>conv_17458</v>
      </c>
      <c r="B4931" s="1" t="str">
        <f ca="1">IFERROR(__xludf.DUMMYFUNCTION("GOOGLETRANSLATE(English!B4931, ""en"", ""bg"")"),"физика")</f>
        <v>физика</v>
      </c>
      <c r="C4931" s="1" t="str">
        <f ca="1">IFERROR(__xludf.DUMMYFUNCTION("GOOGLETRANSLATE(English!C4931, ""en"", ""bg"")"),"високо")</f>
        <v>високо</v>
      </c>
      <c r="D4931" s="1" t="str">
        <f ca="1">IFERROR(__xludf.DUMMYFUNCTION("GOOGLETRANSLATE(English!D4931, ""en"", ""bg"")"),"електромагнетизъм")</f>
        <v>електромагнетизъм</v>
      </c>
      <c r="E4931" s="1" t="str">
        <f ca="1">IFERROR(__xludf.DUMMYFUNCTION("GOOGLETRANSLATE(English!E4931, ""en"", ""bg"")"),"Можете ли да ми помогнете? Защо електромагнетизмът е важен?")</f>
        <v>Можете ли да ми помогнете? Защо електромагнетизмът е важен?</v>
      </c>
      <c r="F4931" s="1" t="str">
        <f ca="1">IFERROR(__xludf.DUMMYFUNCTION("GOOGLETRANSLATE(English!F4931, ""en"", ""bg"")"),"Електромагнетизмът е важен, защото ни помага да разберем физическия свят около нас.")</f>
        <v>Електромагнетизмът е важен, защото ни помага да разберем физическия свят около нас.</v>
      </c>
      <c r="G4931" s="1" t="str">
        <f ca="1">IFERROR(__xludf.DUMMYFUNCTION("GOOGLETRANSLATE(English!G4931, ""en"", ""bg"")"),"разговор")</f>
        <v>разговор</v>
      </c>
      <c r="H4931" s="1" t="str">
        <f ca="1">IFERROR(__xludf.DUMMYFUNCTION("GOOGLETRANSLATE(English!H4931, ""en"", ""bg"")"),"образователна_помощ")</f>
        <v>образователна_помощ</v>
      </c>
    </row>
    <row r="4932" spans="1:8" ht="13.2" x14ac:dyDescent="0.25">
      <c r="A4932" s="1" t="str">
        <f ca="1">IFERROR(__xludf.DUMMYFUNCTION("GOOGLETRANSLATE(English!A4932, ""en"", ""bg"")"),"hw_06217")</f>
        <v>hw_06217</v>
      </c>
      <c r="B4932" s="1" t="str">
        <f ca="1">IFERROR(__xludf.DUMMYFUNCTION("GOOGLETRANSLATE(English!B4932, ""en"", ""bg"")"),"биология")</f>
        <v>биология</v>
      </c>
      <c r="C4932" s="1" t="str">
        <f ca="1">IFERROR(__xludf.DUMMYFUNCTION("GOOGLETRANSLATE(English!C4932, ""en"", ""bg"")"),"високо")</f>
        <v>високо</v>
      </c>
      <c r="D4932" s="1" t="str">
        <f ca="1">IFERROR(__xludf.DUMMYFUNCTION("GOOGLETRANSLATE(English!D4932, ""en"", ""bg"")"),"модели на наследяване")</f>
        <v>модели на наследяване</v>
      </c>
      <c r="E4932" s="1" t="str">
        <f ca="1">IFERROR(__xludf.DUMMYFUNCTION("GOOGLETRANSLATE(English!E4932,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4932" s="1" t="str">
        <f ca="1">IFERROR(__xludf.DUMMYFUNCTION("GOOGLETRANSLATE(English!F4932,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4932" s="1" t="str">
        <f ca="1">IFERROR(__xludf.DUMMYFUNCTION("GOOGLETRANSLATE(English!G4932, ""en"", ""bg"")"),"помощ_за_домашно_изпълнение")</f>
        <v>помощ_за_домашно_изпълнение</v>
      </c>
      <c r="H4932" s="1" t="str">
        <f ca="1">IFERROR(__xludf.DUMMYFUNCTION("GOOGLETRANSLATE(English!H4932, ""en"", ""bg"")"),"помощ_за_домашно_задаване")</f>
        <v>помощ_за_домашно_задаване</v>
      </c>
    </row>
    <row r="4933" spans="1:8" ht="13.2" x14ac:dyDescent="0.25">
      <c r="A4933" s="1" t="str">
        <f ca="1">IFERROR(__xludf.DUMMYFUNCTION("GOOGLETRANSLATE(English!A4933, ""en"", ""bg"")"),"qa_04487")</f>
        <v>qa_04487</v>
      </c>
      <c r="B4933" s="1" t="str">
        <f ca="1">IFERROR(__xludf.DUMMYFUNCTION("GOOGLETRANSLATE(English!B4933, ""en"", ""bg"")"),"физика")</f>
        <v>физика</v>
      </c>
      <c r="C4933" s="1" t="str">
        <f ca="1">IFERROR(__xludf.DUMMYFUNCTION("GOOGLETRANSLATE(English!C4933, ""en"", ""bg"")"),"елементарен")</f>
        <v>елементарен</v>
      </c>
      <c r="D4933" s="1" t="str">
        <f ca="1">IFERROR(__xludf.DUMMYFUNCTION("GOOGLETRANSLATE(English!D4933, ""en"", ""bg"")"),"плаващ и потъващ")</f>
        <v>плаващ и потъващ</v>
      </c>
      <c r="E4933" s="1" t="str">
        <f ca="1">IFERROR(__xludf.DUMMYFUNCTION("GOOGLETRANSLATE(English!E4933, ""en"", ""bg"")"),"Защо е важно да се носиш и да потъваш?")</f>
        <v>Защо е важно да се носиш и да потъваш?</v>
      </c>
      <c r="F4933" s="1" t="str">
        <f ca="1">IFERROR(__xludf.DUMMYFUNCTION("GOOGLETRANSLATE(English!F4933, ""en"", ""bg"")"),"Плаването и потъването е важно, защото ни помага да разберем физическия свят около нас.")</f>
        <v>Плаването и потъването е важно, защото ни помага да разберем физическия свят около нас.</v>
      </c>
      <c r="G4933" s="1" t="str">
        <f ca="1">IFERROR(__xludf.DUMMYFUNCTION("GOOGLETRANSLATE(English!G4933, ""en"", ""bg"")"),"direct_qa")</f>
        <v>direct_qa</v>
      </c>
      <c r="H4933" s="1" t="str">
        <f ca="1">IFERROR(__xludf.DUMMYFUNCTION("GOOGLETRANSLATE(English!H4933, ""en"", ""bg"")"),"заявка_за_знание")</f>
        <v>заявка_за_знание</v>
      </c>
    </row>
    <row r="4934" spans="1:8" ht="13.2" x14ac:dyDescent="0.25">
      <c r="A4934" s="1" t="str">
        <f ca="1">IFERROR(__xludf.DUMMYFUNCTION("GOOGLETRANSLATE(English!A4934, ""en"", ""bg"")"),"hw_06945")</f>
        <v>hw_06945</v>
      </c>
      <c r="B4934" s="1" t="str">
        <f ca="1">IFERROR(__xludf.DUMMYFUNCTION("GOOGLETRANSLATE(English!B4934, ""en"", ""bg"")"),"химия")</f>
        <v>химия</v>
      </c>
      <c r="C4934" s="1" t="str">
        <f ca="1">IFERROR(__xludf.DUMMYFUNCTION("GOOGLETRANSLATE(English!C4934, ""en"", ""bg"")"),"средата")</f>
        <v>средата</v>
      </c>
      <c r="D4934" s="1" t="str">
        <f ca="1">IFERROR(__xludf.DUMMYFUNCTION("GOOGLETRANSLATE(English!D4934, ""en"", ""bg"")"),"атоми и молекули")</f>
        <v>атоми и молекули</v>
      </c>
      <c r="E4934" s="1" t="str">
        <f ca="1">IFERROR(__xludf.DUMMYFUNCTION("GOOGLETRANSLATE(English!E4934, ""en"", ""bg"")"),"Можете ли да ми помогнете с изчисленията на атоми и молекули?")</f>
        <v>Можете ли да ми помогнете с изчисленията на атоми и молекули?</v>
      </c>
      <c r="F4934" s="1" t="str">
        <f ca="1">IFERROR(__xludf.DUMMYFUNCTION("GOOGLETRANSLATE(English!F4934, ""en"", ""bg"")"),"Ще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"&amp;"започнете?")</f>
        <v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v>
      </c>
      <c r="G4934" s="1" t="str">
        <f ca="1">IFERROR(__xludf.DUMMYFUNCTION("GOOGLETRANSLATE(English!G4934, ""en"", ""bg"")"),"помощ_за_домашно_изпълнение")</f>
        <v>помощ_за_домашно_изпълнение</v>
      </c>
      <c r="H4934" s="1" t="str">
        <f ca="1">IFERROR(__xludf.DUMMYFUNCTION("GOOGLETRANSLATE(English!H4934, ""en"", ""bg"")"),"помощ_за_домашно_задаване")</f>
        <v>помощ_за_домашно_задаване</v>
      </c>
    </row>
    <row r="4935" spans="1:8" ht="13.2" x14ac:dyDescent="0.25">
      <c r="A4935" s="1" t="str">
        <f ca="1">IFERROR(__xludf.DUMMYFUNCTION("GOOGLETRANSLATE(English!A4935, ""en"", ""bg"")"),"qa_12613")</f>
        <v>qa_12613</v>
      </c>
      <c r="B4935" s="1" t="str">
        <f ca="1">IFERROR(__xludf.DUMMYFUNCTION("GOOGLETRANSLATE(English!B4935, ""en"", ""bg"")"),"физика")</f>
        <v>физика</v>
      </c>
      <c r="C4935" s="1" t="str">
        <f ca="1">IFERROR(__xludf.DUMMYFUNCTION("GOOGLETRANSLATE(English!C4935, ""en"", ""bg"")"),"високо")</f>
        <v>високо</v>
      </c>
      <c r="D4935" s="1" t="str">
        <f ca="1">IFERROR(__xludf.DUMMYFUNCTION("GOOGLETRANSLATE(English!D4935, ""en"", ""bg"")"),"термодинамика")</f>
        <v>термодинамика</v>
      </c>
      <c r="E4935" s="1" t="str">
        <f ca="1">IFERROR(__xludf.DUMMYFUNCTION("GOOGLETRANSLATE(English!E4935, ""en"", ""bg"")"),"Как работи термодинамиката във физиката?")</f>
        <v>Как работи термодинамиката във физиката?</v>
      </c>
      <c r="F4935" s="1" t="str">
        <f ca="1">IFERROR(__xludf.DUMMYFUNCTION("GOOGLETRANSLATE(English!F4935, ""en"", ""bg"")"),"Термодинамиката работи според научни принципи, които можем да наблюдаваме и измерваме.")</f>
        <v>Термодинамиката работи според научни принципи, които можем да наблюдаваме и измерваме.</v>
      </c>
      <c r="G4935" s="1" t="str">
        <f ca="1">IFERROR(__xludf.DUMMYFUNCTION("GOOGLETRANSLATE(English!G4935, ""en"", ""bg"")"),"direct_qa")</f>
        <v>direct_qa</v>
      </c>
      <c r="H4935" s="1" t="str">
        <f ca="1">IFERROR(__xludf.DUMMYFUNCTION("GOOGLETRANSLATE(English!H4935, ""en"", ""bg"")"),"заявка_за_знание")</f>
        <v>заявка_за_знание</v>
      </c>
    </row>
    <row r="4936" spans="1:8" ht="13.2" x14ac:dyDescent="0.25">
      <c r="A4936" s="1" t="str">
        <f ca="1">IFERROR(__xludf.DUMMYFUNCTION("GOOGLETRANSLATE(English!A4936, ""en"", ""bg"")"),"conv_01920")</f>
        <v>conv_01920</v>
      </c>
      <c r="B4936" s="1" t="str">
        <f ca="1">IFERROR(__xludf.DUMMYFUNCTION("GOOGLETRANSLATE(English!B4936, ""en"", ""bg"")"),"биология")</f>
        <v>биология</v>
      </c>
      <c r="C4936" s="1" t="str">
        <f ca="1">IFERROR(__xludf.DUMMYFUNCTION("GOOGLETRANSLATE(English!C4936, ""en"", ""bg"")"),"елементарен")</f>
        <v>елементарен</v>
      </c>
      <c r="D4936" s="1" t="str">
        <f ca="1">IFERROR(__xludf.DUMMYFUNCTION("GOOGLETRANSLATE(English!D4936, ""en"", ""bg"")"),"животни")</f>
        <v>животни</v>
      </c>
      <c r="E4936" s="1" t="str">
        <f ca="1">IFERROR(__xludf.DUMMYFUNCTION("GOOGLETRANSLATE(English!E4936, ""en"", ""bg"")"),"Можете ли да ми обясните това? Как се защитават животните?")</f>
        <v>Можете ли да ми обясните това? Как се защитават животните?</v>
      </c>
      <c r="F4936" s="1" t="str">
        <f ca="1">IFERROR(__xludf.DUMMYFUNCTION("GOOGLETRANSLATE(English!F4936, ""en"", ""bg"")"),"Животните се защитават по много начини: камуфлаж, бързо бягане, остри зъби или нокти или живот на групи!")</f>
        <v>Животните се защитават по много начини: камуфлаж, бързо бягане, остри зъби или нокти или живот на групи!</v>
      </c>
      <c r="G4936" s="1" t="str">
        <f ca="1">IFERROR(__xludf.DUMMYFUNCTION("GOOGLETRANSLATE(English!G4936, ""en"", ""bg"")"),"разговор")</f>
        <v>разговор</v>
      </c>
      <c r="H4936" s="1" t="str">
        <f ca="1">IFERROR(__xludf.DUMMYFUNCTION("GOOGLETRANSLATE(English!H4936, ""en"", ""bg"")"),"образователна_помощ")</f>
        <v>образователна_помощ</v>
      </c>
    </row>
    <row r="4937" spans="1:8" ht="13.2" x14ac:dyDescent="0.25">
      <c r="A4937" s="1" t="str">
        <f ca="1">IFERROR(__xludf.DUMMYFUNCTION("GOOGLETRANSLATE(English!A4937, ""en"", ""bg"")"),"hw_05677")</f>
        <v>hw_05677</v>
      </c>
      <c r="B4937" s="1" t="str">
        <f ca="1">IFERROR(__xludf.DUMMYFUNCTION("GOOGLETRANSLATE(English!B4937, ""en"", ""bg"")"),"химия")</f>
        <v>химия</v>
      </c>
      <c r="C4937" s="1" t="str">
        <f ca="1">IFERROR(__xludf.DUMMYFUNCTION("GOOGLETRANSLATE(English!C4937, ""en"", ""bg"")"),"високо")</f>
        <v>високо</v>
      </c>
      <c r="D4937" s="1" t="str">
        <f ca="1">IFERROR(__xludf.DUMMYFUNCTION("GOOGLETRANSLATE(English!D4937, ""en"", ""bg"")"),"органична химия")</f>
        <v>органична химия</v>
      </c>
      <c r="E4937" s="1" t="str">
        <f ca="1">IFERROR(__xludf.DUMMYFUNCTION("GOOGLETRANSLATE(English!E4937, ""en"", ""bg"")"),"Не разбирам тази концепция от органичната химия. Моля, обяснете!")</f>
        <v>Не разбирам тази концепция от органичната химия. Моля, обяснете!</v>
      </c>
      <c r="F4937" s="1" t="str">
        <f ca="1">IFERROR(__xludf.DUMMYFUNCTION("GOOGLETRANSLATE(English!F4937,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937" s="1" t="str">
        <f ca="1">IFERROR(__xludf.DUMMYFUNCTION("GOOGLETRANSLATE(English!G4937, ""en"", ""bg"")"),"помощ_за_домашно_изпълнение")</f>
        <v>помощ_за_домашно_изпълнение</v>
      </c>
      <c r="H4937" s="1" t="str">
        <f ca="1">IFERROR(__xludf.DUMMYFUNCTION("GOOGLETRANSLATE(English!H4937, ""en"", ""bg"")"),"помощ_за_домашно_задаване")</f>
        <v>помощ_за_домашно_задаване</v>
      </c>
    </row>
    <row r="4938" spans="1:8" ht="13.2" x14ac:dyDescent="0.25">
      <c r="A4938" s="1" t="str">
        <f ca="1">IFERROR(__xludf.DUMMYFUNCTION("GOOGLETRANSLATE(English!A4938, ""en"", ""bg"")"),"qa_14343")</f>
        <v>qa_14343</v>
      </c>
      <c r="B4938" s="1" t="str">
        <f ca="1">IFERROR(__xludf.DUMMYFUNCTION("GOOGLETRANSLATE(English!B4938, ""en"", ""bg"")"),"биология")</f>
        <v>биология</v>
      </c>
      <c r="C4938" s="1" t="str">
        <f ca="1">IFERROR(__xludf.DUMMYFUNCTION("GOOGLETRANSLATE(English!C4938, ""en"", ""bg"")"),"високо")</f>
        <v>високо</v>
      </c>
      <c r="D4938" s="1" t="str">
        <f ca="1">IFERROR(__xludf.DUMMYFUNCTION("GOOGLETRANSLATE(English!D4938, ""en"", ""bg"")"),"модели на наследяване")</f>
        <v>модели на наследяване</v>
      </c>
      <c r="E4938" s="1" t="str">
        <f ca="1">IFERROR(__xludf.DUMMYFUNCTION("GOOGLETRANSLATE(English!E4938, ""en"", ""bg"")"),"Как работят моделите на наследяване?")</f>
        <v>Как работят моделите на наследяване?</v>
      </c>
      <c r="F4938" s="1" t="str">
        <f ca="1">IFERROR(__xludf.DUMMYFUNCTION("GOOGLETRANSLATE(English!F4938, ""en"", ""bg"")"),"Моделите на наследяване работят чрез естествени процеси, които учените изучават в продължение на много години.")</f>
        <v>Моделите на наследяване работят чрез естествени процеси, които учените изучават в продължение на много години.</v>
      </c>
      <c r="G4938" s="1" t="str">
        <f ca="1">IFERROR(__xludf.DUMMYFUNCTION("GOOGLETRANSLATE(English!G4938, ""en"", ""bg"")"),"direct_qa")</f>
        <v>direct_qa</v>
      </c>
      <c r="H4938" s="1" t="str">
        <f ca="1">IFERROR(__xludf.DUMMYFUNCTION("GOOGLETRANSLATE(English!H4938, ""en"", ""bg"")"),"заявка_за_знание")</f>
        <v>заявка_за_знание</v>
      </c>
    </row>
    <row r="4939" spans="1:8" ht="13.2" x14ac:dyDescent="0.25">
      <c r="A4939" s="1" t="str">
        <f ca="1">IFERROR(__xludf.DUMMYFUNCTION("GOOGLETRANSLATE(English!A4939, ""en"", ""bg"")"),"conv_04464")</f>
        <v>conv_04464</v>
      </c>
      <c r="B4939" s="1" t="str">
        <f ca="1">IFERROR(__xludf.DUMMYFUNCTION("GOOGLETRANSLATE(English!B4939, ""en"", ""bg"")"),"химия")</f>
        <v>химия</v>
      </c>
      <c r="C4939" s="1" t="str">
        <f ca="1">IFERROR(__xludf.DUMMYFUNCTION("GOOGLETRANSLATE(English!C4939, ""en"", ""bg"")"),"средата")</f>
        <v>средата</v>
      </c>
      <c r="D4939" s="1" t="str">
        <f ca="1">IFERROR(__xludf.DUMMYFUNCTION("GOOGLETRANSLATE(English!D4939, ""en"", ""bg"")"),"химични реакции")</f>
        <v>химични реакции</v>
      </c>
      <c r="E4939" s="1" t="str">
        <f ca="1">IFERROR(__xludf.DUMMYFUNCTION("GOOGLETRANSLATE(English!E4939, ""en"", ""bg"")"),"Помогнете ми да уча за теста. Как разбирате дали е протекла химическа реакция?")</f>
        <v>Помогнете ми да уча за теста. Как разбирате дали е протекла химическа реакция?</v>
      </c>
      <c r="F4939" s="1" t="str">
        <f ca="1">IFERROR(__xludf.DUMMYFUNCTION("GOOGLETRANSLATE(English!F4939, ""en"", ""bg"")"),"Можете да разберете, че е настъпила реакция, ако видите промени в цвета, газови мехурчета, отделена топлина или светлина или образувани нови вещества.")</f>
        <v>Можете да разберете, че е настъпила реакция, ако видите промени в цвета, газови мехурчета, отделена топлина или светлина или образувани нови вещества.</v>
      </c>
      <c r="G4939" s="1" t="str">
        <f ca="1">IFERROR(__xludf.DUMMYFUNCTION("GOOGLETRANSLATE(English!G4939, ""en"", ""bg"")"),"разговор")</f>
        <v>разговор</v>
      </c>
      <c r="H4939" s="1" t="str">
        <f ca="1">IFERROR(__xludf.DUMMYFUNCTION("GOOGLETRANSLATE(English!H4939, ""en"", ""bg"")"),"образователна_помощ")</f>
        <v>образователна_помощ</v>
      </c>
    </row>
    <row r="4940" spans="1:8" ht="13.2" x14ac:dyDescent="0.25">
      <c r="A4940" s="1" t="str">
        <f ca="1">IFERROR(__xludf.DUMMYFUNCTION("GOOGLETRANSLATE(English!A4940, ""en"", ""bg"")"),"hw_09227")</f>
        <v>hw_09227</v>
      </c>
      <c r="B4940" s="1" t="str">
        <f ca="1">IFERROR(__xludf.DUMMYFUNCTION("GOOGLETRANSLATE(English!B4940, ""en"", ""bg"")"),"химия")</f>
        <v>химия</v>
      </c>
      <c r="C4940" s="1" t="str">
        <f ca="1">IFERROR(__xludf.DUMMYFUNCTION("GOOGLETRANSLATE(English!C4940, ""en"", ""bg"")"),"високо")</f>
        <v>високо</v>
      </c>
      <c r="D4940" s="1" t="str">
        <f ca="1">IFERROR(__xludf.DUMMYFUNCTION("GOOGLETRANSLATE(English!D4940, ""en"", ""bg"")"),"стехиометрия")</f>
        <v>стехиометрия</v>
      </c>
      <c r="E4940" s="1" t="str">
        <f ca="1">IFERROR(__xludf.DUMMYFUNCTION("GOOGLETRANSLATE(English!E4940, ""en"", ""bg"")"),"Докладът ми по химия е за стехиометрията. Помогнете ми да разбера.")</f>
        <v>Докладът ми по химия е за стехиометрията. Помогнете ми да разбера.</v>
      </c>
      <c r="F4940" s="1" t="str">
        <f ca="1">IFERROR(__xludf.DUMMYFUNCTION("GOOGLETRANSLATE(English!F4940, ""en"", ""bg"")"),"Ще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започнет"&amp;"е?")</f>
        <v>Ще се радвам да ви помогна със стехиометрията! Нека разделя това на прости стъпки. Първо, нека обясня какво означава стехиометрията и защо е важна в химията. След това можем да разгледаме заедно някои примери. С коя конкретна част бихте искали да започнете?</v>
      </c>
      <c r="G4940" s="1" t="str">
        <f ca="1">IFERROR(__xludf.DUMMYFUNCTION("GOOGLETRANSLATE(English!G4940, ""en"", ""bg"")"),"помощ_за_домашно_изпълнение")</f>
        <v>помощ_за_домашно_изпълнение</v>
      </c>
      <c r="H4940" s="1" t="str">
        <f ca="1">IFERROR(__xludf.DUMMYFUNCTION("GOOGLETRANSLATE(English!H4940, ""en"", ""bg"")"),"помощ_за_домашно_задаване")</f>
        <v>помощ_за_домашно_задаване</v>
      </c>
    </row>
    <row r="4941" spans="1:8" ht="13.2" x14ac:dyDescent="0.25">
      <c r="A4941" s="1" t="str">
        <f ca="1">IFERROR(__xludf.DUMMYFUNCTION("GOOGLETRANSLATE(English!A4941, ""en"", ""bg"")"),"hw_11862")</f>
        <v>hw_11862</v>
      </c>
      <c r="B4941" s="1" t="str">
        <f ca="1">IFERROR(__xludf.DUMMYFUNCTION("GOOGLETRANSLATE(English!B4941, ""en"", ""bg"")"),"биология")</f>
        <v>биология</v>
      </c>
      <c r="C4941" s="1" t="str">
        <f ca="1">IFERROR(__xludf.DUMMYFUNCTION("GOOGLETRANSLATE(English!C4941, ""en"", ""bg"")"),"средата")</f>
        <v>средата</v>
      </c>
      <c r="D4941" s="1" t="str">
        <f ca="1">IFERROR(__xludf.DUMMYFUNCTION("GOOGLETRANSLATE(English!D4941, ""en"", ""bg"")"),"размножаване")</f>
        <v>размножаване</v>
      </c>
      <c r="E4941" s="1" t="str">
        <f ca="1">IFERROR(__xludf.DUMMYFUNCTION("GOOGLETRANSLATE(English!E4941, ""en"", ""bg"")"),"Утре имам тест по репродукция. Помогни ми да уча!")</f>
        <v>Утре имам тест по репродукция. Помогни ми да уча!</v>
      </c>
      <c r="F4941" s="1" t="str">
        <f ca="1">IFERROR(__xludf.DUMMYFUNCTION("GOOGLETRANSLATE(English!F4941, ""en"", ""bg"")"),"Ще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размножаването! Нека го разделя на прости стъпки. Първо, нека обясня какво означава размножаване и защо е важно в биологията. След това можем да разгледаме заедно някои примери. С коя конкретна част бихте искали да започнете?</v>
      </c>
      <c r="G4941" s="1" t="str">
        <f ca="1">IFERROR(__xludf.DUMMYFUNCTION("GOOGLETRANSLATE(English!G4941, ""en"", ""bg"")"),"помощ_за_домашно_изпълнение")</f>
        <v>помощ_за_домашно_изпълнение</v>
      </c>
      <c r="H4941" s="1" t="str">
        <f ca="1">IFERROR(__xludf.DUMMYFUNCTION("GOOGLETRANSLATE(English!H4941, ""en"", ""bg"")"),"помощ_за_домашно_задаване")</f>
        <v>помощ_за_домашно_задаване</v>
      </c>
    </row>
    <row r="4942" spans="1:8" ht="13.2" x14ac:dyDescent="0.25">
      <c r="A4942" s="1" t="str">
        <f ca="1">IFERROR(__xludf.DUMMYFUNCTION("GOOGLETRANSLATE(English!A4942, ""en"", ""bg"")"),"conv_06696")</f>
        <v>conv_06696</v>
      </c>
      <c r="B4942" s="1" t="str">
        <f ca="1">IFERROR(__xludf.DUMMYFUNCTION("GOOGLETRANSLATE(English!B4942, ""en"", ""bg"")"),"химия")</f>
        <v>химия</v>
      </c>
      <c r="C4942" s="1" t="str">
        <f ca="1">IFERROR(__xludf.DUMMYFUNCTION("GOOGLETRANSLATE(English!C4942, ""en"", ""bg"")"),"високо")</f>
        <v>високо</v>
      </c>
      <c r="D4942" s="1" t="str">
        <f ca="1">IFERROR(__xludf.DUMMYFUNCTION("GOOGLETRANSLATE(English!D4942, ""en"", ""bg"")"),"органична химия")</f>
        <v>органична химия</v>
      </c>
      <c r="E4942" s="1" t="str">
        <f ca="1">IFERROR(__xludf.DUMMYFUNCTION("GOOGLETRANSLATE(English!E4942, ""en"", ""bg"")"),"Помогнете ми да уча за теста. Можете ли да ми помогнете да разбера органичната химия?")</f>
        <v>Помогнете ми да уча за теста. Можете ли да ми помогнете да разбера органичната химия?</v>
      </c>
      <c r="F4942" s="1" t="str">
        <f ca="1">IFERROR(__xludf.DUMMYFUNCTION("GOOGLETRANSLATE(English!F4942, ""en"", ""bg"")"),"Органичната химия е важна химическа концепция, която ни помага да разберем как се държи и променя материята!")</f>
        <v>Органичната химия е важна химическа концепция, която ни помага да разберем как се държи и променя материята!</v>
      </c>
      <c r="G4942" s="1" t="str">
        <f ca="1">IFERROR(__xludf.DUMMYFUNCTION("GOOGLETRANSLATE(English!G4942, ""en"", ""bg"")"),"разговор")</f>
        <v>разговор</v>
      </c>
      <c r="H4942" s="1" t="str">
        <f ca="1">IFERROR(__xludf.DUMMYFUNCTION("GOOGLETRANSLATE(English!H4942, ""en"", ""bg"")"),"образователна_помощ")</f>
        <v>образователна_помощ</v>
      </c>
    </row>
    <row r="4943" spans="1:8" ht="13.2" x14ac:dyDescent="0.25">
      <c r="A4943" s="1" t="str">
        <f ca="1">IFERROR(__xludf.DUMMYFUNCTION("GOOGLETRANSLATE(English!A4943, ""en"", ""bg"")"),"hw_03655")</f>
        <v>hw_03655</v>
      </c>
      <c r="B4943" s="1" t="str">
        <f ca="1">IFERROR(__xludf.DUMMYFUNCTION("GOOGLETRANSLATE(English!B4943, ""en"", ""bg"")"),"химия")</f>
        <v>химия</v>
      </c>
      <c r="C4943" s="1" t="str">
        <f ca="1">IFERROR(__xludf.DUMMYFUNCTION("GOOGLETRANSLATE(English!C4943, ""en"", ""bg"")"),"високо")</f>
        <v>високо</v>
      </c>
      <c r="D4943" s="1" t="str">
        <f ca="1">IFERROR(__xludf.DUMMYFUNCTION("GOOGLETRANSLATE(English!D4943, ""en"", ""bg"")"),"скорости на реакция")</f>
        <v>скорости на реакция</v>
      </c>
      <c r="E4943" s="1" t="str">
        <f ca="1">IFERROR(__xludf.DUMMYFUNCTION("GOOGLETRANSLATE(English!E4943, ""en"", ""bg"")"),"Можете ли да ми помогнете с изчисленията на скоростите на реакциите?")</f>
        <v>Можете ли да ми помогнете с изчисленията на скоростите на реакциите?</v>
      </c>
      <c r="F4943" s="1" t="str">
        <f ca="1">IFERROR(__xludf.DUMMYFUNCTION("GOOGLETRANSLATE(English!F4943, ""en"", ""bg"")"),"Ще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иск"&amp;"али да започнете?")</f>
        <v>Ще се радвам да ви помогна със скоростите на реакциите! Нека разделя това на прости стъпки. Първо, нека обясня какво означава скорост на реакциите и защо е важно в химията. След това можем да разгледаме заедно някои примери. С коя конкретна част бихте искали да започнете?</v>
      </c>
      <c r="G4943" s="1" t="str">
        <f ca="1">IFERROR(__xludf.DUMMYFUNCTION("GOOGLETRANSLATE(English!G4943, ""en"", ""bg"")"),"помощ_за_домашно_изпълнение")</f>
        <v>помощ_за_домашно_изпълнение</v>
      </c>
      <c r="H4943" s="1" t="str">
        <f ca="1">IFERROR(__xludf.DUMMYFUNCTION("GOOGLETRANSLATE(English!H4943, ""en"", ""bg"")"),"помощ_за_домашно_задаване")</f>
        <v>помощ_за_домашно_задаване</v>
      </c>
    </row>
    <row r="4944" spans="1:8" ht="13.2" x14ac:dyDescent="0.25">
      <c r="A4944" s="1" t="str">
        <f ca="1">IFERROR(__xludf.DUMMYFUNCTION("GOOGLETRANSLATE(English!A4944, ""en"", ""bg"")"),"qa_12651")</f>
        <v>qa_12651</v>
      </c>
      <c r="B4944" s="1" t="str">
        <f ca="1">IFERROR(__xludf.DUMMYFUNCTION("GOOGLETRANSLATE(English!B4944, ""en"", ""bg"")"),"биология")</f>
        <v>биология</v>
      </c>
      <c r="C4944" s="1" t="str">
        <f ca="1">IFERROR(__xludf.DUMMYFUNCTION("GOOGLETRANSLATE(English!C4944, ""en"", ""bg"")"),"високо")</f>
        <v>високо</v>
      </c>
      <c r="D4944" s="1" t="str">
        <f ca="1">IFERROR(__xludf.DUMMYFUNCTION("GOOGLETRANSLATE(English!D4944, ""en"", ""bg"")"),"клетъчно дишане")</f>
        <v>клетъчно дишане</v>
      </c>
      <c r="E4944" s="1" t="str">
        <f ca="1">IFERROR(__xludf.DUMMYFUNCTION("GOOGLETRANSLATE(English!E4944, ""en"", ""bg"")"),"Как работи клетъчното дишане?")</f>
        <v>Как работи клетъчното дишане?</v>
      </c>
      <c r="F4944" s="1" t="str">
        <f ca="1">IFERROR(__xludf.DUMMYFUNCTION("GOOGLETRANSLATE(English!F4944, ""en"", ""bg"")"),"Клетъчното дишане работи чрез естествени процеси, които учените изучават в продължение на много години.")</f>
        <v>Клетъчното дишане работи чрез естествени процеси, които учените изучават в продължение на много години.</v>
      </c>
      <c r="G4944" s="1" t="str">
        <f ca="1">IFERROR(__xludf.DUMMYFUNCTION("GOOGLETRANSLATE(English!G4944, ""en"", ""bg"")"),"direct_qa")</f>
        <v>direct_qa</v>
      </c>
      <c r="H4944" s="1" t="str">
        <f ca="1">IFERROR(__xludf.DUMMYFUNCTION("GOOGLETRANSLATE(English!H4944, ""en"", ""bg"")"),"заявка_за_знание")</f>
        <v>заявка_за_знание</v>
      </c>
    </row>
    <row r="4945" spans="1:8" ht="13.2" x14ac:dyDescent="0.25">
      <c r="A4945" s="1" t="str">
        <f ca="1">IFERROR(__xludf.DUMMYFUNCTION("GOOGLETRANSLATE(English!A4945, ""en"", ""bg"")"),"conv_02489")</f>
        <v>conv_02489</v>
      </c>
      <c r="B4945" s="1" t="str">
        <f ca="1">IFERROR(__xludf.DUMMYFUNCTION("GOOGLETRANSLATE(English!B4945, ""en"", ""bg"")"),"биология")</f>
        <v>биология</v>
      </c>
      <c r="C4945" s="1" t="str">
        <f ca="1">IFERROR(__xludf.DUMMYFUNCTION("GOOGLETRANSLATE(English!C4945, ""en"", ""bg"")"),"средата")</f>
        <v>средата</v>
      </c>
      <c r="D4945" s="1" t="str">
        <f ca="1">IFERROR(__xludf.DUMMYFUNCTION("GOOGLETRANSLATE(English!D4945, ""en"", ""bg"")"),"фотосинтеза")</f>
        <v>фотосинтеза</v>
      </c>
      <c r="E4945" s="1" t="str">
        <f ca="1">IFERROR(__xludf.DUMMYFUNCTION("GOOGLETRANSLATE(English!E4945, ""en"", ""bg"")"),"Имам нужда от помощ с домашното си. Какво е важно да знаем за фотосинтезата?")</f>
        <v>Имам нужда от помощ с домашното си. Какво е важно да знаем за фотосинтезата?</v>
      </c>
      <c r="F4945" s="1" t="str">
        <f ca="1">IFERROR(__xludf.DUMMYFUNCTION("GOOGLETRANSLATE(English!F4945, ""en"", ""bg"")"),"Най-важното нещо за фотосинтезата е как тя се свързва с други части на живота и природата.")</f>
        <v>Най-важното нещо за фотосинтезата е как тя се свързва с други части на живота и природата.</v>
      </c>
      <c r="G4945" s="1" t="str">
        <f ca="1">IFERROR(__xludf.DUMMYFUNCTION("GOOGLETRANSLATE(English!G4945, ""en"", ""bg"")"),"разговор")</f>
        <v>разговор</v>
      </c>
      <c r="H4945" s="1" t="str">
        <f ca="1">IFERROR(__xludf.DUMMYFUNCTION("GOOGLETRANSLATE(English!H4945, ""en"", ""bg"")"),"образователна_помощ")</f>
        <v>образователна_помощ</v>
      </c>
    </row>
    <row r="4946" spans="1:8" ht="13.2" x14ac:dyDescent="0.25">
      <c r="A4946" s="1" t="str">
        <f ca="1">IFERROR(__xludf.DUMMYFUNCTION("GOOGLETRANSLATE(English!A4946, ""en"", ""bg"")"),"conv_01746")</f>
        <v>conv_01746</v>
      </c>
      <c r="B4946" s="1" t="str">
        <f ca="1">IFERROR(__xludf.DUMMYFUNCTION("GOOGLETRANSLATE(English!B4946, ""en"", ""bg"")"),"химия")</f>
        <v>химия</v>
      </c>
      <c r="C4946" s="1" t="str">
        <f ca="1">IFERROR(__xludf.DUMMYFUNCTION("GOOGLETRANSLATE(English!C4946, ""en"", ""bg"")"),"високо")</f>
        <v>високо</v>
      </c>
      <c r="D4946" s="1" t="str">
        <f ca="1">IFERROR(__xludf.DUMMYFUNCTION("GOOGLETRANSLATE(English!D4946, ""en"", ""bg"")"),"скорости на реакция")</f>
        <v>скорости на реакция</v>
      </c>
      <c r="E4946" s="1" t="str">
        <f ca="1">IFERROR(__xludf.DUMMYFUNCTION("GOOGLETRANSLATE(English!E4946, ""en"", ""bg"")"),"Можете ли да ми помогнете? Можете ли да ми помогнете да разбера скоростта на реакциите?")</f>
        <v>Можете ли да ми помогнете? Можете ли да ми помогнете да разбера скоростта на реакциите?</v>
      </c>
      <c r="F4946" s="1" t="str">
        <f ca="1">IFERROR(__xludf.DUMMYFUNCTION("GOOGLETRANSLATE(English!F4946, ""en"", ""bg"")"),"Скоростта на реакциите е важна химическа концепция, която ни помага да разберем как се държи и променя материята!")</f>
        <v>Скоростта на реакциите е важна химическа концепция, която ни помага да разберем как се държи и променя материята!</v>
      </c>
      <c r="G4946" s="1" t="str">
        <f ca="1">IFERROR(__xludf.DUMMYFUNCTION("GOOGLETRANSLATE(English!G4946, ""en"", ""bg"")"),"разговор")</f>
        <v>разговор</v>
      </c>
      <c r="H4946" s="1" t="str">
        <f ca="1">IFERROR(__xludf.DUMMYFUNCTION("GOOGLETRANSLATE(English!H4946, ""en"", ""bg"")"),"образователна_помощ")</f>
        <v>образователна_помощ</v>
      </c>
    </row>
    <row r="4947" spans="1:8" ht="13.2" x14ac:dyDescent="0.25">
      <c r="A4947" s="1" t="str">
        <f ca="1">IFERROR(__xludf.DUMMYFUNCTION("GOOGLETRANSLATE(English!A4947, ""en"", ""bg"")"),"conv_15764")</f>
        <v>conv_15764</v>
      </c>
      <c r="B4947" s="1" t="str">
        <f ca="1">IFERROR(__xludf.DUMMYFUNCTION("GOOGLETRANSLATE(English!B4947, ""en"", ""bg"")"),"химия")</f>
        <v>химия</v>
      </c>
      <c r="C4947" s="1" t="str">
        <f ca="1">IFERROR(__xludf.DUMMYFUNCTION("GOOGLETRANSLATE(English!C4947, ""en"", ""bg"")"),"елементарен")</f>
        <v>елементарен</v>
      </c>
      <c r="D4947" s="1" t="str">
        <f ca="1">IFERROR(__xludf.DUMMYFUNCTION("GOOGLETRANSLATE(English!D4947, ""en"", ""bg"")"),"разтваряне")</f>
        <v>разтваряне</v>
      </c>
      <c r="E4947" s="1" t="str">
        <f ca="1">IFERROR(__xludf.DUMMYFUNCTION("GOOGLETRANSLATE(English!E4947, ""en"", ""bg"")"),"Можете ли да ми обясните това? Можете ли да ми помогнете да разбера разтварянето?")</f>
        <v>Можете ли да ми обясните това? Можете ли да ми помогнете да разбера разтварянето?</v>
      </c>
      <c r="F4947" s="1" t="str">
        <f ca="1">IFERROR(__xludf.DUMMYFUNCTION("GOOGLETRANSLATE(English!F4947, ""en"", ""bg"")"),"Разтварянето е важна химическа концепция, която ни помага да разберем как се държи и променя материята!")</f>
        <v>Разтварянето е важна химическа концепция, която ни помага да разберем как се държи и променя материята!</v>
      </c>
      <c r="G4947" s="1" t="str">
        <f ca="1">IFERROR(__xludf.DUMMYFUNCTION("GOOGLETRANSLATE(English!G4947, ""en"", ""bg"")"),"разговор")</f>
        <v>разговор</v>
      </c>
      <c r="H4947" s="1" t="str">
        <f ca="1">IFERROR(__xludf.DUMMYFUNCTION("GOOGLETRANSLATE(English!H4947, ""en"", ""bg"")"),"образователна_помощ")</f>
        <v>образователна_помощ</v>
      </c>
    </row>
    <row r="4948" spans="1:8" ht="13.2" x14ac:dyDescent="0.25">
      <c r="A4948" s="1" t="str">
        <f ca="1">IFERROR(__xludf.DUMMYFUNCTION("GOOGLETRANSLATE(English!A4948, ""en"", ""bg"")"),"hw_07891")</f>
        <v>hw_07891</v>
      </c>
      <c r="B4948" s="1" t="str">
        <f ca="1">IFERROR(__xludf.DUMMYFUNCTION("GOOGLETRANSLATE(English!B4948, ""en"", ""bg"")"),"химия")</f>
        <v>химия</v>
      </c>
      <c r="C4948" s="1" t="str">
        <f ca="1">IFERROR(__xludf.DUMMYFUNCTION("GOOGLETRANSLATE(English!C4948, ""en"", ""bg"")"),"средата")</f>
        <v>средата</v>
      </c>
      <c r="D4948" s="1" t="str">
        <f ca="1">IFERROR(__xludf.DUMMYFUNCTION("GOOGLETRANSLATE(English!D4948, ""en"", ""bg"")"),"основи на периодичната таблица")</f>
        <v>основи на периодичната таблица</v>
      </c>
      <c r="E4948" s="1" t="str">
        <f ca="1">IFERROR(__xludf.DUMMYFUNCTION("GOOGLETRANSLATE(English!E4948, ""en"", ""bg"")"),"Не разбирам тази основна концепция за периодичната таблица. Моля, обяснете!")</f>
        <v>Не разбирам тази основна концепция за периодичната таблица. Моля, обяснете!</v>
      </c>
      <c r="F4948" s="1" t="str">
        <f ca="1">IFERROR(__xludf.DUMMYFUNCTION("GOOGLETRANSLATE(English!F4948,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4948" s="1" t="str">
        <f ca="1">IFERROR(__xludf.DUMMYFUNCTION("GOOGLETRANSLATE(English!G4948, ""en"", ""bg"")"),"помощ_за_домашно_изпълнение")</f>
        <v>помощ_за_домашно_изпълнение</v>
      </c>
      <c r="H4948" s="1" t="str">
        <f ca="1">IFERROR(__xludf.DUMMYFUNCTION("GOOGLETRANSLATE(English!H4948, ""en"", ""bg"")"),"помощ_за_домашно_задаване")</f>
        <v>помощ_за_домашно_задаване</v>
      </c>
    </row>
    <row r="4949" spans="1:8" ht="13.2" x14ac:dyDescent="0.25">
      <c r="A4949" s="1" t="str">
        <f ca="1">IFERROR(__xludf.DUMMYFUNCTION("GOOGLETRANSLATE(English!A4949, ""en"", ""bg"")"),"qa_02472")</f>
        <v>qa_02472</v>
      </c>
      <c r="B4949" s="1" t="str">
        <f ca="1">IFERROR(__xludf.DUMMYFUNCTION("GOOGLETRANSLATE(English!B4949, ""en"", ""bg"")"),"химия")</f>
        <v>химия</v>
      </c>
      <c r="C4949" s="1" t="str">
        <f ca="1">IFERROR(__xludf.DUMMYFUNCTION("GOOGLETRANSLATE(English!C4949, ""en"", ""bg"")"),"елементарен")</f>
        <v>елементарен</v>
      </c>
      <c r="D4949" s="1" t="str">
        <f ca="1">IFERROR(__xludf.DUMMYFUNCTION("GOOGLETRANSLATE(English!D4949, ""en"", ""bg"")"),"смесване на материали")</f>
        <v>смесване на материали</v>
      </c>
      <c r="E4949" s="1" t="str">
        <f ca="1">IFERROR(__xludf.DUMMYFUNCTION("GOOGLETRANSLATE(English!E4949, ""en"", ""bg"")"),"Какво е решение?")</f>
        <v>Какво е решение?</v>
      </c>
      <c r="F4949" s="1" t="str">
        <f ca="1">IFERROR(__xludf.DUMMYFUNCTION("GOOGLETRANSLATE(English!F4949, ""en"", ""bg"")"),"Разтвор е, когато едно вещество се разтваря напълно в друго, подобно на разтварянето на захарта във вода.")</f>
        <v>Разтвор е, когато едно вещество се разтваря напълно в друго, подобно на разтварянето на захарта във вода.</v>
      </c>
      <c r="G4949" s="1" t="str">
        <f ca="1">IFERROR(__xludf.DUMMYFUNCTION("GOOGLETRANSLATE(English!G4949, ""en"", ""bg"")"),"direct_qa")</f>
        <v>direct_qa</v>
      </c>
      <c r="H4949" s="1" t="str">
        <f ca="1">IFERROR(__xludf.DUMMYFUNCTION("GOOGLETRANSLATE(English!H4949, ""en"", ""bg"")"),"заявка_за_знание")</f>
        <v>заявка_за_знание</v>
      </c>
    </row>
    <row r="4950" spans="1:8" ht="13.2" x14ac:dyDescent="0.25">
      <c r="A4950" s="1" t="str">
        <f ca="1">IFERROR(__xludf.DUMMYFUNCTION("GOOGLETRANSLATE(English!A4950, ""en"", ""bg"")"),"qa_08264")</f>
        <v>qa_08264</v>
      </c>
      <c r="B4950" s="1" t="str">
        <f ca="1">IFERROR(__xludf.DUMMYFUNCTION("GOOGLETRANSLATE(English!B4950, ""en"", ""bg"")"),"химия")</f>
        <v>химия</v>
      </c>
      <c r="C4950" s="1" t="str">
        <f ca="1">IFERROR(__xludf.DUMMYFUNCTION("GOOGLETRANSLATE(English!C4950, ""en"", ""bg"")"),"високо")</f>
        <v>високо</v>
      </c>
      <c r="D4950" s="1" t="str">
        <f ca="1">IFERROR(__xludf.DUMMYFUNCTION("GOOGLETRANSLATE(English!D4950, ""en"", ""bg"")"),"органична химия")</f>
        <v>органична химия</v>
      </c>
      <c r="E4950" s="1" t="str">
        <f ca="1">IFERROR(__xludf.DUMMYFUNCTION("GOOGLETRANSLATE(English!E4950, ""en"", ""bg"")"),"Защо е важно да се учи органична химия?")</f>
        <v>Защо е важно да се учи органична химия?</v>
      </c>
      <c r="F4950" s="1" t="str">
        <f ca="1">IFERROR(__xludf.DUMMYFUNCTION("GOOGLETRANSLATE(English!F4950, ""en"", ""bg"")"),"Изучаването на органичната химия ни помага да разберем света около нас и как протичат химичните процеси в природата и технологиите.")</f>
        <v>Изучаването на органичната химия ни помага да разберем света около нас и как протичат химичните процеси в природата и технологиите.</v>
      </c>
      <c r="G4950" s="1" t="str">
        <f ca="1">IFERROR(__xludf.DUMMYFUNCTION("GOOGLETRANSLATE(English!G4950, ""en"", ""bg"")"),"direct_qa")</f>
        <v>direct_qa</v>
      </c>
      <c r="H4950" s="1" t="str">
        <f ca="1">IFERROR(__xludf.DUMMYFUNCTION("GOOGLETRANSLATE(English!H4950, ""en"", ""bg"")"),"заявка_за_знание")</f>
        <v>заявка_за_знание</v>
      </c>
    </row>
    <row r="4951" spans="1:8" ht="13.2" x14ac:dyDescent="0.25">
      <c r="A4951" s="1" t="str">
        <f ca="1">IFERROR(__xludf.DUMMYFUNCTION("GOOGLETRANSLATE(English!A4951, ""en"", ""bg"")"),"hw_01880")</f>
        <v>hw_01880</v>
      </c>
      <c r="B4951" s="1" t="str">
        <f ca="1">IFERROR(__xludf.DUMMYFUNCTION("GOOGLETRANSLATE(English!B4951, ""en"", ""bg"")"),"биология")</f>
        <v>биология</v>
      </c>
      <c r="C4951" s="1" t="str">
        <f ca="1">IFERROR(__xludf.DUMMYFUNCTION("GOOGLETRANSLATE(English!C4951, ""en"", ""bg"")"),"високо")</f>
        <v>високо</v>
      </c>
      <c r="D4951" s="1" t="str">
        <f ca="1">IFERROR(__xludf.DUMMYFUNCTION("GOOGLETRANSLATE(English!D4951, ""en"", ""bg"")"),"модели на наследяване")</f>
        <v>модели на наследяване</v>
      </c>
      <c r="E4951" s="1" t="str">
        <f ca="1">IFERROR(__xludf.DUMMYFUNCTION("GOOGLETRANSLATE(English!E4951, ""en"", ""bg"")"),"Утре имам тест по модели на наследяване. Помогни ми да уча!")</f>
        <v>Утре имам тест по модели на наследяване. Помогни ми да уча!</v>
      </c>
      <c r="F4951" s="1" t="str">
        <f ca="1">IFERROR(__xludf.DUMMYFUNCTION("GOOGLETRANSLATE(English!F4951, ""en"", ""bg"")"),"Ще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бихте"&amp;" искали да започнете?")</f>
        <v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v>
      </c>
      <c r="G4951" s="1" t="str">
        <f ca="1">IFERROR(__xludf.DUMMYFUNCTION("GOOGLETRANSLATE(English!G4951, ""en"", ""bg"")"),"помощ_за_домашно_изпълнение")</f>
        <v>помощ_за_домашно_изпълнение</v>
      </c>
      <c r="H4951" s="1" t="str">
        <f ca="1">IFERROR(__xludf.DUMMYFUNCTION("GOOGLETRANSLATE(English!H4951, ""en"", ""bg"")"),"помощ_за_домашно_задаване")</f>
        <v>помощ_за_домашно_задаване</v>
      </c>
    </row>
    <row r="4952" spans="1:8" ht="13.2" x14ac:dyDescent="0.25">
      <c r="A4952" s="1" t="str">
        <f ca="1">IFERROR(__xludf.DUMMYFUNCTION("GOOGLETRANSLATE(English!A4952, ""en"", ""bg"")"),"qa_00917")</f>
        <v>qa_00917</v>
      </c>
      <c r="B4952" s="1" t="str">
        <f ca="1">IFERROR(__xludf.DUMMYFUNCTION("GOOGLETRANSLATE(English!B4952, ""en"", ""bg"")"),"химия")</f>
        <v>химия</v>
      </c>
      <c r="C4952" s="1" t="str">
        <f ca="1">IFERROR(__xludf.DUMMYFUNCTION("GOOGLETRANSLATE(English!C4952, ""en"", ""bg"")"),"средата")</f>
        <v>средата</v>
      </c>
      <c r="D4952" s="1" t="str">
        <f ca="1">IFERROR(__xludf.DUMMYFUNCTION("GOOGLETRANSLATE(English!D4952, ""en"", ""bg"")"),"съединения срещу елементи")</f>
        <v>съединения срещу елементи</v>
      </c>
      <c r="E4952" s="1" t="str">
        <f ca="1">IFERROR(__xludf.DUMMYFUNCTION("GOOGLETRANSLATE(English!E4952, ""en"", ""bg"")"),"Защо е важно да се изучават съединенията спрямо елементите?")</f>
        <v>Защо е важно да се изучават съединенията спрямо елементите?</v>
      </c>
      <c r="F4952" s="1" t="str">
        <f ca="1">IFERROR(__xludf.DUMMYFUNCTION("GOOGLETRANSLATE(English!F4952, ""en"", ""bg"")"),"Изучаването на съединенията спрямо елементите ни помага да разберем света около нас и как протичат химичните процеси в природата и технологиите.")</f>
        <v>Изучаването на съединенията спрямо елементите ни помага да разберем света около нас и как протичат химичните процеси в природата и технологиите.</v>
      </c>
      <c r="G4952" s="1" t="str">
        <f ca="1">IFERROR(__xludf.DUMMYFUNCTION("GOOGLETRANSLATE(English!G4952, ""en"", ""bg"")"),"direct_qa")</f>
        <v>direct_qa</v>
      </c>
      <c r="H4952" s="1" t="str">
        <f ca="1">IFERROR(__xludf.DUMMYFUNCTION("GOOGLETRANSLATE(English!H4952, ""en"", ""bg"")"),"заявка_за_знание")</f>
        <v>заявка_за_знание</v>
      </c>
    </row>
    <row r="4953" spans="1:8" ht="13.2" x14ac:dyDescent="0.25">
      <c r="A4953" s="1" t="str">
        <f ca="1">IFERROR(__xludf.DUMMYFUNCTION("GOOGLETRANSLATE(English!A4953, ""en"", ""bg"")"),"hw_04042")</f>
        <v>hw_04042</v>
      </c>
      <c r="B4953" s="1" t="str">
        <f ca="1">IFERROR(__xludf.DUMMYFUNCTION("GOOGLETRANSLATE(English!B4953, ""en"", ""bg"")"),"физика")</f>
        <v>физика</v>
      </c>
      <c r="C4953" s="1" t="str">
        <f ca="1">IFERROR(__xludf.DUMMYFUNCTION("GOOGLETRANSLATE(English!C4953, ""en"", ""bg"")"),"елементарен")</f>
        <v>елементарен</v>
      </c>
      <c r="D4953" s="1" t="str">
        <f ca="1">IFERROR(__xludf.DUMMYFUNCTION("GOOGLETRANSLATE(English!D4953, ""en"", ""bg"")"),"плаващ и потъващ")</f>
        <v>плаващ и потъващ</v>
      </c>
      <c r="E4953" s="1" t="str">
        <f ca="1">IFERROR(__xludf.DUMMYFUNCTION("GOOGLETRANSLATE(English!E4953, ""en"", ""bg"")"),"Заседнал съм с този проблем с плаването и потъването. Можете ли да помогнете?")</f>
        <v>Заседнал съм с този проблем с плаването и потъването. Можете ли да помогнете?</v>
      </c>
      <c r="F4953" s="1" t="str">
        <f ca="1">IFERROR(__xludf.DUMMYFUNCTION("GOOGLETRANSLATE(English!F4953,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4953" s="1" t="str">
        <f ca="1">IFERROR(__xludf.DUMMYFUNCTION("GOOGLETRANSLATE(English!G4953, ""en"", ""bg"")"),"помощ_за_домашно_изпълнение")</f>
        <v>помощ_за_домашно_изпълнение</v>
      </c>
      <c r="H4953" s="1" t="str">
        <f ca="1">IFERROR(__xludf.DUMMYFUNCTION("GOOGLETRANSLATE(English!H4953, ""en"", ""bg"")"),"помощ_за_домашно_задаване")</f>
        <v>помощ_за_домашно_задаване</v>
      </c>
    </row>
    <row r="4954" spans="1:8" ht="13.2" x14ac:dyDescent="0.25">
      <c r="A4954" s="1" t="str">
        <f ca="1">IFERROR(__xludf.DUMMYFUNCTION("GOOGLETRANSLATE(English!A4954, ""en"", ""bg"")"),"hw_04463")</f>
        <v>hw_04463</v>
      </c>
      <c r="B4954" s="1" t="str">
        <f ca="1">IFERROR(__xludf.DUMMYFUNCTION("GOOGLETRANSLATE(English!B4954, ""en"", ""bg"")"),"физика")</f>
        <v>физика</v>
      </c>
      <c r="C4954" s="1" t="str">
        <f ca="1">IFERROR(__xludf.DUMMYFUNCTION("GOOGLETRANSLATE(English!C4954, ""en"", ""bg"")"),"елементарен")</f>
        <v>елементарен</v>
      </c>
      <c r="D4954" s="1" t="str">
        <f ca="1">IFERROR(__xludf.DUMMYFUNCTION("GOOGLETRANSLATE(English!D4954, ""en"", ""bg"")"),"прости машини")</f>
        <v>прости машини</v>
      </c>
      <c r="E4954" s="1" t="str">
        <f ca="1">IFERROR(__xludf.DUMMYFUNCTION("GOOGLETRANSLATE(English!E4954, ""en"", ""bg"")"),"Заседнал съм с този прост проблем с машината. Можете ли да помогнете?")</f>
        <v>Заседнал съм с този прост проблем с машината. Можете ли да помогнете?</v>
      </c>
      <c r="F4954" s="1" t="str">
        <f ca="1">IFERROR(__xludf.DUMMYFUNCTION("GOOGLETRANSLATE(English!F4954, ""en"", ""bg"")"),"Ще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започне"&amp;"те?")</f>
        <v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v>
      </c>
      <c r="G4954" s="1" t="str">
        <f ca="1">IFERROR(__xludf.DUMMYFUNCTION("GOOGLETRANSLATE(English!G4954, ""en"", ""bg"")"),"помощ_за_домашно_изпълнение")</f>
        <v>помощ_за_домашно_изпълнение</v>
      </c>
      <c r="H4954" s="1" t="str">
        <f ca="1">IFERROR(__xludf.DUMMYFUNCTION("GOOGLETRANSLATE(English!H4954, ""en"", ""bg"")"),"помощ_за_домашно_задаване")</f>
        <v>помощ_за_домашно_задаване</v>
      </c>
    </row>
    <row r="4955" spans="1:8" ht="13.2" x14ac:dyDescent="0.25">
      <c r="A4955" s="1" t="str">
        <f ca="1">IFERROR(__xludf.DUMMYFUNCTION("GOOGLETRANSLATE(English!A4955, ""en"", ""bg"")"),"conv_10833")</f>
        <v>conv_10833</v>
      </c>
      <c r="B4955" s="1" t="str">
        <f ca="1">IFERROR(__xludf.DUMMYFUNCTION("GOOGLETRANSLATE(English!B4955, ""en"", ""bg"")"),"физика")</f>
        <v>физика</v>
      </c>
      <c r="C4955" s="1" t="str">
        <f ca="1">IFERROR(__xludf.DUMMYFUNCTION("GOOGLETRANSLATE(English!C4955, ""en"", ""bg"")"),"елементарен")</f>
        <v>елементарен</v>
      </c>
      <c r="D4955" s="1" t="str">
        <f ca="1">IFERROR(__xludf.DUMMYFUNCTION("GOOGLETRANSLATE(English!D4955, ""en"", ""bg"")"),"прости машини")</f>
        <v>прости машини</v>
      </c>
      <c r="E4955" s="1" t="str">
        <f ca="1">IFERROR(__xludf.DUMMYFUNCTION("GOOGLETRANSLATE(English!E4955, ""en"", ""bg"")"),"Не разбирам тази тема. Какво трябва да знам за простите машини?")</f>
        <v>Не разбирам тази тема. Какво трябва да знам за простите машини?</v>
      </c>
      <c r="F4955" s="1" t="str">
        <f ca="1">IFERROR(__xludf.DUMMYFUNCTION("GOOGLETRANSLATE(English!F4955, ""en"", ""bg"")"),"Ключовото нещо при простите машини е как те следват законите на физиката, които управляват нашата вселена.")</f>
        <v>Ключовото нещо при простите машини е как те следват законите на физиката, които управляват нашата вселена.</v>
      </c>
      <c r="G4955" s="1" t="str">
        <f ca="1">IFERROR(__xludf.DUMMYFUNCTION("GOOGLETRANSLATE(English!G4955, ""en"", ""bg"")"),"разговор")</f>
        <v>разговор</v>
      </c>
      <c r="H4955" s="1" t="str">
        <f ca="1">IFERROR(__xludf.DUMMYFUNCTION("GOOGLETRANSLATE(English!H4955, ""en"", ""bg"")"),"образователна_помощ")</f>
        <v>образователна_помощ</v>
      </c>
    </row>
    <row r="4956" spans="1:8" ht="13.2" x14ac:dyDescent="0.25">
      <c r="A4956" s="1" t="str">
        <f ca="1">IFERROR(__xludf.DUMMYFUNCTION("GOOGLETRANSLATE(English!A4956, ""en"", ""bg"")"),"hw_10295")</f>
        <v>hw_10295</v>
      </c>
      <c r="B4956" s="1" t="str">
        <f ca="1">IFERROR(__xludf.DUMMYFUNCTION("GOOGLETRANSLATE(English!B4956, ""en"", ""bg"")"),"физика")</f>
        <v>физика</v>
      </c>
      <c r="C4956" s="1" t="str">
        <f ca="1">IFERROR(__xludf.DUMMYFUNCTION("GOOGLETRANSLATE(English!C4956, ""en"", ""bg"")"),"средата")</f>
        <v>средата</v>
      </c>
      <c r="D4956" s="1" t="str">
        <f ca="1">IFERROR(__xludf.DUMMYFUNCTION("GOOGLETRANSLATE(English!D4956, ""en"", ""bg"")"),"видове енергия")</f>
        <v>видове енергия</v>
      </c>
      <c r="E4956" s="1" t="str">
        <f ca="1">IFERROR(__xludf.DUMMYFUNCTION("GOOGLETRANSLATE(English!E4956, ""en"", ""bg"")"),"Можете ли да решите този въпрос за видовете енергия с мен?")</f>
        <v>Можете ли да решите този въпрос за видовете енергия с мен?</v>
      </c>
      <c r="F4956" s="1" t="str">
        <f ca="1">IFERROR(__xludf.DUMMYFUNCTION("GOOGLETRANSLATE(English!F4956,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4956" s="1" t="str">
        <f ca="1">IFERROR(__xludf.DUMMYFUNCTION("GOOGLETRANSLATE(English!G4956, ""en"", ""bg"")"),"помощ_за_домашно_изпълнение")</f>
        <v>помощ_за_домашно_изпълнение</v>
      </c>
      <c r="H4956" s="1" t="str">
        <f ca="1">IFERROR(__xludf.DUMMYFUNCTION("GOOGLETRANSLATE(English!H4956, ""en"", ""bg"")"),"помощ_за_домашно_задаване")</f>
        <v>помощ_за_домашно_задаване</v>
      </c>
    </row>
    <row r="4957" spans="1:8" ht="13.2" x14ac:dyDescent="0.25">
      <c r="A4957" s="1" t="str">
        <f ca="1">IFERROR(__xludf.DUMMYFUNCTION("GOOGLETRANSLATE(English!A4957, ""en"", ""bg"")"),"conv_05389")</f>
        <v>conv_05389</v>
      </c>
      <c r="B4957" s="1" t="str">
        <f ca="1">IFERROR(__xludf.DUMMYFUNCTION("GOOGLETRANSLATE(English!B4957, ""en"", ""bg"")"),"химия")</f>
        <v>химия</v>
      </c>
      <c r="C4957" s="1" t="str">
        <f ca="1">IFERROR(__xludf.DUMMYFUNCTION("GOOGLETRANSLATE(English!C4957, ""en"", ""bg"")"),"елементарен")</f>
        <v>елементарен</v>
      </c>
      <c r="D4957" s="1" t="str">
        <f ca="1">IFERROR(__xludf.DUMMYFUNCTION("GOOGLETRANSLATE(English!D4957, ""en"", ""bg"")"),"разтваряне")</f>
        <v>разтваряне</v>
      </c>
      <c r="E4957" s="1" t="str">
        <f ca="1">IFERROR(__xludf.DUMMYFUNCTION("GOOGLETRANSLATE(English!E4957, ""en"", ""bg"")"),"Имам нужда от помощ с домашното. Какво е разтваряне?")</f>
        <v>Имам нужда от помощ с домашното. Какво е разтваряне?</v>
      </c>
      <c r="F4957" s="1" t="str">
        <f ca="1">IFERROR(__xludf.DUMMYFUNCTION("GOOGLETRANSLATE(English!F4957, ""en"", ""bg"")"),"Разтварянето е свързано с взаимодействията между различните видове материя и енергия.")</f>
        <v>Разтварянето е свързано с взаимодействията между различните видове материя и енергия.</v>
      </c>
      <c r="G4957" s="1" t="str">
        <f ca="1">IFERROR(__xludf.DUMMYFUNCTION("GOOGLETRANSLATE(English!G4957, ""en"", ""bg"")"),"разговор")</f>
        <v>разговор</v>
      </c>
      <c r="H4957" s="1" t="str">
        <f ca="1">IFERROR(__xludf.DUMMYFUNCTION("GOOGLETRANSLATE(English!H4957, ""en"", ""bg"")"),"образователна_помощ")</f>
        <v>образователна_помощ</v>
      </c>
    </row>
    <row r="4958" spans="1:8" ht="13.2" x14ac:dyDescent="0.25">
      <c r="A4958" s="1" t="str">
        <f ca="1">IFERROR(__xludf.DUMMYFUNCTION("GOOGLETRANSLATE(English!A4958, ""en"", ""bg"")"),"hw_06754")</f>
        <v>hw_06754</v>
      </c>
      <c r="B4958" s="1" t="str">
        <f ca="1">IFERROR(__xludf.DUMMYFUNCTION("GOOGLETRANSLATE(English!B4958, ""en"", ""bg"")"),"биология")</f>
        <v>биология</v>
      </c>
      <c r="C4958" s="1" t="str">
        <f ca="1">IFERROR(__xludf.DUMMYFUNCTION("GOOGLETRANSLATE(English!C4958, ""en"", ""bg"")"),"средата")</f>
        <v>средата</v>
      </c>
      <c r="D4958" s="1" t="str">
        <f ca="1">IFERROR(__xludf.DUMMYFUNCTION("GOOGLETRANSLATE(English!D4958, ""en"", ""bg"")"),"дишане")</f>
        <v>дишане</v>
      </c>
      <c r="E4958" s="1" t="str">
        <f ca="1">IFERROR(__xludf.DUMMYFUNCTION("GOOGLETRANSLATE(English!E4958, ""en"", ""bg"")"),"Трябва да напиша доклад за дишането. Можете ли да ми помогнете да започна?")</f>
        <v>Трябва да напиша доклад за дишането. Можете ли да ми помогнете да започна?</v>
      </c>
      <c r="F4958" s="1" t="str">
        <f ca="1">IFERROR(__xludf.DUMMYFUNCTION("GOOGLETRANSLATE(English!F4958,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958" s="1" t="str">
        <f ca="1">IFERROR(__xludf.DUMMYFUNCTION("GOOGLETRANSLATE(English!G4958, ""en"", ""bg"")"),"помощ_за_домашно_изпълнение")</f>
        <v>помощ_за_домашно_изпълнение</v>
      </c>
      <c r="H4958" s="1" t="str">
        <f ca="1">IFERROR(__xludf.DUMMYFUNCTION("GOOGLETRANSLATE(English!H4958, ""en"", ""bg"")"),"помощ_за_домашно_задаване")</f>
        <v>помощ_за_домашно_задаване</v>
      </c>
    </row>
    <row r="4959" spans="1:8" ht="13.2" x14ac:dyDescent="0.25">
      <c r="A4959" s="1" t="str">
        <f ca="1">IFERROR(__xludf.DUMMYFUNCTION("GOOGLETRANSLATE(English!A4959, ""en"", ""bg"")"),"hw_05053")</f>
        <v>hw_05053</v>
      </c>
      <c r="B4959" s="1" t="str">
        <f ca="1">IFERROR(__xludf.DUMMYFUNCTION("GOOGLETRANSLATE(English!B4959, ""en"", ""bg"")"),"биология")</f>
        <v>биология</v>
      </c>
      <c r="C4959" s="1" t="str">
        <f ca="1">IFERROR(__xludf.DUMMYFUNCTION("GOOGLETRANSLATE(English!C4959, ""en"", ""bg"")"),"елементарен")</f>
        <v>елементарен</v>
      </c>
      <c r="D4959" s="1" t="str">
        <f ca="1">IFERROR(__xludf.DUMMYFUNCTION("GOOGLETRANSLATE(English!D4959, ""en"", ""bg"")"),"растения")</f>
        <v>растения</v>
      </c>
      <c r="E4959" s="1" t="str">
        <f ca="1">IFERROR(__xludf.DUMMYFUNCTION("GOOGLETRANSLATE(English!E4959, ""en"", ""bg"")"),"Можете ли да обясните растенията за моя научен проект?")</f>
        <v>Можете ли да обясните растенията за моя научен проект?</v>
      </c>
      <c r="F4959" s="1" t="str">
        <f ca="1">IFERROR(__xludf.DUMMYFUNCTION("GOOGLETRANSLATE(English!F4959,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959" s="1" t="str">
        <f ca="1">IFERROR(__xludf.DUMMYFUNCTION("GOOGLETRANSLATE(English!G4959, ""en"", ""bg"")"),"помощ_за_домашно_изпълнение")</f>
        <v>помощ_за_домашно_изпълнение</v>
      </c>
      <c r="H4959" s="1" t="str">
        <f ca="1">IFERROR(__xludf.DUMMYFUNCTION("GOOGLETRANSLATE(English!H4959, ""en"", ""bg"")"),"помощ_за_домашно_задаване")</f>
        <v>помощ_за_домашно_задаване</v>
      </c>
    </row>
    <row r="4960" spans="1:8" ht="13.2" x14ac:dyDescent="0.25">
      <c r="A4960" s="1" t="str">
        <f ca="1">IFERROR(__xludf.DUMMYFUNCTION("GOOGLETRANSLATE(English!A4960, ""en"", ""bg"")"),"conv_06674")</f>
        <v>conv_06674</v>
      </c>
      <c r="B4960" s="1" t="str">
        <f ca="1">IFERROR(__xludf.DUMMYFUNCTION("GOOGLETRANSLATE(English!B4960, ""en"", ""bg"")"),"химия")</f>
        <v>химия</v>
      </c>
      <c r="C4960" s="1" t="str">
        <f ca="1">IFERROR(__xludf.DUMMYFUNCTION("GOOGLETRANSLATE(English!C4960, ""en"", ""bg"")"),"средата")</f>
        <v>средата</v>
      </c>
      <c r="D4960" s="1" t="str">
        <f ca="1">IFERROR(__xludf.DUMMYFUNCTION("GOOGLETRANSLATE(English!D4960, ""en"", ""bg"")"),"химични реакции")</f>
        <v>химични реакции</v>
      </c>
      <c r="E4960" s="1" t="str">
        <f ca="1">IFERROR(__xludf.DUMMYFUNCTION("GOOGLETRANSLATE(English!E4960, ""en"", ""bg"")"),"Имам научен въпрос. Могат ли химичните реакции да бъдат обратими?")</f>
        <v>Имам научен въпрос. Могат ли химичните реакции да бъдат обратими?</v>
      </c>
      <c r="F4960" s="1" t="str">
        <f ca="1">IFERROR(__xludf.DUMMYFUNCTION("GOOGLETRANSLATE(English!F4960, ""en"", ""bg"")"),"Някои реакции могат да бъдат обратими, но много не - това зависи от вида на реакцията и използваната енергия.")</f>
        <v>Някои реакции могат да бъдат обратими, но много не - това зависи от вида на реакцията и използваната енергия.</v>
      </c>
      <c r="G4960" s="1" t="str">
        <f ca="1">IFERROR(__xludf.DUMMYFUNCTION("GOOGLETRANSLATE(English!G4960, ""en"", ""bg"")"),"разговор")</f>
        <v>разговор</v>
      </c>
      <c r="H4960" s="1" t="str">
        <f ca="1">IFERROR(__xludf.DUMMYFUNCTION("GOOGLETRANSLATE(English!H4960, ""en"", ""bg"")"),"образователна_помощ")</f>
        <v>образователна_помощ</v>
      </c>
    </row>
    <row r="4961" spans="1:8" ht="13.2" x14ac:dyDescent="0.25">
      <c r="A4961" s="1" t="str">
        <f ca="1">IFERROR(__xludf.DUMMYFUNCTION("GOOGLETRANSLATE(English!A4961, ""en"", ""bg"")"),"conv_07540")</f>
        <v>conv_07540</v>
      </c>
      <c r="B4961" s="1" t="str">
        <f ca="1">IFERROR(__xludf.DUMMYFUNCTION("GOOGLETRANSLATE(English!B4961, ""en"", ""bg"")"),"физика")</f>
        <v>физика</v>
      </c>
      <c r="C4961" s="1" t="str">
        <f ca="1">IFERROR(__xludf.DUMMYFUNCTION("GOOGLETRANSLATE(English!C4961, ""en"", ""bg"")"),"високо")</f>
        <v>високо</v>
      </c>
      <c r="D4961" s="1" t="str">
        <f ca="1">IFERROR(__xludf.DUMMYFUNCTION("GOOGLETRANSLATE(English!D4961, ""en"", ""bg"")"),"термодинамика")</f>
        <v>термодинамика</v>
      </c>
      <c r="E4961" s="1" t="str">
        <f ca="1">IFERROR(__xludf.DUMMYFUNCTION("GOOGLETRANSLATE(English!E4961, ""en"", ""bg"")"),"Можете ли да ми помогнете? Можете ли да ми обясните термодинамиката?")</f>
        <v>Можете ли да ми помогнете? Можете ли да ми обясните термодинамиката?</v>
      </c>
      <c r="F4961" s="1" t="str">
        <f ca="1">IFERROR(__xludf.DUMMYFUNCTION("GOOGLETRANSLATE(English!F4961, ""en"", ""bg"")"),"Термодинамиката е интересна физическа концепция, която ни помага да разберем как работят нещата в нашия свят!")</f>
        <v>Термодинамиката е интересна физическа концепция, която ни помага да разберем как работят нещата в нашия свят!</v>
      </c>
      <c r="G4961" s="1" t="str">
        <f ca="1">IFERROR(__xludf.DUMMYFUNCTION("GOOGLETRANSLATE(English!G4961, ""en"", ""bg"")"),"разговор")</f>
        <v>разговор</v>
      </c>
      <c r="H4961" s="1" t="str">
        <f ca="1">IFERROR(__xludf.DUMMYFUNCTION("GOOGLETRANSLATE(English!H4961, ""en"", ""bg"")"),"образователна_помощ")</f>
        <v>образователна_помощ</v>
      </c>
    </row>
    <row r="4962" spans="1:8" ht="13.2" x14ac:dyDescent="0.25">
      <c r="A4962" s="1" t="str">
        <f ca="1">IFERROR(__xludf.DUMMYFUNCTION("GOOGLETRANSLATE(English!A4962, ""en"", ""bg"")"),"conv_16586")</f>
        <v>conv_16586</v>
      </c>
      <c r="B4962" s="1" t="str">
        <f ca="1">IFERROR(__xludf.DUMMYFUNCTION("GOOGLETRANSLATE(English!B4962, ""en"", ""bg"")"),"биология")</f>
        <v>биология</v>
      </c>
      <c r="C4962" s="1" t="str">
        <f ca="1">IFERROR(__xludf.DUMMYFUNCTION("GOOGLETRANSLATE(English!C4962, ""en"", ""bg"")"),"елементарен")</f>
        <v>елементарен</v>
      </c>
      <c r="D4962" s="1" t="str">
        <f ca="1">IFERROR(__xludf.DUMMYFUNCTION("GOOGLETRANSLATE(English!D4962, ""en"", ""bg"")"),"местообитания")</f>
        <v>местообитания</v>
      </c>
      <c r="E4962" s="1" t="str">
        <f ca="1">IFERROR(__xludf.DUMMYFUNCTION("GOOGLETRANSLATE(English!E4962, ""en"", ""bg"")"),"Здравей, преподавателю! Какво е важно да знаеш за местообитанията?")</f>
        <v>Здравей, преподавателю! Какво е важно да знаеш за местообитанията?</v>
      </c>
      <c r="F4962" s="1" t="str">
        <f ca="1">IFERROR(__xludf.DUMMYFUNCTION("GOOGLETRANSLATE(English!F4962, ""en"", ""bg"")"),"Най-важното нещо за местообитанията е как те се свързват с други части на живота и природата.")</f>
        <v>Най-важното нещо за местообитанията е как те се свързват с други части на живота и природата.</v>
      </c>
      <c r="G4962" s="1" t="str">
        <f ca="1">IFERROR(__xludf.DUMMYFUNCTION("GOOGLETRANSLATE(English!G4962, ""en"", ""bg"")"),"разговор")</f>
        <v>разговор</v>
      </c>
      <c r="H4962" s="1" t="str">
        <f ca="1">IFERROR(__xludf.DUMMYFUNCTION("GOOGLETRANSLATE(English!H4962, ""en"", ""bg"")"),"образователна_помощ")</f>
        <v>образователна_помощ</v>
      </c>
    </row>
    <row r="4963" spans="1:8" ht="13.2" x14ac:dyDescent="0.25">
      <c r="A4963" s="1" t="str">
        <f ca="1">IFERROR(__xludf.DUMMYFUNCTION("GOOGLETRANSLATE(English!A4963, ""en"", ""bg"")"),"hw_09907")</f>
        <v>hw_09907</v>
      </c>
      <c r="B4963" s="1" t="str">
        <f ca="1">IFERROR(__xludf.DUMMYFUNCTION("GOOGLETRANSLATE(English!B4963, ""en"", ""bg"")"),"биология")</f>
        <v>биология</v>
      </c>
      <c r="C4963" s="1" t="str">
        <f ca="1">IFERROR(__xludf.DUMMYFUNCTION("GOOGLETRANSLATE(English!C4963, ""en"", ""bg"")"),"средата")</f>
        <v>средата</v>
      </c>
      <c r="D4963" s="1" t="str">
        <f ca="1">IFERROR(__xludf.DUMMYFUNCTION("GOOGLETRANSLATE(English!D4963, ""en"", ""bg"")"),"екосистеми")</f>
        <v>екосистеми</v>
      </c>
      <c r="E4963" s="1" t="str">
        <f ca="1">IFERROR(__xludf.DUMMYFUNCTION("GOOGLETRANSLATE(English!E4963, ""en"", ""bg"")"),"Домашното ми пита за екосистемите. Не го разбирам.")</f>
        <v>Домашното ми пита за екосистемите. Не го разбирам.</v>
      </c>
      <c r="F4963" s="1" t="str">
        <f ca="1">IFERROR(__xludf.DUMMYFUNCTION("GOOGLETRANSLATE(English!F4963, ""en"", ""bg"")"),"Ще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започнете?")</f>
        <v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v>
      </c>
      <c r="G4963" s="1" t="str">
        <f ca="1">IFERROR(__xludf.DUMMYFUNCTION("GOOGLETRANSLATE(English!G4963, ""en"", ""bg"")"),"помощ_за_домашно_изпълнение")</f>
        <v>помощ_за_домашно_изпълнение</v>
      </c>
      <c r="H4963" s="1" t="str">
        <f ca="1">IFERROR(__xludf.DUMMYFUNCTION("GOOGLETRANSLATE(English!H4963, ""en"", ""bg"")"),"помощ_за_домашно_задаване")</f>
        <v>помощ_за_домашно_задаване</v>
      </c>
    </row>
    <row r="4964" spans="1:8" ht="13.2" x14ac:dyDescent="0.25">
      <c r="A4964" s="1" t="str">
        <f ca="1">IFERROR(__xludf.DUMMYFUNCTION("GOOGLETRANSLATE(English!A4964, ""en"", ""bg"")"),"conv_16794")</f>
        <v>conv_16794</v>
      </c>
      <c r="B4964" s="1" t="str">
        <f ca="1">IFERROR(__xludf.DUMMYFUNCTION("GOOGLETRANSLATE(English!B4964, ""en"", ""bg"")"),"физика")</f>
        <v>физика</v>
      </c>
      <c r="C4964" s="1" t="str">
        <f ca="1">IFERROR(__xludf.DUMMYFUNCTION("GOOGLETRANSLATE(English!C4964, ""en"", ""bg"")"),"средата")</f>
        <v>средата</v>
      </c>
      <c r="D4964" s="1" t="str">
        <f ca="1">IFERROR(__xludf.DUMMYFUNCTION("GOOGLETRANSLATE(English!D4964, ""en"", ""bg"")"),"видове енергия")</f>
        <v>видове енергия</v>
      </c>
      <c r="E4964" s="1" t="str">
        <f ca="1">IFERROR(__xludf.DUMMYFUNCTION("GOOGLETRANSLATE(English!E4964, ""en"", ""bg"")"),"Можете ли да ми обясните това? Какви са различните видове енергия?")</f>
        <v>Можете ли да ми обясните това? Какви са различните видове енергия?</v>
      </c>
      <c r="F4964" s="1" t="str">
        <f ca="1">IFERROR(__xludf.DUMMYFUNCTION("GOOGLETRANSLATE(English!F4964,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4964" s="1" t="str">
        <f ca="1">IFERROR(__xludf.DUMMYFUNCTION("GOOGLETRANSLATE(English!G4964, ""en"", ""bg"")"),"разговор")</f>
        <v>разговор</v>
      </c>
      <c r="H4964" s="1" t="str">
        <f ca="1">IFERROR(__xludf.DUMMYFUNCTION("GOOGLETRANSLATE(English!H4964, ""en"", ""bg"")"),"образователна_помощ")</f>
        <v>образователна_помощ</v>
      </c>
    </row>
    <row r="4965" spans="1:8" ht="13.2" x14ac:dyDescent="0.25">
      <c r="A4965" s="1" t="str">
        <f ca="1">IFERROR(__xludf.DUMMYFUNCTION("GOOGLETRANSLATE(English!A4965, ""en"", ""bg"")"),"conv_00504")</f>
        <v>conv_00504</v>
      </c>
      <c r="B4965" s="1" t="str">
        <f ca="1">IFERROR(__xludf.DUMMYFUNCTION("GOOGLETRANSLATE(English!B4965, ""en"", ""bg"")"),"химия")</f>
        <v>химия</v>
      </c>
      <c r="C4965" s="1" t="str">
        <f ca="1">IFERROR(__xludf.DUMMYFUNCTION("GOOGLETRANSLATE(English!C4965, ""en"", ""bg"")"),"високо")</f>
        <v>високо</v>
      </c>
      <c r="D4965" s="1" t="str">
        <f ca="1">IFERROR(__xludf.DUMMYFUNCTION("GOOGLETRANSLATE(English!D4965, ""en"", ""bg"")"),"скорости на реакция")</f>
        <v>скорости на реакция</v>
      </c>
      <c r="E4965" s="1" t="str">
        <f ca="1">IFERROR(__xludf.DUMMYFUNCTION("GOOGLETRANSLATE(English!E4965, ""en"", ""bg"")"),"Помогнете ми да уча за теста си. Как работят скоростите на реакциите в химията?")</f>
        <v>Помогнете ми да уча за теста си. Как работят скоростите на реакциите в химията?</v>
      </c>
      <c r="F4965" s="1" t="str">
        <f ca="1">IFERROR(__xludf.DUMMYFUNCTION("GOOGLETRANSLATE(English!F4965, ""en"", ""bg"")"),"Скоростите на реакциите работят според химичните принципи, които обясняват как атомите и молекулите взаимодействат.")</f>
        <v>Скоростите на реакциите работят според химичните принципи, които обясняват как атомите и молекулите взаимодействат.</v>
      </c>
      <c r="G4965" s="1" t="str">
        <f ca="1">IFERROR(__xludf.DUMMYFUNCTION("GOOGLETRANSLATE(English!G4965, ""en"", ""bg"")"),"разговор")</f>
        <v>разговор</v>
      </c>
      <c r="H4965" s="1" t="str">
        <f ca="1">IFERROR(__xludf.DUMMYFUNCTION("GOOGLETRANSLATE(English!H4965, ""en"", ""bg"")"),"образователна_помощ")</f>
        <v>образователна_помощ</v>
      </c>
    </row>
    <row r="4966" spans="1:8" ht="13.2" x14ac:dyDescent="0.25">
      <c r="A4966" s="1" t="str">
        <f ca="1">IFERROR(__xludf.DUMMYFUNCTION("GOOGLETRANSLATE(English!A4966, ""en"", ""bg"")"),"hw_04754")</f>
        <v>hw_04754</v>
      </c>
      <c r="B4966" s="1" t="str">
        <f ca="1">IFERROR(__xludf.DUMMYFUNCTION("GOOGLETRANSLATE(English!B4966, ""en"", ""bg"")"),"биология")</f>
        <v>биология</v>
      </c>
      <c r="C4966" s="1" t="str">
        <f ca="1">IFERROR(__xludf.DUMMYFUNCTION("GOOGLETRANSLATE(English!C4966, ""en"", ""bg"")"),"средата")</f>
        <v>средата</v>
      </c>
      <c r="D4966" s="1" t="str">
        <f ca="1">IFERROR(__xludf.DUMMYFUNCTION("GOOGLETRANSLATE(English!D4966, ""en"", ""bg"")"),"дишане")</f>
        <v>дишане</v>
      </c>
      <c r="E4966" s="1" t="str">
        <f ca="1">IFERROR(__xludf.DUMMYFUNCTION("GOOGLETRANSLATE(English!E4966, ""en"", ""bg"")"),"Утре имам тест по дишане. Помогни ми да уча!")</f>
        <v>Утре имам тест по дишане. Помогни ми да уча!</v>
      </c>
      <c r="F4966" s="1" t="str">
        <f ca="1">IFERROR(__xludf.DUMMYFUNCTION("GOOGLETRANSLATE(English!F4966, ""en"", ""bg"")"),"Ще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дишането! Нека го разделя на прости стъпки. Първо, нека обясня какво означава дишане и защо е важно в биологията. След това можем да разгледаме заедно някои примери. С коя конкретна част бихте искали да започнете?</v>
      </c>
      <c r="G4966" s="1" t="str">
        <f ca="1">IFERROR(__xludf.DUMMYFUNCTION("GOOGLETRANSLATE(English!G4966, ""en"", ""bg"")"),"помощ_за_домашно_изпълнение")</f>
        <v>помощ_за_домашно_изпълнение</v>
      </c>
      <c r="H4966" s="1" t="str">
        <f ca="1">IFERROR(__xludf.DUMMYFUNCTION("GOOGLETRANSLATE(English!H4966, ""en"", ""bg"")"),"помощ_за_домашно_задаване")</f>
        <v>помощ_за_домашно_задаване</v>
      </c>
    </row>
    <row r="4967" spans="1:8" ht="13.2" x14ac:dyDescent="0.25">
      <c r="A4967" s="1" t="str">
        <f ca="1">IFERROR(__xludf.DUMMYFUNCTION("GOOGLETRANSLATE(English!A4967, ""en"", ""bg"")"),"hw_08932")</f>
        <v>hw_08932</v>
      </c>
      <c r="B4967" s="1" t="str">
        <f ca="1">IFERROR(__xludf.DUMMYFUNCTION("GOOGLETRANSLATE(English!B4967, ""en"", ""bg"")"),"физика")</f>
        <v>физика</v>
      </c>
      <c r="C4967" s="1" t="str">
        <f ca="1">IFERROR(__xludf.DUMMYFUNCTION("GOOGLETRANSLATE(English!C4967, ""en"", ""bg"")"),"средата")</f>
        <v>средата</v>
      </c>
      <c r="D4967" s="1" t="str">
        <f ca="1">IFERROR(__xludf.DUMMYFUNCTION("GOOGLETRANSLATE(English!D4967, ""en"", ""bg"")"),"плътност")</f>
        <v>плътност</v>
      </c>
      <c r="E4967" s="1" t="str">
        <f ca="1">IFERROR(__xludf.DUMMYFUNCTION("GOOGLETRANSLATE(English!E4967, ""en"", ""bg"")"),"Домашното ми по физика е за плътността. Объркващо е!")</f>
        <v>Домашното ми по физика е за плътността. Объркващо е!</v>
      </c>
      <c r="F4967" s="1" t="str">
        <f ca="1">IFERROR(__xludf.DUMMYFUNCTION("GOOGLETRANSLATE(English!F4967, ""en"", ""bg"")"),"Ще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плътността! Нека разделя това на прости стъпки. Първо, нека обясня какво означава плътност и защо е важна във физиката. След това можем да разгледаме заедно някои примери. С коя конкретна част бихте искали да започнете?</v>
      </c>
      <c r="G4967" s="1" t="str">
        <f ca="1">IFERROR(__xludf.DUMMYFUNCTION("GOOGLETRANSLATE(English!G4967, ""en"", ""bg"")"),"помощ_за_домашно_изпълнение")</f>
        <v>помощ_за_домашно_изпълнение</v>
      </c>
      <c r="H4967" s="1" t="str">
        <f ca="1">IFERROR(__xludf.DUMMYFUNCTION("GOOGLETRANSLATE(English!H4967, ""en"", ""bg"")"),"помощ_за_домашно_задаване")</f>
        <v>помощ_за_домашно_задаване</v>
      </c>
    </row>
    <row r="4968" spans="1:8" ht="13.2" x14ac:dyDescent="0.25">
      <c r="A4968" s="1" t="str">
        <f ca="1">IFERROR(__xludf.DUMMYFUNCTION("GOOGLETRANSLATE(English!A4968, ""en"", ""bg"")"),"conv_07830")</f>
        <v>conv_07830</v>
      </c>
      <c r="B4968" s="1" t="str">
        <f ca="1">IFERROR(__xludf.DUMMYFUNCTION("GOOGLETRANSLATE(English!B4968, ""en"", ""bg"")"),"физика")</f>
        <v>физика</v>
      </c>
      <c r="C4968" s="1" t="str">
        <f ca="1">IFERROR(__xludf.DUMMYFUNCTION("GOOGLETRANSLATE(English!C4968, ""en"", ""bg"")"),"елементарен")</f>
        <v>елементарен</v>
      </c>
      <c r="D4968" s="1" t="str">
        <f ca="1">IFERROR(__xludf.DUMMYFUNCTION("GOOGLETRANSLATE(English!D4968, ""en"", ""bg"")"),"прости машини")</f>
        <v>прости машини</v>
      </c>
      <c r="E4968" s="1" t="str">
        <f ca="1">IFERROR(__xludf.DUMMYFUNCTION("GOOGLETRANSLATE(English!E4968, ""en"", ""bg"")"),"Имам нужда от помощ с домашното. Можете ли да ми обясните прости машини?")</f>
        <v>Имам нужда от помощ с домашното. Можете ли да ми обясните прости машини?</v>
      </c>
      <c r="F4968" s="1" t="str">
        <f ca="1">IFERROR(__xludf.DUMMYFUNCTION("GOOGLETRANSLATE(English!F4968, ""en"", ""bg"")"),"Простите машини са интересна физическа концепция, която ни помага да разберем как работят нещата в нашия свят!")</f>
        <v>Простите машини са интересна физическа концепция, която ни помага да разберем как работят нещата в нашия свят!</v>
      </c>
      <c r="G4968" s="1" t="str">
        <f ca="1">IFERROR(__xludf.DUMMYFUNCTION("GOOGLETRANSLATE(English!G4968, ""en"", ""bg"")"),"разговор")</f>
        <v>разговор</v>
      </c>
      <c r="H4968" s="1" t="str">
        <f ca="1">IFERROR(__xludf.DUMMYFUNCTION("GOOGLETRANSLATE(English!H4968, ""en"", ""bg"")"),"образователна_помощ")</f>
        <v>образователна_помощ</v>
      </c>
    </row>
    <row r="4969" spans="1:8" ht="13.2" x14ac:dyDescent="0.25">
      <c r="A4969" s="1" t="str">
        <f ca="1">IFERROR(__xludf.DUMMYFUNCTION("GOOGLETRANSLATE(English!A4969, ""en"", ""bg"")"),"conv_11602")</f>
        <v>conv_11602</v>
      </c>
      <c r="B4969" s="1" t="str">
        <f ca="1">IFERROR(__xludf.DUMMYFUNCTION("GOOGLETRANSLATE(English!B4969, ""en"", ""bg"")"),"физика")</f>
        <v>физика</v>
      </c>
      <c r="C4969" s="1" t="str">
        <f ca="1">IFERROR(__xludf.DUMMYFUNCTION("GOOGLETRANSLATE(English!C4969, ""en"", ""bg"")"),"средата")</f>
        <v>средата</v>
      </c>
      <c r="D4969" s="1" t="str">
        <f ca="1">IFERROR(__xludf.DUMMYFUNCTION("GOOGLETRANSLATE(English!D4969, ""en"", ""bg"")"),"основи на електричеството")</f>
        <v>основи на електричеството</v>
      </c>
      <c r="E4969" s="1" t="str">
        <f ca="1">IFERROR(__xludf.DUMMYFUNCTION("GOOGLETRANSLATE(English!E4969, ""en"", ""bg"")"),"Имам научен въпрос. Как работят основите на електричеството във физиката?")</f>
        <v>Имам научен въпрос. Как работят основите на електричеството във физиката?</v>
      </c>
      <c r="F4969" s="1" t="str">
        <f ca="1">IFERROR(__xludf.DUMMYFUNCTION("GOOGLETRANSLATE(English!F4969, ""en"", ""bg"")"),"Основите на електричеството работят според научни принципи, които можем да наблюдаваме и измерваме.")</f>
        <v>Основите на електричеството работят според научни принципи, които можем да наблюдаваме и измерваме.</v>
      </c>
      <c r="G4969" s="1" t="str">
        <f ca="1">IFERROR(__xludf.DUMMYFUNCTION("GOOGLETRANSLATE(English!G4969, ""en"", ""bg"")"),"разговор")</f>
        <v>разговор</v>
      </c>
      <c r="H4969" s="1" t="str">
        <f ca="1">IFERROR(__xludf.DUMMYFUNCTION("GOOGLETRANSLATE(English!H4969, ""en"", ""bg"")"),"образователна_помощ")</f>
        <v>образователна_помощ</v>
      </c>
    </row>
    <row r="4970" spans="1:8" ht="13.2" x14ac:dyDescent="0.25">
      <c r="A4970" s="1" t="str">
        <f ca="1">IFERROR(__xludf.DUMMYFUNCTION("GOOGLETRANSLATE(English!A4970, ""en"", ""bg"")"),"qa_08232")</f>
        <v>qa_08232</v>
      </c>
      <c r="B4970" s="1" t="str">
        <f ca="1">IFERROR(__xludf.DUMMYFUNCTION("GOOGLETRANSLATE(English!B4970, ""en"", ""bg"")"),"химия")</f>
        <v>химия</v>
      </c>
      <c r="C4970" s="1" t="str">
        <f ca="1">IFERROR(__xludf.DUMMYFUNCTION("GOOGLETRANSLATE(English!C4970, ""en"", ""bg"")"),"елементарен")</f>
        <v>елементарен</v>
      </c>
      <c r="D4970" s="1" t="str">
        <f ca="1">IFERROR(__xludf.DUMMYFUNCTION("GOOGLETRANSLATE(English!D4970, ""en"", ""bg"")"),"твърди вещества, течности, газове")</f>
        <v>твърди вещества, течности, газове</v>
      </c>
      <c r="E4970" s="1" t="str">
        <f ca="1">IFERROR(__xludf.DUMMYFUNCTION("GOOGLETRANSLATE(English!E4970, ""en"", ""bg"")"),"Какво се случва, когато нагрявате твърдо вещество?")</f>
        <v>Какво се случва, когато нагрявате твърдо вещество?</v>
      </c>
      <c r="F4970" s="1" t="str">
        <f ca="1">IFERROR(__xludf.DUMMYFUNCTION("GOOGLETRANSLATE(English!F4970, ""en"", ""bg"")"),"Когато нагрявате твърдо вещество, неговите молекули се движат по-бързо. Ако го нагреете достатъчно, то ще се разтопи и ще се превърне в течност!")</f>
        <v>Когато нагрявате твърдо вещество, неговите молекули се движат по-бързо. Ако го нагреете достатъчно, то ще се разтопи и ще се превърне в течност!</v>
      </c>
      <c r="G4970" s="1" t="str">
        <f ca="1">IFERROR(__xludf.DUMMYFUNCTION("GOOGLETRANSLATE(English!G4970, ""en"", ""bg"")"),"direct_qa")</f>
        <v>direct_qa</v>
      </c>
      <c r="H4970" s="1" t="str">
        <f ca="1">IFERROR(__xludf.DUMMYFUNCTION("GOOGLETRANSLATE(English!H4970, ""en"", ""bg"")"),"заявка_за_знание")</f>
        <v>заявка_за_знание</v>
      </c>
    </row>
    <row r="4971" spans="1:8" ht="13.2" x14ac:dyDescent="0.25">
      <c r="A4971" s="1" t="str">
        <f ca="1">IFERROR(__xludf.DUMMYFUNCTION("GOOGLETRANSLATE(English!A4971, ""en"", ""bg"")"),"hw_06026")</f>
        <v>hw_06026</v>
      </c>
      <c r="B4971" s="1" t="str">
        <f ca="1">IFERROR(__xludf.DUMMYFUNCTION("GOOGLETRANSLATE(English!B4971, ""en"", ""bg"")"),"физика")</f>
        <v>физика</v>
      </c>
      <c r="C4971" s="1" t="str">
        <f ca="1">IFERROR(__xludf.DUMMYFUNCTION("GOOGLETRANSLATE(English!C4971, ""en"", ""bg"")"),"елементарен")</f>
        <v>елементарен</v>
      </c>
      <c r="D4971" s="1" t="str">
        <f ca="1">IFERROR(__xludf.DUMMYFUNCTION("GOOGLETRANSLATE(English!D4971, ""en"", ""bg"")"),"плаващ и потъващ")</f>
        <v>плаващ и потъващ</v>
      </c>
      <c r="E4971" s="1" t="str">
        <f ca="1">IFERROR(__xludf.DUMMYFUNCTION("GOOGLETRANSLATE(English!E4971, ""en"", ""bg"")"),"Трябва да разбера плаването и потъването за изпита си.")</f>
        <v>Трябва да разбера плаването и потъването за изпита си.</v>
      </c>
      <c r="F4971" s="1" t="str">
        <f ca="1">IFERROR(__xludf.DUMMYFUNCTION("GOOGLETRANSLATE(English!F4971, ""en"", ""bg"")"),"Ще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искал"&amp;"и да започнете?")</f>
        <v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v>
      </c>
      <c r="G4971" s="1" t="str">
        <f ca="1">IFERROR(__xludf.DUMMYFUNCTION("GOOGLETRANSLATE(English!G4971, ""en"", ""bg"")"),"помощ_за_домашно_изпълнение")</f>
        <v>помощ_за_домашно_изпълнение</v>
      </c>
      <c r="H4971" s="1" t="str">
        <f ca="1">IFERROR(__xludf.DUMMYFUNCTION("GOOGLETRANSLATE(English!H4971, ""en"", ""bg"")"),"помощ_за_домашно_задаване")</f>
        <v>помощ_за_домашно_задаване</v>
      </c>
    </row>
    <row r="4972" spans="1:8" ht="13.2" x14ac:dyDescent="0.25">
      <c r="A4972" s="1" t="str">
        <f ca="1">IFERROR(__xludf.DUMMYFUNCTION("GOOGLETRANSLATE(English!A4972, ""en"", ""bg"")"),"qa_00370")</f>
        <v>qa_00370</v>
      </c>
      <c r="B4972" s="1" t="str">
        <f ca="1">IFERROR(__xludf.DUMMYFUNCTION("GOOGLETRANSLATE(English!B4972, ""en"", ""bg"")"),"биология")</f>
        <v>биология</v>
      </c>
      <c r="C4972" s="1" t="str">
        <f ca="1">IFERROR(__xludf.DUMMYFUNCTION("GOOGLETRANSLATE(English!C4972, ""en"", ""bg"")"),"високо")</f>
        <v>високо</v>
      </c>
      <c r="D4972" s="1" t="str">
        <f ca="1">IFERROR(__xludf.DUMMYFUNCTION("GOOGLETRANSLATE(English!D4972, ""en"", ""bg"")"),"Структура на ДНК")</f>
        <v>Структура на ДНК</v>
      </c>
      <c r="E4972" s="1" t="str">
        <f ca="1">IFERROR(__xludf.DUMMYFUNCTION("GOOGLETRANSLATE(English!E4972, ""en"", ""bg"")"),"Какво е важно да знаем за структурата на ДНК?")</f>
        <v>Какво е важно да знаем за структурата на ДНК?</v>
      </c>
      <c r="F4972" s="1" t="str">
        <f ca="1">IFERROR(__xludf.DUMMYFUNCTION("GOOGLETRANSLATE(English!F4972, ""en"", ""bg"")"),"Най-важното нещо за структурата на ДНК е как тя се свързва с други части на живота и природата.")</f>
        <v>Най-важното нещо за структурата на ДНК е как тя се свързва с други части на живота и природата.</v>
      </c>
      <c r="G4972" s="1" t="str">
        <f ca="1">IFERROR(__xludf.DUMMYFUNCTION("GOOGLETRANSLATE(English!G4972, ""en"", ""bg"")"),"direct_qa")</f>
        <v>direct_qa</v>
      </c>
      <c r="H4972" s="1" t="str">
        <f ca="1">IFERROR(__xludf.DUMMYFUNCTION("GOOGLETRANSLATE(English!H4972, ""en"", ""bg"")"),"заявка_за_знание")</f>
        <v>заявка_за_знание</v>
      </c>
    </row>
    <row r="4973" spans="1:8" ht="13.2" x14ac:dyDescent="0.25">
      <c r="A4973" s="1" t="str">
        <f ca="1">IFERROR(__xludf.DUMMYFUNCTION("GOOGLETRANSLATE(English!A4973, ""en"", ""bg"")"),"conv_12992")</f>
        <v>conv_12992</v>
      </c>
      <c r="B4973" s="1" t="str">
        <f ca="1">IFERROR(__xludf.DUMMYFUNCTION("GOOGLETRANSLATE(English!B4973, ""en"", ""bg"")"),"биология")</f>
        <v>биология</v>
      </c>
      <c r="C4973" s="1" t="str">
        <f ca="1">IFERROR(__xludf.DUMMYFUNCTION("GOOGLETRANSLATE(English!C4973, ""en"", ""bg"")"),"високо")</f>
        <v>високо</v>
      </c>
      <c r="D4973" s="1" t="str">
        <f ca="1">IFERROR(__xludf.DUMMYFUNCTION("GOOGLETRANSLATE(English!D4973, ""en"", ""bg"")"),"модели на наследяване")</f>
        <v>модели на наследяване</v>
      </c>
      <c r="E4973" s="1" t="str">
        <f ca="1">IFERROR(__xludf.DUMMYFUNCTION("GOOGLETRANSLATE(English!E4973, ""en"", ""bg"")"),"Имам нужда от помощ с домашното. Можете ли да ми разкажете за моделите на наследяване?")</f>
        <v>Имам нужда от помощ с домашното. Можете ли да ми разкажете за моделите на наследяване?</v>
      </c>
      <c r="F4973" s="1" t="str">
        <f ca="1">IFERROR(__xludf.DUMMYFUNCTION("GOOGLETRANSLATE(English!F4973, ""en"", ""bg"")"),"Моделите на наследяване са завладяваща част от биологията! Те ни помагат да разберем как функционират живите същества.")</f>
        <v>Моделите на наследяване са завладяваща част от биологията! Те ни помагат да разберем как функционират живите същества.</v>
      </c>
      <c r="G4973" s="1" t="str">
        <f ca="1">IFERROR(__xludf.DUMMYFUNCTION("GOOGLETRANSLATE(English!G4973, ""en"", ""bg"")"),"разговор")</f>
        <v>разговор</v>
      </c>
      <c r="H4973" s="1" t="str">
        <f ca="1">IFERROR(__xludf.DUMMYFUNCTION("GOOGLETRANSLATE(English!H4973, ""en"", ""bg"")"),"образователна_помощ")</f>
        <v>образователна_помощ</v>
      </c>
    </row>
    <row r="4974" spans="1:8" ht="13.2" x14ac:dyDescent="0.25">
      <c r="A4974" s="1" t="str">
        <f ca="1">IFERROR(__xludf.DUMMYFUNCTION("GOOGLETRANSLATE(English!A4974, ""en"", ""bg"")"),"conv_16047")</f>
        <v>conv_16047</v>
      </c>
      <c r="B4974" s="1" t="str">
        <f ca="1">IFERROR(__xludf.DUMMYFUNCTION("GOOGLETRANSLATE(English!B4974, ""en"", ""bg"")"),"физика")</f>
        <v>физика</v>
      </c>
      <c r="C4974" s="1" t="str">
        <f ca="1">IFERROR(__xludf.DUMMYFUNCTION("GOOGLETRANSLATE(English!C4974, ""en"", ""bg"")"),"елементарен")</f>
        <v>елементарен</v>
      </c>
      <c r="D4974" s="1" t="str">
        <f ca="1">IFERROR(__xludf.DUMMYFUNCTION("GOOGLETRANSLATE(English!D4974, ""en"", ""bg"")"),"звук")</f>
        <v>звук</v>
      </c>
      <c r="E4974" s="1" t="str">
        <f ca="1">IFERROR(__xludf.DUMMYFUNCTION("GOOGLETRANSLATE(English!E4974, ""en"", ""bg"")"),"Можете ли да ми обясните това? Какво трябва да знам за звука?")</f>
        <v>Можете ли да ми обясните това? Какво трябва да знам за звука?</v>
      </c>
      <c r="F4974" s="1" t="str">
        <f ca="1">IFERROR(__xludf.DUMMYFUNCTION("GOOGLETRANSLATE(English!F4974, ""en"", ""bg"")"),"Ключовото нещо за звука е как той следва законите на физиката, които управляват нашата вселена.")</f>
        <v>Ключовото нещо за звука е как той следва законите на физиката, които управляват нашата вселена.</v>
      </c>
      <c r="G4974" s="1" t="str">
        <f ca="1">IFERROR(__xludf.DUMMYFUNCTION("GOOGLETRANSLATE(English!G4974, ""en"", ""bg"")"),"разговор")</f>
        <v>разговор</v>
      </c>
      <c r="H4974" s="1" t="str">
        <f ca="1">IFERROR(__xludf.DUMMYFUNCTION("GOOGLETRANSLATE(English!H4974, ""en"", ""bg"")"),"образователна_помощ")</f>
        <v>образователна_помощ</v>
      </c>
    </row>
    <row r="4975" spans="1:8" ht="13.2" x14ac:dyDescent="0.25">
      <c r="A4975" s="1" t="str">
        <f ca="1">IFERROR(__xludf.DUMMYFUNCTION("GOOGLETRANSLATE(English!A4975, ""en"", ""bg"")"),"qa_01676")</f>
        <v>qa_01676</v>
      </c>
      <c r="B4975" s="1" t="str">
        <f ca="1">IFERROR(__xludf.DUMMYFUNCTION("GOOGLETRANSLATE(English!B4975, ""en"", ""bg"")"),"биология")</f>
        <v>биология</v>
      </c>
      <c r="C4975" s="1" t="str">
        <f ca="1">IFERROR(__xludf.DUMMYFUNCTION("GOOGLETRANSLATE(English!C4975, ""en"", ""bg"")"),"средата")</f>
        <v>средата</v>
      </c>
      <c r="D4975" s="1" t="str">
        <f ca="1">IFERROR(__xludf.DUMMYFUNCTION("GOOGLETRANSLATE(English!D4975, ""en"", ""bg"")"),"клетки")</f>
        <v>клетки</v>
      </c>
      <c r="E4975" s="1" t="str">
        <f ca="1">IFERROR(__xludf.DUMMYFUNCTION("GOOGLETRANSLATE(English!E4975, ""en"", ""bg"")"),"Кои са основните части на клетката?")</f>
        <v>Кои са основните части на клетката?</v>
      </c>
      <c r="F4975" s="1" t="str">
        <f ca="1">IFERROR(__xludf.DUMMYFUNCTION("GOOGLETRANSLATE(English!F4975, ""en"", ""bg"")"),"Клетките имат ядро ​​(контролен център), цитоплазма (желеобразно вещество), клетъчна мембрана (външна граница) и органели.")</f>
        <v>Клетките имат ядро ​​(контролен център), цитоплазма (желеобразно вещество), клетъчна мембрана (външна граница) и органели.</v>
      </c>
      <c r="G4975" s="1" t="str">
        <f ca="1">IFERROR(__xludf.DUMMYFUNCTION("GOOGLETRANSLATE(English!G4975, ""en"", ""bg"")"),"direct_qa")</f>
        <v>direct_qa</v>
      </c>
      <c r="H4975" s="1" t="str">
        <f ca="1">IFERROR(__xludf.DUMMYFUNCTION("GOOGLETRANSLATE(English!H4975, ""en"", ""bg"")"),"заявка_за_знание")</f>
        <v>заявка_за_знание</v>
      </c>
    </row>
    <row r="4976" spans="1:8" ht="13.2" x14ac:dyDescent="0.25">
      <c r="A4976" s="1" t="str">
        <f ca="1">IFERROR(__xludf.DUMMYFUNCTION("GOOGLETRANSLATE(English!A4976, ""en"", ""bg"")"),"conv_04254")</f>
        <v>conv_04254</v>
      </c>
      <c r="B4976" s="1" t="str">
        <f ca="1">IFERROR(__xludf.DUMMYFUNCTION("GOOGLETRANSLATE(English!B4976, ""en"", ""bg"")"),"биология")</f>
        <v>биология</v>
      </c>
      <c r="C4976" s="1" t="str">
        <f ca="1">IFERROR(__xludf.DUMMYFUNCTION("GOOGLETRANSLATE(English!C4976, ""en"", ""bg"")"),"елементарен")</f>
        <v>елементарен</v>
      </c>
      <c r="D4976" s="1" t="str">
        <f ca="1">IFERROR(__xludf.DUMMYFUNCTION("GOOGLETRANSLATE(English!D4976, ""en"", ""bg"")"),"домашни любимци срещу диви животни")</f>
        <v>домашни любимци срещу диви животни</v>
      </c>
      <c r="E4976" s="1" t="str">
        <f ca="1">IFERROR(__xludf.DUMMYFUNCTION("GOOGLETRANSLATE(English!E4976, ""en"", ""bg"")"),"Можете ли да ми помогнете? Какво е важно да знаем за домашните любимци спрямо дивите животни?")</f>
        <v>Можете ли да ми помогнете? Какво е важно да знаем за домашните любимци спрямо дивите животни?</v>
      </c>
      <c r="F4976" s="1" t="str">
        <f ca="1">IFERROR(__xludf.DUMMYFUNCTION("GOOGLETRANSLATE(English!F4976, ""en"", ""bg"")"),"Най-важното нещо за разликата между домашните любимци и дивите животни е как те се свързват с други части от живота и природата.")</f>
        <v>Най-важното нещо за разликата между домашните любимци и дивите животни е как те се свързват с други части от живота и природата.</v>
      </c>
      <c r="G4976" s="1" t="str">
        <f ca="1">IFERROR(__xludf.DUMMYFUNCTION("GOOGLETRANSLATE(English!G4976, ""en"", ""bg"")"),"разговор")</f>
        <v>разговор</v>
      </c>
      <c r="H4976" s="1" t="str">
        <f ca="1">IFERROR(__xludf.DUMMYFUNCTION("GOOGLETRANSLATE(English!H4976, ""en"", ""bg"")"),"образователна_помощ")</f>
        <v>образователна_помощ</v>
      </c>
    </row>
    <row r="4977" spans="1:8" ht="13.2" x14ac:dyDescent="0.25">
      <c r="A4977" s="1" t="str">
        <f ca="1">IFERROR(__xludf.DUMMYFUNCTION("GOOGLETRANSLATE(English!A4977, ""en"", ""bg"")"),"conv_03198")</f>
        <v>conv_03198</v>
      </c>
      <c r="B4977" s="1" t="str">
        <f ca="1">IFERROR(__xludf.DUMMYFUNCTION("GOOGLETRANSLATE(English!B4977, ""en"", ""bg"")"),"физика")</f>
        <v>физика</v>
      </c>
      <c r="C4977" s="1" t="str">
        <f ca="1">IFERROR(__xludf.DUMMYFUNCTION("GOOGLETRANSLATE(English!C4977, ""en"", ""bg"")"),"елементарен")</f>
        <v>елементарен</v>
      </c>
      <c r="D4977" s="1" t="str">
        <f ca="1">IFERROR(__xludf.DUMMYFUNCTION("GOOGLETRANSLATE(English!D4977, ""en"", ""bg"")"),"магнити")</f>
        <v>магнити</v>
      </c>
      <c r="E4977" s="1" t="str">
        <f ca="1">IFERROR(__xludf.DUMMYFUNCTION("GOOGLETRANSLATE(English!E4977, ""en"", ""bg"")"),"Можете ли да ми обясните това? Как работят магнитите?")</f>
        <v>Можете ли да ми обясните това? Как работят магнитите?</v>
      </c>
      <c r="F4977" s="1" t="str">
        <f ca="1">IFERROR(__xludf.DUMMYFUNCTION("GOOGLETRANSLATE(English!F4977, ""en"", ""bg"")"),"Магнитите работят, като създават невидими сили, наречени магнитни полета, които могат да придърпват или избутват други магнитни материали!")</f>
        <v>Магнитите работят, като създават невидими сили, наречени магнитни полета, които могат да придърпват или избутват други магнитни материали!</v>
      </c>
      <c r="G4977" s="1" t="str">
        <f ca="1">IFERROR(__xludf.DUMMYFUNCTION("GOOGLETRANSLATE(English!G4977, ""en"", ""bg"")"),"разговор")</f>
        <v>разговор</v>
      </c>
      <c r="H4977" s="1" t="str">
        <f ca="1">IFERROR(__xludf.DUMMYFUNCTION("GOOGLETRANSLATE(English!H4977, ""en"", ""bg"")"),"образователна_помощ")</f>
        <v>образователна_помощ</v>
      </c>
    </row>
    <row r="4978" spans="1:8" ht="13.2" x14ac:dyDescent="0.25">
      <c r="A4978" s="1" t="str">
        <f ca="1">IFERROR(__xludf.DUMMYFUNCTION("GOOGLETRANSLATE(English!A4978, ""en"", ""bg"")"),"conv_10695")</f>
        <v>conv_10695</v>
      </c>
      <c r="B4978" s="1" t="str">
        <f ca="1">IFERROR(__xludf.DUMMYFUNCTION("GOOGLETRANSLATE(English!B4978, ""en"", ""bg"")"),"химия")</f>
        <v>химия</v>
      </c>
      <c r="C4978" s="1" t="str">
        <f ca="1">IFERROR(__xludf.DUMMYFUNCTION("GOOGLETRANSLATE(English!C4978, ""en"", ""bg"")"),"елементарен")</f>
        <v>елементарен</v>
      </c>
      <c r="D4978" s="1" t="str">
        <f ca="1">IFERROR(__xludf.DUMMYFUNCTION("GOOGLETRANSLATE(English!D4978, ""en"", ""bg"")"),"ежедневни химикали")</f>
        <v>ежедневни химикали</v>
      </c>
      <c r="E4978" s="1" t="str">
        <f ca="1">IFERROR(__xludf.DUMMYFUNCTION("GOOGLETRANSLATE(English!E4978, ""en"", ""bg"")"),"Помогнете ми да уча за теста. Какво представляват ежедневните химикали?")</f>
        <v>Помогнете ми да уча за теста. Какво представляват ежедневните химикали?</v>
      </c>
      <c r="F4978" s="1" t="str">
        <f ca="1">IFERROR(__xludf.DUMMYFUNCTION("GOOGLETRANSLATE(English!F4978, ""en"", ""bg"")"),"Ежедневните химикали са свързани с взаимодействията между различните видове материя и енергия.")</f>
        <v>Ежедневните химикали са свързани с взаимодействията между различните видове материя и енергия.</v>
      </c>
      <c r="G4978" s="1" t="str">
        <f ca="1">IFERROR(__xludf.DUMMYFUNCTION("GOOGLETRANSLATE(English!G4978, ""en"", ""bg"")"),"разговор")</f>
        <v>разговор</v>
      </c>
      <c r="H4978" s="1" t="str">
        <f ca="1">IFERROR(__xludf.DUMMYFUNCTION("GOOGLETRANSLATE(English!H4978, ""en"", ""bg"")"),"образователна_помощ")</f>
        <v>образователна_помощ</v>
      </c>
    </row>
    <row r="4979" spans="1:8" ht="13.2" x14ac:dyDescent="0.25">
      <c r="A4979" s="1" t="str">
        <f ca="1">IFERROR(__xludf.DUMMYFUNCTION("GOOGLETRANSLATE(English!A4979, ""en"", ""bg"")"),"hw_14549")</f>
        <v>hw_14549</v>
      </c>
      <c r="B4979" s="1" t="str">
        <f ca="1">IFERROR(__xludf.DUMMYFUNCTION("GOOGLETRANSLATE(English!B4979, ""en"", ""bg"")"),"биология")</f>
        <v>биология</v>
      </c>
      <c r="C4979" s="1" t="str">
        <f ca="1">IFERROR(__xludf.DUMMYFUNCTION("GOOGLETRANSLATE(English!C4979, ""en"", ""bg"")"),"средата")</f>
        <v>средата</v>
      </c>
      <c r="D4979" s="1" t="str">
        <f ca="1">IFERROR(__xludf.DUMMYFUNCTION("GOOGLETRANSLATE(English!D4979, ""en"", ""bg"")"),"класификация")</f>
        <v>класификация</v>
      </c>
      <c r="E4979" s="1" t="str">
        <f ca="1">IFERROR(__xludf.DUMMYFUNCTION("GOOGLETRANSLATE(English!E4979, ""en"", ""bg"")"),"Утре имам тест по класификация. Помогни ми да уча!")</f>
        <v>Утре имам тест по класификация. Помогни ми да уча!</v>
      </c>
      <c r="F4979" s="1" t="str">
        <f ca="1">IFERROR(__xludf.DUMMYFUNCTION("GOOGLETRANSLATE(English!F4979, ""en"", ""bg"")"),"Ще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започнете"&amp;"?")</f>
        <v>Ще се радвам да ви помогна с класификацията! Нека разделя това на прости стъпки. Първо, нека обясня какво означава класификация и защо е важна в биологията. След това можем да разгледаме заедно някои примери. С коя конкретна част бихте искали да започнете?</v>
      </c>
      <c r="G4979" s="1" t="str">
        <f ca="1">IFERROR(__xludf.DUMMYFUNCTION("GOOGLETRANSLATE(English!G4979, ""en"", ""bg"")"),"помощ_за_домашно_изпълнение")</f>
        <v>помощ_за_домашно_изпълнение</v>
      </c>
      <c r="H4979" s="1" t="str">
        <f ca="1">IFERROR(__xludf.DUMMYFUNCTION("GOOGLETRANSLATE(English!H4979, ""en"", ""bg"")"),"помощ_за_домашно_задаване")</f>
        <v>помощ_за_домашно_задаване</v>
      </c>
    </row>
    <row r="4980" spans="1:8" ht="13.2" x14ac:dyDescent="0.25">
      <c r="A4980" s="1" t="str">
        <f ca="1">IFERROR(__xludf.DUMMYFUNCTION("GOOGLETRANSLATE(English!A4980, ""en"", ""bg"")"),"hw_05200")</f>
        <v>hw_05200</v>
      </c>
      <c r="B4980" s="1" t="str">
        <f ca="1">IFERROR(__xludf.DUMMYFUNCTION("GOOGLETRANSLATE(English!B4980, ""en"", ""bg"")"),"физика")</f>
        <v>физика</v>
      </c>
      <c r="C4980" s="1" t="str">
        <f ca="1">IFERROR(__xludf.DUMMYFUNCTION("GOOGLETRANSLATE(English!C4980, ""en"", ""bg"")"),"високо")</f>
        <v>високо</v>
      </c>
      <c r="D4980" s="1" t="str">
        <f ca="1">IFERROR(__xludf.DUMMYFUNCTION("GOOGLETRANSLATE(English!D4980, ""en"", ""bg"")"),"механика")</f>
        <v>механика</v>
      </c>
      <c r="E4980" s="1" t="str">
        <f ca="1">IFERROR(__xludf.DUMMYFUNCTION("GOOGLETRANSLATE(English!E4980, ""en"", ""bg"")"),"Домашното ми по физика е за механика. Объркващо е!")</f>
        <v>Домашното ми по физика е за механика. Объркващо е!</v>
      </c>
      <c r="F4980" s="1" t="str">
        <f ca="1">IFERROR(__xludf.DUMMYFUNCTION("GOOGLETRANSLATE(English!F4980, ""en"", ""bg"")"),"Ще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започнете?")</f>
        <v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v>
      </c>
      <c r="G4980" s="1" t="str">
        <f ca="1">IFERROR(__xludf.DUMMYFUNCTION("GOOGLETRANSLATE(English!G4980, ""en"", ""bg"")"),"помощ_за_домашно_изпълнение")</f>
        <v>помощ_за_домашно_изпълнение</v>
      </c>
      <c r="H4980" s="1" t="str">
        <f ca="1">IFERROR(__xludf.DUMMYFUNCTION("GOOGLETRANSLATE(English!H4980, ""en"", ""bg"")"),"помощ_за_домашно_задаване")</f>
        <v>помощ_за_домашно_задаване</v>
      </c>
    </row>
    <row r="4981" spans="1:8" ht="13.2" x14ac:dyDescent="0.25">
      <c r="A4981" s="1" t="str">
        <f ca="1">IFERROR(__xludf.DUMMYFUNCTION("GOOGLETRANSLATE(English!A4981, ""en"", ""bg"")"),"hw_13913")</f>
        <v>hw_13913</v>
      </c>
      <c r="B4981" s="1" t="str">
        <f ca="1">IFERROR(__xludf.DUMMYFUNCTION("GOOGLETRANSLATE(English!B4981, ""en"", ""bg"")"),"химия")</f>
        <v>химия</v>
      </c>
      <c r="C4981" s="1" t="str">
        <f ca="1">IFERROR(__xludf.DUMMYFUNCTION("GOOGLETRANSLATE(English!C4981, ""en"", ""bg"")"),"средата")</f>
        <v>средата</v>
      </c>
      <c r="D4981" s="1" t="str">
        <f ca="1">IFERROR(__xludf.DUMMYFUNCTION("GOOGLETRANSLATE(English!D4981, ""en"", ""bg"")"),"основи на периодичната таблица")</f>
        <v>основи на периодичната таблица</v>
      </c>
      <c r="E4981" s="1" t="str">
        <f ca="1">IFERROR(__xludf.DUMMYFUNCTION("GOOGLETRANSLATE(English!E4981, ""en"", ""bg"")"),"Можете ли да ми помогнете с основните изчисления на периодичната таблица?")</f>
        <v>Можете ли да ми помогнете с основните изчисления на периодичната таблица?</v>
      </c>
      <c r="F4981" s="1" t="str">
        <f ca="1">IFERROR(__xludf.DUMMYFUNCTION("GOOGLETRANSLATE(English!F4981, ""en"", ""bg"")"),"Ще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кон"&amp;"кретна част бихте искали да започнете?")</f>
        <v>Ще се радвам да ви помогна с основите на периодичната таблица! Нека разделя това на прости стъпки. Първо, нека обясня какво означават основите на периодичната таблица и защо са важни в химията. След това можем да разгледаме заедно някои примери. С коя конкретна част бихте искали да започнете?</v>
      </c>
      <c r="G4981" s="1" t="str">
        <f ca="1">IFERROR(__xludf.DUMMYFUNCTION("GOOGLETRANSLATE(English!G4981, ""en"", ""bg"")"),"помощ_за_домашно_изпълнение")</f>
        <v>помощ_за_домашно_изпълнение</v>
      </c>
      <c r="H4981" s="1" t="str">
        <f ca="1">IFERROR(__xludf.DUMMYFUNCTION("GOOGLETRANSLATE(English!H4981, ""en"", ""bg"")"),"помощ_за_домашно_задаване")</f>
        <v>помощ_за_домашно_задаване</v>
      </c>
    </row>
    <row r="4982" spans="1:8" ht="13.2" x14ac:dyDescent="0.25">
      <c r="A4982" s="1" t="str">
        <f ca="1">IFERROR(__xludf.DUMMYFUNCTION("GOOGLETRANSLATE(English!A4982, ""en"", ""bg"")"),"qa_12362")</f>
        <v>qa_12362</v>
      </c>
      <c r="B4982" s="1" t="str">
        <f ca="1">IFERROR(__xludf.DUMMYFUNCTION("GOOGLETRANSLATE(English!B4982, ""en"", ""bg"")"),"биология")</f>
        <v>биология</v>
      </c>
      <c r="C4982" s="1" t="str">
        <f ca="1">IFERROR(__xludf.DUMMYFUNCTION("GOOGLETRANSLATE(English!C4982, ""en"", ""bg"")"),"средата")</f>
        <v>средата</v>
      </c>
      <c r="D4982" s="1" t="str">
        <f ca="1">IFERROR(__xludf.DUMMYFUNCTION("GOOGLETRANSLATE(English!D4982, ""en"", ""bg"")"),"класификация")</f>
        <v>класификация</v>
      </c>
      <c r="E4982" s="1" t="str">
        <f ca="1">IFERROR(__xludf.DUMMYFUNCTION("GOOGLETRANSLATE(English!E4982, ""en"", ""bg"")"),"Какво е важно да знаем за класификацията?")</f>
        <v>Какво е важно да знаем за класификацията?</v>
      </c>
      <c r="F4982" s="1" t="str">
        <f ca="1">IFERROR(__xludf.DUMMYFUNCTION("GOOGLETRANSLATE(English!F4982, ""en"", ""bg"")"),"Най-важното нещо за класификацията е как тя се свързва с други части на живота и природата.")</f>
        <v>Най-важното нещо за класификацията е как тя се свързва с други части на живота и природата.</v>
      </c>
      <c r="G4982" s="1" t="str">
        <f ca="1">IFERROR(__xludf.DUMMYFUNCTION("GOOGLETRANSLATE(English!G4982, ""en"", ""bg"")"),"direct_qa")</f>
        <v>direct_qa</v>
      </c>
      <c r="H4982" s="1" t="str">
        <f ca="1">IFERROR(__xludf.DUMMYFUNCTION("GOOGLETRANSLATE(English!H4982, ""en"", ""bg"")"),"заявка_за_знание")</f>
        <v>заявка_за_знание</v>
      </c>
    </row>
    <row r="4983" spans="1:8" ht="13.2" x14ac:dyDescent="0.25">
      <c r="A4983" s="1" t="str">
        <f ca="1">IFERROR(__xludf.DUMMYFUNCTION("GOOGLETRANSLATE(English!A4983, ""en"", ""bg"")"),"qa_06598")</f>
        <v>qa_06598</v>
      </c>
      <c r="B4983" s="1" t="str">
        <f ca="1">IFERROR(__xludf.DUMMYFUNCTION("GOOGLETRANSLATE(English!B4983, ""en"", ""bg"")"),"физика")</f>
        <v>физика</v>
      </c>
      <c r="C4983" s="1" t="str">
        <f ca="1">IFERROR(__xludf.DUMMYFUNCTION("GOOGLETRANSLATE(English!C4983, ""en"", ""bg"")"),"високо")</f>
        <v>високо</v>
      </c>
      <c r="D4983" s="1" t="str">
        <f ca="1">IFERROR(__xludf.DUMMYFUNCTION("GOOGLETRANSLATE(English!D4983, ""en"", ""bg"")"),"атомна структура")</f>
        <v>атомна структура</v>
      </c>
      <c r="E4983" s="1" t="str">
        <f ca="1">IFERROR(__xludf.DUMMYFUNCTION("GOOGLETRANSLATE(English!E4983, ""en"", ""bg"")"),"Какво трябва да знам за атомната структура?")</f>
        <v>Какво трябва да знам за атомната структура?</v>
      </c>
      <c r="F4983" s="1" t="str">
        <f ca="1">IFERROR(__xludf.DUMMYFUNCTION("GOOGLETRANSLATE(English!F4983, ""en"", ""bg"")"),"Ключовото нещо за атомната структура е как тя следва законите на физиката, които управляват нашата вселена.")</f>
        <v>Ключовото нещо за атомната структура е как тя следва законите на физиката, които управляват нашата вселена.</v>
      </c>
      <c r="G4983" s="1" t="str">
        <f ca="1">IFERROR(__xludf.DUMMYFUNCTION("GOOGLETRANSLATE(English!G4983, ""en"", ""bg"")"),"direct_qa")</f>
        <v>direct_qa</v>
      </c>
      <c r="H4983" s="1" t="str">
        <f ca="1">IFERROR(__xludf.DUMMYFUNCTION("GOOGLETRANSLATE(English!H4983, ""en"", ""bg"")"),"заявка_за_знание")</f>
        <v>заявка_за_знание</v>
      </c>
    </row>
    <row r="4984" spans="1:8" ht="13.2" x14ac:dyDescent="0.25">
      <c r="A4984" s="1" t="str">
        <f ca="1">IFERROR(__xludf.DUMMYFUNCTION("GOOGLETRANSLATE(English!A4984, ""en"", ""bg"")"),"conv_08031")</f>
        <v>conv_08031</v>
      </c>
      <c r="B4984" s="1" t="str">
        <f ca="1">IFERROR(__xludf.DUMMYFUNCTION("GOOGLETRANSLATE(English!B4984, ""en"", ""bg"")"),"физика")</f>
        <v>физика</v>
      </c>
      <c r="C4984" s="1" t="str">
        <f ca="1">IFERROR(__xludf.DUMMYFUNCTION("GOOGLETRANSLATE(English!C4984, ""en"", ""bg"")"),"елементарен")</f>
        <v>елементарен</v>
      </c>
      <c r="D4984" s="1" t="str">
        <f ca="1">IFERROR(__xludf.DUMMYFUNCTION("GOOGLETRANSLATE(English!D4984, ""en"", ""bg"")"),"горещо и студено")</f>
        <v>горещо и студено</v>
      </c>
      <c r="E4984" s="1" t="str">
        <f ca="1">IFERROR(__xludf.DUMMYFUNCTION("GOOGLETRANSLATE(English!E4984, ""en"", ""bg"")"),"Имам нужда от помощ с домашното. Защо топлото и студеното са важни?")</f>
        <v>Имам нужда от помощ с домашното. Защо топлото и студеното са важни?</v>
      </c>
      <c r="F4984" s="1" t="str">
        <f ca="1">IFERROR(__xludf.DUMMYFUNCTION("GOOGLETRANSLATE(English!F4984, ""en"", ""bg"")"),"Топлината и студът са важни, защото ни помагат да разберем физическия свят около нас.")</f>
        <v>Топлината и студът са важни, защото ни помагат да разберем физическия свят около нас.</v>
      </c>
      <c r="G4984" s="1" t="str">
        <f ca="1">IFERROR(__xludf.DUMMYFUNCTION("GOOGLETRANSLATE(English!G4984, ""en"", ""bg"")"),"разговор")</f>
        <v>разговор</v>
      </c>
      <c r="H4984" s="1" t="str">
        <f ca="1">IFERROR(__xludf.DUMMYFUNCTION("GOOGLETRANSLATE(English!H4984, ""en"", ""bg"")"),"образователна_помощ")</f>
        <v>образователна_помощ</v>
      </c>
    </row>
    <row r="4985" spans="1:8" ht="13.2" x14ac:dyDescent="0.25">
      <c r="A4985" s="1" t="str">
        <f ca="1">IFERROR(__xludf.DUMMYFUNCTION("GOOGLETRANSLATE(English!A4985, ""en"", ""bg"")"),"qa_05231")</f>
        <v>qa_05231</v>
      </c>
      <c r="B4985" s="1" t="str">
        <f ca="1">IFERROR(__xludf.DUMMYFUNCTION("GOOGLETRANSLATE(English!B4985, ""en"", ""bg"")"),"химия")</f>
        <v>химия</v>
      </c>
      <c r="C4985" s="1" t="str">
        <f ca="1">IFERROR(__xludf.DUMMYFUNCTION("GOOGLETRANSLATE(English!C4985, ""en"", ""bg"")"),"средата")</f>
        <v>средата</v>
      </c>
      <c r="D4985" s="1" t="str">
        <f ca="1">IFERROR(__xludf.DUMMYFUNCTION("GOOGLETRANSLATE(English!D4985, ""en"", ""bg"")"),"атоми и молекули")</f>
        <v>атоми и молекули</v>
      </c>
      <c r="E4985" s="1" t="str">
        <f ca="1">IFERROR(__xludf.DUMMYFUNCTION("GOOGLETRANSLATE(English!E4985, ""en"", ""bg"")"),"По какво се различават атомите и молекулите?")</f>
        <v>По какво се различават атомите и молекулите?</v>
      </c>
      <c r="F4985" s="1" t="str">
        <f ca="1">IFERROR(__xludf.DUMMYFUNCTION("GOOGLETRANSLATE(English!F4985, ""en"", ""bg"")"),"Атомите са единични единици, докато молекулите са изградени от два или повече атома, свързани помежду си.")</f>
        <v>Атомите са единични единици, докато молекулите са изградени от два или повече атома, свързани помежду си.</v>
      </c>
      <c r="G4985" s="1" t="str">
        <f ca="1">IFERROR(__xludf.DUMMYFUNCTION("GOOGLETRANSLATE(English!G4985, ""en"", ""bg"")"),"direct_qa")</f>
        <v>direct_qa</v>
      </c>
      <c r="H4985" s="1" t="str">
        <f ca="1">IFERROR(__xludf.DUMMYFUNCTION("GOOGLETRANSLATE(English!H4985, ""en"", ""bg"")"),"заявка_за_знание")</f>
        <v>заявка_за_знание</v>
      </c>
    </row>
    <row r="4986" spans="1:8" ht="13.2" x14ac:dyDescent="0.25">
      <c r="A4986" s="1" t="str">
        <f ca="1">IFERROR(__xludf.DUMMYFUNCTION("GOOGLETRANSLATE(English!A4986, ""en"", ""bg"")"),"hw_00499")</f>
        <v>hw_00499</v>
      </c>
      <c r="B4986" s="1" t="str">
        <f ca="1">IFERROR(__xludf.DUMMYFUNCTION("GOOGLETRANSLATE(English!B4986, ""en"", ""bg"")"),"биология")</f>
        <v>биология</v>
      </c>
      <c r="C4986" s="1" t="str">
        <f ca="1">IFERROR(__xludf.DUMMYFUNCTION("GOOGLETRANSLATE(English!C4986, ""en"", ""bg"")"),"високо")</f>
        <v>високо</v>
      </c>
      <c r="D4986" s="1" t="str">
        <f ca="1">IFERROR(__xludf.DUMMYFUNCTION("GOOGLETRANSLATE(English!D4986, ""en"", ""bg"")"),"клетъчно дишане")</f>
        <v>клетъчно дишане</v>
      </c>
      <c r="E4986" s="1" t="str">
        <f ca="1">IFERROR(__xludf.DUMMYFUNCTION("GOOGLETRANSLATE(English!E4986, ""en"", ""bg"")"),"Домашното ми пита за клетъчното дишане. Не го разбирам.")</f>
        <v>Домашното ми пита за клетъчното дишане. Не го разбирам.</v>
      </c>
      <c r="F4986" s="1" t="str">
        <f ca="1">IFERROR(__xludf.DUMMYFUNCTION("GOOGLETRANSLATE(English!F4986, ""en"", ""bg"")"),"Ще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започ"&amp;"нете?")</f>
        <v>Ще се радвам да ви помогна с клетъчното дишане! Нека го разделя на прости стъпки. Първо, нека обясня какво означава клетъчно дишане и защо е важно в биологията. След това можем да разгледаме заедно някои примери. С коя конкретна част бихте искали да започнете?</v>
      </c>
      <c r="G4986" s="1" t="str">
        <f ca="1">IFERROR(__xludf.DUMMYFUNCTION("GOOGLETRANSLATE(English!G4986, ""en"", ""bg"")"),"помощ_за_домашно_изпълнение")</f>
        <v>помощ_за_домашно_изпълнение</v>
      </c>
      <c r="H4986" s="1" t="str">
        <f ca="1">IFERROR(__xludf.DUMMYFUNCTION("GOOGLETRANSLATE(English!H4986, ""en"", ""bg"")"),"помощ_за_домашно_задаване")</f>
        <v>помощ_за_домашно_задаване</v>
      </c>
    </row>
    <row r="4987" spans="1:8" ht="13.2" x14ac:dyDescent="0.25">
      <c r="A4987" s="1" t="str">
        <f ca="1">IFERROR(__xludf.DUMMYFUNCTION("GOOGLETRANSLATE(English!A4987, ""en"", ""bg"")"),"qa_10057")</f>
        <v>qa_10057</v>
      </c>
      <c r="B4987" s="1" t="str">
        <f ca="1">IFERROR(__xludf.DUMMYFUNCTION("GOOGLETRANSLATE(English!B4987, ""en"", ""bg"")"),"химия")</f>
        <v>химия</v>
      </c>
      <c r="C4987" s="1" t="str">
        <f ca="1">IFERROR(__xludf.DUMMYFUNCTION("GOOGLETRANSLATE(English!C4987, ""en"", ""bg"")"),"елементарен")</f>
        <v>елементарен</v>
      </c>
      <c r="D4987" s="1" t="str">
        <f ca="1">IFERROR(__xludf.DUMMYFUNCTION("GOOGLETRANSLATE(English!D4987, ""en"", ""bg"")"),"разтваряне")</f>
        <v>разтваряне</v>
      </c>
      <c r="E4987" s="1" t="str">
        <f ca="1">IFERROR(__xludf.DUMMYFUNCTION("GOOGLETRANSLATE(English!E4987, ""en"", ""bg"")"),"Защо е важно да се научим да разтваряме?")</f>
        <v>Защо е важно да се научим да разтваряме?</v>
      </c>
      <c r="F4987" s="1" t="str">
        <f ca="1">IFERROR(__xludf.DUMMYFUNCTION("GOOGLETRANSLATE(English!F4987, ""en"", ""bg"")"),"Изучаването на разтварянето ни помага да разберем света около нас и как протичат химичните процеси в природата и технологиите.")</f>
        <v>Изучаването на разтварянето ни помага да разберем света около нас и как протичат химичните процеси в природата и технологиите.</v>
      </c>
      <c r="G4987" s="1" t="str">
        <f ca="1">IFERROR(__xludf.DUMMYFUNCTION("GOOGLETRANSLATE(English!G4987, ""en"", ""bg"")"),"direct_qa")</f>
        <v>direct_qa</v>
      </c>
      <c r="H4987" s="1" t="str">
        <f ca="1">IFERROR(__xludf.DUMMYFUNCTION("GOOGLETRANSLATE(English!H4987, ""en"", ""bg"")"),"заявка_за_знание")</f>
        <v>заявка_за_знание</v>
      </c>
    </row>
    <row r="4988" spans="1:8" ht="13.2" x14ac:dyDescent="0.25">
      <c r="A4988" s="1" t="str">
        <f ca="1">IFERROR(__xludf.DUMMYFUNCTION("GOOGLETRANSLATE(English!A4988, ""en"", ""bg"")"),"conv_14875")</f>
        <v>conv_14875</v>
      </c>
      <c r="B4988" s="1" t="str">
        <f ca="1">IFERROR(__xludf.DUMMYFUNCTION("GOOGLETRANSLATE(English!B4988, ""en"", ""bg"")"),"химия")</f>
        <v>химия</v>
      </c>
      <c r="C4988" s="1" t="str">
        <f ca="1">IFERROR(__xludf.DUMMYFUNCTION("GOOGLETRANSLATE(English!C4988, ""en"", ""bg"")"),"елементарен")</f>
        <v>елементарен</v>
      </c>
      <c r="D4988" s="1" t="str">
        <f ca="1">IFERROR(__xludf.DUMMYFUNCTION("GOOGLETRANSLATE(English!D4988, ""en"", ""bg"")"),"твърди вещества, течности, газове")</f>
        <v>твърди вещества, течности, газове</v>
      </c>
      <c r="E4988" s="1" t="str">
        <f ca="1">IFERROR(__xludf.DUMMYFUNCTION("GOOGLETRANSLATE(English!E4988, ""en"", ""bg"")"),"Не разбирам тази тема. Може ли газът да се превърне обратно в течност?")</f>
        <v>Не разбирам тази тема. Може ли газът да се превърне обратно в течност?</v>
      </c>
      <c r="F4988" s="1" t="str">
        <f ca="1">IFERROR(__xludf.DUMMYFUNCTION("GOOGLETRANSLATE(English!F4988, ""en"", ""bg"")"),"Да! Можете да превърнете газ обратно в течност, като го охладите. Този процес се нарича кондензация.")</f>
        <v>Да! Можете да превърнете газ обратно в течност, като го охладите. Този процес се нарича кондензация.</v>
      </c>
      <c r="G4988" s="1" t="str">
        <f ca="1">IFERROR(__xludf.DUMMYFUNCTION("GOOGLETRANSLATE(English!G4988, ""en"", ""bg"")"),"разговор")</f>
        <v>разговор</v>
      </c>
      <c r="H4988" s="1" t="str">
        <f ca="1">IFERROR(__xludf.DUMMYFUNCTION("GOOGLETRANSLATE(English!H4988, ""en"", ""bg"")"),"образователна_помощ")</f>
        <v>образователна_помощ</v>
      </c>
    </row>
    <row r="4989" spans="1:8" ht="13.2" x14ac:dyDescent="0.25">
      <c r="A4989" s="1" t="str">
        <f ca="1">IFERROR(__xludf.DUMMYFUNCTION("GOOGLETRANSLATE(English!A4989, ""en"", ""bg"")"),"conv_18982")</f>
        <v>conv_18982</v>
      </c>
      <c r="B4989" s="1" t="str">
        <f ca="1">IFERROR(__xludf.DUMMYFUNCTION("GOOGLETRANSLATE(English!B4989, ""en"", ""bg"")"),"физика")</f>
        <v>физика</v>
      </c>
      <c r="C4989" s="1" t="str">
        <f ca="1">IFERROR(__xludf.DUMMYFUNCTION("GOOGLETRANSLATE(English!C4989, ""en"", ""bg"")"),"елементарен")</f>
        <v>елементарен</v>
      </c>
      <c r="D4989" s="1" t="str">
        <f ca="1">IFERROR(__xludf.DUMMYFUNCTION("GOOGLETRANSLATE(English!D4989, ""en"", ""bg"")"),"плаващ и потъващ")</f>
        <v>плаващ и потъващ</v>
      </c>
      <c r="E4989" s="1" t="str">
        <f ca="1">IFERROR(__xludf.DUMMYFUNCTION("GOOGLETRANSLATE(English!E4989, ""en"", ""bg"")"),"Имам нужда от помощ с домашното. Можете ли да ми обясните какво е плаване и потъване?")</f>
        <v>Имам нужда от помощ с домашното. Можете ли да ми обясните какво е плаване и потъване?</v>
      </c>
      <c r="F4989" s="1" t="str">
        <f ca="1">IFERROR(__xludf.DUMMYFUNCTION("GOOGLETRANSLATE(English!F4989, ""en"", ""bg"")"),"Плаването и потъването е интересна физическа концепция, която ни помага да разберем как работят нещата в нашия свят!")</f>
        <v>Плаването и потъването е интересна физическа концепция, която ни помага да разберем как работят нещата в нашия свят!</v>
      </c>
      <c r="G4989" s="1" t="str">
        <f ca="1">IFERROR(__xludf.DUMMYFUNCTION("GOOGLETRANSLATE(English!G4989, ""en"", ""bg"")"),"разговор")</f>
        <v>разговор</v>
      </c>
      <c r="H4989" s="1" t="str">
        <f ca="1">IFERROR(__xludf.DUMMYFUNCTION("GOOGLETRANSLATE(English!H4989, ""en"", ""bg"")"),"образователна_помощ")</f>
        <v>образователна_помощ</v>
      </c>
    </row>
    <row r="4990" spans="1:8" ht="13.2" x14ac:dyDescent="0.25">
      <c r="A4990" s="1" t="str">
        <f ca="1">IFERROR(__xludf.DUMMYFUNCTION("GOOGLETRANSLATE(English!A4990, ""en"", ""bg"")"),"hw_06986")</f>
        <v>hw_06986</v>
      </c>
      <c r="B4990" s="1" t="str">
        <f ca="1">IFERROR(__xludf.DUMMYFUNCTION("GOOGLETRANSLATE(English!B4990, ""en"", ""bg"")"),"биология")</f>
        <v>биология</v>
      </c>
      <c r="C4990" s="1" t="str">
        <f ca="1">IFERROR(__xludf.DUMMYFUNCTION("GOOGLETRANSLATE(English!C4990, ""en"", ""bg"")"),"елементарен")</f>
        <v>елементарен</v>
      </c>
      <c r="D4990" s="1" t="str">
        <f ca="1">IFERROR(__xludf.DUMMYFUNCTION("GOOGLETRANSLATE(English!D4990, ""en"", ""bg"")"),"растения")</f>
        <v>растения</v>
      </c>
      <c r="E4990" s="1" t="str">
        <f ca="1">IFERROR(__xludf.DUMMYFUNCTION("GOOGLETRANSLATE(English!E4990, ""en"", ""bg"")"),"Трябва да напиша доклад за растенията. Можете ли да ми помогнете да започна?")</f>
        <v>Трябва да напиша доклад за растенията. Можете ли да ми помогнете да започна?</v>
      </c>
      <c r="F4990" s="1" t="str">
        <f ca="1">IFERROR(__xludf.DUMMYFUNCTION("GOOGLETRANSLATE(English!F4990, ""en"", ""bg"")"),"Ще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започнете?")</f>
        <v>Ще се радвам да ви помогна с растенията! Нека разделя това на прости стъпки. Първо, нека обясня какво означава „растения“ и защо е важно в биологията. След това можем да разгледаме заедно някои примери. С коя конкретна част бихте искали да започнете?</v>
      </c>
      <c r="G4990" s="1" t="str">
        <f ca="1">IFERROR(__xludf.DUMMYFUNCTION("GOOGLETRANSLATE(English!G4990, ""en"", ""bg"")"),"помощ_за_домашно_изпълнение")</f>
        <v>помощ_за_домашно_изпълнение</v>
      </c>
      <c r="H4990" s="1" t="str">
        <f ca="1">IFERROR(__xludf.DUMMYFUNCTION("GOOGLETRANSLATE(English!H4990, ""en"", ""bg"")"),"помощ_за_домашно_задаване")</f>
        <v>помощ_за_домашно_задаване</v>
      </c>
    </row>
    <row r="4991" spans="1:8" ht="13.2" x14ac:dyDescent="0.25">
      <c r="A4991" s="1" t="str">
        <f ca="1">IFERROR(__xludf.DUMMYFUNCTION("GOOGLETRANSLATE(English!A4991, ""en"", ""bg"")"),"hw_03454")</f>
        <v>hw_03454</v>
      </c>
      <c r="B4991" s="1" t="str">
        <f ca="1">IFERROR(__xludf.DUMMYFUNCTION("GOOGLETRANSLATE(English!B4991, ""en"", ""bg"")"),"физика")</f>
        <v>физика</v>
      </c>
      <c r="C4991" s="1" t="str">
        <f ca="1">IFERROR(__xludf.DUMMYFUNCTION("GOOGLETRANSLATE(English!C4991, ""en"", ""bg"")"),"средата")</f>
        <v>средата</v>
      </c>
      <c r="D4991" s="1" t="str">
        <f ca="1">IFERROR(__xludf.DUMMYFUNCTION("GOOGLETRANSLATE(English!D4991, ""en"", ""bg"")"),"видове енергия")</f>
        <v>видове енергия</v>
      </c>
      <c r="E4991" s="1" t="str">
        <f ca="1">IFERROR(__xludf.DUMMYFUNCTION("GOOGLETRANSLATE(English!E4991, ""en"", ""bg"")"),"Можете ли да решите този въпрос за видовете енергия с мен?")</f>
        <v>Можете ли да решите този въпрос за видовете енергия с мен?</v>
      </c>
      <c r="F4991" s="1" t="str">
        <f ca="1">IFERROR(__xludf.DUMMYFUNCTION("GOOGLETRANSLATE(English!F4991, ""en"", ""bg"")"),"Ще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 видовете енергия! Нека разделя това на прости стъпки. Първо, нека обясня какво означават видовете енергия и защо са важни във физиката. След това можем да разгледаме заедно някои примери. С коя конкретна част бихте искали да започнете?</v>
      </c>
      <c r="G4991" s="1" t="str">
        <f ca="1">IFERROR(__xludf.DUMMYFUNCTION("GOOGLETRANSLATE(English!G4991, ""en"", ""bg"")"),"помощ_за_домашно_изпълнение")</f>
        <v>помощ_за_домашно_изпълнение</v>
      </c>
      <c r="H4991" s="1" t="str">
        <f ca="1">IFERROR(__xludf.DUMMYFUNCTION("GOOGLETRANSLATE(English!H4991, ""en"", ""bg"")"),"помощ_за_домашно_задаване")</f>
        <v>помощ_за_домашно_задаване</v>
      </c>
    </row>
    <row r="4992" spans="1:8" ht="13.2" x14ac:dyDescent="0.25">
      <c r="A4992" s="1" t="str">
        <f ca="1">IFERROR(__xludf.DUMMYFUNCTION("GOOGLETRANSLATE(English!A4992, ""en"", ""bg"")"),"hw_01274")</f>
        <v>hw_01274</v>
      </c>
      <c r="B4992" s="1" t="str">
        <f ca="1">IFERROR(__xludf.DUMMYFUNCTION("GOOGLETRANSLATE(English!B4992, ""en"", ""bg"")"),"химия")</f>
        <v>химия</v>
      </c>
      <c r="C4992" s="1" t="str">
        <f ca="1">IFERROR(__xludf.DUMMYFUNCTION("GOOGLETRANSLATE(English!C4992, ""en"", ""bg"")"),"високо")</f>
        <v>високо</v>
      </c>
      <c r="D4992" s="1" t="str">
        <f ca="1">IFERROR(__xludf.DUMMYFUNCTION("GOOGLETRANSLATE(English!D4992, ""en"", ""bg"")"),"органична химия")</f>
        <v>органична химия</v>
      </c>
      <c r="E4992" s="1" t="str">
        <f ca="1">IFERROR(__xludf.DUMMYFUNCTION("GOOGLETRANSLATE(English!E4992, ""en"", ""bg"")"),"Имам затруднения с органичната химия в домашното си.")</f>
        <v>Имам затруднения с органичната химия в домашното си.</v>
      </c>
      <c r="F4992" s="1" t="str">
        <f ca="1">IFERROR(__xludf.DUMMYFUNCTION("GOOGLETRANSLATE(English!F4992, ""en"", ""bg"")"),"Ще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зап"&amp;"очнете?")</f>
        <v>Ще се радвам да ви помогна с органичната химия! Нека това се раздели на прости стъпки. Първо, нека обясня какво означава органична химия и защо е важна в химията. След това можем да разгледаме заедно някои примери. С коя конкретна част бихте искали да започнете?</v>
      </c>
      <c r="G4992" s="1" t="str">
        <f ca="1">IFERROR(__xludf.DUMMYFUNCTION("GOOGLETRANSLATE(English!G4992, ""en"", ""bg"")"),"помощ_за_домашно_изпълнение")</f>
        <v>помощ_за_домашно_изпълнение</v>
      </c>
      <c r="H4992" s="1" t="str">
        <f ca="1">IFERROR(__xludf.DUMMYFUNCTION("GOOGLETRANSLATE(English!H4992, ""en"", ""bg"")"),"помощ_за_домашно_задаване")</f>
        <v>помощ_за_домашно_задаване</v>
      </c>
    </row>
    <row r="4993" spans="1:8" ht="13.2" x14ac:dyDescent="0.25">
      <c r="A4993" s="1" t="str">
        <f ca="1">IFERROR(__xludf.DUMMYFUNCTION("GOOGLETRANSLATE(English!A4993, ""en"", ""bg"")"),"conv_14391")</f>
        <v>conv_14391</v>
      </c>
      <c r="B4993" s="1" t="str">
        <f ca="1">IFERROR(__xludf.DUMMYFUNCTION("GOOGLETRANSLATE(English!B4993, ""en"", ""bg"")"),"физика")</f>
        <v>физика</v>
      </c>
      <c r="C4993" s="1" t="str">
        <f ca="1">IFERROR(__xludf.DUMMYFUNCTION("GOOGLETRANSLATE(English!C4993, ""en"", ""bg"")"),"средата")</f>
        <v>средата</v>
      </c>
      <c r="D4993" s="1" t="str">
        <f ca="1">IFERROR(__xludf.DUMMYFUNCTION("GOOGLETRANSLATE(English!D4993, ""en"", ""bg"")"),"сили и движение")</f>
        <v>сили и движение</v>
      </c>
      <c r="E4993" s="1" t="str">
        <f ca="1">IFERROR(__xludf.DUMMYFUNCTION("GOOGLETRANSLATE(English!E4993, ""en"", ""bg"")"),"Можете ли да ми помогнете? Какво е ускорение?")</f>
        <v>Можете ли да ми помогнете? Какво е ускорение?</v>
      </c>
      <c r="F4993" s="1" t="str">
        <f ca="1">IFERROR(__xludf.DUMMYFUNCTION("GOOGLETRANSLATE(English!F4993, ""en"", ""bg"")"),"Ускорението е скоростта, с която даден обект променя скоростта или посоката си на движение.")</f>
        <v>Ускорението е скоростта, с която даден обект променя скоростта или посоката си на движение.</v>
      </c>
      <c r="G4993" s="1" t="str">
        <f ca="1">IFERROR(__xludf.DUMMYFUNCTION("GOOGLETRANSLATE(English!G4993, ""en"", ""bg"")"),"разговор")</f>
        <v>разговор</v>
      </c>
      <c r="H4993" s="1" t="str">
        <f ca="1">IFERROR(__xludf.DUMMYFUNCTION("GOOGLETRANSLATE(English!H4993, ""en"", ""bg"")"),"образователна_помощ")</f>
        <v>образователна_помощ</v>
      </c>
    </row>
    <row r="4994" spans="1:8" ht="13.2" x14ac:dyDescent="0.25">
      <c r="A4994" s="1" t="str">
        <f ca="1">IFERROR(__xludf.DUMMYFUNCTION("GOOGLETRANSLATE(English!A4994, ""en"", ""bg"")"),"qa_13671")</f>
        <v>qa_13671</v>
      </c>
      <c r="B4994" s="1" t="str">
        <f ca="1">IFERROR(__xludf.DUMMYFUNCTION("GOOGLETRANSLATE(English!B4994, ""en"", ""bg"")"),"химия")</f>
        <v>химия</v>
      </c>
      <c r="C4994" s="1" t="str">
        <f ca="1">IFERROR(__xludf.DUMMYFUNCTION("GOOGLETRANSLATE(English!C4994, ""en"", ""bg"")"),"средата")</f>
        <v>средата</v>
      </c>
      <c r="D4994" s="1" t="str">
        <f ca="1">IFERROR(__xludf.DUMMYFUNCTION("GOOGLETRANSLATE(English!D4994, ""en"", ""bg"")"),"атоми и молекули")</f>
        <v>атоми и молекули</v>
      </c>
      <c r="E4994" s="1" t="str">
        <f ca="1">IFERROR(__xludf.DUMMYFUNCTION("GOOGLETRANSLATE(English!E4994, ""en"", ""bg"")"),"Коя е най-малката част от един елемент?")</f>
        <v>Коя е най-малката част от един елемент?</v>
      </c>
      <c r="F4994" s="1" t="str">
        <f ca="1">IFERROR(__xludf.DUMMYFUNCTION("GOOGLETRANSLATE(English!F4994, ""en"", ""bg"")"),"Най-малката част от един елемент е атомът - той е основният градивен елемент, който не може да бъде разграден допълнително чрез химични средства.")</f>
        <v>Най-малката част от един елемент е атомът - той е основният градивен елемент, който не може да бъде разграден допълнително чрез химични средства.</v>
      </c>
      <c r="G4994" s="1" t="str">
        <f ca="1">IFERROR(__xludf.DUMMYFUNCTION("GOOGLETRANSLATE(English!G4994, ""en"", ""bg"")"),"direct_qa")</f>
        <v>direct_qa</v>
      </c>
      <c r="H4994" s="1" t="str">
        <f ca="1">IFERROR(__xludf.DUMMYFUNCTION("GOOGLETRANSLATE(English!H4994, ""en"", ""bg"")"),"заявка_за_знание")</f>
        <v>заявка_за_знание</v>
      </c>
    </row>
    <row r="4995" spans="1:8" ht="13.2" x14ac:dyDescent="0.25">
      <c r="A4995" s="1" t="str">
        <f ca="1">IFERROR(__xludf.DUMMYFUNCTION("GOOGLETRANSLATE(English!A4995, ""en"", ""bg"")"),"hw_09521")</f>
        <v>hw_09521</v>
      </c>
      <c r="B4995" s="1" t="str">
        <f ca="1">IFERROR(__xludf.DUMMYFUNCTION("GOOGLETRANSLATE(English!B4995, ""en"", ""bg"")"),"физика")</f>
        <v>физика</v>
      </c>
      <c r="C4995" s="1" t="str">
        <f ca="1">IFERROR(__xludf.DUMMYFUNCTION("GOOGLETRANSLATE(English!C4995, ""en"", ""bg"")"),"средата")</f>
        <v>средата</v>
      </c>
      <c r="D4995" s="1" t="str">
        <f ca="1">IFERROR(__xludf.DUMMYFUNCTION("GOOGLETRANSLATE(English!D4995, ""en"", ""bg"")"),"сили и движение")</f>
        <v>сили и движение</v>
      </c>
      <c r="E4995" s="1" t="str">
        <f ca="1">IFERROR(__xludf.DUMMYFUNCTION("GOOGLETRANSLATE(English!E4995, ""en"", ""bg"")"),"Домашното ми по физика е за сили и движение. Объркващо е!")</f>
        <v>Домашното ми по физика е за сили и движение. Объркващо е!</v>
      </c>
      <c r="F4995" s="1" t="str">
        <f ca="1">IFERROR(__xludf.DUMMYFUNCTION("GOOGLETRANSLATE(English!F4995, ""en"", ""bg"")"),"Ще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з"&amp;"апочнете?")</f>
        <v>Ще се радвам да ви помогна със сили и движение! Нека разделя това на прости стъпки. Първо, нека обясня какво означават сили и движение и защо са важни във физиката. След това можем да разгледаме заедно някои примери. С коя конкретна част бихте искали да започнете?</v>
      </c>
      <c r="G4995" s="1" t="str">
        <f ca="1">IFERROR(__xludf.DUMMYFUNCTION("GOOGLETRANSLATE(English!G4995, ""en"", ""bg"")"),"помощ_за_домашно_изпълнение")</f>
        <v>помощ_за_домашно_изпълнение</v>
      </c>
      <c r="H4995" s="1" t="str">
        <f ca="1">IFERROR(__xludf.DUMMYFUNCTION("GOOGLETRANSLATE(English!H4995, ""en"", ""bg"")"),"помощ_за_домашно_задаване")</f>
        <v>помощ_за_домашно_задаване</v>
      </c>
    </row>
    <row r="4996" spans="1:8" ht="13.2" x14ac:dyDescent="0.25">
      <c r="A4996" s="1" t="str">
        <f ca="1">IFERROR(__xludf.DUMMYFUNCTION("GOOGLETRANSLATE(English!A4996, ""en"", ""bg"")"),"qa_04126")</f>
        <v>qa_04126</v>
      </c>
      <c r="B4996" s="1" t="str">
        <f ca="1">IFERROR(__xludf.DUMMYFUNCTION("GOOGLETRANSLATE(English!B4996, ""en"", ""bg"")"),"биология")</f>
        <v>биология</v>
      </c>
      <c r="C4996" s="1" t="str">
        <f ca="1">IFERROR(__xludf.DUMMYFUNCTION("GOOGLETRANSLATE(English!C4996, ""en"", ""bg"")"),"високо")</f>
        <v>високо</v>
      </c>
      <c r="D4996" s="1" t="str">
        <f ca="1">IFERROR(__xludf.DUMMYFUNCTION("GOOGLETRANSLATE(English!D4996, ""en"", ""bg"")"),"молекулярна биология")</f>
        <v>молекулярна биология</v>
      </c>
      <c r="E4996" s="1" t="str">
        <f ca="1">IFERROR(__xludf.DUMMYFUNCTION("GOOGLETRANSLATE(English!E4996, ""en"", ""bg"")"),"Защо молекулярната биология е важна в биологията?")</f>
        <v>Защо молекулярната биология е важна в биологията?</v>
      </c>
      <c r="F4996" s="1" t="str">
        <f ca="1">IFERROR(__xludf.DUMMYFUNCTION("GOOGLETRANSLATE(English!F4996, ""en"", ""bg"")"),"Молекулярната биология е важна, защото ни помага да разберем живота и как живите същества оцеляват.")</f>
        <v>Молекулярната биология е важна, защото ни помага да разберем живота и как живите същества оцеляват.</v>
      </c>
      <c r="G4996" s="1" t="str">
        <f ca="1">IFERROR(__xludf.DUMMYFUNCTION("GOOGLETRANSLATE(English!G4996, ""en"", ""bg"")"),"direct_qa")</f>
        <v>direct_qa</v>
      </c>
      <c r="H4996" s="1" t="str">
        <f ca="1">IFERROR(__xludf.DUMMYFUNCTION("GOOGLETRANSLATE(English!H4996, ""en"", ""bg"")"),"заявка_за_знание")</f>
        <v>заявка_за_знание</v>
      </c>
    </row>
    <row r="4997" spans="1:8" ht="13.2" x14ac:dyDescent="0.25">
      <c r="A4997" s="1" t="str">
        <f ca="1">IFERROR(__xludf.DUMMYFUNCTION("GOOGLETRANSLATE(English!A4997, ""en"", ""bg"")"),"qa_09420")</f>
        <v>qa_09420</v>
      </c>
      <c r="B4997" s="1" t="str">
        <f ca="1">IFERROR(__xludf.DUMMYFUNCTION("GOOGLETRANSLATE(English!B4997, ""en"", ""bg"")"),"биология")</f>
        <v>биология</v>
      </c>
      <c r="C4997" s="1" t="str">
        <f ca="1">IFERROR(__xludf.DUMMYFUNCTION("GOOGLETRANSLATE(English!C4997, ""en"", ""bg"")"),"средата")</f>
        <v>средата</v>
      </c>
      <c r="D4997" s="1" t="str">
        <f ca="1">IFERROR(__xludf.DUMMYFUNCTION("GOOGLETRANSLATE(English!D4997, ""en"", ""bg"")"),"основи на еволюцията")</f>
        <v>основи на еволюцията</v>
      </c>
      <c r="E4997" s="1" t="str">
        <f ca="1">IFERROR(__xludf.DUMMYFUNCTION("GOOGLETRANSLATE(English!E4997, ""en"", ""bg"")"),"Защо основите на еволюцията са важни в биологията?")</f>
        <v>Защо основите на еволюцията са важни в биологията?</v>
      </c>
      <c r="F4997" s="1" t="str">
        <f ca="1">IFERROR(__xludf.DUMMYFUNCTION("GOOGLETRANSLATE(English!F4997, ""en"", ""bg"")"),"Основите на еволюцията са важни, защото ни помагат да разберем живота и как живите същества оцеляват.")</f>
        <v>Основите на еволюцията са важни, защото ни помагат да разберем живота и как живите същества оцеляват.</v>
      </c>
      <c r="G4997" s="1" t="str">
        <f ca="1">IFERROR(__xludf.DUMMYFUNCTION("GOOGLETRANSLATE(English!G4997, ""en"", ""bg"")"),"direct_qa")</f>
        <v>direct_qa</v>
      </c>
      <c r="H4997" s="1" t="str">
        <f ca="1">IFERROR(__xludf.DUMMYFUNCTION("GOOGLETRANSLATE(English!H4997, ""en"", ""bg"")"),"заявка_за_знание")</f>
        <v>заявка_за_знание</v>
      </c>
    </row>
    <row r="4998" spans="1:8" ht="13.2" x14ac:dyDescent="0.25">
      <c r="A4998" s="1" t="str">
        <f ca="1">IFERROR(__xludf.DUMMYFUNCTION("GOOGLETRANSLATE(English!A4998, ""en"", ""bg"")"),"conv_04153")</f>
        <v>conv_04153</v>
      </c>
      <c r="B4998" s="1" t="str">
        <f ca="1">IFERROR(__xludf.DUMMYFUNCTION("GOOGLETRANSLATE(English!B4998, ""en"", ""bg"")"),"химия")</f>
        <v>химия</v>
      </c>
      <c r="C4998" s="1" t="str">
        <f ca="1">IFERROR(__xludf.DUMMYFUNCTION("GOOGLETRANSLATE(English!C4998, ""en"", ""bg"")"),"средата")</f>
        <v>средата</v>
      </c>
      <c r="D4998" s="1" t="str">
        <f ca="1">IFERROR(__xludf.DUMMYFUNCTION("GOOGLETRANSLATE(English!D4998, ""en"", ""bg"")"),"основи на периодичната таблица")</f>
        <v>основи на периодичната таблица</v>
      </c>
      <c r="E4998" s="1" t="str">
        <f ca="1">IFERROR(__xludf.DUMMYFUNCTION("GOOGLETRANSLATE(English!E4998, ""en"", ""bg"")"),"Можете ли да ми помогнете? Можете ли да ми помогнете да разбера основите на периодичната таблица?")</f>
        <v>Можете ли да ми помогнете? Можете ли да ми помогнете да разбера основите на периодичната таблица?</v>
      </c>
      <c r="F4998" s="1" t="str">
        <f ca="1">IFERROR(__xludf.DUMMYFUNCTION("GOOGLETRANSLATE(English!F4998, ""en"", ""bg"")"),"Основите на периодичната таблица са важна химическа концепция, която ни помага да разберем как се държи и променя материята!")</f>
        <v>Основите на периодичната таблица са важна химическа концепция, която ни помага да разберем как се държи и променя материята!</v>
      </c>
      <c r="G4998" s="1" t="str">
        <f ca="1">IFERROR(__xludf.DUMMYFUNCTION("GOOGLETRANSLATE(English!G4998, ""en"", ""bg"")"),"разговор")</f>
        <v>разговор</v>
      </c>
      <c r="H4998" s="1" t="str">
        <f ca="1">IFERROR(__xludf.DUMMYFUNCTION("GOOGLETRANSLATE(English!H4998, ""en"", ""bg"")"),"образователна_помощ")</f>
        <v>образователна_помощ</v>
      </c>
    </row>
    <row r="4999" spans="1:8" ht="13.2" x14ac:dyDescent="0.25">
      <c r="A4999" s="1" t="str">
        <f ca="1">IFERROR(__xludf.DUMMYFUNCTION("GOOGLETRANSLATE(English!A4999, ""en"", ""bg"")"),"conv_10668")</f>
        <v>conv_10668</v>
      </c>
      <c r="B4999" s="1" t="str">
        <f ca="1">IFERROR(__xludf.DUMMYFUNCTION("GOOGLETRANSLATE(English!B4999, ""en"", ""bg"")"),"химия")</f>
        <v>химия</v>
      </c>
      <c r="C4999" s="1" t="str">
        <f ca="1">IFERROR(__xludf.DUMMYFUNCTION("GOOGLETRANSLATE(English!C4999, ""en"", ""bg"")"),"средата")</f>
        <v>средата</v>
      </c>
      <c r="D4999" s="1" t="str">
        <f ca="1">IFERROR(__xludf.DUMMYFUNCTION("GOOGLETRANSLATE(English!D4999, ""en"", ""bg"")"),"основи на периодичната таблица")</f>
        <v>основи на периодичната таблица</v>
      </c>
      <c r="E4999" s="1" t="str">
        <f ca="1">IFERROR(__xludf.DUMMYFUNCTION("GOOGLETRANSLATE(English!E4999, ""en"", ""bg"")"),"Имам нужда от помощ с домашното. Как се прилагат основите на периодичната таблица в химията?")</f>
        <v>Имам нужда от помощ с домашното. Как се прилагат основите на периодичната таблица в химията?</v>
      </c>
      <c r="F4999" s="1" t="str">
        <f ca="1">IFERROR(__xludf.DUMMYFUNCTION("GOOGLETRANSLATE(English!F4999, ""en"", ""bg"")"),"Основите на периодичната таблица работят според химичните принципи, които обясняват как взаимодействат атомите и молекулите.")</f>
        <v>Основите на периодичната таблица работят според химичните принципи, които обясняват как взаимодействат атомите и молекулите.</v>
      </c>
      <c r="G4999" s="1" t="str">
        <f ca="1">IFERROR(__xludf.DUMMYFUNCTION("GOOGLETRANSLATE(English!G4999, ""en"", ""bg"")"),"разговор")</f>
        <v>разговор</v>
      </c>
      <c r="H4999" s="1" t="str">
        <f ca="1">IFERROR(__xludf.DUMMYFUNCTION("GOOGLETRANSLATE(English!H4999, ""en"", ""bg"")"),"образователна_помощ")</f>
        <v>образователна_помощ</v>
      </c>
    </row>
    <row r="5000" spans="1:8" ht="13.2" x14ac:dyDescent="0.25">
      <c r="A5000" s="1" t="str">
        <f ca="1">IFERROR(__xludf.DUMMYFUNCTION("GOOGLETRANSLATE(English!A5000, ""en"", ""bg"")"),"qa_01607")</f>
        <v>qa_01607</v>
      </c>
      <c r="B5000" s="1" t="str">
        <f ca="1">IFERROR(__xludf.DUMMYFUNCTION("GOOGLETRANSLATE(English!B5000, ""en"", ""bg"")"),"биология")</f>
        <v>биология</v>
      </c>
      <c r="C5000" s="1" t="str">
        <f ca="1">IFERROR(__xludf.DUMMYFUNCTION("GOOGLETRANSLATE(English!C5000, ""en"", ""bg"")"),"средата")</f>
        <v>средата</v>
      </c>
      <c r="D5000" s="1" t="str">
        <f ca="1">IFERROR(__xludf.DUMMYFUNCTION("GOOGLETRANSLATE(English!D5000, ""en"", ""bg"")"),"клетки")</f>
        <v>клетки</v>
      </c>
      <c r="E5000" s="1" t="str">
        <f ca="1">IFERROR(__xludf.DUMMYFUNCTION("GOOGLETRANSLATE(English!E5000, ""en"", ""bg"")"),"По какво се различават растителните и животинските клетки?")</f>
        <v>По какво се различават растителните и животинските клетки?</v>
      </c>
      <c r="F5000" s="1" t="str">
        <f ca="1">IFERROR(__xludf.DUMMYFUNCTION("GOOGLETRANSLATE(English!F5000, ""en"", ""bg"")"),"Растителните клетки имат клетъчна стена и хлоропласти, които животинските клетки нямат. Животинските клетки са по-гъвкави.")</f>
        <v>Растителните клетки имат клетъчна стена и хлоропласти, които животинските клетки нямат. Животинските клетки са по-гъвкави.</v>
      </c>
      <c r="G5000" s="1" t="str">
        <f ca="1">IFERROR(__xludf.DUMMYFUNCTION("GOOGLETRANSLATE(English!G5000, ""en"", ""bg"")"),"direct_qa")</f>
        <v>direct_qa</v>
      </c>
      <c r="H5000" s="1" t="str">
        <f ca="1">IFERROR(__xludf.DUMMYFUNCTION("GOOGLETRANSLATE(English!H5000, ""en"", ""bg"")"),"заявка_за_знание")</f>
        <v>заявка_за_знание</v>
      </c>
    </row>
    <row r="5001" spans="1:8" ht="13.2" x14ac:dyDescent="0.25">
      <c r="A5001" s="1" t="str">
        <f ca="1">IFERROR(__xludf.DUMMYFUNCTION("GOOGLETRANSLATE(English!A5001, ""en"", ""bg"")"),"conv_16299")</f>
        <v>conv_16299</v>
      </c>
      <c r="B5001" s="1" t="str">
        <f ca="1">IFERROR(__xludf.DUMMYFUNCTION("GOOGLETRANSLATE(English!B5001, ""en"", ""bg"")"),"физика")</f>
        <v>физика</v>
      </c>
      <c r="C5001" s="1" t="str">
        <f ca="1">IFERROR(__xludf.DUMMYFUNCTION("GOOGLETRANSLATE(English!C5001, ""en"", ""bg"")"),"средата")</f>
        <v>средата</v>
      </c>
      <c r="D5001" s="1" t="str">
        <f ca="1">IFERROR(__xludf.DUMMYFUNCTION("GOOGLETRANSLATE(English!D5001, ""en"", ""bg"")"),"видове енергия")</f>
        <v>видове енергия</v>
      </c>
      <c r="E5001" s="1" t="str">
        <f ca="1">IFERROR(__xludf.DUMMYFUNCTION("GOOGLETRANSLATE(English!E5001, ""en"", ""bg"")"),"Имам научен въпрос: Какви са различните видове енергия?")</f>
        <v>Имам научен въпрос: Какви са различните видове енергия?</v>
      </c>
      <c r="F5001" s="1" t="str">
        <f ca="1">IFERROR(__xludf.DUMMYFUNCTION("GOOGLETRANSLATE(English!F5001, ""en"", ""bg"")"),"Има много видове енергия: кинетична, потенциална, топлинна, електрическа, химическа и други!")</f>
        <v>Има много видове енергия: кинетична, потенциална, топлинна, електрическа, химическа и други!</v>
      </c>
      <c r="G5001" s="1" t="str">
        <f ca="1">IFERROR(__xludf.DUMMYFUNCTION("GOOGLETRANSLATE(English!G5001, ""en"", ""bg"")"),"разговор")</f>
        <v>разговор</v>
      </c>
      <c r="H5001" s="1" t="str">
        <f ca="1">IFERROR(__xludf.DUMMYFUNCTION("GOOGLETRANSLATE(English!H5001, ""en"", ""bg"")"),"образователна_помощ")</f>
        <v>образователна_помощ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Bulgarian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Ellingsen</cp:lastModifiedBy>
  <dcterms:modified xsi:type="dcterms:W3CDTF">2026-07-08T18:10:21Z</dcterms:modified>
</cp:coreProperties>
</file>